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esktop\Unif synthèse et travaux\Mémoire\"/>
    </mc:Choice>
  </mc:AlternateContent>
  <xr:revisionPtr revIDLastSave="0" documentId="13_ncr:1_{590D1B15-BC7B-4D25-B676-D0F0FDE00778}" xr6:coauthVersionLast="46" xr6:coauthVersionMax="46" xr10:uidLastSave="{00000000-0000-0000-0000-000000000000}"/>
  <bookViews>
    <workbookView xWindow="-108" yWindow="-108" windowWidth="23256" windowHeight="12576" activeTab="3" xr2:uid="{00000000-000D-0000-FFFF-FFFF00000000}"/>
  </bookViews>
  <sheets>
    <sheet name="Distances" sheetId="2" r:id="rId1"/>
    <sheet name="Prix final" sheetId="3" r:id="rId2"/>
    <sheet name="Délai intermédiaire" sheetId="4" r:id="rId3"/>
    <sheet name="Délai final" sheetId="1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306" i="1" l="1"/>
  <c r="BI306" i="1"/>
  <c r="BH306" i="1"/>
  <c r="BG306" i="1"/>
  <c r="BE306" i="1"/>
  <c r="BC306" i="1"/>
  <c r="BB306" i="1"/>
  <c r="BA306" i="1"/>
  <c r="AY306" i="1"/>
  <c r="AX306" i="1"/>
  <c r="AT306" i="1"/>
  <c r="AS306" i="1"/>
  <c r="AR306" i="1"/>
  <c r="AQ306" i="1"/>
  <c r="AP306" i="1"/>
  <c r="AO306" i="1"/>
  <c r="AM306" i="1"/>
  <c r="AL306" i="1"/>
  <c r="AK306" i="1"/>
  <c r="AI306" i="1"/>
  <c r="AD306" i="1"/>
  <c r="AC306" i="1"/>
  <c r="W306" i="1"/>
  <c r="S306" i="1"/>
  <c r="R306" i="1"/>
  <c r="Q306" i="1"/>
  <c r="P306" i="1"/>
  <c r="O306" i="1"/>
  <c r="N306" i="1"/>
  <c r="M306" i="1"/>
  <c r="L306" i="1"/>
  <c r="K306" i="1"/>
  <c r="I306" i="1"/>
  <c r="H306" i="1"/>
  <c r="E306" i="1"/>
  <c r="C306" i="1"/>
  <c r="B306" i="1"/>
  <c r="BJ305" i="1"/>
  <c r="BI305" i="1"/>
  <c r="BH305" i="1"/>
  <c r="BG305" i="1"/>
  <c r="BE305" i="1"/>
  <c r="BC305" i="1"/>
  <c r="BB305" i="1"/>
  <c r="BA305" i="1"/>
  <c r="AY305" i="1"/>
  <c r="AX305" i="1"/>
  <c r="AT305" i="1"/>
  <c r="AS305" i="1"/>
  <c r="AR305" i="1"/>
  <c r="AQ305" i="1"/>
  <c r="AP305" i="1"/>
  <c r="AO305" i="1"/>
  <c r="AM305" i="1"/>
  <c r="AL305" i="1"/>
  <c r="AK305" i="1"/>
  <c r="AI305" i="1"/>
  <c r="AD305" i="1"/>
  <c r="AC305" i="1"/>
  <c r="W305" i="1"/>
  <c r="S305" i="1"/>
  <c r="R305" i="1"/>
  <c r="Q305" i="1"/>
  <c r="P305" i="1"/>
  <c r="O305" i="1"/>
  <c r="N305" i="1"/>
  <c r="M305" i="1"/>
  <c r="L305" i="1"/>
  <c r="K305" i="1"/>
  <c r="I305" i="1"/>
  <c r="H305" i="1"/>
  <c r="E305" i="1"/>
  <c r="C305" i="1"/>
  <c r="B305" i="1"/>
  <c r="BJ304" i="1"/>
  <c r="BI304" i="1"/>
  <c r="BH304" i="1"/>
  <c r="BG304" i="1"/>
  <c r="BE304" i="1"/>
  <c r="BC304" i="1"/>
  <c r="BB304" i="1"/>
  <c r="BA304" i="1"/>
  <c r="AY304" i="1"/>
  <c r="AX304" i="1"/>
  <c r="AT304" i="1"/>
  <c r="AS304" i="1"/>
  <c r="AR304" i="1"/>
  <c r="AQ304" i="1"/>
  <c r="AP304" i="1"/>
  <c r="AO304" i="1"/>
  <c r="AM304" i="1"/>
  <c r="AL304" i="1"/>
  <c r="AK304" i="1"/>
  <c r="AI304" i="1"/>
  <c r="AD304" i="1"/>
  <c r="AC304" i="1"/>
  <c r="W304" i="1"/>
  <c r="S304" i="1"/>
  <c r="R304" i="1"/>
  <c r="Q304" i="1"/>
  <c r="P304" i="1"/>
  <c r="O304" i="1"/>
  <c r="N304" i="1"/>
  <c r="M304" i="1"/>
  <c r="L304" i="1"/>
  <c r="K304" i="1"/>
  <c r="I304" i="1"/>
  <c r="H304" i="1"/>
  <c r="E304" i="1"/>
  <c r="C304" i="1"/>
  <c r="B304" i="1"/>
  <c r="BJ303" i="1"/>
  <c r="BI303" i="1"/>
  <c r="BH303" i="1"/>
  <c r="BG303" i="1"/>
  <c r="BE303" i="1"/>
  <c r="BC303" i="1"/>
  <c r="BB303" i="1"/>
  <c r="BA303" i="1"/>
  <c r="AY303" i="1"/>
  <c r="AX303" i="1"/>
  <c r="AT303" i="1"/>
  <c r="AS303" i="1"/>
  <c r="AR303" i="1"/>
  <c r="AQ303" i="1"/>
  <c r="AP303" i="1"/>
  <c r="AO303" i="1"/>
  <c r="AM303" i="1"/>
  <c r="AL303" i="1"/>
  <c r="AK303" i="1"/>
  <c r="AI303" i="1"/>
  <c r="AD303" i="1"/>
  <c r="AC303" i="1"/>
  <c r="W303" i="1"/>
  <c r="S303" i="1"/>
  <c r="R303" i="1"/>
  <c r="Q303" i="1"/>
  <c r="P303" i="1"/>
  <c r="O303" i="1"/>
  <c r="N303" i="1"/>
  <c r="M303" i="1"/>
  <c r="L303" i="1"/>
  <c r="K303" i="1"/>
  <c r="I303" i="1"/>
  <c r="H303" i="1"/>
  <c r="E303" i="1"/>
  <c r="C303" i="1"/>
  <c r="B303" i="1"/>
  <c r="BJ302" i="1"/>
  <c r="BI302" i="1"/>
  <c r="BH302" i="1"/>
  <c r="BG302" i="1"/>
  <c r="BE302" i="1"/>
  <c r="BC302" i="1"/>
  <c r="BB302" i="1"/>
  <c r="BA302" i="1"/>
  <c r="AY302" i="1"/>
  <c r="AX302" i="1"/>
  <c r="AT302" i="1"/>
  <c r="AS302" i="1"/>
  <c r="AR302" i="1"/>
  <c r="AQ302" i="1"/>
  <c r="AP302" i="1"/>
  <c r="AO302" i="1"/>
  <c r="AM302" i="1"/>
  <c r="AL302" i="1"/>
  <c r="AK302" i="1"/>
  <c r="AI302" i="1"/>
  <c r="AD302" i="1"/>
  <c r="AC302" i="1"/>
  <c r="W302" i="1"/>
  <c r="S302" i="1"/>
  <c r="R302" i="1"/>
  <c r="Q302" i="1"/>
  <c r="P302" i="1"/>
  <c r="O302" i="1"/>
  <c r="N302" i="1"/>
  <c r="M302" i="1"/>
  <c r="L302" i="1"/>
  <c r="K302" i="1"/>
  <c r="I302" i="1"/>
  <c r="H302" i="1"/>
  <c r="E302" i="1"/>
  <c r="C302" i="1"/>
  <c r="B302" i="1"/>
  <c r="BJ301" i="1"/>
  <c r="BI301" i="1"/>
  <c r="BH301" i="1"/>
  <c r="BG301" i="1"/>
  <c r="BE301" i="1"/>
  <c r="BC301" i="1"/>
  <c r="BB301" i="1"/>
  <c r="BA301" i="1"/>
  <c r="AY301" i="1"/>
  <c r="AX301" i="1"/>
  <c r="AT301" i="1"/>
  <c r="AS301" i="1"/>
  <c r="AR301" i="1"/>
  <c r="AQ301" i="1"/>
  <c r="AP301" i="1"/>
  <c r="AO301" i="1"/>
  <c r="AM301" i="1"/>
  <c r="AL301" i="1"/>
  <c r="AK301" i="1"/>
  <c r="AI301" i="1"/>
  <c r="AD301" i="1"/>
  <c r="AC301" i="1"/>
  <c r="W301" i="1"/>
  <c r="S301" i="1"/>
  <c r="R301" i="1"/>
  <c r="Q301" i="1"/>
  <c r="P301" i="1"/>
  <c r="O301" i="1"/>
  <c r="N301" i="1"/>
  <c r="M301" i="1"/>
  <c r="L301" i="1"/>
  <c r="K301" i="1"/>
  <c r="I301" i="1"/>
  <c r="H301" i="1"/>
  <c r="E301" i="1"/>
  <c r="C301" i="1"/>
  <c r="B301" i="1"/>
  <c r="AN300" i="1"/>
  <c r="BJ299" i="1"/>
  <c r="BI299" i="1"/>
  <c r="BH299" i="1"/>
  <c r="BG299" i="1"/>
  <c r="BE299" i="1"/>
  <c r="BC299" i="1"/>
  <c r="BB299" i="1"/>
  <c r="BA299" i="1"/>
  <c r="AY299" i="1"/>
  <c r="AX299" i="1"/>
  <c r="AT299" i="1"/>
  <c r="AS299" i="1"/>
  <c r="AR299" i="1"/>
  <c r="AQ299" i="1"/>
  <c r="AP299" i="1"/>
  <c r="AO299" i="1"/>
  <c r="AM299" i="1"/>
  <c r="AL299" i="1"/>
  <c r="AK299" i="1"/>
  <c r="AI299" i="1"/>
  <c r="AD299" i="1"/>
  <c r="AC299" i="1"/>
  <c r="W299" i="1"/>
  <c r="S299" i="1"/>
  <c r="R299" i="1"/>
  <c r="Q299" i="1"/>
  <c r="P299" i="1"/>
  <c r="O299" i="1"/>
  <c r="N299" i="1"/>
  <c r="M299" i="1"/>
  <c r="L299" i="1"/>
  <c r="K299" i="1"/>
  <c r="I299" i="1"/>
  <c r="H299" i="1"/>
  <c r="E299" i="1"/>
  <c r="C299" i="1"/>
  <c r="B299" i="1"/>
  <c r="BJ298" i="1"/>
  <c r="BI298" i="1"/>
  <c r="BH298" i="1"/>
  <c r="BG298" i="1"/>
  <c r="BE298" i="1"/>
  <c r="BC298" i="1"/>
  <c r="BB298" i="1"/>
  <c r="BA298" i="1"/>
  <c r="AY298" i="1"/>
  <c r="AX298" i="1"/>
  <c r="AT298" i="1"/>
  <c r="AS298" i="1"/>
  <c r="AR298" i="1"/>
  <c r="AQ298" i="1"/>
  <c r="AP298" i="1"/>
  <c r="AO298" i="1"/>
  <c r="AM298" i="1"/>
  <c r="AL298" i="1"/>
  <c r="AK298" i="1"/>
  <c r="AI298" i="1"/>
  <c r="AD298" i="1"/>
  <c r="AC298" i="1"/>
  <c r="W298" i="1"/>
  <c r="S298" i="1"/>
  <c r="R298" i="1"/>
  <c r="Q298" i="1"/>
  <c r="P298" i="1"/>
  <c r="O298" i="1"/>
  <c r="N298" i="1"/>
  <c r="M298" i="1"/>
  <c r="L298" i="1"/>
  <c r="K298" i="1"/>
  <c r="I298" i="1"/>
  <c r="H298" i="1"/>
  <c r="E298" i="1"/>
  <c r="C298" i="1"/>
  <c r="B298" i="1"/>
  <c r="BJ297" i="1"/>
  <c r="BI297" i="1"/>
  <c r="BH297" i="1"/>
  <c r="BG297" i="1"/>
  <c r="BE297" i="1"/>
  <c r="BC297" i="1"/>
  <c r="BB297" i="1"/>
  <c r="BA297" i="1"/>
  <c r="AY297" i="1"/>
  <c r="AX297" i="1"/>
  <c r="AT297" i="1"/>
  <c r="AS297" i="1"/>
  <c r="AR297" i="1"/>
  <c r="AQ297" i="1"/>
  <c r="AP297" i="1"/>
  <c r="AO297" i="1"/>
  <c r="AM297" i="1"/>
  <c r="AL297" i="1"/>
  <c r="AK297" i="1"/>
  <c r="AI297" i="1"/>
  <c r="AD297" i="1"/>
  <c r="AC297" i="1"/>
  <c r="W297" i="1"/>
  <c r="S297" i="1"/>
  <c r="R297" i="1"/>
  <c r="Q297" i="1"/>
  <c r="P297" i="1"/>
  <c r="O297" i="1"/>
  <c r="N297" i="1"/>
  <c r="M297" i="1"/>
  <c r="L297" i="1"/>
  <c r="K297" i="1"/>
  <c r="I297" i="1"/>
  <c r="H297" i="1"/>
  <c r="E297" i="1"/>
  <c r="C297" i="1"/>
  <c r="B297" i="1"/>
  <c r="AJ296" i="1"/>
  <c r="BJ295" i="1"/>
  <c r="BI295" i="1"/>
  <c r="BH295" i="1"/>
  <c r="BG295" i="1"/>
  <c r="BE295" i="1"/>
  <c r="BC295" i="1"/>
  <c r="BB295" i="1"/>
  <c r="BA295" i="1"/>
  <c r="AY295" i="1"/>
  <c r="AX295" i="1"/>
  <c r="AT295" i="1"/>
  <c r="AS295" i="1"/>
  <c r="AR295" i="1"/>
  <c r="AQ295" i="1"/>
  <c r="AP295" i="1"/>
  <c r="AO295" i="1"/>
  <c r="AM295" i="1"/>
  <c r="AL295" i="1"/>
  <c r="AK295" i="1"/>
  <c r="AI295" i="1"/>
  <c r="AD295" i="1"/>
  <c r="AC295" i="1"/>
  <c r="W295" i="1"/>
  <c r="S295" i="1"/>
  <c r="R295" i="1"/>
  <c r="Q295" i="1"/>
  <c r="P295" i="1"/>
  <c r="O295" i="1"/>
  <c r="N295" i="1"/>
  <c r="M295" i="1"/>
  <c r="L295" i="1"/>
  <c r="K295" i="1"/>
  <c r="I295" i="1"/>
  <c r="H295" i="1"/>
  <c r="E295" i="1"/>
  <c r="C295" i="1"/>
  <c r="B295" i="1"/>
  <c r="AH294" i="1"/>
  <c r="AG293" i="1"/>
  <c r="AF292" i="1"/>
  <c r="AE291" i="1"/>
  <c r="BJ290" i="1"/>
  <c r="BI290" i="1"/>
  <c r="BH290" i="1"/>
  <c r="BG290" i="1"/>
  <c r="BE290" i="1"/>
  <c r="BC290" i="1"/>
  <c r="BB290" i="1"/>
  <c r="BA290" i="1"/>
  <c r="AY290" i="1"/>
  <c r="AX290" i="1"/>
  <c r="AT290" i="1"/>
  <c r="AS290" i="1"/>
  <c r="AR290" i="1"/>
  <c r="AQ290" i="1"/>
  <c r="AP290" i="1"/>
  <c r="AO290" i="1"/>
  <c r="AM290" i="1"/>
  <c r="AL290" i="1"/>
  <c r="AK290" i="1"/>
  <c r="AI290" i="1"/>
  <c r="AD290" i="1"/>
  <c r="AC290" i="1"/>
  <c r="W290" i="1"/>
  <c r="S290" i="1"/>
  <c r="R290" i="1"/>
  <c r="Q290" i="1"/>
  <c r="P290" i="1"/>
  <c r="O290" i="1"/>
  <c r="N290" i="1"/>
  <c r="M290" i="1"/>
  <c r="L290" i="1"/>
  <c r="K290" i="1"/>
  <c r="I290" i="1"/>
  <c r="H290" i="1"/>
  <c r="E290" i="1"/>
  <c r="C290" i="1"/>
  <c r="B290" i="1"/>
  <c r="BJ289" i="1"/>
  <c r="BI289" i="1"/>
  <c r="BH289" i="1"/>
  <c r="BG289" i="1"/>
  <c r="BE289" i="1"/>
  <c r="BC289" i="1"/>
  <c r="BB289" i="1"/>
  <c r="BA289" i="1"/>
  <c r="AY289" i="1"/>
  <c r="AX289" i="1"/>
  <c r="AT289" i="1"/>
  <c r="AS289" i="1"/>
  <c r="AR289" i="1"/>
  <c r="AQ289" i="1"/>
  <c r="AP289" i="1"/>
  <c r="AO289" i="1"/>
  <c r="AM289" i="1"/>
  <c r="AL289" i="1"/>
  <c r="AK289" i="1"/>
  <c r="AI289" i="1"/>
  <c r="AD289" i="1"/>
  <c r="AC289" i="1"/>
  <c r="W289" i="1"/>
  <c r="S289" i="1"/>
  <c r="R289" i="1"/>
  <c r="Q289" i="1"/>
  <c r="P289" i="1"/>
  <c r="O289" i="1"/>
  <c r="N289" i="1"/>
  <c r="M289" i="1"/>
  <c r="L289" i="1"/>
  <c r="K289" i="1"/>
  <c r="I289" i="1"/>
  <c r="H289" i="1"/>
  <c r="E289" i="1"/>
  <c r="C289" i="1"/>
  <c r="B289" i="1"/>
  <c r="AB288" i="1"/>
  <c r="AA287" i="1"/>
  <c r="Z286" i="1"/>
  <c r="Y285" i="1"/>
  <c r="X284" i="1"/>
  <c r="BJ283" i="1"/>
  <c r="BI283" i="1"/>
  <c r="BH283" i="1"/>
  <c r="BG283" i="1"/>
  <c r="BE283" i="1"/>
  <c r="BC283" i="1"/>
  <c r="BB283" i="1"/>
  <c r="BA283" i="1"/>
  <c r="AY283" i="1"/>
  <c r="AX283" i="1"/>
  <c r="AT283" i="1"/>
  <c r="AS283" i="1"/>
  <c r="AR283" i="1"/>
  <c r="AQ283" i="1"/>
  <c r="AP283" i="1"/>
  <c r="AO283" i="1"/>
  <c r="AM283" i="1"/>
  <c r="AL283" i="1"/>
  <c r="AK283" i="1"/>
  <c r="AI283" i="1"/>
  <c r="AD283" i="1"/>
  <c r="AC283" i="1"/>
  <c r="W283" i="1"/>
  <c r="S283" i="1"/>
  <c r="R283" i="1"/>
  <c r="Q283" i="1"/>
  <c r="P283" i="1"/>
  <c r="O283" i="1"/>
  <c r="N283" i="1"/>
  <c r="M283" i="1"/>
  <c r="L283" i="1"/>
  <c r="K283" i="1"/>
  <c r="I283" i="1"/>
  <c r="H283" i="1"/>
  <c r="E283" i="1"/>
  <c r="C283" i="1"/>
  <c r="B283" i="1"/>
  <c r="V282" i="1"/>
  <c r="U281" i="1"/>
  <c r="T280" i="1"/>
  <c r="BJ279" i="1"/>
  <c r="BI279" i="1"/>
  <c r="BH279" i="1"/>
  <c r="BG279" i="1"/>
  <c r="BE279" i="1"/>
  <c r="BC279" i="1"/>
  <c r="BB279" i="1"/>
  <c r="BA279" i="1"/>
  <c r="AY279" i="1"/>
  <c r="AX279" i="1"/>
  <c r="AT279" i="1"/>
  <c r="AS279" i="1"/>
  <c r="AR279" i="1"/>
  <c r="AQ279" i="1"/>
  <c r="AP279" i="1"/>
  <c r="AO279" i="1"/>
  <c r="AM279" i="1"/>
  <c r="AL279" i="1"/>
  <c r="AK279" i="1"/>
  <c r="AI279" i="1"/>
  <c r="AD279" i="1"/>
  <c r="AC279" i="1"/>
  <c r="W279" i="1"/>
  <c r="S279" i="1"/>
  <c r="R279" i="1"/>
  <c r="Q279" i="1"/>
  <c r="P279" i="1"/>
  <c r="O279" i="1"/>
  <c r="N279" i="1"/>
  <c r="M279" i="1"/>
  <c r="L279" i="1"/>
  <c r="K279" i="1"/>
  <c r="I279" i="1"/>
  <c r="H279" i="1"/>
  <c r="E279" i="1"/>
  <c r="C279" i="1"/>
  <c r="B279" i="1"/>
  <c r="BJ278" i="1"/>
  <c r="BI278" i="1"/>
  <c r="BH278" i="1"/>
  <c r="BG278" i="1"/>
  <c r="BE278" i="1"/>
  <c r="BC278" i="1"/>
  <c r="BB278" i="1"/>
  <c r="BA278" i="1"/>
  <c r="AY278" i="1"/>
  <c r="AX278" i="1"/>
  <c r="AT278" i="1"/>
  <c r="AS278" i="1"/>
  <c r="AR278" i="1"/>
  <c r="AQ278" i="1"/>
  <c r="AP278" i="1"/>
  <c r="AO278" i="1"/>
  <c r="AM278" i="1"/>
  <c r="AL278" i="1"/>
  <c r="AK278" i="1"/>
  <c r="AI278" i="1"/>
  <c r="AD278" i="1"/>
  <c r="AC278" i="1"/>
  <c r="W278" i="1"/>
  <c r="S278" i="1"/>
  <c r="R278" i="1"/>
  <c r="Q278" i="1"/>
  <c r="P278" i="1"/>
  <c r="O278" i="1"/>
  <c r="N278" i="1"/>
  <c r="M278" i="1"/>
  <c r="L278" i="1"/>
  <c r="K278" i="1"/>
  <c r="I278" i="1"/>
  <c r="H278" i="1"/>
  <c r="E278" i="1"/>
  <c r="C278" i="1"/>
  <c r="B278" i="1"/>
  <c r="BJ277" i="1"/>
  <c r="BI277" i="1"/>
  <c r="BH277" i="1"/>
  <c r="BG277" i="1"/>
  <c r="BE277" i="1"/>
  <c r="BC277" i="1"/>
  <c r="BB277" i="1"/>
  <c r="BA277" i="1"/>
  <c r="AY277" i="1"/>
  <c r="AX277" i="1"/>
  <c r="AT277" i="1"/>
  <c r="AS277" i="1"/>
  <c r="AR277" i="1"/>
  <c r="AQ277" i="1"/>
  <c r="AP277" i="1"/>
  <c r="AO277" i="1"/>
  <c r="AM277" i="1"/>
  <c r="AL277" i="1"/>
  <c r="AK277" i="1"/>
  <c r="AI277" i="1"/>
  <c r="AD277" i="1"/>
  <c r="AC277" i="1"/>
  <c r="W277" i="1"/>
  <c r="S277" i="1"/>
  <c r="R277" i="1"/>
  <c r="Q277" i="1"/>
  <c r="P277" i="1"/>
  <c r="O277" i="1"/>
  <c r="N277" i="1"/>
  <c r="M277" i="1"/>
  <c r="L277" i="1"/>
  <c r="K277" i="1"/>
  <c r="I277" i="1"/>
  <c r="H277" i="1"/>
  <c r="E277" i="1"/>
  <c r="C277" i="1"/>
  <c r="B277" i="1"/>
  <c r="BJ276" i="1"/>
  <c r="BI276" i="1"/>
  <c r="BH276" i="1"/>
  <c r="BG276" i="1"/>
  <c r="BE276" i="1"/>
  <c r="BC276" i="1"/>
  <c r="BB276" i="1"/>
  <c r="BA276" i="1"/>
  <c r="AY276" i="1"/>
  <c r="AX276" i="1"/>
  <c r="AT276" i="1"/>
  <c r="AS276" i="1"/>
  <c r="AR276" i="1"/>
  <c r="AQ276" i="1"/>
  <c r="AP276" i="1"/>
  <c r="AO276" i="1"/>
  <c r="AM276" i="1"/>
  <c r="AL276" i="1"/>
  <c r="AK276" i="1"/>
  <c r="AI276" i="1"/>
  <c r="AD276" i="1"/>
  <c r="AC276" i="1"/>
  <c r="W276" i="1"/>
  <c r="S276" i="1"/>
  <c r="R276" i="1"/>
  <c r="Q276" i="1"/>
  <c r="P276" i="1"/>
  <c r="O276" i="1"/>
  <c r="N276" i="1"/>
  <c r="M276" i="1"/>
  <c r="L276" i="1"/>
  <c r="K276" i="1"/>
  <c r="I276" i="1"/>
  <c r="H276" i="1"/>
  <c r="E276" i="1"/>
  <c r="C276" i="1"/>
  <c r="B276" i="1"/>
  <c r="BJ275" i="1"/>
  <c r="BI275" i="1"/>
  <c r="BH275" i="1"/>
  <c r="BG275" i="1"/>
  <c r="BE275" i="1"/>
  <c r="BC275" i="1"/>
  <c r="BB275" i="1"/>
  <c r="BA275" i="1"/>
  <c r="AY275" i="1"/>
  <c r="AX275" i="1"/>
  <c r="AT275" i="1"/>
  <c r="AS275" i="1"/>
  <c r="AR275" i="1"/>
  <c r="AQ275" i="1"/>
  <c r="AP275" i="1"/>
  <c r="AO275" i="1"/>
  <c r="AM275" i="1"/>
  <c r="AL275" i="1"/>
  <c r="AK275" i="1"/>
  <c r="AI275" i="1"/>
  <c r="AD275" i="1"/>
  <c r="AC275" i="1"/>
  <c r="W275" i="1"/>
  <c r="S275" i="1"/>
  <c r="R275" i="1"/>
  <c r="Q275" i="1"/>
  <c r="P275" i="1"/>
  <c r="O275" i="1"/>
  <c r="N275" i="1"/>
  <c r="M275" i="1"/>
  <c r="L275" i="1"/>
  <c r="K275" i="1"/>
  <c r="I275" i="1"/>
  <c r="H275" i="1"/>
  <c r="E275" i="1"/>
  <c r="C275" i="1"/>
  <c r="B275" i="1"/>
  <c r="BJ274" i="1"/>
  <c r="BI274" i="1"/>
  <c r="BH274" i="1"/>
  <c r="BG274" i="1"/>
  <c r="BE274" i="1"/>
  <c r="BC274" i="1"/>
  <c r="BB274" i="1"/>
  <c r="BA274" i="1"/>
  <c r="AY274" i="1"/>
  <c r="AX274" i="1"/>
  <c r="AT274" i="1"/>
  <c r="AS274" i="1"/>
  <c r="AR274" i="1"/>
  <c r="AQ274" i="1"/>
  <c r="AP274" i="1"/>
  <c r="AO274" i="1"/>
  <c r="AM274" i="1"/>
  <c r="AL274" i="1"/>
  <c r="AK274" i="1"/>
  <c r="AI274" i="1"/>
  <c r="AD274" i="1"/>
  <c r="AC274" i="1"/>
  <c r="W274" i="1"/>
  <c r="S274" i="1"/>
  <c r="R274" i="1"/>
  <c r="Q274" i="1"/>
  <c r="P274" i="1"/>
  <c r="O274" i="1"/>
  <c r="N274" i="1"/>
  <c r="M274" i="1"/>
  <c r="L274" i="1"/>
  <c r="K274" i="1"/>
  <c r="I274" i="1"/>
  <c r="H274" i="1"/>
  <c r="E274" i="1"/>
  <c r="C274" i="1"/>
  <c r="B274" i="1"/>
  <c r="BJ273" i="1"/>
  <c r="BI273" i="1"/>
  <c r="BH273" i="1"/>
  <c r="BG273" i="1"/>
  <c r="BE273" i="1"/>
  <c r="BC273" i="1"/>
  <c r="BB273" i="1"/>
  <c r="BA273" i="1"/>
  <c r="AY273" i="1"/>
  <c r="AX273" i="1"/>
  <c r="AT273" i="1"/>
  <c r="AS273" i="1"/>
  <c r="AR273" i="1"/>
  <c r="AQ273" i="1"/>
  <c r="AP273" i="1"/>
  <c r="AO273" i="1"/>
  <c r="AM273" i="1"/>
  <c r="AL273" i="1"/>
  <c r="AK273" i="1"/>
  <c r="AI273" i="1"/>
  <c r="AD273" i="1"/>
  <c r="AC273" i="1"/>
  <c r="W273" i="1"/>
  <c r="S273" i="1"/>
  <c r="R273" i="1"/>
  <c r="Q273" i="1"/>
  <c r="P273" i="1"/>
  <c r="O273" i="1"/>
  <c r="N273" i="1"/>
  <c r="M273" i="1"/>
  <c r="L273" i="1"/>
  <c r="K273" i="1"/>
  <c r="I273" i="1"/>
  <c r="H273" i="1"/>
  <c r="E273" i="1"/>
  <c r="C273" i="1"/>
  <c r="B273" i="1"/>
  <c r="BJ272" i="1"/>
  <c r="BI272" i="1"/>
  <c r="BH272" i="1"/>
  <c r="BG272" i="1"/>
  <c r="BE272" i="1"/>
  <c r="BC272" i="1"/>
  <c r="BB272" i="1"/>
  <c r="BA272" i="1"/>
  <c r="AY272" i="1"/>
  <c r="AX272" i="1"/>
  <c r="AT272" i="1"/>
  <c r="AS272" i="1"/>
  <c r="AR272" i="1"/>
  <c r="AQ272" i="1"/>
  <c r="AP272" i="1"/>
  <c r="AO272" i="1"/>
  <c r="AM272" i="1"/>
  <c r="AL272" i="1"/>
  <c r="AK272" i="1"/>
  <c r="AI272" i="1"/>
  <c r="AD272" i="1"/>
  <c r="AC272" i="1"/>
  <c r="W272" i="1"/>
  <c r="S272" i="1"/>
  <c r="R272" i="1"/>
  <c r="Q272" i="1"/>
  <c r="P272" i="1"/>
  <c r="O272" i="1"/>
  <c r="N272" i="1"/>
  <c r="M272" i="1"/>
  <c r="L272" i="1"/>
  <c r="K272" i="1"/>
  <c r="I272" i="1"/>
  <c r="H272" i="1"/>
  <c r="E272" i="1"/>
  <c r="C272" i="1"/>
  <c r="B272" i="1"/>
  <c r="BJ271" i="1"/>
  <c r="BI271" i="1"/>
  <c r="BH271" i="1"/>
  <c r="BG271" i="1"/>
  <c r="BE271" i="1"/>
  <c r="BC271" i="1"/>
  <c r="BB271" i="1"/>
  <c r="BA271" i="1"/>
  <c r="AY271" i="1"/>
  <c r="AX271" i="1"/>
  <c r="AT271" i="1"/>
  <c r="AS271" i="1"/>
  <c r="AR271" i="1"/>
  <c r="AQ271" i="1"/>
  <c r="AP271" i="1"/>
  <c r="AO271" i="1"/>
  <c r="AM271" i="1"/>
  <c r="AL271" i="1"/>
  <c r="AK271" i="1"/>
  <c r="AI271" i="1"/>
  <c r="AD271" i="1"/>
  <c r="AC271" i="1"/>
  <c r="W271" i="1"/>
  <c r="S271" i="1"/>
  <c r="R271" i="1"/>
  <c r="Q271" i="1"/>
  <c r="P271" i="1"/>
  <c r="O271" i="1"/>
  <c r="N271" i="1"/>
  <c r="M271" i="1"/>
  <c r="L271" i="1"/>
  <c r="K271" i="1"/>
  <c r="I271" i="1"/>
  <c r="H271" i="1"/>
  <c r="E271" i="1"/>
  <c r="C271" i="1"/>
  <c r="B271" i="1"/>
  <c r="J270" i="1"/>
  <c r="BJ269" i="1"/>
  <c r="BI269" i="1"/>
  <c r="BH269" i="1"/>
  <c r="BG269" i="1"/>
  <c r="BE269" i="1"/>
  <c r="BC269" i="1"/>
  <c r="BB269" i="1"/>
  <c r="BA269" i="1"/>
  <c r="AY269" i="1"/>
  <c r="AX269" i="1"/>
  <c r="AT269" i="1"/>
  <c r="AS269" i="1"/>
  <c r="AR269" i="1"/>
  <c r="AQ269" i="1"/>
  <c r="AP269" i="1"/>
  <c r="AO269" i="1"/>
  <c r="AM269" i="1"/>
  <c r="AL269" i="1"/>
  <c r="AK269" i="1"/>
  <c r="AI269" i="1"/>
  <c r="AD269" i="1"/>
  <c r="AC269" i="1"/>
  <c r="W269" i="1"/>
  <c r="S269" i="1"/>
  <c r="R269" i="1"/>
  <c r="Q269" i="1"/>
  <c r="P269" i="1"/>
  <c r="O269" i="1"/>
  <c r="N269" i="1"/>
  <c r="M269" i="1"/>
  <c r="L269" i="1"/>
  <c r="K269" i="1"/>
  <c r="I269" i="1"/>
  <c r="H269" i="1"/>
  <c r="E269" i="1"/>
  <c r="C269" i="1"/>
  <c r="B269" i="1"/>
  <c r="BJ268" i="1"/>
  <c r="BI268" i="1"/>
  <c r="BH268" i="1"/>
  <c r="BG268" i="1"/>
  <c r="BE268" i="1"/>
  <c r="BC268" i="1"/>
  <c r="BB268" i="1"/>
  <c r="BA268" i="1"/>
  <c r="AY268" i="1"/>
  <c r="AX268" i="1"/>
  <c r="AT268" i="1"/>
  <c r="AS268" i="1"/>
  <c r="AR268" i="1"/>
  <c r="AQ268" i="1"/>
  <c r="AP268" i="1"/>
  <c r="AO268" i="1"/>
  <c r="AM268" i="1"/>
  <c r="AL268" i="1"/>
  <c r="AK268" i="1"/>
  <c r="AI268" i="1"/>
  <c r="AD268" i="1"/>
  <c r="AC268" i="1"/>
  <c r="W268" i="1"/>
  <c r="S268" i="1"/>
  <c r="R268" i="1"/>
  <c r="Q268" i="1"/>
  <c r="P268" i="1"/>
  <c r="O268" i="1"/>
  <c r="N268" i="1"/>
  <c r="M268" i="1"/>
  <c r="L268" i="1"/>
  <c r="K268" i="1"/>
  <c r="I268" i="1"/>
  <c r="H268" i="1"/>
  <c r="E268" i="1"/>
  <c r="C268" i="1"/>
  <c r="B268" i="1"/>
  <c r="G267" i="1"/>
  <c r="F266" i="1"/>
  <c r="BJ265" i="1"/>
  <c r="BI265" i="1"/>
  <c r="BH265" i="1"/>
  <c r="BG265" i="1"/>
  <c r="BE265" i="1"/>
  <c r="BC265" i="1"/>
  <c r="BB265" i="1"/>
  <c r="BA265" i="1"/>
  <c r="AY265" i="1"/>
  <c r="AX265" i="1"/>
  <c r="AT265" i="1"/>
  <c r="AS265" i="1"/>
  <c r="AR265" i="1"/>
  <c r="AQ265" i="1"/>
  <c r="AP265" i="1"/>
  <c r="AO265" i="1"/>
  <c r="AM265" i="1"/>
  <c r="AL265" i="1"/>
  <c r="AK265" i="1"/>
  <c r="AI265" i="1"/>
  <c r="AD265" i="1"/>
  <c r="AC265" i="1"/>
  <c r="W265" i="1"/>
  <c r="S265" i="1"/>
  <c r="R265" i="1"/>
  <c r="Q265" i="1"/>
  <c r="P265" i="1"/>
  <c r="O265" i="1"/>
  <c r="N265" i="1"/>
  <c r="M265" i="1"/>
  <c r="L265" i="1"/>
  <c r="K265" i="1"/>
  <c r="I265" i="1"/>
  <c r="H265" i="1"/>
  <c r="E265" i="1"/>
  <c r="C265" i="1"/>
  <c r="B265" i="1"/>
  <c r="D264" i="1"/>
  <c r="BJ263" i="1"/>
  <c r="BI263" i="1"/>
  <c r="BH263" i="1"/>
  <c r="BG263" i="1"/>
  <c r="BE263" i="1"/>
  <c r="BC263" i="1"/>
  <c r="BB263" i="1"/>
  <c r="BA263" i="1"/>
  <c r="AY263" i="1"/>
  <c r="AX263" i="1"/>
  <c r="AT263" i="1"/>
  <c r="AS263" i="1"/>
  <c r="AR263" i="1"/>
  <c r="AQ263" i="1"/>
  <c r="AP263" i="1"/>
  <c r="AO263" i="1"/>
  <c r="AM263" i="1"/>
  <c r="AL263" i="1"/>
  <c r="AK263" i="1"/>
  <c r="AI263" i="1"/>
  <c r="AD263" i="1"/>
  <c r="AC263" i="1"/>
  <c r="W263" i="1"/>
  <c r="S263" i="1"/>
  <c r="R263" i="1"/>
  <c r="Q263" i="1"/>
  <c r="P263" i="1"/>
  <c r="O263" i="1"/>
  <c r="N263" i="1"/>
  <c r="M263" i="1"/>
  <c r="L263" i="1"/>
  <c r="K263" i="1"/>
  <c r="I263" i="1"/>
  <c r="H263" i="1"/>
  <c r="E263" i="1"/>
  <c r="C263" i="1"/>
  <c r="B263" i="1"/>
  <c r="BJ262" i="1"/>
  <c r="BI262" i="1"/>
  <c r="BH262" i="1"/>
  <c r="BG262" i="1"/>
  <c r="BE262" i="1"/>
  <c r="BC262" i="1"/>
  <c r="BB262" i="1"/>
  <c r="BA262" i="1"/>
  <c r="AY262" i="1"/>
  <c r="AX262" i="1"/>
  <c r="AT262" i="1"/>
  <c r="AS262" i="1"/>
  <c r="AR262" i="1"/>
  <c r="AQ262" i="1"/>
  <c r="AP262" i="1"/>
  <c r="AO262" i="1"/>
  <c r="AM262" i="1"/>
  <c r="AL262" i="1"/>
  <c r="AK262" i="1"/>
  <c r="AI262" i="1"/>
  <c r="AD262" i="1"/>
  <c r="AC262" i="1"/>
  <c r="W262" i="1"/>
  <c r="S262" i="1"/>
  <c r="R262" i="1"/>
  <c r="Q262" i="1"/>
  <c r="P262" i="1"/>
  <c r="O262" i="1"/>
  <c r="N262" i="1"/>
  <c r="M262" i="1"/>
  <c r="L262" i="1"/>
  <c r="K262" i="1"/>
  <c r="I262" i="1"/>
  <c r="H262" i="1"/>
  <c r="E262" i="1"/>
  <c r="C262" i="1"/>
  <c r="B262" i="1"/>
  <c r="AT255" i="1"/>
  <c r="AS254" i="1"/>
  <c r="BE253" i="1"/>
  <c r="BC253" i="1"/>
  <c r="BB253" i="1"/>
  <c r="BA253" i="1"/>
  <c r="AY253" i="1"/>
  <c r="AX253" i="1"/>
  <c r="AR253" i="1"/>
  <c r="AQ253" i="1"/>
  <c r="AP253" i="1"/>
  <c r="AO253" i="1"/>
  <c r="AM253" i="1"/>
  <c r="AL253" i="1"/>
  <c r="AK253" i="1"/>
  <c r="AI253" i="1"/>
  <c r="AD253" i="1"/>
  <c r="AC253" i="1"/>
  <c r="W253" i="1"/>
  <c r="S253" i="1"/>
  <c r="R253" i="1"/>
  <c r="Q253" i="1"/>
  <c r="M253" i="1"/>
  <c r="K253" i="1"/>
  <c r="I253" i="1"/>
  <c r="H253" i="1"/>
  <c r="E253" i="1"/>
  <c r="C253" i="1"/>
  <c r="B253" i="1"/>
  <c r="BE252" i="1"/>
  <c r="BC252" i="1"/>
  <c r="BB252" i="1"/>
  <c r="BA252" i="1"/>
  <c r="AY252" i="1"/>
  <c r="AX252" i="1"/>
  <c r="AR252" i="1"/>
  <c r="AQ252" i="1"/>
  <c r="AP252" i="1"/>
  <c r="AO252" i="1"/>
  <c r="AM252" i="1"/>
  <c r="AL252" i="1"/>
  <c r="AK252" i="1"/>
  <c r="AI252" i="1"/>
  <c r="AD252" i="1"/>
  <c r="AC252" i="1"/>
  <c r="W252" i="1"/>
  <c r="S252" i="1"/>
  <c r="R252" i="1"/>
  <c r="Q252" i="1"/>
  <c r="M252" i="1"/>
  <c r="K252" i="1"/>
  <c r="I252" i="1"/>
  <c r="H252" i="1"/>
  <c r="E252" i="1"/>
  <c r="C252" i="1"/>
  <c r="B252" i="1"/>
  <c r="BE251" i="1"/>
  <c r="BC251" i="1"/>
  <c r="BB251" i="1"/>
  <c r="BA251" i="1"/>
  <c r="AY251" i="1"/>
  <c r="AX251" i="1"/>
  <c r="AR251" i="1"/>
  <c r="AQ251" i="1"/>
  <c r="AP251" i="1"/>
  <c r="AO251" i="1"/>
  <c r="AM251" i="1"/>
  <c r="AL251" i="1"/>
  <c r="AK251" i="1"/>
  <c r="AI251" i="1"/>
  <c r="AD251" i="1"/>
  <c r="AC251" i="1"/>
  <c r="W251" i="1"/>
  <c r="S251" i="1"/>
  <c r="R251" i="1"/>
  <c r="Q251" i="1"/>
  <c r="M251" i="1"/>
  <c r="K251" i="1"/>
  <c r="I251" i="1"/>
  <c r="H251" i="1"/>
  <c r="E251" i="1"/>
  <c r="C251" i="1"/>
  <c r="B251" i="1"/>
  <c r="BE250" i="1"/>
  <c r="BC250" i="1"/>
  <c r="BB250" i="1"/>
  <c r="BA250" i="1"/>
  <c r="AY250" i="1"/>
  <c r="AX250" i="1"/>
  <c r="AR250" i="1"/>
  <c r="AQ250" i="1"/>
  <c r="AP250" i="1"/>
  <c r="AO250" i="1"/>
  <c r="AM250" i="1"/>
  <c r="AL250" i="1"/>
  <c r="AK250" i="1"/>
  <c r="AI250" i="1"/>
  <c r="AD250" i="1"/>
  <c r="AC250" i="1"/>
  <c r="W250" i="1"/>
  <c r="S250" i="1"/>
  <c r="R250" i="1"/>
  <c r="Q250" i="1"/>
  <c r="M250" i="1"/>
  <c r="K250" i="1"/>
  <c r="I250" i="1"/>
  <c r="H250" i="1"/>
  <c r="E250" i="1"/>
  <c r="C250" i="1"/>
  <c r="B250" i="1"/>
  <c r="AN249" i="1"/>
  <c r="BE248" i="1"/>
  <c r="BC248" i="1"/>
  <c r="BB248" i="1"/>
  <c r="BA248" i="1"/>
  <c r="AY248" i="1"/>
  <c r="AX248" i="1"/>
  <c r="AR248" i="1"/>
  <c r="AQ248" i="1"/>
  <c r="AP248" i="1"/>
  <c r="AO248" i="1"/>
  <c r="AM248" i="1"/>
  <c r="AL248" i="1"/>
  <c r="AK248" i="1"/>
  <c r="AI248" i="1"/>
  <c r="AD248" i="1"/>
  <c r="AC248" i="1"/>
  <c r="W248" i="1"/>
  <c r="S248" i="1"/>
  <c r="R248" i="1"/>
  <c r="Q248" i="1"/>
  <c r="M248" i="1"/>
  <c r="K248" i="1"/>
  <c r="I248" i="1"/>
  <c r="H248" i="1"/>
  <c r="E248" i="1"/>
  <c r="C248" i="1"/>
  <c r="B248" i="1"/>
  <c r="BE247" i="1"/>
  <c r="BC247" i="1"/>
  <c r="BB247" i="1"/>
  <c r="BA247" i="1"/>
  <c r="AY247" i="1"/>
  <c r="AX247" i="1"/>
  <c r="AR247" i="1"/>
  <c r="AQ247" i="1"/>
  <c r="AP247" i="1"/>
  <c r="AO247" i="1"/>
  <c r="AM247" i="1"/>
  <c r="AL247" i="1"/>
  <c r="AK247" i="1"/>
  <c r="AI247" i="1"/>
  <c r="AD247" i="1"/>
  <c r="AC247" i="1"/>
  <c r="W247" i="1"/>
  <c r="S247" i="1"/>
  <c r="R247" i="1"/>
  <c r="Q247" i="1"/>
  <c r="M247" i="1"/>
  <c r="K247" i="1"/>
  <c r="I247" i="1"/>
  <c r="H247" i="1"/>
  <c r="E247" i="1"/>
  <c r="C247" i="1"/>
  <c r="B247" i="1"/>
  <c r="BE246" i="1"/>
  <c r="BC246" i="1"/>
  <c r="BB246" i="1"/>
  <c r="BA246" i="1"/>
  <c r="AY246" i="1"/>
  <c r="AX246" i="1"/>
  <c r="AR246" i="1"/>
  <c r="AQ246" i="1"/>
  <c r="AP246" i="1"/>
  <c r="AO246" i="1"/>
  <c r="AM246" i="1"/>
  <c r="AL246" i="1"/>
  <c r="AK246" i="1"/>
  <c r="AI246" i="1"/>
  <c r="AD246" i="1"/>
  <c r="AC246" i="1"/>
  <c r="W246" i="1"/>
  <c r="S246" i="1"/>
  <c r="R246" i="1"/>
  <c r="Q246" i="1"/>
  <c r="M246" i="1"/>
  <c r="K246" i="1"/>
  <c r="I246" i="1"/>
  <c r="H246" i="1"/>
  <c r="E246" i="1"/>
  <c r="C246" i="1"/>
  <c r="B246" i="1"/>
  <c r="AJ245" i="1"/>
  <c r="BE244" i="1"/>
  <c r="BC244" i="1"/>
  <c r="BB244" i="1"/>
  <c r="BA244" i="1"/>
  <c r="AY244" i="1"/>
  <c r="AX244" i="1"/>
  <c r="AR244" i="1"/>
  <c r="AQ244" i="1"/>
  <c r="AP244" i="1"/>
  <c r="AO244" i="1"/>
  <c r="AM244" i="1"/>
  <c r="AL244" i="1"/>
  <c r="AK244" i="1"/>
  <c r="AI244" i="1"/>
  <c r="AD244" i="1"/>
  <c r="AC244" i="1"/>
  <c r="W244" i="1"/>
  <c r="S244" i="1"/>
  <c r="R244" i="1"/>
  <c r="Q244" i="1"/>
  <c r="M244" i="1"/>
  <c r="K244" i="1"/>
  <c r="I244" i="1"/>
  <c r="H244" i="1"/>
  <c r="E244" i="1"/>
  <c r="C244" i="1"/>
  <c r="B244" i="1"/>
  <c r="AH243" i="1"/>
  <c r="AG242" i="1"/>
  <c r="AF241" i="1"/>
  <c r="AE240" i="1"/>
  <c r="BE239" i="1"/>
  <c r="BC239" i="1"/>
  <c r="BB239" i="1"/>
  <c r="BA239" i="1"/>
  <c r="AY239" i="1"/>
  <c r="AX239" i="1"/>
  <c r="AR239" i="1"/>
  <c r="AQ239" i="1"/>
  <c r="AP239" i="1"/>
  <c r="AO239" i="1"/>
  <c r="AM239" i="1"/>
  <c r="AL239" i="1"/>
  <c r="AK239" i="1"/>
  <c r="AI239" i="1"/>
  <c r="AD239" i="1"/>
  <c r="AC239" i="1"/>
  <c r="X239" i="1"/>
  <c r="W239" i="1"/>
  <c r="S239" i="1"/>
  <c r="R239" i="1"/>
  <c r="Q239" i="1"/>
  <c r="M239" i="1"/>
  <c r="K239" i="1"/>
  <c r="I239" i="1"/>
  <c r="H239" i="1"/>
  <c r="E239" i="1"/>
  <c r="C239" i="1"/>
  <c r="B239" i="1"/>
  <c r="BE238" i="1"/>
  <c r="BC238" i="1"/>
  <c r="BB238" i="1"/>
  <c r="BA238" i="1"/>
  <c r="AY238" i="1"/>
  <c r="AX238" i="1"/>
  <c r="AR238" i="1"/>
  <c r="AQ238" i="1"/>
  <c r="AP238" i="1"/>
  <c r="AO238" i="1"/>
  <c r="AM238" i="1"/>
  <c r="AL238" i="1"/>
  <c r="AK238" i="1"/>
  <c r="AI238" i="1"/>
  <c r="AD238" i="1"/>
  <c r="AC238" i="1"/>
  <c r="W238" i="1"/>
  <c r="S238" i="1"/>
  <c r="R238" i="1"/>
  <c r="Q238" i="1"/>
  <c r="M238" i="1"/>
  <c r="K238" i="1"/>
  <c r="I238" i="1"/>
  <c r="H238" i="1"/>
  <c r="E238" i="1"/>
  <c r="C238" i="1"/>
  <c r="B238" i="1"/>
  <c r="AB237" i="1"/>
  <c r="AA236" i="1"/>
  <c r="Z235" i="1"/>
  <c r="Y234" i="1"/>
  <c r="X233" i="1"/>
  <c r="BE232" i="1"/>
  <c r="BC232" i="1"/>
  <c r="BB232" i="1"/>
  <c r="BA232" i="1"/>
  <c r="AY232" i="1"/>
  <c r="AX232" i="1"/>
  <c r="AR232" i="1"/>
  <c r="AQ232" i="1"/>
  <c r="AP232" i="1"/>
  <c r="AO232" i="1"/>
  <c r="AM232" i="1"/>
  <c r="AL232" i="1"/>
  <c r="AK232" i="1"/>
  <c r="AI232" i="1"/>
  <c r="AD232" i="1"/>
  <c r="AC232" i="1"/>
  <c r="W232" i="1"/>
  <c r="S232" i="1"/>
  <c r="R232" i="1"/>
  <c r="Q232" i="1"/>
  <c r="M232" i="1"/>
  <c r="K232" i="1"/>
  <c r="I232" i="1"/>
  <c r="H232" i="1"/>
  <c r="E232" i="1"/>
  <c r="C232" i="1"/>
  <c r="B232" i="1"/>
  <c r="V231" i="1"/>
  <c r="U230" i="1"/>
  <c r="T229" i="1"/>
  <c r="BE228" i="1"/>
  <c r="BC228" i="1"/>
  <c r="BB228" i="1"/>
  <c r="BA228" i="1"/>
  <c r="AY228" i="1"/>
  <c r="AX228" i="1"/>
  <c r="AR228" i="1"/>
  <c r="AQ228" i="1"/>
  <c r="AP228" i="1"/>
  <c r="AO228" i="1"/>
  <c r="AM228" i="1"/>
  <c r="AL228" i="1"/>
  <c r="AK228" i="1"/>
  <c r="AI228" i="1"/>
  <c r="AD228" i="1"/>
  <c r="AC228" i="1"/>
  <c r="W228" i="1"/>
  <c r="S228" i="1"/>
  <c r="R228" i="1"/>
  <c r="Q228" i="1"/>
  <c r="M228" i="1"/>
  <c r="K228" i="1"/>
  <c r="I228" i="1"/>
  <c r="H228" i="1"/>
  <c r="E228" i="1"/>
  <c r="C228" i="1"/>
  <c r="B228" i="1"/>
  <c r="BE227" i="1"/>
  <c r="BC227" i="1"/>
  <c r="BB227" i="1"/>
  <c r="BA227" i="1"/>
  <c r="AY227" i="1"/>
  <c r="AX227" i="1"/>
  <c r="AR227" i="1"/>
  <c r="AQ227" i="1"/>
  <c r="AP227" i="1"/>
  <c r="AO227" i="1"/>
  <c r="AM227" i="1"/>
  <c r="AL227" i="1"/>
  <c r="AK227" i="1"/>
  <c r="AI227" i="1"/>
  <c r="AD227" i="1"/>
  <c r="AC227" i="1"/>
  <c r="W227" i="1"/>
  <c r="S227" i="1"/>
  <c r="R227" i="1"/>
  <c r="Q227" i="1"/>
  <c r="M227" i="1"/>
  <c r="K227" i="1"/>
  <c r="I227" i="1"/>
  <c r="H227" i="1"/>
  <c r="E227" i="1"/>
  <c r="C227" i="1"/>
  <c r="B227" i="1"/>
  <c r="BE226" i="1"/>
  <c r="BC226" i="1"/>
  <c r="BB226" i="1"/>
  <c r="BA226" i="1"/>
  <c r="AY226" i="1"/>
  <c r="AX226" i="1"/>
  <c r="AR226" i="1"/>
  <c r="AQ226" i="1"/>
  <c r="AP226" i="1"/>
  <c r="AO226" i="1"/>
  <c r="AM226" i="1"/>
  <c r="AL226" i="1"/>
  <c r="AK226" i="1"/>
  <c r="AI226" i="1"/>
  <c r="AD226" i="1"/>
  <c r="AC226" i="1"/>
  <c r="W226" i="1"/>
  <c r="S226" i="1"/>
  <c r="R226" i="1"/>
  <c r="Q226" i="1"/>
  <c r="M226" i="1"/>
  <c r="K226" i="1"/>
  <c r="I226" i="1"/>
  <c r="H226" i="1"/>
  <c r="E226" i="1"/>
  <c r="C226" i="1"/>
  <c r="B226" i="1"/>
  <c r="P225" i="1"/>
  <c r="O224" i="1"/>
  <c r="N223" i="1"/>
  <c r="BE222" i="1"/>
  <c r="BC222" i="1"/>
  <c r="BB222" i="1"/>
  <c r="BA222" i="1"/>
  <c r="AY222" i="1"/>
  <c r="AX222" i="1"/>
  <c r="AR222" i="1"/>
  <c r="AQ222" i="1"/>
  <c r="AP222" i="1"/>
  <c r="AO222" i="1"/>
  <c r="AM222" i="1"/>
  <c r="AL222" i="1"/>
  <c r="AK222" i="1"/>
  <c r="AI222" i="1"/>
  <c r="AD222" i="1"/>
  <c r="AC222" i="1"/>
  <c r="W222" i="1"/>
  <c r="S222" i="1"/>
  <c r="R222" i="1"/>
  <c r="Q222" i="1"/>
  <c r="M222" i="1"/>
  <c r="K222" i="1"/>
  <c r="I222" i="1"/>
  <c r="H222" i="1"/>
  <c r="E222" i="1"/>
  <c r="C222" i="1"/>
  <c r="B222" i="1"/>
  <c r="L221" i="1"/>
  <c r="BE220" i="1"/>
  <c r="BC220" i="1"/>
  <c r="BB220" i="1"/>
  <c r="BA220" i="1"/>
  <c r="AY220" i="1"/>
  <c r="AX220" i="1"/>
  <c r="AR220" i="1"/>
  <c r="AQ220" i="1"/>
  <c r="AP220" i="1"/>
  <c r="AO220" i="1"/>
  <c r="AM220" i="1"/>
  <c r="AL220" i="1"/>
  <c r="AK220" i="1"/>
  <c r="AI220" i="1"/>
  <c r="AD220" i="1"/>
  <c r="AC220" i="1"/>
  <c r="W220" i="1"/>
  <c r="S220" i="1"/>
  <c r="R220" i="1"/>
  <c r="Q220" i="1"/>
  <c r="M220" i="1"/>
  <c r="K220" i="1"/>
  <c r="I220" i="1"/>
  <c r="H220" i="1"/>
  <c r="E220" i="1"/>
  <c r="C220" i="1"/>
  <c r="B220" i="1"/>
  <c r="J219" i="1"/>
  <c r="BE218" i="1"/>
  <c r="BC218" i="1"/>
  <c r="BB218" i="1"/>
  <c r="BA218" i="1"/>
  <c r="AY218" i="1"/>
  <c r="AX218" i="1"/>
  <c r="AR218" i="1"/>
  <c r="AQ218" i="1"/>
  <c r="AP218" i="1"/>
  <c r="AO218" i="1"/>
  <c r="AM218" i="1"/>
  <c r="AL218" i="1"/>
  <c r="AK218" i="1"/>
  <c r="AI218" i="1"/>
  <c r="AD218" i="1"/>
  <c r="AC218" i="1"/>
  <c r="W218" i="1"/>
  <c r="S218" i="1"/>
  <c r="R218" i="1"/>
  <c r="Q218" i="1"/>
  <c r="M218" i="1"/>
  <c r="K218" i="1"/>
  <c r="I218" i="1"/>
  <c r="H218" i="1"/>
  <c r="E218" i="1"/>
  <c r="C218" i="1"/>
  <c r="B218" i="1"/>
  <c r="BE217" i="1"/>
  <c r="BC217" i="1"/>
  <c r="BB217" i="1"/>
  <c r="BA217" i="1"/>
  <c r="AY217" i="1"/>
  <c r="AX217" i="1"/>
  <c r="AR217" i="1"/>
  <c r="AQ217" i="1"/>
  <c r="AP217" i="1"/>
  <c r="AO217" i="1"/>
  <c r="AM217" i="1"/>
  <c r="AL217" i="1"/>
  <c r="AK217" i="1"/>
  <c r="AI217" i="1"/>
  <c r="AD217" i="1"/>
  <c r="AC217" i="1"/>
  <c r="W217" i="1"/>
  <c r="S217" i="1"/>
  <c r="R217" i="1"/>
  <c r="Q217" i="1"/>
  <c r="M217" i="1"/>
  <c r="K217" i="1"/>
  <c r="I217" i="1"/>
  <c r="H217" i="1"/>
  <c r="E217" i="1"/>
  <c r="C217" i="1"/>
  <c r="B217" i="1"/>
  <c r="G216" i="1"/>
  <c r="F215" i="1"/>
  <c r="BE214" i="1"/>
  <c r="BC214" i="1"/>
  <c r="BB214" i="1"/>
  <c r="BA214" i="1"/>
  <c r="AY214" i="1"/>
  <c r="AX214" i="1"/>
  <c r="AR214" i="1"/>
  <c r="AQ214" i="1"/>
  <c r="AP214" i="1"/>
  <c r="AO214" i="1"/>
  <c r="AM214" i="1"/>
  <c r="AL214" i="1"/>
  <c r="AK214" i="1"/>
  <c r="AI214" i="1"/>
  <c r="AD214" i="1"/>
  <c r="AC214" i="1"/>
  <c r="W214" i="1"/>
  <c r="S214" i="1"/>
  <c r="R214" i="1"/>
  <c r="Q214" i="1"/>
  <c r="M214" i="1"/>
  <c r="K214" i="1"/>
  <c r="I214" i="1"/>
  <c r="H214" i="1"/>
  <c r="E214" i="1"/>
  <c r="C214" i="1"/>
  <c r="B214" i="1"/>
  <c r="D213" i="1"/>
  <c r="BE212" i="1"/>
  <c r="BC212" i="1"/>
  <c r="BB212" i="1"/>
  <c r="BA212" i="1"/>
  <c r="AY212" i="1"/>
  <c r="AX212" i="1"/>
  <c r="AR212" i="1"/>
  <c r="AQ212" i="1"/>
  <c r="AP212" i="1"/>
  <c r="AO212" i="1"/>
  <c r="AM212" i="1"/>
  <c r="AL212" i="1"/>
  <c r="AK212" i="1"/>
  <c r="AI212" i="1"/>
  <c r="AD212" i="1"/>
  <c r="AC212" i="1"/>
  <c r="W212" i="1"/>
  <c r="S212" i="1"/>
  <c r="R212" i="1"/>
  <c r="Q212" i="1"/>
  <c r="M212" i="1"/>
  <c r="K212" i="1"/>
  <c r="I212" i="1"/>
  <c r="H212" i="1"/>
  <c r="E212" i="1"/>
  <c r="C212" i="1"/>
  <c r="B212" i="1"/>
  <c r="BE211" i="1"/>
  <c r="BC211" i="1"/>
  <c r="BB211" i="1"/>
  <c r="BA211" i="1"/>
  <c r="AY211" i="1"/>
  <c r="AX211" i="1"/>
  <c r="AR211" i="1"/>
  <c r="AQ211" i="1"/>
  <c r="AP211" i="1"/>
  <c r="AO211" i="1"/>
  <c r="AM211" i="1"/>
  <c r="AL211" i="1"/>
  <c r="AK211" i="1"/>
  <c r="AI211" i="1"/>
  <c r="AD211" i="1"/>
  <c r="AC211" i="1"/>
  <c r="W211" i="1"/>
  <c r="S211" i="1"/>
  <c r="R211" i="1"/>
  <c r="Q211" i="1"/>
  <c r="M211" i="1"/>
  <c r="K211" i="1"/>
  <c r="I211" i="1"/>
  <c r="H211" i="1"/>
  <c r="E211" i="1"/>
  <c r="C211" i="1"/>
  <c r="B211" i="1"/>
  <c r="AT204" i="1"/>
  <c r="AS203" i="1"/>
  <c r="BJ202" i="1"/>
  <c r="BI202" i="1"/>
  <c r="BH202" i="1"/>
  <c r="BG202" i="1"/>
  <c r="BF202" i="1"/>
  <c r="BD202" i="1"/>
  <c r="AZ202" i="1"/>
  <c r="AY202" i="1"/>
  <c r="AU202" i="1"/>
  <c r="AT202" i="1"/>
  <c r="AS202" i="1"/>
  <c r="AR202" i="1"/>
  <c r="AN202" i="1"/>
  <c r="AJ202" i="1"/>
  <c r="AH202" i="1"/>
  <c r="AG202" i="1"/>
  <c r="AF202" i="1"/>
  <c r="AE202" i="1"/>
  <c r="AB202" i="1"/>
  <c r="AA202" i="1"/>
  <c r="Z202" i="1"/>
  <c r="Y202" i="1"/>
  <c r="X202" i="1"/>
  <c r="V202" i="1"/>
  <c r="U202" i="1"/>
  <c r="T202" i="1"/>
  <c r="P202" i="1"/>
  <c r="O202" i="1"/>
  <c r="N202" i="1"/>
  <c r="L202" i="1"/>
  <c r="J202" i="1"/>
  <c r="G202" i="1"/>
  <c r="F202" i="1"/>
  <c r="D202" i="1"/>
  <c r="BJ201" i="1"/>
  <c r="BI201" i="1"/>
  <c r="BH201" i="1"/>
  <c r="BG201" i="1"/>
  <c r="BF201" i="1"/>
  <c r="BD201" i="1"/>
  <c r="AZ201" i="1"/>
  <c r="AY201" i="1"/>
  <c r="AU201" i="1"/>
  <c r="AT201" i="1"/>
  <c r="AS201" i="1"/>
  <c r="AR201" i="1"/>
  <c r="AQ201" i="1"/>
  <c r="AN201" i="1"/>
  <c r="AJ201" i="1"/>
  <c r="AH201" i="1"/>
  <c r="AG201" i="1"/>
  <c r="AF201" i="1"/>
  <c r="AE201" i="1"/>
  <c r="AB201" i="1"/>
  <c r="AA201" i="1"/>
  <c r="Z201" i="1"/>
  <c r="Y201" i="1"/>
  <c r="X201" i="1"/>
  <c r="V201" i="1"/>
  <c r="U201" i="1"/>
  <c r="T201" i="1"/>
  <c r="P201" i="1"/>
  <c r="O201" i="1"/>
  <c r="N201" i="1"/>
  <c r="L201" i="1"/>
  <c r="J201" i="1"/>
  <c r="G201" i="1"/>
  <c r="F201" i="1"/>
  <c r="D201" i="1"/>
  <c r="BJ200" i="1"/>
  <c r="BI200" i="1"/>
  <c r="BH200" i="1"/>
  <c r="BG200" i="1"/>
  <c r="BF200" i="1"/>
  <c r="BD200" i="1"/>
  <c r="AZ200" i="1"/>
  <c r="AY200" i="1"/>
  <c r="AU200" i="1"/>
  <c r="AT200" i="1"/>
  <c r="AS200" i="1"/>
  <c r="AR200" i="1"/>
  <c r="AQ200" i="1"/>
  <c r="AP200" i="1"/>
  <c r="AN200" i="1"/>
  <c r="AJ200" i="1"/>
  <c r="AH200" i="1"/>
  <c r="AG200" i="1"/>
  <c r="AF200" i="1"/>
  <c r="AE200" i="1"/>
  <c r="AB200" i="1"/>
  <c r="AA200" i="1"/>
  <c r="Z200" i="1"/>
  <c r="Y200" i="1"/>
  <c r="X200" i="1"/>
  <c r="V200" i="1"/>
  <c r="U200" i="1"/>
  <c r="T200" i="1"/>
  <c r="P200" i="1"/>
  <c r="O200" i="1"/>
  <c r="N200" i="1"/>
  <c r="L200" i="1"/>
  <c r="J200" i="1"/>
  <c r="G200" i="1"/>
  <c r="F200" i="1"/>
  <c r="D200" i="1"/>
  <c r="BJ199" i="1"/>
  <c r="BI199" i="1"/>
  <c r="BH199" i="1"/>
  <c r="BG199" i="1"/>
  <c r="BF199" i="1"/>
  <c r="BD199" i="1"/>
  <c r="AZ199" i="1"/>
  <c r="AY199" i="1"/>
  <c r="AU199" i="1"/>
  <c r="AT199" i="1"/>
  <c r="AS199" i="1"/>
  <c r="AR199" i="1"/>
  <c r="AQ199" i="1"/>
  <c r="AP199" i="1"/>
  <c r="AO199" i="1"/>
  <c r="AN199" i="1"/>
  <c r="AJ199" i="1"/>
  <c r="AH199" i="1"/>
  <c r="AG199" i="1"/>
  <c r="AF199" i="1"/>
  <c r="AE199" i="1"/>
  <c r="AB199" i="1"/>
  <c r="AA199" i="1"/>
  <c r="Z199" i="1"/>
  <c r="Y199" i="1"/>
  <c r="X199" i="1"/>
  <c r="V199" i="1"/>
  <c r="U199" i="1"/>
  <c r="T199" i="1"/>
  <c r="P199" i="1"/>
  <c r="O199" i="1"/>
  <c r="N199" i="1"/>
  <c r="L199" i="1"/>
  <c r="J199" i="1"/>
  <c r="G199" i="1"/>
  <c r="F199" i="1"/>
  <c r="D199" i="1"/>
  <c r="AN198" i="1"/>
  <c r="BJ197" i="1"/>
  <c r="BI197" i="1"/>
  <c r="BH197" i="1"/>
  <c r="BG197" i="1"/>
  <c r="BF197" i="1"/>
  <c r="BD197" i="1"/>
  <c r="AZ197" i="1"/>
  <c r="AY197" i="1"/>
  <c r="AU197" i="1"/>
  <c r="AT197" i="1"/>
  <c r="AS197" i="1"/>
  <c r="AR197" i="1"/>
  <c r="AQ197" i="1"/>
  <c r="AP197" i="1"/>
  <c r="AO197" i="1"/>
  <c r="AN197" i="1"/>
  <c r="AM197" i="1"/>
  <c r="AL197" i="1"/>
  <c r="AJ197" i="1"/>
  <c r="AH197" i="1"/>
  <c r="AG197" i="1"/>
  <c r="AF197" i="1"/>
  <c r="AE197" i="1"/>
  <c r="AB197" i="1"/>
  <c r="AA197" i="1"/>
  <c r="Z197" i="1"/>
  <c r="Y197" i="1"/>
  <c r="X197" i="1"/>
  <c r="V197" i="1"/>
  <c r="U197" i="1"/>
  <c r="T197" i="1"/>
  <c r="P197" i="1"/>
  <c r="O197" i="1"/>
  <c r="N197" i="1"/>
  <c r="L197" i="1"/>
  <c r="J197" i="1"/>
  <c r="G197" i="1"/>
  <c r="F197" i="1"/>
  <c r="D197" i="1"/>
  <c r="BJ196" i="1"/>
  <c r="BI196" i="1"/>
  <c r="BH196" i="1"/>
  <c r="BG196" i="1"/>
  <c r="BF196" i="1"/>
  <c r="BD196" i="1"/>
  <c r="AZ196" i="1"/>
  <c r="AY196" i="1"/>
  <c r="AU196" i="1"/>
  <c r="AT196" i="1"/>
  <c r="AS196" i="1"/>
  <c r="AR196" i="1"/>
  <c r="AQ196" i="1"/>
  <c r="AP196" i="1"/>
  <c r="AO196" i="1"/>
  <c r="AN196" i="1"/>
  <c r="AM196" i="1"/>
  <c r="AL196" i="1"/>
  <c r="AJ196" i="1"/>
  <c r="AH196" i="1"/>
  <c r="AG196" i="1"/>
  <c r="AF196" i="1"/>
  <c r="AE196" i="1"/>
  <c r="AB196" i="1"/>
  <c r="AA196" i="1"/>
  <c r="Z196" i="1"/>
  <c r="Y196" i="1"/>
  <c r="X196" i="1"/>
  <c r="V196" i="1"/>
  <c r="U196" i="1"/>
  <c r="T196" i="1"/>
  <c r="P196" i="1"/>
  <c r="O196" i="1"/>
  <c r="N196" i="1"/>
  <c r="L196" i="1"/>
  <c r="J196" i="1"/>
  <c r="G196" i="1"/>
  <c r="F196" i="1"/>
  <c r="D196" i="1"/>
  <c r="BJ195" i="1"/>
  <c r="BI195" i="1"/>
  <c r="BH195" i="1"/>
  <c r="BG195" i="1"/>
  <c r="BF195" i="1"/>
  <c r="BD195" i="1"/>
  <c r="AZ195" i="1"/>
  <c r="AY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H195" i="1"/>
  <c r="AG195" i="1"/>
  <c r="AF195" i="1"/>
  <c r="AE195" i="1"/>
  <c r="AB195" i="1"/>
  <c r="AA195" i="1"/>
  <c r="Z195" i="1"/>
  <c r="Y195" i="1"/>
  <c r="X195" i="1"/>
  <c r="V195" i="1"/>
  <c r="U195" i="1"/>
  <c r="T195" i="1"/>
  <c r="P195" i="1"/>
  <c r="O195" i="1"/>
  <c r="N195" i="1"/>
  <c r="L195" i="1"/>
  <c r="J195" i="1"/>
  <c r="G195" i="1"/>
  <c r="F195" i="1"/>
  <c r="D195" i="1"/>
  <c r="AJ194" i="1"/>
  <c r="BJ193" i="1"/>
  <c r="BI193" i="1"/>
  <c r="BH193" i="1"/>
  <c r="BG193" i="1"/>
  <c r="BF193" i="1"/>
  <c r="BD193" i="1"/>
  <c r="AZ193" i="1"/>
  <c r="AY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B193" i="1"/>
  <c r="AA193" i="1"/>
  <c r="Z193" i="1"/>
  <c r="Y193" i="1"/>
  <c r="X193" i="1"/>
  <c r="V193" i="1"/>
  <c r="U193" i="1"/>
  <c r="T193" i="1"/>
  <c r="P193" i="1"/>
  <c r="O193" i="1"/>
  <c r="N193" i="1"/>
  <c r="L193" i="1"/>
  <c r="J193" i="1"/>
  <c r="G193" i="1"/>
  <c r="F193" i="1"/>
  <c r="D193" i="1"/>
  <c r="AH192" i="1"/>
  <c r="AG191" i="1"/>
  <c r="AF190" i="1"/>
  <c r="AE189" i="1"/>
  <c r="BJ188" i="1"/>
  <c r="BI188" i="1"/>
  <c r="BH188" i="1"/>
  <c r="BG188" i="1"/>
  <c r="BF188" i="1"/>
  <c r="BD188" i="1"/>
  <c r="AZ188" i="1"/>
  <c r="AY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B188" i="1"/>
  <c r="AA188" i="1"/>
  <c r="Z188" i="1"/>
  <c r="Y188" i="1"/>
  <c r="X188" i="1"/>
  <c r="W188" i="1"/>
  <c r="V188" i="1"/>
  <c r="U188" i="1"/>
  <c r="T188" i="1"/>
  <c r="P188" i="1"/>
  <c r="O188" i="1"/>
  <c r="N188" i="1"/>
  <c r="L188" i="1"/>
  <c r="J188" i="1"/>
  <c r="G188" i="1"/>
  <c r="F188" i="1"/>
  <c r="D188" i="1"/>
  <c r="BJ187" i="1"/>
  <c r="BI187" i="1"/>
  <c r="BH187" i="1"/>
  <c r="BG187" i="1"/>
  <c r="BF187" i="1"/>
  <c r="BD187" i="1"/>
  <c r="AZ187" i="1"/>
  <c r="AY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V187" i="1"/>
  <c r="U187" i="1"/>
  <c r="T187" i="1"/>
  <c r="P187" i="1"/>
  <c r="O187" i="1"/>
  <c r="N187" i="1"/>
  <c r="L187" i="1"/>
  <c r="J187" i="1"/>
  <c r="G187" i="1"/>
  <c r="F187" i="1"/>
  <c r="D187" i="1"/>
  <c r="AB186" i="1"/>
  <c r="AA185" i="1"/>
  <c r="Z184" i="1"/>
  <c r="Y183" i="1"/>
  <c r="X182" i="1"/>
  <c r="BJ181" i="1"/>
  <c r="BI181" i="1"/>
  <c r="BH181" i="1"/>
  <c r="BG181" i="1"/>
  <c r="BF181" i="1"/>
  <c r="BD181" i="1"/>
  <c r="AZ181" i="1"/>
  <c r="AY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P181" i="1"/>
  <c r="O181" i="1"/>
  <c r="N181" i="1"/>
  <c r="L181" i="1"/>
  <c r="J181" i="1"/>
  <c r="G181" i="1"/>
  <c r="F181" i="1"/>
  <c r="D181" i="1"/>
  <c r="V180" i="1"/>
  <c r="U179" i="1"/>
  <c r="T178" i="1"/>
  <c r="BJ177" i="1"/>
  <c r="BI177" i="1"/>
  <c r="BH177" i="1"/>
  <c r="BG177" i="1"/>
  <c r="BF177" i="1"/>
  <c r="BD177" i="1"/>
  <c r="AZ177" i="1"/>
  <c r="AY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P177" i="1"/>
  <c r="O177" i="1"/>
  <c r="N177" i="1"/>
  <c r="L177" i="1"/>
  <c r="J177" i="1"/>
  <c r="G177" i="1"/>
  <c r="F177" i="1"/>
  <c r="D177" i="1"/>
  <c r="BJ176" i="1"/>
  <c r="BI176" i="1"/>
  <c r="BH176" i="1"/>
  <c r="BG176" i="1"/>
  <c r="BF176" i="1"/>
  <c r="BD176" i="1"/>
  <c r="AZ176" i="1"/>
  <c r="AY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P176" i="1"/>
  <c r="O176" i="1"/>
  <c r="N176" i="1"/>
  <c r="L176" i="1"/>
  <c r="J176" i="1"/>
  <c r="G176" i="1"/>
  <c r="F176" i="1"/>
  <c r="D176" i="1"/>
  <c r="BJ175" i="1"/>
  <c r="BI175" i="1"/>
  <c r="BH175" i="1"/>
  <c r="BG175" i="1"/>
  <c r="BF175" i="1"/>
  <c r="BD175" i="1"/>
  <c r="AZ175" i="1"/>
  <c r="AY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L175" i="1"/>
  <c r="J175" i="1"/>
  <c r="G175" i="1"/>
  <c r="F175" i="1"/>
  <c r="D175" i="1"/>
  <c r="P174" i="1"/>
  <c r="O173" i="1"/>
  <c r="N172" i="1"/>
  <c r="BJ171" i="1"/>
  <c r="BI171" i="1"/>
  <c r="BH171" i="1"/>
  <c r="BG171" i="1"/>
  <c r="BF171" i="1"/>
  <c r="BD171" i="1"/>
  <c r="AZ171" i="1"/>
  <c r="AY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J171" i="1"/>
  <c r="G171" i="1"/>
  <c r="F171" i="1"/>
  <c r="D171" i="1"/>
  <c r="L170" i="1"/>
  <c r="BJ169" i="1"/>
  <c r="BI169" i="1"/>
  <c r="BH169" i="1"/>
  <c r="BG169" i="1"/>
  <c r="BF169" i="1"/>
  <c r="BD169" i="1"/>
  <c r="AZ169" i="1"/>
  <c r="AY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G169" i="1"/>
  <c r="F169" i="1"/>
  <c r="D169" i="1"/>
  <c r="J168" i="1"/>
  <c r="BJ167" i="1"/>
  <c r="BI167" i="1"/>
  <c r="BH167" i="1"/>
  <c r="BG167" i="1"/>
  <c r="BF167" i="1"/>
  <c r="BD167" i="1"/>
  <c r="AZ167" i="1"/>
  <c r="AY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F167" i="1"/>
  <c r="D167" i="1"/>
  <c r="BJ166" i="1"/>
  <c r="BI166" i="1"/>
  <c r="BH166" i="1"/>
  <c r="BG166" i="1"/>
  <c r="BF166" i="1"/>
  <c r="BD166" i="1"/>
  <c r="AZ166" i="1"/>
  <c r="AY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D166" i="1"/>
  <c r="G165" i="1"/>
  <c r="F164" i="1"/>
  <c r="BJ163" i="1"/>
  <c r="BI163" i="1"/>
  <c r="BH163" i="1"/>
  <c r="BG163" i="1"/>
  <c r="BF163" i="1"/>
  <c r="BD163" i="1"/>
  <c r="AZ163" i="1"/>
  <c r="AY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D162" i="1"/>
  <c r="BJ161" i="1"/>
  <c r="BI161" i="1"/>
  <c r="BH161" i="1"/>
  <c r="BG161" i="1"/>
  <c r="BF161" i="1"/>
  <c r="BD161" i="1"/>
  <c r="AZ161" i="1"/>
  <c r="AY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C161" i="1"/>
  <c r="BJ160" i="1"/>
  <c r="BI160" i="1"/>
  <c r="BH160" i="1"/>
  <c r="BG160" i="1"/>
  <c r="BF160" i="1"/>
  <c r="BD160" i="1"/>
  <c r="AZ160" i="1"/>
  <c r="AY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C160" i="1"/>
  <c r="B160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M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BJ93" i="1"/>
  <c r="BI93" i="1"/>
  <c r="BH93" i="1"/>
  <c r="BG93" i="1"/>
  <c r="BF93" i="1"/>
  <c r="BC93" i="1"/>
  <c r="BB93" i="1"/>
  <c r="BA93" i="1"/>
  <c r="AZ93" i="1"/>
  <c r="AY93" i="1"/>
  <c r="AX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BJ92" i="1"/>
  <c r="BI92" i="1"/>
  <c r="BH92" i="1"/>
  <c r="BG92" i="1"/>
  <c r="BF92" i="1"/>
  <c r="BE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BJ91" i="1"/>
  <c r="BI91" i="1"/>
  <c r="BH91" i="1"/>
  <c r="BG91" i="1"/>
  <c r="BF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BJ90" i="1"/>
  <c r="BI90" i="1"/>
  <c r="BH90" i="1"/>
  <c r="BG90" i="1"/>
  <c r="BF90" i="1"/>
  <c r="BC90" i="1"/>
  <c r="BB90" i="1"/>
  <c r="BA90" i="1"/>
  <c r="AZ90" i="1"/>
  <c r="AY90" i="1"/>
  <c r="AX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BJ89" i="1"/>
  <c r="BI89" i="1"/>
  <c r="BH89" i="1"/>
  <c r="BG89" i="1"/>
  <c r="BE89" i="1"/>
  <c r="BD89" i="1"/>
  <c r="BC89" i="1"/>
  <c r="BA89" i="1"/>
  <c r="AZ89" i="1"/>
  <c r="AY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B89" i="1"/>
  <c r="R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BJ88" i="1"/>
  <c r="BI88" i="1"/>
  <c r="BH88" i="1"/>
  <c r="BG88" i="1"/>
  <c r="BE88" i="1"/>
  <c r="BD88" i="1"/>
  <c r="BC88" i="1"/>
  <c r="BA88" i="1"/>
  <c r="AZ88" i="1"/>
  <c r="AY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R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BJ87" i="1"/>
  <c r="BI87" i="1"/>
  <c r="BH87" i="1"/>
  <c r="BG87" i="1"/>
  <c r="BE87" i="1"/>
  <c r="BD87" i="1"/>
  <c r="BC87" i="1"/>
  <c r="BA87" i="1"/>
  <c r="AZ87" i="1"/>
  <c r="AY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B87" i="1"/>
  <c r="R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BJ86" i="1"/>
  <c r="BI86" i="1"/>
  <c r="BH86" i="1"/>
  <c r="BG86" i="1"/>
  <c r="BE86" i="1"/>
  <c r="BD86" i="1"/>
  <c r="BC86" i="1"/>
  <c r="BB86" i="1"/>
  <c r="BA86" i="1"/>
  <c r="AZ86" i="1"/>
  <c r="AY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R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BJ85" i="1"/>
  <c r="BI85" i="1"/>
  <c r="BH85" i="1"/>
  <c r="BE85" i="1"/>
  <c r="BD85" i="1"/>
  <c r="BC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V85" i="1"/>
  <c r="R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BJ84" i="1"/>
  <c r="BI84" i="1"/>
  <c r="BH84" i="1"/>
  <c r="BG84" i="1"/>
  <c r="BE84" i="1"/>
  <c r="BD84" i="1"/>
  <c r="BC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V84" i="1"/>
  <c r="R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BJ83" i="1"/>
  <c r="BI83" i="1"/>
  <c r="BH83" i="1"/>
  <c r="BG83" i="1"/>
  <c r="BF83" i="1"/>
  <c r="BE83" i="1"/>
  <c r="BC83" i="1"/>
  <c r="BA83" i="1"/>
  <c r="AZ83" i="1"/>
  <c r="AY83" i="1"/>
  <c r="AX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R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BJ82" i="1"/>
  <c r="BI82" i="1"/>
  <c r="BH82" i="1"/>
  <c r="BG82" i="1"/>
  <c r="BF82" i="1"/>
  <c r="BE82" i="1"/>
  <c r="BC82" i="1"/>
  <c r="BA82" i="1"/>
  <c r="AZ82" i="1"/>
  <c r="AY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R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BJ81" i="1"/>
  <c r="BI81" i="1"/>
  <c r="BH81" i="1"/>
  <c r="BE81" i="1"/>
  <c r="BD81" i="1"/>
  <c r="BC81" i="1"/>
  <c r="BA81" i="1"/>
  <c r="AZ81" i="1"/>
  <c r="AY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R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BJ80" i="1"/>
  <c r="BI80" i="1"/>
  <c r="BH80" i="1"/>
  <c r="BE80" i="1"/>
  <c r="BD80" i="1"/>
  <c r="BC80" i="1"/>
  <c r="BA80" i="1"/>
  <c r="AZ80" i="1"/>
  <c r="AY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R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BJ79" i="1"/>
  <c r="BI79" i="1"/>
  <c r="BH79" i="1"/>
  <c r="BE79" i="1"/>
  <c r="BD79" i="1"/>
  <c r="BC79" i="1"/>
  <c r="BA79" i="1"/>
  <c r="AZ79" i="1"/>
  <c r="AY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R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BJ78" i="1"/>
  <c r="BI78" i="1"/>
  <c r="BH78" i="1"/>
  <c r="BG78" i="1"/>
  <c r="BF78" i="1"/>
  <c r="BE78" i="1"/>
  <c r="BD78" i="1"/>
  <c r="BC78" i="1"/>
  <c r="BA78" i="1"/>
  <c r="AZ78" i="1"/>
  <c r="AY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R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BJ77" i="1"/>
  <c r="BI77" i="1"/>
  <c r="BH77" i="1"/>
  <c r="BE77" i="1"/>
  <c r="BC77" i="1"/>
  <c r="BA77" i="1"/>
  <c r="AZ77" i="1"/>
  <c r="AY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R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BJ76" i="1"/>
  <c r="BI76" i="1"/>
  <c r="BH76" i="1"/>
  <c r="BE76" i="1"/>
  <c r="BC76" i="1"/>
  <c r="BA76" i="1"/>
  <c r="AZ76" i="1"/>
  <c r="AY76" i="1"/>
  <c r="AW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R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BJ75" i="1"/>
  <c r="BI75" i="1"/>
  <c r="BH75" i="1"/>
  <c r="BE75" i="1"/>
  <c r="BD75" i="1"/>
  <c r="BC75" i="1"/>
  <c r="BA75" i="1"/>
  <c r="AZ75" i="1"/>
  <c r="AY75" i="1"/>
  <c r="AW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BJ73" i="1"/>
  <c r="BI73" i="1"/>
  <c r="BH73" i="1"/>
  <c r="BE73" i="1"/>
  <c r="BD73" i="1"/>
  <c r="BC73" i="1"/>
  <c r="BA73" i="1"/>
  <c r="AZ73" i="1"/>
  <c r="AY73" i="1"/>
  <c r="AX73" i="1"/>
  <c r="AW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H68" i="1"/>
  <c r="G68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D65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D63" i="1"/>
  <c r="C63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BJ51" i="1"/>
  <c r="BI51" i="1"/>
  <c r="BH51" i="1"/>
  <c r="BF51" i="1"/>
  <c r="BD51" i="1"/>
  <c r="BB51" i="1"/>
  <c r="AW51" i="1"/>
  <c r="AV51" i="1"/>
  <c r="AU51" i="1"/>
  <c r="AT51" i="1"/>
  <c r="AQ51" i="1"/>
  <c r="AP51" i="1"/>
  <c r="AO51" i="1"/>
  <c r="AN51" i="1"/>
  <c r="AM51" i="1"/>
  <c r="AL51" i="1"/>
  <c r="AI51" i="1"/>
  <c r="AH51" i="1"/>
  <c r="AG51" i="1"/>
  <c r="AF51" i="1"/>
  <c r="AE51" i="1"/>
  <c r="Z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BJ50" i="1"/>
  <c r="BI50" i="1"/>
  <c r="BH50" i="1"/>
  <c r="BF50" i="1"/>
  <c r="BE50" i="1"/>
  <c r="BD50" i="1"/>
  <c r="BC50" i="1"/>
  <c r="AW50" i="1"/>
  <c r="AV50" i="1"/>
  <c r="AU50" i="1"/>
  <c r="AS50" i="1"/>
  <c r="AQ50" i="1"/>
  <c r="AP50" i="1"/>
  <c r="AO50" i="1"/>
  <c r="AN50" i="1"/>
  <c r="AM50" i="1"/>
  <c r="AL50" i="1"/>
  <c r="AI50" i="1"/>
  <c r="AH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BJ49" i="1"/>
  <c r="BI49" i="1"/>
  <c r="BH49" i="1"/>
  <c r="BG49" i="1"/>
  <c r="BE49" i="1"/>
  <c r="BD49" i="1"/>
  <c r="BC49" i="1"/>
  <c r="AX49" i="1"/>
  <c r="AU49" i="1"/>
  <c r="AT49" i="1"/>
  <c r="AS49" i="1"/>
  <c r="AR49" i="1"/>
  <c r="AQ49" i="1"/>
  <c r="AP49" i="1"/>
  <c r="AO49" i="1"/>
  <c r="AN49" i="1"/>
  <c r="AM49" i="1"/>
  <c r="AL49" i="1"/>
  <c r="AI49" i="1"/>
  <c r="AH49" i="1"/>
  <c r="AG49" i="1"/>
  <c r="AF49" i="1"/>
  <c r="AE49" i="1"/>
  <c r="AC49" i="1"/>
  <c r="AB49" i="1"/>
  <c r="AA49" i="1"/>
  <c r="Z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BJ42" i="1"/>
  <c r="BI42" i="1"/>
  <c r="BH42" i="1"/>
  <c r="BG42" i="1"/>
  <c r="BF42" i="1"/>
  <c r="BB42" i="1"/>
  <c r="AY42" i="1"/>
  <c r="AV42" i="1"/>
  <c r="AT42" i="1"/>
  <c r="AS42" i="1"/>
  <c r="AR42" i="1"/>
  <c r="AQ42" i="1"/>
  <c r="AP42" i="1"/>
  <c r="AO42" i="1"/>
  <c r="AN42" i="1"/>
  <c r="AM42" i="1"/>
  <c r="AL42" i="1"/>
  <c r="AK42" i="1"/>
  <c r="AF42" i="1"/>
  <c r="AE42" i="1"/>
  <c r="AD42" i="1"/>
  <c r="AC42" i="1"/>
  <c r="Z42" i="1"/>
  <c r="X42" i="1"/>
  <c r="W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BJ41" i="1"/>
  <c r="BI41" i="1"/>
  <c r="BH41" i="1"/>
  <c r="BG41" i="1"/>
  <c r="BF41" i="1"/>
  <c r="BB41" i="1"/>
  <c r="AY41" i="1"/>
  <c r="AV41" i="1"/>
  <c r="AT41" i="1"/>
  <c r="AS41" i="1"/>
  <c r="AR41" i="1"/>
  <c r="AQ41" i="1"/>
  <c r="AP41" i="1"/>
  <c r="AO41" i="1"/>
  <c r="AN41" i="1"/>
  <c r="AM41" i="1"/>
  <c r="AL41" i="1"/>
  <c r="AK41" i="1"/>
  <c r="AJ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BJ40" i="1"/>
  <c r="BI40" i="1"/>
  <c r="BH40" i="1"/>
  <c r="BG40" i="1"/>
  <c r="BF40" i="1"/>
  <c r="AY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G40" i="1"/>
  <c r="AF40" i="1"/>
  <c r="AD40" i="1"/>
  <c r="AC40" i="1"/>
  <c r="AB40" i="1"/>
  <c r="AA40" i="1"/>
  <c r="Z40" i="1"/>
  <c r="V40" i="1"/>
  <c r="U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BJ39" i="1"/>
  <c r="BI39" i="1"/>
  <c r="BH39" i="1"/>
  <c r="BG39" i="1"/>
  <c r="BF39" i="1"/>
  <c r="BB39" i="1"/>
  <c r="AY39" i="1"/>
  <c r="AV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BJ38" i="1"/>
  <c r="BI38" i="1"/>
  <c r="BH38" i="1"/>
  <c r="BA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BJ37" i="1"/>
  <c r="BI37" i="1"/>
  <c r="BH37" i="1"/>
  <c r="BA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BJ36" i="1"/>
  <c r="BI36" i="1"/>
  <c r="BH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BJ35" i="1"/>
  <c r="BI35" i="1"/>
  <c r="BH35" i="1"/>
  <c r="BB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BJ34" i="1"/>
  <c r="BI34" i="1"/>
  <c r="BH34" i="1"/>
  <c r="BA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BJ33" i="1"/>
  <c r="BI33" i="1"/>
  <c r="BH33" i="1"/>
  <c r="BA33" i="1"/>
  <c r="AY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BJ32" i="1"/>
  <c r="BI32" i="1"/>
  <c r="BH32" i="1"/>
  <c r="BA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BJ31" i="1"/>
  <c r="BI31" i="1"/>
  <c r="BH31" i="1"/>
  <c r="BG31" i="1"/>
  <c r="BA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BJ30" i="1"/>
  <c r="BI30" i="1"/>
  <c r="BH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BJ29" i="1"/>
  <c r="BI29" i="1"/>
  <c r="BH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BJ28" i="1"/>
  <c r="BI28" i="1"/>
  <c r="BH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BJ27" i="1"/>
  <c r="BI27" i="1"/>
  <c r="BH27" i="1"/>
  <c r="BA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BJ26" i="1"/>
  <c r="BI26" i="1"/>
  <c r="BH26" i="1"/>
  <c r="BA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BJ25" i="1"/>
  <c r="BI25" i="1"/>
  <c r="BH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M18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C11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B6" i="4"/>
  <c r="B9" i="1" s="1"/>
  <c r="C6" i="4"/>
  <c r="C9" i="1" s="1"/>
  <c r="B7" i="4"/>
  <c r="B10" i="1" s="1"/>
  <c r="C7" i="4"/>
  <c r="D7" i="4"/>
  <c r="D10" i="1" s="1"/>
  <c r="B8" i="4"/>
  <c r="B11" i="1" s="1"/>
  <c r="D8" i="4"/>
  <c r="D11" i="1" s="1"/>
  <c r="E8" i="4"/>
  <c r="E11" i="1" s="1"/>
  <c r="B9" i="4"/>
  <c r="B12" i="1" s="1"/>
  <c r="C9" i="4"/>
  <c r="C12" i="1" s="1"/>
  <c r="D9" i="4"/>
  <c r="D12" i="1" s="1"/>
  <c r="E9" i="4"/>
  <c r="E12" i="1" s="1"/>
  <c r="F9" i="4"/>
  <c r="F12" i="1" s="1"/>
  <c r="B10" i="4"/>
  <c r="B13" i="1" s="1"/>
  <c r="C10" i="4"/>
  <c r="C13" i="1" s="1"/>
  <c r="D10" i="4"/>
  <c r="D13" i="1" s="1"/>
  <c r="E10" i="4"/>
  <c r="E13" i="1" s="1"/>
  <c r="F10" i="4"/>
  <c r="F13" i="1" s="1"/>
  <c r="G10" i="4"/>
  <c r="G13" i="1" s="1"/>
  <c r="B11" i="4"/>
  <c r="B14" i="1" s="1"/>
  <c r="C11" i="4"/>
  <c r="C14" i="1" s="1"/>
  <c r="D11" i="4"/>
  <c r="D14" i="1" s="1"/>
  <c r="E11" i="4"/>
  <c r="E14" i="1" s="1"/>
  <c r="F11" i="4"/>
  <c r="F14" i="1" s="1"/>
  <c r="G11" i="4"/>
  <c r="G14" i="1" s="1"/>
  <c r="H11" i="4"/>
  <c r="H14" i="1" s="1"/>
  <c r="B12" i="4"/>
  <c r="B15" i="1" s="1"/>
  <c r="C12" i="4"/>
  <c r="C15" i="1" s="1"/>
  <c r="D12" i="4"/>
  <c r="D15" i="1" s="1"/>
  <c r="E12" i="4"/>
  <c r="E15" i="1" s="1"/>
  <c r="G12" i="4"/>
  <c r="G15" i="1" s="1"/>
  <c r="H12" i="4"/>
  <c r="H15" i="1" s="1"/>
  <c r="I12" i="4"/>
  <c r="I15" i="1" s="1"/>
  <c r="B13" i="4"/>
  <c r="B16" i="1" s="1"/>
  <c r="C13" i="4"/>
  <c r="C16" i="1" s="1"/>
  <c r="D13" i="4"/>
  <c r="D16" i="1" s="1"/>
  <c r="E13" i="4"/>
  <c r="E16" i="1" s="1"/>
  <c r="F13" i="4"/>
  <c r="F16" i="1" s="1"/>
  <c r="G13" i="4"/>
  <c r="G16" i="1" s="1"/>
  <c r="H13" i="4"/>
  <c r="H16" i="1" s="1"/>
  <c r="I13" i="4"/>
  <c r="I16" i="1" s="1"/>
  <c r="J13" i="4"/>
  <c r="J16" i="1" s="1"/>
  <c r="B14" i="4"/>
  <c r="B17" i="1" s="1"/>
  <c r="C14" i="4"/>
  <c r="C17" i="1" s="1"/>
  <c r="D14" i="4"/>
  <c r="D17" i="1" s="1"/>
  <c r="E14" i="4"/>
  <c r="E17" i="1" s="1"/>
  <c r="F14" i="4"/>
  <c r="F17" i="1" s="1"/>
  <c r="G14" i="4"/>
  <c r="G17" i="1" s="1"/>
  <c r="H14" i="4"/>
  <c r="H17" i="1" s="1"/>
  <c r="I14" i="4"/>
  <c r="I17" i="1" s="1"/>
  <c r="J14" i="4"/>
  <c r="J17" i="1" s="1"/>
  <c r="K14" i="4"/>
  <c r="K17" i="1" s="1"/>
  <c r="B15" i="4"/>
  <c r="B18" i="1" s="1"/>
  <c r="C15" i="4"/>
  <c r="C18" i="1" s="1"/>
  <c r="D15" i="4"/>
  <c r="D18" i="1" s="1"/>
  <c r="E15" i="4"/>
  <c r="E18" i="1" s="1"/>
  <c r="F15" i="4"/>
  <c r="F18" i="1" s="1"/>
  <c r="G15" i="4"/>
  <c r="G18" i="1" s="1"/>
  <c r="H15" i="4"/>
  <c r="H18" i="1" s="1"/>
  <c r="I15" i="4"/>
  <c r="I18" i="1" s="1"/>
  <c r="J15" i="4"/>
  <c r="J18" i="1" s="1"/>
  <c r="K15" i="4"/>
  <c r="K18" i="1" s="1"/>
  <c r="L15" i="4"/>
  <c r="L18" i="1" s="1"/>
  <c r="N15" i="4"/>
  <c r="N18" i="1" s="1"/>
  <c r="B16" i="4"/>
  <c r="B19" i="1" s="1"/>
  <c r="C16" i="4"/>
  <c r="C19" i="1" s="1"/>
  <c r="D16" i="4"/>
  <c r="D19" i="1" s="1"/>
  <c r="E16" i="4"/>
  <c r="E19" i="1" s="1"/>
  <c r="F16" i="4"/>
  <c r="F19" i="1" s="1"/>
  <c r="G16" i="4"/>
  <c r="G19" i="1" s="1"/>
  <c r="H16" i="4"/>
  <c r="H19" i="1" s="1"/>
  <c r="I16" i="4"/>
  <c r="I19" i="1" s="1"/>
  <c r="J16" i="4"/>
  <c r="J19" i="1" s="1"/>
  <c r="K16" i="4"/>
  <c r="K19" i="1" s="1"/>
  <c r="L16" i="4"/>
  <c r="L19" i="1" s="1"/>
  <c r="M16" i="4"/>
  <c r="M19" i="1" s="1"/>
  <c r="BH17" i="4"/>
  <c r="BH20" i="1" s="1"/>
  <c r="BI17" i="4"/>
  <c r="BI20" i="1" s="1"/>
  <c r="BJ17" i="4"/>
  <c r="BJ20" i="1" s="1"/>
  <c r="O18" i="4"/>
  <c r="O21" i="1" s="1"/>
  <c r="BH18" i="4"/>
  <c r="BH21" i="1" s="1"/>
  <c r="BI18" i="4"/>
  <c r="BI21" i="1" s="1"/>
  <c r="BJ18" i="4"/>
  <c r="BJ21" i="1" s="1"/>
  <c r="Q20" i="4"/>
  <c r="Q23" i="1" s="1"/>
  <c r="Q21" i="4"/>
  <c r="Q24" i="1" s="1"/>
  <c r="R21" i="4"/>
  <c r="R24" i="1" s="1"/>
  <c r="AU22" i="4"/>
  <c r="AU25" i="1" s="1"/>
  <c r="AV22" i="4"/>
  <c r="AV25" i="1" s="1"/>
  <c r="AW22" i="4"/>
  <c r="AW25" i="1" s="1"/>
  <c r="AX22" i="4"/>
  <c r="AX25" i="1" s="1"/>
  <c r="AY22" i="4"/>
  <c r="AY25" i="1" s="1"/>
  <c r="AZ22" i="4"/>
  <c r="AZ25" i="1" s="1"/>
  <c r="BA22" i="4"/>
  <c r="BA25" i="1" s="1"/>
  <c r="BB22" i="4"/>
  <c r="BB25" i="1" s="1"/>
  <c r="BC22" i="4"/>
  <c r="BC25" i="1" s="1"/>
  <c r="BD22" i="4"/>
  <c r="BD25" i="1" s="1"/>
  <c r="BE22" i="4"/>
  <c r="BE25" i="1" s="1"/>
  <c r="BF22" i="4"/>
  <c r="BF25" i="1" s="1"/>
  <c r="BG22" i="4"/>
  <c r="BG25" i="1" s="1"/>
  <c r="T23" i="4"/>
  <c r="T26" i="1" s="1"/>
  <c r="AU23" i="4"/>
  <c r="AU26" i="1" s="1"/>
  <c r="AV23" i="4"/>
  <c r="AV26" i="1" s="1"/>
  <c r="AW23" i="4"/>
  <c r="AW26" i="1" s="1"/>
  <c r="AX23" i="4"/>
  <c r="AX26" i="1" s="1"/>
  <c r="AY23" i="4"/>
  <c r="AY26" i="1" s="1"/>
  <c r="AZ23" i="4"/>
  <c r="AZ26" i="1" s="1"/>
  <c r="BB23" i="4"/>
  <c r="BB26" i="1" s="1"/>
  <c r="BC23" i="4"/>
  <c r="BC26" i="1" s="1"/>
  <c r="BD23" i="4"/>
  <c r="BD26" i="1" s="1"/>
  <c r="BE23" i="4"/>
  <c r="BE26" i="1" s="1"/>
  <c r="BF23" i="4"/>
  <c r="BF26" i="1" s="1"/>
  <c r="BG23" i="4"/>
  <c r="BG26" i="1" s="1"/>
  <c r="T24" i="4"/>
  <c r="T27" i="1" s="1"/>
  <c r="U24" i="4"/>
  <c r="U27" i="1" s="1"/>
  <c r="AU24" i="4"/>
  <c r="AU27" i="1" s="1"/>
  <c r="AV24" i="4"/>
  <c r="AV27" i="1" s="1"/>
  <c r="AW24" i="4"/>
  <c r="AW27" i="1" s="1"/>
  <c r="AX24" i="4"/>
  <c r="AX27" i="1" s="1"/>
  <c r="AY24" i="4"/>
  <c r="AY27" i="1" s="1"/>
  <c r="AZ24" i="4"/>
  <c r="AZ27" i="1" s="1"/>
  <c r="BB24" i="4"/>
  <c r="BB27" i="1" s="1"/>
  <c r="BC24" i="4"/>
  <c r="BC27" i="1" s="1"/>
  <c r="BD24" i="4"/>
  <c r="BD27" i="1" s="1"/>
  <c r="BE24" i="4"/>
  <c r="BE27" i="1" s="1"/>
  <c r="BF24" i="4"/>
  <c r="BF27" i="1" s="1"/>
  <c r="BG24" i="4"/>
  <c r="BG27" i="1" s="1"/>
  <c r="T25" i="4"/>
  <c r="T28" i="1" s="1"/>
  <c r="U25" i="4"/>
  <c r="U28" i="1" s="1"/>
  <c r="V25" i="4"/>
  <c r="V28" i="1" s="1"/>
  <c r="AU25" i="4"/>
  <c r="AU28" i="1" s="1"/>
  <c r="AV25" i="4"/>
  <c r="AV28" i="1" s="1"/>
  <c r="AW25" i="4"/>
  <c r="AW28" i="1" s="1"/>
  <c r="AX25" i="4"/>
  <c r="AX28" i="1" s="1"/>
  <c r="AY25" i="4"/>
  <c r="AY28" i="1" s="1"/>
  <c r="AZ25" i="4"/>
  <c r="AZ28" i="1" s="1"/>
  <c r="BA25" i="4"/>
  <c r="BA28" i="1" s="1"/>
  <c r="BB25" i="4"/>
  <c r="BB28" i="1" s="1"/>
  <c r="BC25" i="4"/>
  <c r="BC28" i="1" s="1"/>
  <c r="BD25" i="4"/>
  <c r="BD28" i="1" s="1"/>
  <c r="BE25" i="4"/>
  <c r="BE28" i="1" s="1"/>
  <c r="BF25" i="4"/>
  <c r="BF28" i="1" s="1"/>
  <c r="BG25" i="4"/>
  <c r="BG28" i="1" s="1"/>
  <c r="T26" i="4"/>
  <c r="T29" i="1" s="1"/>
  <c r="U26" i="4"/>
  <c r="U29" i="1" s="1"/>
  <c r="V26" i="4"/>
  <c r="V29" i="1" s="1"/>
  <c r="W26" i="4"/>
  <c r="W29" i="1" s="1"/>
  <c r="AU26" i="4"/>
  <c r="AU29" i="1" s="1"/>
  <c r="AV26" i="4"/>
  <c r="AV29" i="1" s="1"/>
  <c r="AW26" i="4"/>
  <c r="AW29" i="1" s="1"/>
  <c r="AX26" i="4"/>
  <c r="AX29" i="1" s="1"/>
  <c r="AY26" i="4"/>
  <c r="AY29" i="1" s="1"/>
  <c r="AZ26" i="4"/>
  <c r="AZ29" i="1" s="1"/>
  <c r="BA26" i="4"/>
  <c r="BA29" i="1" s="1"/>
  <c r="BB26" i="4"/>
  <c r="BB29" i="1" s="1"/>
  <c r="BC26" i="4"/>
  <c r="BC29" i="1" s="1"/>
  <c r="BD26" i="4"/>
  <c r="BD29" i="1" s="1"/>
  <c r="BE26" i="4"/>
  <c r="BE29" i="1" s="1"/>
  <c r="BF26" i="4"/>
  <c r="BF29" i="1" s="1"/>
  <c r="BG26" i="4"/>
  <c r="BG29" i="1" s="1"/>
  <c r="T27" i="4"/>
  <c r="T30" i="1" s="1"/>
  <c r="U27" i="4"/>
  <c r="U30" i="1" s="1"/>
  <c r="V27" i="4"/>
  <c r="V30" i="1" s="1"/>
  <c r="W27" i="4"/>
  <c r="W30" i="1" s="1"/>
  <c r="X27" i="4"/>
  <c r="X30" i="1" s="1"/>
  <c r="AU27" i="4"/>
  <c r="AU30" i="1" s="1"/>
  <c r="AV27" i="4"/>
  <c r="AV30" i="1" s="1"/>
  <c r="AW27" i="4"/>
  <c r="AW30" i="1" s="1"/>
  <c r="AX27" i="4"/>
  <c r="AX30" i="1" s="1"/>
  <c r="AY27" i="4"/>
  <c r="AY30" i="1" s="1"/>
  <c r="AZ27" i="4"/>
  <c r="AZ30" i="1" s="1"/>
  <c r="BA27" i="4"/>
  <c r="BA30" i="1" s="1"/>
  <c r="BB27" i="4"/>
  <c r="BB30" i="1" s="1"/>
  <c r="BC27" i="4"/>
  <c r="BC30" i="1" s="1"/>
  <c r="BD27" i="4"/>
  <c r="BD30" i="1" s="1"/>
  <c r="BE27" i="4"/>
  <c r="BE30" i="1" s="1"/>
  <c r="BF27" i="4"/>
  <c r="BF30" i="1" s="1"/>
  <c r="BG27" i="4"/>
  <c r="BG30" i="1" s="1"/>
  <c r="T28" i="4"/>
  <c r="T31" i="1" s="1"/>
  <c r="U28" i="4"/>
  <c r="U31" i="1" s="1"/>
  <c r="V28" i="4"/>
  <c r="V31" i="1" s="1"/>
  <c r="W28" i="4"/>
  <c r="W31" i="1" s="1"/>
  <c r="X28" i="4"/>
  <c r="X31" i="1" s="1"/>
  <c r="Y28" i="4"/>
  <c r="Y31" i="1" s="1"/>
  <c r="AU28" i="4"/>
  <c r="AU31" i="1" s="1"/>
  <c r="AV28" i="4"/>
  <c r="AV31" i="1" s="1"/>
  <c r="AW28" i="4"/>
  <c r="AW31" i="1" s="1"/>
  <c r="AX28" i="4"/>
  <c r="AX31" i="1" s="1"/>
  <c r="AY28" i="4"/>
  <c r="AY31" i="1" s="1"/>
  <c r="AZ28" i="4"/>
  <c r="AZ31" i="1" s="1"/>
  <c r="BB28" i="4"/>
  <c r="BB31" i="1" s="1"/>
  <c r="BC28" i="4"/>
  <c r="BC31" i="1" s="1"/>
  <c r="BD28" i="4"/>
  <c r="BD31" i="1" s="1"/>
  <c r="BE28" i="4"/>
  <c r="BE31" i="1" s="1"/>
  <c r="BF28" i="4"/>
  <c r="BF31" i="1" s="1"/>
  <c r="T29" i="4"/>
  <c r="T32" i="1" s="1"/>
  <c r="U29" i="4"/>
  <c r="U32" i="1" s="1"/>
  <c r="V29" i="4"/>
  <c r="V32" i="1" s="1"/>
  <c r="W29" i="4"/>
  <c r="W32" i="1" s="1"/>
  <c r="X29" i="4"/>
  <c r="X32" i="1" s="1"/>
  <c r="Y29" i="4"/>
  <c r="Y32" i="1" s="1"/>
  <c r="Z29" i="4"/>
  <c r="Z32" i="1" s="1"/>
  <c r="AU29" i="4"/>
  <c r="AU32" i="1" s="1"/>
  <c r="AV29" i="4"/>
  <c r="AV32" i="1" s="1"/>
  <c r="AW29" i="4"/>
  <c r="AW32" i="1" s="1"/>
  <c r="AX29" i="4"/>
  <c r="AX32" i="1" s="1"/>
  <c r="AY29" i="4"/>
  <c r="AY32" i="1" s="1"/>
  <c r="AZ29" i="4"/>
  <c r="AZ32" i="1" s="1"/>
  <c r="BB29" i="4"/>
  <c r="BB32" i="1" s="1"/>
  <c r="BC29" i="4"/>
  <c r="BC32" i="1" s="1"/>
  <c r="BD29" i="4"/>
  <c r="BD32" i="1" s="1"/>
  <c r="BE29" i="4"/>
  <c r="BE32" i="1" s="1"/>
  <c r="BF29" i="4"/>
  <c r="BF32" i="1" s="1"/>
  <c r="BG29" i="4"/>
  <c r="BG32" i="1" s="1"/>
  <c r="T30" i="4"/>
  <c r="T33" i="1" s="1"/>
  <c r="U30" i="4"/>
  <c r="U33" i="1" s="1"/>
  <c r="V30" i="4"/>
  <c r="V33" i="1" s="1"/>
  <c r="W30" i="4"/>
  <c r="W33" i="1" s="1"/>
  <c r="X30" i="4"/>
  <c r="X33" i="1" s="1"/>
  <c r="Y30" i="4"/>
  <c r="Y33" i="1" s="1"/>
  <c r="Z30" i="4"/>
  <c r="Z33" i="1" s="1"/>
  <c r="AA30" i="4"/>
  <c r="AA33" i="1" s="1"/>
  <c r="AU30" i="4"/>
  <c r="AU33" i="1" s="1"/>
  <c r="AV30" i="4"/>
  <c r="AV33" i="1" s="1"/>
  <c r="AW30" i="4"/>
  <c r="AW33" i="1" s="1"/>
  <c r="AX30" i="4"/>
  <c r="AX33" i="1" s="1"/>
  <c r="AZ30" i="4"/>
  <c r="AZ33" i="1" s="1"/>
  <c r="BB30" i="4"/>
  <c r="BB33" i="1" s="1"/>
  <c r="BC30" i="4"/>
  <c r="BC33" i="1" s="1"/>
  <c r="BD30" i="4"/>
  <c r="BD33" i="1" s="1"/>
  <c r="BE30" i="4"/>
  <c r="BE33" i="1" s="1"/>
  <c r="BF30" i="4"/>
  <c r="BF33" i="1" s="1"/>
  <c r="BG30" i="4"/>
  <c r="BG33" i="1" s="1"/>
  <c r="T31" i="4"/>
  <c r="T34" i="1" s="1"/>
  <c r="U31" i="4"/>
  <c r="U34" i="1" s="1"/>
  <c r="V31" i="4"/>
  <c r="V34" i="1" s="1"/>
  <c r="W31" i="4"/>
  <c r="W34" i="1" s="1"/>
  <c r="X31" i="4"/>
  <c r="X34" i="1" s="1"/>
  <c r="Y31" i="4"/>
  <c r="Y34" i="1" s="1"/>
  <c r="Z31" i="4"/>
  <c r="Z34" i="1" s="1"/>
  <c r="AA31" i="4"/>
  <c r="AA34" i="1" s="1"/>
  <c r="AB31" i="4"/>
  <c r="AB34" i="1" s="1"/>
  <c r="AU31" i="4"/>
  <c r="AU34" i="1" s="1"/>
  <c r="AV31" i="4"/>
  <c r="AV34" i="1" s="1"/>
  <c r="AW31" i="4"/>
  <c r="AW34" i="1" s="1"/>
  <c r="AX31" i="4"/>
  <c r="AX34" i="1" s="1"/>
  <c r="AY31" i="4"/>
  <c r="AY34" i="1" s="1"/>
  <c r="AZ31" i="4"/>
  <c r="AZ34" i="1" s="1"/>
  <c r="BB31" i="4"/>
  <c r="BB34" i="1" s="1"/>
  <c r="BC31" i="4"/>
  <c r="BC34" i="1" s="1"/>
  <c r="BD31" i="4"/>
  <c r="BD34" i="1" s="1"/>
  <c r="BE31" i="4"/>
  <c r="BE34" i="1" s="1"/>
  <c r="BF31" i="4"/>
  <c r="BF34" i="1" s="1"/>
  <c r="BG31" i="4"/>
  <c r="BG34" i="1" s="1"/>
  <c r="T32" i="4"/>
  <c r="T35" i="1" s="1"/>
  <c r="U32" i="4"/>
  <c r="U35" i="1" s="1"/>
  <c r="V32" i="4"/>
  <c r="V35" i="1" s="1"/>
  <c r="W32" i="4"/>
  <c r="W35" i="1" s="1"/>
  <c r="X32" i="4"/>
  <c r="X35" i="1" s="1"/>
  <c r="Y32" i="4"/>
  <c r="Y35" i="1" s="1"/>
  <c r="Z32" i="4"/>
  <c r="Z35" i="1" s="1"/>
  <c r="AA32" i="4"/>
  <c r="AA35" i="1" s="1"/>
  <c r="AB32" i="4"/>
  <c r="AB35" i="1" s="1"/>
  <c r="AC32" i="4"/>
  <c r="AC35" i="1" s="1"/>
  <c r="AU32" i="4"/>
  <c r="AU35" i="1" s="1"/>
  <c r="AV32" i="4"/>
  <c r="AV35" i="1" s="1"/>
  <c r="AW32" i="4"/>
  <c r="AW35" i="1" s="1"/>
  <c r="AX32" i="4"/>
  <c r="AX35" i="1" s="1"/>
  <c r="AY32" i="4"/>
  <c r="AY35" i="1" s="1"/>
  <c r="AZ32" i="4"/>
  <c r="AZ35" i="1" s="1"/>
  <c r="BA32" i="4"/>
  <c r="BA35" i="1" s="1"/>
  <c r="BC32" i="4"/>
  <c r="BC35" i="1" s="1"/>
  <c r="BD32" i="4"/>
  <c r="BD35" i="1" s="1"/>
  <c r="BE32" i="4"/>
  <c r="BE35" i="1" s="1"/>
  <c r="BF32" i="4"/>
  <c r="BF35" i="1" s="1"/>
  <c r="BG32" i="4"/>
  <c r="BG35" i="1" s="1"/>
  <c r="T33" i="4"/>
  <c r="T36" i="1" s="1"/>
  <c r="U33" i="4"/>
  <c r="U36" i="1" s="1"/>
  <c r="V33" i="4"/>
  <c r="V36" i="1" s="1"/>
  <c r="W33" i="4"/>
  <c r="W36" i="1" s="1"/>
  <c r="X33" i="4"/>
  <c r="X36" i="1" s="1"/>
  <c r="Y33" i="4"/>
  <c r="Y36" i="1" s="1"/>
  <c r="Z33" i="4"/>
  <c r="Z36" i="1" s="1"/>
  <c r="AA33" i="4"/>
  <c r="AA36" i="1" s="1"/>
  <c r="AB33" i="4"/>
  <c r="AB36" i="1" s="1"/>
  <c r="AC33" i="4"/>
  <c r="AC36" i="1" s="1"/>
  <c r="AD33" i="4"/>
  <c r="AD36" i="1" s="1"/>
  <c r="AU33" i="4"/>
  <c r="AU36" i="1" s="1"/>
  <c r="AV33" i="4"/>
  <c r="AV36" i="1" s="1"/>
  <c r="AW33" i="4"/>
  <c r="AW36" i="1" s="1"/>
  <c r="AX33" i="4"/>
  <c r="AX36" i="1" s="1"/>
  <c r="AY33" i="4"/>
  <c r="AY36" i="1" s="1"/>
  <c r="AZ33" i="4"/>
  <c r="AZ36" i="1" s="1"/>
  <c r="BA33" i="4"/>
  <c r="BA36" i="1" s="1"/>
  <c r="BB33" i="4"/>
  <c r="BB36" i="1" s="1"/>
  <c r="BC33" i="4"/>
  <c r="BC36" i="1" s="1"/>
  <c r="BD33" i="4"/>
  <c r="BD36" i="1" s="1"/>
  <c r="BE33" i="4"/>
  <c r="BE36" i="1" s="1"/>
  <c r="BF33" i="4"/>
  <c r="BF36" i="1" s="1"/>
  <c r="BG33" i="4"/>
  <c r="BG36" i="1" s="1"/>
  <c r="T34" i="4"/>
  <c r="T37" i="1" s="1"/>
  <c r="U34" i="4"/>
  <c r="U37" i="1" s="1"/>
  <c r="V34" i="4"/>
  <c r="V37" i="1" s="1"/>
  <c r="W34" i="4"/>
  <c r="W37" i="1" s="1"/>
  <c r="X34" i="4"/>
  <c r="X37" i="1" s="1"/>
  <c r="Y34" i="4"/>
  <c r="Y37" i="1" s="1"/>
  <c r="Z34" i="4"/>
  <c r="Z37" i="1" s="1"/>
  <c r="AA34" i="4"/>
  <c r="AA37" i="1" s="1"/>
  <c r="AB34" i="4"/>
  <c r="AB37" i="1" s="1"/>
  <c r="AC34" i="4"/>
  <c r="AC37" i="1" s="1"/>
  <c r="AD34" i="4"/>
  <c r="AD37" i="1" s="1"/>
  <c r="AE34" i="4"/>
  <c r="AE37" i="1" s="1"/>
  <c r="AU34" i="4"/>
  <c r="AU37" i="1" s="1"/>
  <c r="AV34" i="4"/>
  <c r="AV37" i="1" s="1"/>
  <c r="AW34" i="4"/>
  <c r="AW37" i="1" s="1"/>
  <c r="AX34" i="4"/>
  <c r="AX37" i="1" s="1"/>
  <c r="AY34" i="4"/>
  <c r="AY37" i="1" s="1"/>
  <c r="AZ34" i="4"/>
  <c r="AZ37" i="1" s="1"/>
  <c r="BB34" i="4"/>
  <c r="BB37" i="1" s="1"/>
  <c r="BC34" i="4"/>
  <c r="BC37" i="1" s="1"/>
  <c r="BD34" i="4"/>
  <c r="BD37" i="1" s="1"/>
  <c r="BE34" i="4"/>
  <c r="BE37" i="1" s="1"/>
  <c r="BF34" i="4"/>
  <c r="BF37" i="1" s="1"/>
  <c r="BG34" i="4"/>
  <c r="BG37" i="1" s="1"/>
  <c r="T35" i="4"/>
  <c r="T38" i="1" s="1"/>
  <c r="U35" i="4"/>
  <c r="U38" i="1" s="1"/>
  <c r="V35" i="4"/>
  <c r="V38" i="1" s="1"/>
  <c r="W35" i="4"/>
  <c r="W38" i="1" s="1"/>
  <c r="X35" i="4"/>
  <c r="X38" i="1" s="1"/>
  <c r="Y35" i="4"/>
  <c r="Y38" i="1" s="1"/>
  <c r="Z35" i="4"/>
  <c r="Z38" i="1" s="1"/>
  <c r="AA35" i="4"/>
  <c r="AA38" i="1" s="1"/>
  <c r="AB35" i="4"/>
  <c r="AB38" i="1" s="1"/>
  <c r="AC35" i="4"/>
  <c r="AC38" i="1" s="1"/>
  <c r="AD35" i="4"/>
  <c r="AD38" i="1" s="1"/>
  <c r="AE35" i="4"/>
  <c r="AE38" i="1" s="1"/>
  <c r="AF35" i="4"/>
  <c r="AF38" i="1" s="1"/>
  <c r="AU35" i="4"/>
  <c r="AU38" i="1" s="1"/>
  <c r="AV35" i="4"/>
  <c r="AV38" i="1" s="1"/>
  <c r="AW35" i="4"/>
  <c r="AW38" i="1" s="1"/>
  <c r="AX35" i="4"/>
  <c r="AX38" i="1" s="1"/>
  <c r="AY35" i="4"/>
  <c r="AY38" i="1" s="1"/>
  <c r="AZ35" i="4"/>
  <c r="AZ38" i="1" s="1"/>
  <c r="BB35" i="4"/>
  <c r="BB38" i="1" s="1"/>
  <c r="BC35" i="4"/>
  <c r="BC38" i="1" s="1"/>
  <c r="BD35" i="4"/>
  <c r="BD38" i="1" s="1"/>
  <c r="BE35" i="4"/>
  <c r="BE38" i="1" s="1"/>
  <c r="BF35" i="4"/>
  <c r="BF38" i="1" s="1"/>
  <c r="BG35" i="4"/>
  <c r="BG38" i="1" s="1"/>
  <c r="AU36" i="4"/>
  <c r="AU39" i="1" s="1"/>
  <c r="AW36" i="4"/>
  <c r="AW39" i="1" s="1"/>
  <c r="AX36" i="4"/>
  <c r="AX39" i="1" s="1"/>
  <c r="AZ36" i="4"/>
  <c r="AZ39" i="1" s="1"/>
  <c r="BA36" i="4"/>
  <c r="BA39" i="1" s="1"/>
  <c r="BC36" i="4"/>
  <c r="BC39" i="1" s="1"/>
  <c r="BD36" i="4"/>
  <c r="BD39" i="1" s="1"/>
  <c r="BE36" i="4"/>
  <c r="BE39" i="1" s="1"/>
  <c r="T37" i="4"/>
  <c r="T40" i="1" s="1"/>
  <c r="W37" i="4"/>
  <c r="W40" i="1" s="1"/>
  <c r="X37" i="4"/>
  <c r="X40" i="1" s="1"/>
  <c r="Y37" i="4"/>
  <c r="Y40" i="1" s="1"/>
  <c r="AE37" i="4"/>
  <c r="AE40" i="1" s="1"/>
  <c r="AH37" i="4"/>
  <c r="AH40" i="1" s="1"/>
  <c r="AU37" i="4"/>
  <c r="AU40" i="1" s="1"/>
  <c r="AV37" i="4"/>
  <c r="AV40" i="1" s="1"/>
  <c r="AW37" i="4"/>
  <c r="AW40" i="1" s="1"/>
  <c r="AX37" i="4"/>
  <c r="AX40" i="1" s="1"/>
  <c r="AZ37" i="4"/>
  <c r="AZ40" i="1" s="1"/>
  <c r="BA37" i="4"/>
  <c r="BA40" i="1" s="1"/>
  <c r="BB37" i="4"/>
  <c r="BB40" i="1" s="1"/>
  <c r="BC37" i="4"/>
  <c r="BC40" i="1" s="1"/>
  <c r="BD37" i="4"/>
  <c r="BD40" i="1" s="1"/>
  <c r="BE37" i="4"/>
  <c r="BE40" i="1" s="1"/>
  <c r="AH38" i="4"/>
  <c r="AH41" i="1" s="1"/>
  <c r="AI38" i="4"/>
  <c r="AI41" i="1" s="1"/>
  <c r="AU38" i="4"/>
  <c r="AU41" i="1" s="1"/>
  <c r="AW38" i="4"/>
  <c r="AW41" i="1" s="1"/>
  <c r="AX38" i="4"/>
  <c r="AX41" i="1" s="1"/>
  <c r="AZ38" i="4"/>
  <c r="AZ41" i="1" s="1"/>
  <c r="BA38" i="4"/>
  <c r="BA41" i="1" s="1"/>
  <c r="BC38" i="4"/>
  <c r="BC41" i="1" s="1"/>
  <c r="BD38" i="4"/>
  <c r="BD41" i="1" s="1"/>
  <c r="BE38" i="4"/>
  <c r="BE41" i="1" s="1"/>
  <c r="T39" i="4"/>
  <c r="T42" i="1" s="1"/>
  <c r="U39" i="4"/>
  <c r="U42" i="1" s="1"/>
  <c r="V39" i="4"/>
  <c r="V42" i="1" s="1"/>
  <c r="Y39" i="4"/>
  <c r="Y42" i="1" s="1"/>
  <c r="AA39" i="4"/>
  <c r="AA42" i="1" s="1"/>
  <c r="AB39" i="4"/>
  <c r="AB42" i="1" s="1"/>
  <c r="AG39" i="4"/>
  <c r="AG42" i="1" s="1"/>
  <c r="AH39" i="4"/>
  <c r="AH42" i="1" s="1"/>
  <c r="AI39" i="4"/>
  <c r="AI42" i="1" s="1"/>
  <c r="AJ39" i="4"/>
  <c r="AJ42" i="1" s="1"/>
  <c r="AU39" i="4"/>
  <c r="AU42" i="1" s="1"/>
  <c r="AW39" i="4"/>
  <c r="AW42" i="1" s="1"/>
  <c r="AX39" i="4"/>
  <c r="AX42" i="1" s="1"/>
  <c r="AZ39" i="4"/>
  <c r="AZ42" i="1" s="1"/>
  <c r="BA39" i="4"/>
  <c r="BA42" i="1" s="1"/>
  <c r="BC39" i="4"/>
  <c r="BC42" i="1" s="1"/>
  <c r="BD39" i="4"/>
  <c r="BD42" i="1" s="1"/>
  <c r="BE39" i="4"/>
  <c r="BE42" i="1" s="1"/>
  <c r="AL41" i="4"/>
  <c r="AL44" i="1" s="1"/>
  <c r="AL42" i="4"/>
  <c r="AL45" i="1" s="1"/>
  <c r="AM42" i="4"/>
  <c r="AM45" i="1" s="1"/>
  <c r="AO44" i="4"/>
  <c r="AO47" i="1" s="1"/>
  <c r="AO45" i="4"/>
  <c r="AO48" i="1" s="1"/>
  <c r="AP45" i="4"/>
  <c r="AP48" i="1" s="1"/>
  <c r="W46" i="4"/>
  <c r="W49" i="1" s="1"/>
  <c r="X46" i="4"/>
  <c r="X49" i="1" s="1"/>
  <c r="Y46" i="4"/>
  <c r="Y49" i="1" s="1"/>
  <c r="AD46" i="4"/>
  <c r="AD49" i="1" s="1"/>
  <c r="AJ46" i="4"/>
  <c r="AJ49" i="1" s="1"/>
  <c r="AK46" i="4"/>
  <c r="AK49" i="1" s="1"/>
  <c r="AV46" i="4"/>
  <c r="AV49" i="1" s="1"/>
  <c r="AW46" i="4"/>
  <c r="AW49" i="1" s="1"/>
  <c r="AY46" i="4"/>
  <c r="AY49" i="1" s="1"/>
  <c r="AZ46" i="4"/>
  <c r="AZ49" i="1" s="1"/>
  <c r="BA46" i="4"/>
  <c r="BA49" i="1" s="1"/>
  <c r="BB46" i="4"/>
  <c r="BB49" i="1" s="1"/>
  <c r="BF46" i="4"/>
  <c r="BF49" i="1" s="1"/>
  <c r="T47" i="4"/>
  <c r="T50" i="1" s="1"/>
  <c r="U47" i="4"/>
  <c r="U50" i="1" s="1"/>
  <c r="V47" i="4"/>
  <c r="V50" i="1" s="1"/>
  <c r="W47" i="4"/>
  <c r="W50" i="1" s="1"/>
  <c r="X47" i="4"/>
  <c r="X50" i="1" s="1"/>
  <c r="Y47" i="4"/>
  <c r="Y50" i="1" s="1"/>
  <c r="Z47" i="4"/>
  <c r="Z50" i="1" s="1"/>
  <c r="AA47" i="4"/>
  <c r="AA50" i="1" s="1"/>
  <c r="AB47" i="4"/>
  <c r="AB50" i="1" s="1"/>
  <c r="AC47" i="4"/>
  <c r="AC50" i="1" s="1"/>
  <c r="AD47" i="4"/>
  <c r="AD50" i="1" s="1"/>
  <c r="AE47" i="4"/>
  <c r="AE50" i="1" s="1"/>
  <c r="AF47" i="4"/>
  <c r="AF50" i="1" s="1"/>
  <c r="AG47" i="4"/>
  <c r="AG50" i="1" s="1"/>
  <c r="AJ47" i="4"/>
  <c r="AJ50" i="1" s="1"/>
  <c r="AK47" i="4"/>
  <c r="AK50" i="1" s="1"/>
  <c r="AR47" i="4"/>
  <c r="AR50" i="1" s="1"/>
  <c r="AT47" i="4"/>
  <c r="AT50" i="1" s="1"/>
  <c r="AX47" i="4"/>
  <c r="AX50" i="1" s="1"/>
  <c r="AY47" i="4"/>
  <c r="AY50" i="1" s="1"/>
  <c r="AZ47" i="4"/>
  <c r="AZ50" i="1" s="1"/>
  <c r="BA47" i="4"/>
  <c r="BA50" i="1" s="1"/>
  <c r="BB47" i="4"/>
  <c r="BB50" i="1" s="1"/>
  <c r="BG47" i="4"/>
  <c r="BG50" i="1" s="1"/>
  <c r="T48" i="4"/>
  <c r="T51" i="1" s="1"/>
  <c r="U48" i="4"/>
  <c r="U51" i="1" s="1"/>
  <c r="V48" i="4"/>
  <c r="V51" i="1" s="1"/>
  <c r="W48" i="4"/>
  <c r="W51" i="1" s="1"/>
  <c r="X48" i="4"/>
  <c r="X51" i="1" s="1"/>
  <c r="Y48" i="4"/>
  <c r="Y51" i="1" s="1"/>
  <c r="AA48" i="4"/>
  <c r="AA51" i="1" s="1"/>
  <c r="AB48" i="4"/>
  <c r="AB51" i="1" s="1"/>
  <c r="AC48" i="4"/>
  <c r="AC51" i="1" s="1"/>
  <c r="AD48" i="4"/>
  <c r="AD51" i="1" s="1"/>
  <c r="AJ48" i="4"/>
  <c r="AJ51" i="1" s="1"/>
  <c r="AK48" i="4"/>
  <c r="AK51" i="1" s="1"/>
  <c r="AR48" i="4"/>
  <c r="AR51" i="1" s="1"/>
  <c r="AS48" i="4"/>
  <c r="AS51" i="1" s="1"/>
  <c r="AX48" i="4"/>
  <c r="AX51" i="1" s="1"/>
  <c r="AY48" i="4"/>
  <c r="AY51" i="1" s="1"/>
  <c r="AZ48" i="4"/>
  <c r="AZ51" i="1" s="1"/>
  <c r="BA48" i="4"/>
  <c r="BA51" i="1" s="1"/>
  <c r="BC48" i="4"/>
  <c r="BC51" i="1" s="1"/>
  <c r="BE48" i="4"/>
  <c r="BE51" i="1" s="1"/>
  <c r="BG48" i="4"/>
  <c r="BG51" i="1" s="1"/>
  <c r="B55" i="4"/>
  <c r="B56" i="4"/>
  <c r="C56" i="4"/>
  <c r="B57" i="4"/>
  <c r="C57" i="4"/>
  <c r="C61" i="1" s="1"/>
  <c r="D57" i="4"/>
  <c r="B58" i="4"/>
  <c r="B62" i="1" s="1"/>
  <c r="C58" i="4"/>
  <c r="C62" i="1" s="1"/>
  <c r="D58" i="4"/>
  <c r="E58" i="4"/>
  <c r="E62" i="1" s="1"/>
  <c r="B59" i="4"/>
  <c r="E59" i="4"/>
  <c r="F59" i="4"/>
  <c r="B60" i="4"/>
  <c r="C60" i="4"/>
  <c r="D60" i="4"/>
  <c r="E60" i="4"/>
  <c r="E64" i="1" s="1"/>
  <c r="F60" i="4"/>
  <c r="G60" i="4"/>
  <c r="B61" i="4"/>
  <c r="C61" i="4"/>
  <c r="C65" i="1" s="1"/>
  <c r="E61" i="4"/>
  <c r="E65" i="1" s="1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I63" i="4"/>
  <c r="J63" i="4"/>
  <c r="B64" i="4"/>
  <c r="C64" i="4"/>
  <c r="D64" i="4"/>
  <c r="E64" i="4"/>
  <c r="F64" i="4"/>
  <c r="I64" i="4"/>
  <c r="B65" i="4"/>
  <c r="C65" i="4"/>
  <c r="D65" i="4"/>
  <c r="E65" i="4"/>
  <c r="F65" i="4"/>
  <c r="G65" i="4"/>
  <c r="H65" i="4"/>
  <c r="H69" i="1" s="1"/>
  <c r="I65" i="4"/>
  <c r="J65" i="4"/>
  <c r="K65" i="4"/>
  <c r="AV69" i="4"/>
  <c r="BB69" i="4"/>
  <c r="BF69" i="4"/>
  <c r="BG69" i="4"/>
  <c r="Q70" i="4"/>
  <c r="Q71" i="4"/>
  <c r="Q75" i="1" s="1"/>
  <c r="R71" i="4"/>
  <c r="AV71" i="4"/>
  <c r="AX71" i="4"/>
  <c r="BB71" i="4"/>
  <c r="BF71" i="4"/>
  <c r="BG71" i="4"/>
  <c r="Q72" i="4"/>
  <c r="S72" i="4"/>
  <c r="S76" i="1" s="1"/>
  <c r="AV72" i="4"/>
  <c r="AX72" i="4"/>
  <c r="BB72" i="4"/>
  <c r="BD72" i="4"/>
  <c r="BF72" i="4"/>
  <c r="BG72" i="4"/>
  <c r="Q73" i="4"/>
  <c r="S73" i="4"/>
  <c r="T73" i="4"/>
  <c r="T77" i="1" s="1"/>
  <c r="AV73" i="4"/>
  <c r="AW73" i="4"/>
  <c r="AX73" i="4"/>
  <c r="BB73" i="4"/>
  <c r="BD73" i="4"/>
  <c r="BF73" i="4"/>
  <c r="BG73" i="4"/>
  <c r="Q74" i="4"/>
  <c r="S74" i="4"/>
  <c r="T74" i="4"/>
  <c r="T78" i="1" s="1"/>
  <c r="U74" i="4"/>
  <c r="AV74" i="4"/>
  <c r="AW74" i="4"/>
  <c r="AX74" i="4"/>
  <c r="BB74" i="4"/>
  <c r="Q75" i="4"/>
  <c r="S75" i="4"/>
  <c r="T75" i="4"/>
  <c r="U75" i="4"/>
  <c r="V75" i="4"/>
  <c r="AV75" i="4"/>
  <c r="AW75" i="4"/>
  <c r="AX75" i="4"/>
  <c r="BB75" i="4"/>
  <c r="BF75" i="4"/>
  <c r="BG75" i="4"/>
  <c r="Q76" i="4"/>
  <c r="S76" i="4"/>
  <c r="T76" i="4"/>
  <c r="U76" i="4"/>
  <c r="V76" i="4"/>
  <c r="V80" i="1" s="1"/>
  <c r="W76" i="4"/>
  <c r="W80" i="1" s="1"/>
  <c r="AV76" i="4"/>
  <c r="AW76" i="4"/>
  <c r="AX76" i="4"/>
  <c r="BB76" i="4"/>
  <c r="BB80" i="1" s="1"/>
  <c r="BF76" i="4"/>
  <c r="BG76" i="4"/>
  <c r="Q77" i="4"/>
  <c r="S77" i="4"/>
  <c r="T77" i="4"/>
  <c r="T81" i="1" s="1"/>
  <c r="U77" i="4"/>
  <c r="V77" i="4"/>
  <c r="V81" i="1" s="1"/>
  <c r="W77" i="4"/>
  <c r="W81" i="1" s="1"/>
  <c r="X77" i="4"/>
  <c r="X81" i="1" s="1"/>
  <c r="AV77" i="4"/>
  <c r="AW77" i="4"/>
  <c r="AX77" i="4"/>
  <c r="BB77" i="4"/>
  <c r="BF77" i="4"/>
  <c r="BG77" i="4"/>
  <c r="Q78" i="4"/>
  <c r="S78" i="4"/>
  <c r="T78" i="4"/>
  <c r="U78" i="4"/>
  <c r="V78" i="4"/>
  <c r="W78" i="4"/>
  <c r="X78" i="4"/>
  <c r="Y78" i="4"/>
  <c r="AV78" i="4"/>
  <c r="AW78" i="4"/>
  <c r="AX78" i="4"/>
  <c r="BB78" i="4"/>
  <c r="BD78" i="4"/>
  <c r="Q79" i="4"/>
  <c r="S79" i="4"/>
  <c r="T79" i="4"/>
  <c r="U79" i="4"/>
  <c r="V79" i="4"/>
  <c r="W79" i="4"/>
  <c r="X79" i="4"/>
  <c r="Y79" i="4"/>
  <c r="Z79" i="4"/>
  <c r="Z83" i="1" s="1"/>
  <c r="AV79" i="4"/>
  <c r="AW79" i="4"/>
  <c r="BB79" i="4"/>
  <c r="BD79" i="4"/>
  <c r="Q80" i="4"/>
  <c r="S80" i="4"/>
  <c r="T80" i="4"/>
  <c r="U80" i="4"/>
  <c r="W80" i="4"/>
  <c r="X80" i="4"/>
  <c r="Y80" i="4"/>
  <c r="Z80" i="4"/>
  <c r="AA80" i="4"/>
  <c r="BB80" i="4"/>
  <c r="BF80" i="4"/>
  <c r="Q81" i="4"/>
  <c r="S81" i="4"/>
  <c r="T81" i="4"/>
  <c r="U81" i="4"/>
  <c r="U85" i="1" s="1"/>
  <c r="W81" i="4"/>
  <c r="X81" i="4"/>
  <c r="Y81" i="4"/>
  <c r="Z81" i="4"/>
  <c r="AA81" i="4"/>
  <c r="AB81" i="4"/>
  <c r="AB85" i="1" s="1"/>
  <c r="BB81" i="4"/>
  <c r="BF81" i="4"/>
  <c r="BG81" i="4"/>
  <c r="Q82" i="4"/>
  <c r="S82" i="4"/>
  <c r="T82" i="4"/>
  <c r="U82" i="4"/>
  <c r="V82" i="4"/>
  <c r="W82" i="4"/>
  <c r="X82" i="4"/>
  <c r="Y82" i="4"/>
  <c r="Z82" i="4"/>
  <c r="AA82" i="4"/>
  <c r="AB82" i="4"/>
  <c r="AC82" i="4"/>
  <c r="AV82" i="4"/>
  <c r="AW82" i="4"/>
  <c r="AX82" i="4"/>
  <c r="BF82" i="4"/>
  <c r="Q83" i="4"/>
  <c r="S83" i="4"/>
  <c r="T83" i="4"/>
  <c r="U83" i="4"/>
  <c r="V83" i="4"/>
  <c r="W83" i="4"/>
  <c r="X83" i="4"/>
  <c r="X87" i="1" s="1"/>
  <c r="Y83" i="4"/>
  <c r="Z83" i="4"/>
  <c r="AA83" i="4"/>
  <c r="AC83" i="4"/>
  <c r="AD83" i="4"/>
  <c r="AD87" i="1" s="1"/>
  <c r="AV83" i="4"/>
  <c r="AW83" i="4"/>
  <c r="AX83" i="4"/>
  <c r="BB83" i="4"/>
  <c r="BF83" i="4"/>
  <c r="BF87" i="1" s="1"/>
  <c r="Q84" i="4"/>
  <c r="S84" i="4"/>
  <c r="T84" i="4"/>
  <c r="U84" i="4"/>
  <c r="V84" i="4"/>
  <c r="W84" i="4"/>
  <c r="W88" i="1" s="1"/>
  <c r="X84" i="4"/>
  <c r="X88" i="1" s="1"/>
  <c r="Y84" i="4"/>
  <c r="Z84" i="4"/>
  <c r="AA84" i="4"/>
  <c r="AB84" i="4"/>
  <c r="AC84" i="4"/>
  <c r="AD84" i="4"/>
  <c r="AE84" i="4"/>
  <c r="AV84" i="4"/>
  <c r="AV88" i="1" s="1"/>
  <c r="AW84" i="4"/>
  <c r="AX84" i="4"/>
  <c r="BB84" i="4"/>
  <c r="BF84" i="4"/>
  <c r="Q85" i="4"/>
  <c r="S85" i="4"/>
  <c r="T85" i="4"/>
  <c r="U85" i="4"/>
  <c r="V85" i="4"/>
  <c r="W85" i="4"/>
  <c r="W89" i="1" s="1"/>
  <c r="X85" i="4"/>
  <c r="X89" i="1" s="1"/>
  <c r="Y85" i="4"/>
  <c r="Z85" i="4"/>
  <c r="AA85" i="4"/>
  <c r="AC85" i="4"/>
  <c r="AD85" i="4"/>
  <c r="AE85" i="4"/>
  <c r="AF85" i="4"/>
  <c r="AF89" i="1" s="1"/>
  <c r="AV85" i="4"/>
  <c r="AW85" i="4"/>
  <c r="AX85" i="4"/>
  <c r="BB85" i="4"/>
  <c r="BF85" i="4"/>
  <c r="AW86" i="4"/>
  <c r="BD86" i="4"/>
  <c r="BE86" i="4"/>
  <c r="AH87" i="4"/>
  <c r="AH91" i="1" s="1"/>
  <c r="BD87" i="4"/>
  <c r="BE87" i="4"/>
  <c r="AH88" i="4"/>
  <c r="AH92" i="1" s="1"/>
  <c r="AI88" i="4"/>
  <c r="BD88" i="4"/>
  <c r="AH89" i="4"/>
  <c r="AH93" i="1" s="1"/>
  <c r="AI89" i="4"/>
  <c r="AI93" i="1" s="1"/>
  <c r="AJ89" i="4"/>
  <c r="AW89" i="4"/>
  <c r="BD89" i="4"/>
  <c r="BE89" i="4"/>
  <c r="AL91" i="4"/>
  <c r="AL92" i="4"/>
  <c r="AM92" i="4"/>
  <c r="AO94" i="4"/>
  <c r="AO98" i="1" s="1"/>
  <c r="AO95" i="4"/>
  <c r="AP95" i="4"/>
  <c r="AP99" i="1" s="1"/>
  <c r="AV105" i="4"/>
  <c r="AW105" i="4"/>
  <c r="AX105" i="4"/>
  <c r="AY105" i="4"/>
  <c r="AX160" i="1" s="1"/>
  <c r="BA105" i="4"/>
  <c r="BB105" i="4"/>
  <c r="BA160" i="1" s="1"/>
  <c r="BC105" i="4"/>
  <c r="BB160" i="1" s="1"/>
  <c r="BD105" i="4"/>
  <c r="BC160" i="1" s="1"/>
  <c r="BE105" i="4"/>
  <c r="BF105" i="4"/>
  <c r="BE160" i="1" s="1"/>
  <c r="BG105" i="4"/>
  <c r="BH105" i="4"/>
  <c r="BI105" i="4"/>
  <c r="BJ105" i="4"/>
  <c r="BK105" i="4"/>
  <c r="BP105" i="4"/>
  <c r="BQ105" i="4"/>
  <c r="BR105" i="4"/>
  <c r="BS105" i="4"/>
  <c r="F211" i="1" s="1"/>
  <c r="BT105" i="4"/>
  <c r="G211" i="1" s="1"/>
  <c r="BU105" i="4"/>
  <c r="BV105" i="4"/>
  <c r="BW105" i="4"/>
  <c r="J211" i="1" s="1"/>
  <c r="BX105" i="4"/>
  <c r="BY105" i="4"/>
  <c r="L211" i="1" s="1"/>
  <c r="BZ105" i="4"/>
  <c r="CA105" i="4"/>
  <c r="N211" i="1" s="1"/>
  <c r="CB105" i="4"/>
  <c r="O211" i="1" s="1"/>
  <c r="CC105" i="4"/>
  <c r="P211" i="1" s="1"/>
  <c r="CD105" i="4"/>
  <c r="CE105" i="4"/>
  <c r="CF105" i="4"/>
  <c r="CG105" i="4"/>
  <c r="T211" i="1" s="1"/>
  <c r="CH105" i="4"/>
  <c r="U211" i="1" s="1"/>
  <c r="CI105" i="4"/>
  <c r="V211" i="1" s="1"/>
  <c r="CJ105" i="4"/>
  <c r="CK105" i="4"/>
  <c r="X211" i="1" s="1"/>
  <c r="CL105" i="4"/>
  <c r="Y211" i="1" s="1"/>
  <c r="CM105" i="4"/>
  <c r="Z211" i="1" s="1"/>
  <c r="CN105" i="4"/>
  <c r="AA211" i="1" s="1"/>
  <c r="CO105" i="4"/>
  <c r="AB211" i="1" s="1"/>
  <c r="CP105" i="4"/>
  <c r="CQ105" i="4"/>
  <c r="CR105" i="4"/>
  <c r="AE211" i="1" s="1"/>
  <c r="CS105" i="4"/>
  <c r="AF211" i="1" s="1"/>
  <c r="CT105" i="4"/>
  <c r="AG211" i="1" s="1"/>
  <c r="CU105" i="4"/>
  <c r="AH211" i="1" s="1"/>
  <c r="CV105" i="4"/>
  <c r="CW105" i="4"/>
  <c r="AJ211" i="1" s="1"/>
  <c r="CX105" i="4"/>
  <c r="CY105" i="4"/>
  <c r="CZ105" i="4"/>
  <c r="DA105" i="4"/>
  <c r="AN211" i="1" s="1"/>
  <c r="DB105" i="4"/>
  <c r="DC105" i="4"/>
  <c r="DD105" i="4"/>
  <c r="DE105" i="4"/>
  <c r="DF105" i="4"/>
  <c r="AS211" i="1" s="1"/>
  <c r="DG105" i="4"/>
  <c r="AT211" i="1" s="1"/>
  <c r="DH105" i="4"/>
  <c r="AU211" i="1" s="1"/>
  <c r="DI105" i="4"/>
  <c r="AV211" i="1" s="1"/>
  <c r="DJ105" i="4"/>
  <c r="AW211" i="1" s="1"/>
  <c r="DK105" i="4"/>
  <c r="DL105" i="4"/>
  <c r="DM105" i="4"/>
  <c r="AZ211" i="1" s="1"/>
  <c r="DN105" i="4"/>
  <c r="DO105" i="4"/>
  <c r="DP105" i="4"/>
  <c r="DQ105" i="4"/>
  <c r="BD211" i="1" s="1"/>
  <c r="DR105" i="4"/>
  <c r="DS105" i="4"/>
  <c r="BF211" i="1" s="1"/>
  <c r="DT105" i="4"/>
  <c r="BG211" i="1" s="1"/>
  <c r="DU105" i="4"/>
  <c r="BH211" i="1" s="1"/>
  <c r="DV105" i="4"/>
  <c r="BI211" i="1" s="1"/>
  <c r="DW105" i="4"/>
  <c r="BJ211" i="1" s="1"/>
  <c r="EA105" i="4"/>
  <c r="EC105" i="4"/>
  <c r="D262" i="1" s="1"/>
  <c r="ED105" i="4"/>
  <c r="EE105" i="4"/>
  <c r="F262" i="1" s="1"/>
  <c r="EF105" i="4"/>
  <c r="G262" i="1" s="1"/>
  <c r="EG105" i="4"/>
  <c r="EH105" i="4"/>
  <c r="EI105" i="4"/>
  <c r="J262" i="1" s="1"/>
  <c r="EJ105" i="4"/>
  <c r="EK105" i="4"/>
  <c r="EL105" i="4"/>
  <c r="EM105" i="4"/>
  <c r="EN105" i="4"/>
  <c r="EO105" i="4"/>
  <c r="EP105" i="4"/>
  <c r="EQ105" i="4"/>
  <c r="ER105" i="4"/>
  <c r="ES105" i="4"/>
  <c r="T262" i="1" s="1"/>
  <c r="ET105" i="4"/>
  <c r="U262" i="1" s="1"/>
  <c r="EU105" i="4"/>
  <c r="V262" i="1" s="1"/>
  <c r="EV105" i="4"/>
  <c r="EW105" i="4"/>
  <c r="X262" i="1" s="1"/>
  <c r="EX105" i="4"/>
  <c r="Y262" i="1" s="1"/>
  <c r="EY105" i="4"/>
  <c r="Z262" i="1" s="1"/>
  <c r="EZ105" i="4"/>
  <c r="AA262" i="1" s="1"/>
  <c r="FA105" i="4"/>
  <c r="AB262" i="1" s="1"/>
  <c r="FB105" i="4"/>
  <c r="FC105" i="4"/>
  <c r="FD105" i="4"/>
  <c r="AE262" i="1" s="1"/>
  <c r="FE105" i="4"/>
  <c r="AF262" i="1" s="1"/>
  <c r="FF105" i="4"/>
  <c r="AG262" i="1" s="1"/>
  <c r="FG105" i="4"/>
  <c r="AH262" i="1" s="1"/>
  <c r="FH105" i="4"/>
  <c r="FI105" i="4"/>
  <c r="AJ262" i="1" s="1"/>
  <c r="FJ105" i="4"/>
  <c r="FK105" i="4"/>
  <c r="FL105" i="4"/>
  <c r="FM105" i="4"/>
  <c r="AN262" i="1" s="1"/>
  <c r="FN105" i="4"/>
  <c r="FO105" i="4"/>
  <c r="FP105" i="4"/>
  <c r="FQ105" i="4"/>
  <c r="FR105" i="4"/>
  <c r="FS105" i="4"/>
  <c r="FT105" i="4"/>
  <c r="AU262" i="1" s="1"/>
  <c r="FU105" i="4"/>
  <c r="FV105" i="4"/>
  <c r="FW105" i="4"/>
  <c r="FX105" i="4"/>
  <c r="FY105" i="4"/>
  <c r="AZ262" i="1" s="1"/>
  <c r="FZ105" i="4"/>
  <c r="GA105" i="4"/>
  <c r="GB105" i="4"/>
  <c r="GC105" i="4"/>
  <c r="BD262" i="1" s="1"/>
  <c r="GD105" i="4"/>
  <c r="GE105" i="4"/>
  <c r="BF262" i="1" s="1"/>
  <c r="GF105" i="4"/>
  <c r="GG105" i="4"/>
  <c r="GH105" i="4"/>
  <c r="GI105" i="4"/>
  <c r="C106" i="4"/>
  <c r="B161" i="1" s="1"/>
  <c r="AV106" i="4"/>
  <c r="AW106" i="4"/>
  <c r="AX106" i="4"/>
  <c r="AY106" i="4"/>
  <c r="AX161" i="1" s="1"/>
  <c r="BA106" i="4"/>
  <c r="BB106" i="4"/>
  <c r="BA161" i="1" s="1"/>
  <c r="BC106" i="4"/>
  <c r="BB161" i="1" s="1"/>
  <c r="BD106" i="4"/>
  <c r="BC161" i="1" s="1"/>
  <c r="BE106" i="4"/>
  <c r="BF106" i="4"/>
  <c r="BE161" i="1" s="1"/>
  <c r="BG106" i="4"/>
  <c r="BH106" i="4"/>
  <c r="BI106" i="4"/>
  <c r="BJ106" i="4"/>
  <c r="BK106" i="4"/>
  <c r="BO106" i="4"/>
  <c r="BQ106" i="4"/>
  <c r="BR106" i="4"/>
  <c r="BS106" i="4"/>
  <c r="F212" i="1" s="1"/>
  <c r="BT106" i="4"/>
  <c r="G212" i="1" s="1"/>
  <c r="BU106" i="4"/>
  <c r="BV106" i="4"/>
  <c r="BW106" i="4"/>
  <c r="J212" i="1" s="1"/>
  <c r="BX106" i="4"/>
  <c r="BY106" i="4"/>
  <c r="L212" i="1" s="1"/>
  <c r="BZ106" i="4"/>
  <c r="CA106" i="4"/>
  <c r="N212" i="1" s="1"/>
  <c r="CB106" i="4"/>
  <c r="O212" i="1" s="1"/>
  <c r="CC106" i="4"/>
  <c r="P212" i="1" s="1"/>
  <c r="CD106" i="4"/>
  <c r="CE106" i="4"/>
  <c r="CF106" i="4"/>
  <c r="CG106" i="4"/>
  <c r="T212" i="1" s="1"/>
  <c r="CH106" i="4"/>
  <c r="U212" i="1" s="1"/>
  <c r="CI106" i="4"/>
  <c r="V212" i="1" s="1"/>
  <c r="CJ106" i="4"/>
  <c r="CK106" i="4"/>
  <c r="X212" i="1" s="1"/>
  <c r="CL106" i="4"/>
  <c r="Y212" i="1" s="1"/>
  <c r="CM106" i="4"/>
  <c r="Z212" i="1" s="1"/>
  <c r="CN106" i="4"/>
  <c r="AA212" i="1" s="1"/>
  <c r="CO106" i="4"/>
  <c r="AB212" i="1" s="1"/>
  <c r="CP106" i="4"/>
  <c r="CQ106" i="4"/>
  <c r="CR106" i="4"/>
  <c r="AE212" i="1" s="1"/>
  <c r="CS106" i="4"/>
  <c r="AF212" i="1" s="1"/>
  <c r="CT106" i="4"/>
  <c r="AG212" i="1" s="1"/>
  <c r="CU106" i="4"/>
  <c r="AH212" i="1" s="1"/>
  <c r="CV106" i="4"/>
  <c r="CW106" i="4"/>
  <c r="AJ212" i="1" s="1"/>
  <c r="CX106" i="4"/>
  <c r="CY106" i="4"/>
  <c r="CZ106" i="4"/>
  <c r="DA106" i="4"/>
  <c r="AN212" i="1" s="1"/>
  <c r="DB106" i="4"/>
  <c r="DC106" i="4"/>
  <c r="DD106" i="4"/>
  <c r="DE106" i="4"/>
  <c r="DF106" i="4"/>
  <c r="AS212" i="1" s="1"/>
  <c r="DG106" i="4"/>
  <c r="AT212" i="1" s="1"/>
  <c r="DH106" i="4"/>
  <c r="AU212" i="1" s="1"/>
  <c r="DI106" i="4"/>
  <c r="AV212" i="1" s="1"/>
  <c r="DJ106" i="4"/>
  <c r="AW212" i="1" s="1"/>
  <c r="DK106" i="4"/>
  <c r="DL106" i="4"/>
  <c r="DM106" i="4"/>
  <c r="AZ212" i="1" s="1"/>
  <c r="DN106" i="4"/>
  <c r="DO106" i="4"/>
  <c r="DP106" i="4"/>
  <c r="DQ106" i="4"/>
  <c r="BD212" i="1" s="1"/>
  <c r="DR106" i="4"/>
  <c r="DS106" i="4"/>
  <c r="BF212" i="1" s="1"/>
  <c r="DT106" i="4"/>
  <c r="BG212" i="1" s="1"/>
  <c r="DU106" i="4"/>
  <c r="BH212" i="1" s="1"/>
  <c r="DV106" i="4"/>
  <c r="BI212" i="1" s="1"/>
  <c r="DW106" i="4"/>
  <c r="BJ212" i="1" s="1"/>
  <c r="EA106" i="4"/>
  <c r="EB106" i="4"/>
  <c r="EC106" i="4"/>
  <c r="D263" i="1" s="1"/>
  <c r="ED106" i="4"/>
  <c r="EE106" i="4"/>
  <c r="F263" i="1" s="1"/>
  <c r="EF106" i="4"/>
  <c r="G263" i="1" s="1"/>
  <c r="EG106" i="4"/>
  <c r="EH106" i="4"/>
  <c r="EI106" i="4"/>
  <c r="J263" i="1" s="1"/>
  <c r="EJ106" i="4"/>
  <c r="EK106" i="4"/>
  <c r="EL106" i="4"/>
  <c r="EM106" i="4"/>
  <c r="EN106" i="4"/>
  <c r="EO106" i="4"/>
  <c r="EP106" i="4"/>
  <c r="EQ106" i="4"/>
  <c r="ER106" i="4"/>
  <c r="ES106" i="4"/>
  <c r="T263" i="1" s="1"/>
  <c r="ET106" i="4"/>
  <c r="U263" i="1" s="1"/>
  <c r="EU106" i="4"/>
  <c r="V263" i="1" s="1"/>
  <c r="EV106" i="4"/>
  <c r="EW106" i="4"/>
  <c r="X263" i="1" s="1"/>
  <c r="EX106" i="4"/>
  <c r="Y263" i="1" s="1"/>
  <c r="EY106" i="4"/>
  <c r="Z263" i="1" s="1"/>
  <c r="EZ106" i="4"/>
  <c r="AA263" i="1" s="1"/>
  <c r="FA106" i="4"/>
  <c r="AB263" i="1" s="1"/>
  <c r="FB106" i="4"/>
  <c r="FC106" i="4"/>
  <c r="FD106" i="4"/>
  <c r="AE263" i="1" s="1"/>
  <c r="FE106" i="4"/>
  <c r="AF263" i="1" s="1"/>
  <c r="FF106" i="4"/>
  <c r="AG263" i="1" s="1"/>
  <c r="FG106" i="4"/>
  <c r="AH263" i="1" s="1"/>
  <c r="FH106" i="4"/>
  <c r="FI106" i="4"/>
  <c r="AJ263" i="1" s="1"/>
  <c r="FJ106" i="4"/>
  <c r="FK106" i="4"/>
  <c r="FL106" i="4"/>
  <c r="FM106" i="4"/>
  <c r="AN263" i="1" s="1"/>
  <c r="FN106" i="4"/>
  <c r="FO106" i="4"/>
  <c r="FP106" i="4"/>
  <c r="FQ106" i="4"/>
  <c r="FR106" i="4"/>
  <c r="FS106" i="4"/>
  <c r="FT106" i="4"/>
  <c r="AU263" i="1" s="1"/>
  <c r="FU106" i="4"/>
  <c r="FV106" i="4"/>
  <c r="FW106" i="4"/>
  <c r="FX106" i="4"/>
  <c r="FY106" i="4"/>
  <c r="AZ263" i="1" s="1"/>
  <c r="FZ106" i="4"/>
  <c r="GA106" i="4"/>
  <c r="GB106" i="4"/>
  <c r="GC106" i="4"/>
  <c r="BD263" i="1" s="1"/>
  <c r="GD106" i="4"/>
  <c r="GE106" i="4"/>
  <c r="BF263" i="1" s="1"/>
  <c r="GF106" i="4"/>
  <c r="GG106" i="4"/>
  <c r="GH106" i="4"/>
  <c r="GI106" i="4"/>
  <c r="C107" i="4"/>
  <c r="BO107" i="4" s="1"/>
  <c r="D107" i="4"/>
  <c r="AV107" i="4"/>
  <c r="DH107" i="4" s="1"/>
  <c r="AW107" i="4"/>
  <c r="AX107" i="4"/>
  <c r="DJ107" i="4" s="1"/>
  <c r="AY107" i="4"/>
  <c r="BA107" i="4"/>
  <c r="BB107" i="4"/>
  <c r="BC107" i="4"/>
  <c r="BD107" i="4"/>
  <c r="BE107" i="4"/>
  <c r="BF107" i="4"/>
  <c r="BG107" i="4"/>
  <c r="BH107" i="4"/>
  <c r="BI107" i="4"/>
  <c r="BJ107" i="4"/>
  <c r="BK107" i="4"/>
  <c r="BP107" i="4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D107" i="4"/>
  <c r="CE107" i="4"/>
  <c r="CF107" i="4"/>
  <c r="CG107" i="4"/>
  <c r="CH107" i="4"/>
  <c r="CI107" i="4"/>
  <c r="CJ107" i="4"/>
  <c r="CK107" i="4"/>
  <c r="CL107" i="4"/>
  <c r="CM107" i="4"/>
  <c r="CN107" i="4"/>
  <c r="CO107" i="4"/>
  <c r="CP107" i="4"/>
  <c r="CQ107" i="4"/>
  <c r="CR107" i="4"/>
  <c r="CS107" i="4"/>
  <c r="CT107" i="4"/>
  <c r="CU107" i="4"/>
  <c r="CV107" i="4"/>
  <c r="CW107" i="4"/>
  <c r="CX107" i="4"/>
  <c r="CY107" i="4"/>
  <c r="CZ107" i="4"/>
  <c r="DA107" i="4"/>
  <c r="DB107" i="4"/>
  <c r="DC107" i="4"/>
  <c r="DD107" i="4"/>
  <c r="DE107" i="4"/>
  <c r="DF107" i="4"/>
  <c r="DG107" i="4"/>
  <c r="DI107" i="4"/>
  <c r="DK107" i="4"/>
  <c r="DL107" i="4"/>
  <c r="DM107" i="4"/>
  <c r="DN107" i="4"/>
  <c r="DO107" i="4"/>
  <c r="DP107" i="4"/>
  <c r="DQ107" i="4"/>
  <c r="DR107" i="4"/>
  <c r="DS107" i="4"/>
  <c r="DT107" i="4"/>
  <c r="DU107" i="4"/>
  <c r="DV107" i="4"/>
  <c r="DW107" i="4"/>
  <c r="EB107" i="4"/>
  <c r="ED107" i="4"/>
  <c r="EE107" i="4"/>
  <c r="EF107" i="4"/>
  <c r="EG107" i="4"/>
  <c r="EH107" i="4"/>
  <c r="EI107" i="4"/>
  <c r="EJ107" i="4"/>
  <c r="EK107" i="4"/>
  <c r="EL107" i="4"/>
  <c r="EM107" i="4"/>
  <c r="EN107" i="4"/>
  <c r="EO107" i="4"/>
  <c r="EP107" i="4"/>
  <c r="EQ107" i="4"/>
  <c r="ER107" i="4"/>
  <c r="ES107" i="4"/>
  <c r="ET107" i="4"/>
  <c r="EU107" i="4"/>
  <c r="EV107" i="4"/>
  <c r="EW107" i="4"/>
  <c r="EX107" i="4"/>
  <c r="EY107" i="4"/>
  <c r="EZ107" i="4"/>
  <c r="FA107" i="4"/>
  <c r="FB107" i="4"/>
  <c r="FC107" i="4"/>
  <c r="FD107" i="4"/>
  <c r="FE107" i="4"/>
  <c r="FF107" i="4"/>
  <c r="FG107" i="4"/>
  <c r="FH107" i="4"/>
  <c r="FI107" i="4"/>
  <c r="FJ107" i="4"/>
  <c r="FK107" i="4"/>
  <c r="FL107" i="4"/>
  <c r="FM107" i="4"/>
  <c r="FN107" i="4"/>
  <c r="FO107" i="4"/>
  <c r="FP107" i="4"/>
  <c r="FQ107" i="4"/>
  <c r="FR107" i="4"/>
  <c r="FS107" i="4"/>
  <c r="FT107" i="4"/>
  <c r="FU107" i="4"/>
  <c r="FV107" i="4"/>
  <c r="FW107" i="4"/>
  <c r="FX107" i="4"/>
  <c r="FY107" i="4"/>
  <c r="FZ107" i="4"/>
  <c r="GA107" i="4"/>
  <c r="GB107" i="4"/>
  <c r="GC107" i="4"/>
  <c r="GD107" i="4"/>
  <c r="GE107" i="4"/>
  <c r="GF107" i="4"/>
  <c r="GG107" i="4"/>
  <c r="GH107" i="4"/>
  <c r="GI107" i="4"/>
  <c r="C108" i="4"/>
  <c r="B163" i="1" s="1"/>
  <c r="D108" i="4"/>
  <c r="C163" i="1" s="1"/>
  <c r="E108" i="4"/>
  <c r="BQ108" i="4" s="1"/>
  <c r="D214" i="1" s="1"/>
  <c r="AV108" i="4"/>
  <c r="DH108" i="4" s="1"/>
  <c r="AU214" i="1" s="1"/>
  <c r="AW108" i="4"/>
  <c r="AX108" i="4"/>
  <c r="DJ108" i="4" s="1"/>
  <c r="AW214" i="1" s="1"/>
  <c r="AY108" i="4"/>
  <c r="AX163" i="1" s="1"/>
  <c r="BA108" i="4"/>
  <c r="BB108" i="4"/>
  <c r="BA163" i="1" s="1"/>
  <c r="BC108" i="4"/>
  <c r="BB163" i="1" s="1"/>
  <c r="BD108" i="4"/>
  <c r="BC163" i="1" s="1"/>
  <c r="BE108" i="4"/>
  <c r="BF108" i="4"/>
  <c r="BE163" i="1" s="1"/>
  <c r="BG108" i="4"/>
  <c r="GE108" i="4" s="1"/>
  <c r="BF265" i="1" s="1"/>
  <c r="BH108" i="4"/>
  <c r="BI108" i="4"/>
  <c r="BJ108" i="4"/>
  <c r="BK108" i="4"/>
  <c r="BO108" i="4"/>
  <c r="BP108" i="4"/>
  <c r="BS108" i="4"/>
  <c r="F214" i="1" s="1"/>
  <c r="BT108" i="4"/>
  <c r="G214" i="1" s="1"/>
  <c r="BU108" i="4"/>
  <c r="BV108" i="4"/>
  <c r="BW108" i="4"/>
  <c r="J214" i="1" s="1"/>
  <c r="BX108" i="4"/>
  <c r="BY108" i="4"/>
  <c r="L214" i="1" s="1"/>
  <c r="BZ108" i="4"/>
  <c r="CA108" i="4"/>
  <c r="N214" i="1" s="1"/>
  <c r="CB108" i="4"/>
  <c r="O214" i="1" s="1"/>
  <c r="CC108" i="4"/>
  <c r="P214" i="1" s="1"/>
  <c r="CD108" i="4"/>
  <c r="CE108" i="4"/>
  <c r="CF108" i="4"/>
  <c r="CG108" i="4"/>
  <c r="T214" i="1" s="1"/>
  <c r="CH108" i="4"/>
  <c r="U214" i="1" s="1"/>
  <c r="CI108" i="4"/>
  <c r="V214" i="1" s="1"/>
  <c r="CJ108" i="4"/>
  <c r="CK108" i="4"/>
  <c r="X214" i="1" s="1"/>
  <c r="CL108" i="4"/>
  <c r="Y214" i="1" s="1"/>
  <c r="CM108" i="4"/>
  <c r="Z214" i="1" s="1"/>
  <c r="CN108" i="4"/>
  <c r="AA214" i="1" s="1"/>
  <c r="CO108" i="4"/>
  <c r="AB214" i="1" s="1"/>
  <c r="CP108" i="4"/>
  <c r="CQ108" i="4"/>
  <c r="CR108" i="4"/>
  <c r="AE214" i="1" s="1"/>
  <c r="CS108" i="4"/>
  <c r="AF214" i="1" s="1"/>
  <c r="CT108" i="4"/>
  <c r="AG214" i="1" s="1"/>
  <c r="CU108" i="4"/>
  <c r="AH214" i="1" s="1"/>
  <c r="CV108" i="4"/>
  <c r="CW108" i="4"/>
  <c r="AJ214" i="1" s="1"/>
  <c r="CX108" i="4"/>
  <c r="CY108" i="4"/>
  <c r="CZ108" i="4"/>
  <c r="DA108" i="4"/>
  <c r="AN214" i="1" s="1"/>
  <c r="DB108" i="4"/>
  <c r="DC108" i="4"/>
  <c r="DD108" i="4"/>
  <c r="DE108" i="4"/>
  <c r="DF108" i="4"/>
  <c r="AS214" i="1" s="1"/>
  <c r="DG108" i="4"/>
  <c r="AT214" i="1" s="1"/>
  <c r="DI108" i="4"/>
  <c r="AV214" i="1" s="1"/>
  <c r="DK108" i="4"/>
  <c r="DL108" i="4"/>
  <c r="DM108" i="4"/>
  <c r="AZ214" i="1" s="1"/>
  <c r="DN108" i="4"/>
  <c r="DO108" i="4"/>
  <c r="DP108" i="4"/>
  <c r="DQ108" i="4"/>
  <c r="BD214" i="1" s="1"/>
  <c r="DR108" i="4"/>
  <c r="DS108" i="4"/>
  <c r="BF214" i="1" s="1"/>
  <c r="DT108" i="4"/>
  <c r="BG214" i="1" s="1"/>
  <c r="DU108" i="4"/>
  <c r="BH214" i="1" s="1"/>
  <c r="DV108" i="4"/>
  <c r="BI214" i="1" s="1"/>
  <c r="DW108" i="4"/>
  <c r="BJ214" i="1" s="1"/>
  <c r="EA108" i="4"/>
  <c r="EB108" i="4"/>
  <c r="EC108" i="4"/>
  <c r="D265" i="1" s="1"/>
  <c r="ED108" i="4"/>
  <c r="EE108" i="4"/>
  <c r="F265" i="1" s="1"/>
  <c r="EF108" i="4"/>
  <c r="G265" i="1" s="1"/>
  <c r="EG108" i="4"/>
  <c r="EH108" i="4"/>
  <c r="EI108" i="4"/>
  <c r="J265" i="1" s="1"/>
  <c r="EJ108" i="4"/>
  <c r="EK108" i="4"/>
  <c r="EL108" i="4"/>
  <c r="EM108" i="4"/>
  <c r="EN108" i="4"/>
  <c r="EO108" i="4"/>
  <c r="EP108" i="4"/>
  <c r="EQ108" i="4"/>
  <c r="ER108" i="4"/>
  <c r="ES108" i="4"/>
  <c r="T265" i="1" s="1"/>
  <c r="ET108" i="4"/>
  <c r="U265" i="1" s="1"/>
  <c r="EU108" i="4"/>
  <c r="V265" i="1" s="1"/>
  <c r="EV108" i="4"/>
  <c r="EW108" i="4"/>
  <c r="X265" i="1" s="1"/>
  <c r="EX108" i="4"/>
  <c r="Y265" i="1" s="1"/>
  <c r="EY108" i="4"/>
  <c r="Z265" i="1" s="1"/>
  <c r="EZ108" i="4"/>
  <c r="AA265" i="1" s="1"/>
  <c r="FA108" i="4"/>
  <c r="AB265" i="1" s="1"/>
  <c r="FB108" i="4"/>
  <c r="FC108" i="4"/>
  <c r="FD108" i="4"/>
  <c r="AE265" i="1" s="1"/>
  <c r="FE108" i="4"/>
  <c r="AF265" i="1" s="1"/>
  <c r="FF108" i="4"/>
  <c r="AG265" i="1" s="1"/>
  <c r="FG108" i="4"/>
  <c r="AH265" i="1" s="1"/>
  <c r="FH108" i="4"/>
  <c r="FI108" i="4"/>
  <c r="AJ265" i="1" s="1"/>
  <c r="FJ108" i="4"/>
  <c r="FK108" i="4"/>
  <c r="FL108" i="4"/>
  <c r="FM108" i="4"/>
  <c r="AN265" i="1" s="1"/>
  <c r="FN108" i="4"/>
  <c r="FO108" i="4"/>
  <c r="FP108" i="4"/>
  <c r="FQ108" i="4"/>
  <c r="FR108" i="4"/>
  <c r="FS108" i="4"/>
  <c r="FT108" i="4"/>
  <c r="AU265" i="1" s="1"/>
  <c r="FU108" i="4"/>
  <c r="FV108" i="4"/>
  <c r="FW108" i="4"/>
  <c r="FX108" i="4"/>
  <c r="FY108" i="4"/>
  <c r="AZ265" i="1" s="1"/>
  <c r="FZ108" i="4"/>
  <c r="GA108" i="4"/>
  <c r="GB108" i="4"/>
  <c r="GC108" i="4"/>
  <c r="BD265" i="1" s="1"/>
  <c r="GD108" i="4"/>
  <c r="GF108" i="4"/>
  <c r="GG108" i="4"/>
  <c r="GH108" i="4"/>
  <c r="GI108" i="4"/>
  <c r="C109" i="4"/>
  <c r="BO109" i="4" s="1"/>
  <c r="D109" i="4"/>
  <c r="BP109" i="4" s="1"/>
  <c r="E109" i="4"/>
  <c r="F109" i="4"/>
  <c r="AV109" i="4"/>
  <c r="AW109" i="4"/>
  <c r="DI109" i="4" s="1"/>
  <c r="AX109" i="4"/>
  <c r="AY109" i="4"/>
  <c r="BA109" i="4"/>
  <c r="BB109" i="4"/>
  <c r="BC109" i="4"/>
  <c r="BD109" i="4"/>
  <c r="BE109" i="4"/>
  <c r="BF109" i="4"/>
  <c r="BG109" i="4"/>
  <c r="BH109" i="4"/>
  <c r="BI109" i="4"/>
  <c r="BJ109" i="4"/>
  <c r="BK109" i="4"/>
  <c r="BQ109" i="4"/>
  <c r="BR109" i="4"/>
  <c r="BT109" i="4"/>
  <c r="BU109" i="4"/>
  <c r="BV109" i="4"/>
  <c r="BW109" i="4"/>
  <c r="BX109" i="4"/>
  <c r="BY109" i="4"/>
  <c r="BZ109" i="4"/>
  <c r="CA109" i="4"/>
  <c r="CB109" i="4"/>
  <c r="CC109" i="4"/>
  <c r="CD109" i="4"/>
  <c r="CE109" i="4"/>
  <c r="CF109" i="4"/>
  <c r="CG109" i="4"/>
  <c r="CH109" i="4"/>
  <c r="CI109" i="4"/>
  <c r="CJ109" i="4"/>
  <c r="CK109" i="4"/>
  <c r="CL109" i="4"/>
  <c r="CM109" i="4"/>
  <c r="CN109" i="4"/>
  <c r="CO109" i="4"/>
  <c r="CP109" i="4"/>
  <c r="CQ109" i="4"/>
  <c r="CR109" i="4"/>
  <c r="CS109" i="4"/>
  <c r="CT109" i="4"/>
  <c r="CU109" i="4"/>
  <c r="CV109" i="4"/>
  <c r="CW109" i="4"/>
  <c r="CX109" i="4"/>
  <c r="CY109" i="4"/>
  <c r="CZ109" i="4"/>
  <c r="DA109" i="4"/>
  <c r="DB109" i="4"/>
  <c r="DC109" i="4"/>
  <c r="DD109" i="4"/>
  <c r="DE109" i="4"/>
  <c r="DF109" i="4"/>
  <c r="DG109" i="4"/>
  <c r="DH109" i="4"/>
  <c r="DJ109" i="4"/>
  <c r="DK109" i="4"/>
  <c r="DL109" i="4"/>
  <c r="DM109" i="4"/>
  <c r="DN109" i="4"/>
  <c r="DO109" i="4"/>
  <c r="DP109" i="4"/>
  <c r="DQ109" i="4"/>
  <c r="DR109" i="4"/>
  <c r="DS109" i="4"/>
  <c r="DT109" i="4"/>
  <c r="DU109" i="4"/>
  <c r="DV109" i="4"/>
  <c r="DW109" i="4"/>
  <c r="EA109" i="4"/>
  <c r="EC109" i="4"/>
  <c r="ED109" i="4"/>
  <c r="EF109" i="4"/>
  <c r="EG109" i="4"/>
  <c r="EH109" i="4"/>
  <c r="EI109" i="4"/>
  <c r="EJ109" i="4"/>
  <c r="EK109" i="4"/>
  <c r="EL109" i="4"/>
  <c r="EM109" i="4"/>
  <c r="EN109" i="4"/>
  <c r="EO109" i="4"/>
  <c r="EP109" i="4"/>
  <c r="EQ109" i="4"/>
  <c r="ER109" i="4"/>
  <c r="ES109" i="4"/>
  <c r="ET109" i="4"/>
  <c r="EU109" i="4"/>
  <c r="EV109" i="4"/>
  <c r="EW109" i="4"/>
  <c r="EX109" i="4"/>
  <c r="EY109" i="4"/>
  <c r="EZ109" i="4"/>
  <c r="FA109" i="4"/>
  <c r="FB109" i="4"/>
  <c r="FC109" i="4"/>
  <c r="FD109" i="4"/>
  <c r="FE109" i="4"/>
  <c r="FF109" i="4"/>
  <c r="FG109" i="4"/>
  <c r="FH109" i="4"/>
  <c r="FI109" i="4"/>
  <c r="FJ109" i="4"/>
  <c r="FK109" i="4"/>
  <c r="FL109" i="4"/>
  <c r="FM109" i="4"/>
  <c r="FN109" i="4"/>
  <c r="FO109" i="4"/>
  <c r="FP109" i="4"/>
  <c r="FQ109" i="4"/>
  <c r="FR109" i="4"/>
  <c r="FS109" i="4"/>
  <c r="FT109" i="4"/>
  <c r="FV109" i="4"/>
  <c r="FW109" i="4"/>
  <c r="FX109" i="4"/>
  <c r="FY109" i="4"/>
  <c r="FZ109" i="4"/>
  <c r="GA109" i="4"/>
  <c r="GB109" i="4"/>
  <c r="GC109" i="4"/>
  <c r="GD109" i="4"/>
  <c r="GE109" i="4"/>
  <c r="GF109" i="4"/>
  <c r="GG109" i="4"/>
  <c r="GH109" i="4"/>
  <c r="GI109" i="4"/>
  <c r="C110" i="4"/>
  <c r="D110" i="4"/>
  <c r="E110" i="4"/>
  <c r="F110" i="4"/>
  <c r="G110" i="4"/>
  <c r="AV110" i="4"/>
  <c r="AW110" i="4"/>
  <c r="DI110" i="4" s="1"/>
  <c r="AX110" i="4"/>
  <c r="AY110" i="4"/>
  <c r="BA110" i="4"/>
  <c r="BB110" i="4"/>
  <c r="BC110" i="4"/>
  <c r="BD110" i="4"/>
  <c r="BE110" i="4"/>
  <c r="BF110" i="4"/>
  <c r="BG110" i="4"/>
  <c r="BH110" i="4"/>
  <c r="BI110" i="4"/>
  <c r="BJ110" i="4"/>
  <c r="BK110" i="4"/>
  <c r="BO110" i="4"/>
  <c r="BP110" i="4"/>
  <c r="BQ110" i="4"/>
  <c r="BR110" i="4"/>
  <c r="BS110" i="4"/>
  <c r="BU110" i="4"/>
  <c r="BV110" i="4"/>
  <c r="BW110" i="4"/>
  <c r="BX110" i="4"/>
  <c r="BY110" i="4"/>
  <c r="BZ110" i="4"/>
  <c r="CA110" i="4"/>
  <c r="CB110" i="4"/>
  <c r="CC110" i="4"/>
  <c r="CD110" i="4"/>
  <c r="CE110" i="4"/>
  <c r="CF110" i="4"/>
  <c r="CG110" i="4"/>
  <c r="CH110" i="4"/>
  <c r="CI110" i="4"/>
  <c r="CJ110" i="4"/>
  <c r="CK110" i="4"/>
  <c r="CL110" i="4"/>
  <c r="CM110" i="4"/>
  <c r="CN110" i="4"/>
  <c r="CO110" i="4"/>
  <c r="CP110" i="4"/>
  <c r="CQ110" i="4"/>
  <c r="CR110" i="4"/>
  <c r="CS110" i="4"/>
  <c r="CT110" i="4"/>
  <c r="CU110" i="4"/>
  <c r="CV110" i="4"/>
  <c r="CW110" i="4"/>
  <c r="CX110" i="4"/>
  <c r="CY110" i="4"/>
  <c r="CZ110" i="4"/>
  <c r="DA110" i="4"/>
  <c r="DB110" i="4"/>
  <c r="DC110" i="4"/>
  <c r="DD110" i="4"/>
  <c r="DE110" i="4"/>
  <c r="DF110" i="4"/>
  <c r="DG110" i="4"/>
  <c r="DH110" i="4"/>
  <c r="DJ110" i="4"/>
  <c r="DK110" i="4"/>
  <c r="DL110" i="4"/>
  <c r="DM110" i="4"/>
  <c r="DN110" i="4"/>
  <c r="DO110" i="4"/>
  <c r="DP110" i="4"/>
  <c r="DQ110" i="4"/>
  <c r="DR110" i="4"/>
  <c r="DS110" i="4"/>
  <c r="DT110" i="4"/>
  <c r="DU110" i="4"/>
  <c r="DV110" i="4"/>
  <c r="DW110" i="4"/>
  <c r="EA110" i="4"/>
  <c r="EB110" i="4"/>
  <c r="EC110" i="4"/>
  <c r="ED110" i="4"/>
  <c r="EE110" i="4"/>
  <c r="EG110" i="4"/>
  <c r="EH110" i="4"/>
  <c r="EI110" i="4"/>
  <c r="EJ110" i="4"/>
  <c r="EK110" i="4"/>
  <c r="EL110" i="4"/>
  <c r="EM110" i="4"/>
  <c r="EN110" i="4"/>
  <c r="EO110" i="4"/>
  <c r="EP110" i="4"/>
  <c r="EQ110" i="4"/>
  <c r="ER110" i="4"/>
  <c r="ES110" i="4"/>
  <c r="ET110" i="4"/>
  <c r="EU110" i="4"/>
  <c r="EV110" i="4"/>
  <c r="EW110" i="4"/>
  <c r="EX110" i="4"/>
  <c r="EY110" i="4"/>
  <c r="EZ110" i="4"/>
  <c r="FA110" i="4"/>
  <c r="FB110" i="4"/>
  <c r="FC110" i="4"/>
  <c r="FD110" i="4"/>
  <c r="FE110" i="4"/>
  <c r="FF110" i="4"/>
  <c r="FG110" i="4"/>
  <c r="FH110" i="4"/>
  <c r="FI110" i="4"/>
  <c r="FJ110" i="4"/>
  <c r="FK110" i="4"/>
  <c r="FL110" i="4"/>
  <c r="FM110" i="4"/>
  <c r="FN110" i="4"/>
  <c r="FO110" i="4"/>
  <c r="FP110" i="4"/>
  <c r="FQ110" i="4"/>
  <c r="FR110" i="4"/>
  <c r="FS110" i="4"/>
  <c r="FT110" i="4"/>
  <c r="FV110" i="4"/>
  <c r="FW110" i="4"/>
  <c r="FX110" i="4"/>
  <c r="FY110" i="4"/>
  <c r="FZ110" i="4"/>
  <c r="GA110" i="4"/>
  <c r="GB110" i="4"/>
  <c r="GC110" i="4"/>
  <c r="GD110" i="4"/>
  <c r="GE110" i="4"/>
  <c r="GF110" i="4"/>
  <c r="GG110" i="4"/>
  <c r="GH110" i="4"/>
  <c r="GI110" i="4"/>
  <c r="C111" i="4"/>
  <c r="B166" i="1" s="1"/>
  <c r="D111" i="4"/>
  <c r="C166" i="1" s="1"/>
  <c r="E111" i="4"/>
  <c r="BQ111" i="4" s="1"/>
  <c r="D217" i="1" s="1"/>
  <c r="F111" i="4"/>
  <c r="E166" i="1" s="1"/>
  <c r="G111" i="4"/>
  <c r="H111" i="4"/>
  <c r="AV111" i="4"/>
  <c r="DH111" i="4" s="1"/>
  <c r="AU217" i="1" s="1"/>
  <c r="AW111" i="4"/>
  <c r="AX111" i="4"/>
  <c r="AY111" i="4"/>
  <c r="AX166" i="1" s="1"/>
  <c r="BA111" i="4"/>
  <c r="FY111" i="4" s="1"/>
  <c r="AZ268" i="1" s="1"/>
  <c r="BB111" i="4"/>
  <c r="BA166" i="1" s="1"/>
  <c r="BC111" i="4"/>
  <c r="BB166" i="1" s="1"/>
  <c r="BD111" i="4"/>
  <c r="BC166" i="1" s="1"/>
  <c r="BE111" i="4"/>
  <c r="GC111" i="4" s="1"/>
  <c r="BD268" i="1" s="1"/>
  <c r="BF111" i="4"/>
  <c r="BE166" i="1" s="1"/>
  <c r="BG111" i="4"/>
  <c r="BH111" i="4"/>
  <c r="BI111" i="4"/>
  <c r="BJ111" i="4"/>
  <c r="BK111" i="4"/>
  <c r="BO111" i="4"/>
  <c r="BP111" i="4"/>
  <c r="BR111" i="4"/>
  <c r="BS111" i="4"/>
  <c r="F217" i="1" s="1"/>
  <c r="BT111" i="4"/>
  <c r="G217" i="1" s="1"/>
  <c r="BV111" i="4"/>
  <c r="BW111" i="4"/>
  <c r="J217" i="1" s="1"/>
  <c r="BX111" i="4"/>
  <c r="BY111" i="4"/>
  <c r="L217" i="1" s="1"/>
  <c r="BZ111" i="4"/>
  <c r="CA111" i="4"/>
  <c r="N217" i="1" s="1"/>
  <c r="CB111" i="4"/>
  <c r="O217" i="1" s="1"/>
  <c r="CC111" i="4"/>
  <c r="P217" i="1" s="1"/>
  <c r="CD111" i="4"/>
  <c r="CE111" i="4"/>
  <c r="CF111" i="4"/>
  <c r="CG111" i="4"/>
  <c r="T217" i="1" s="1"/>
  <c r="CH111" i="4"/>
  <c r="U217" i="1" s="1"/>
  <c r="CI111" i="4"/>
  <c r="V217" i="1" s="1"/>
  <c r="CJ111" i="4"/>
  <c r="CK111" i="4"/>
  <c r="X217" i="1" s="1"/>
  <c r="CL111" i="4"/>
  <c r="Y217" i="1" s="1"/>
  <c r="CM111" i="4"/>
  <c r="Z217" i="1" s="1"/>
  <c r="CN111" i="4"/>
  <c r="AA217" i="1" s="1"/>
  <c r="CO111" i="4"/>
  <c r="AB217" i="1" s="1"/>
  <c r="CP111" i="4"/>
  <c r="CQ111" i="4"/>
  <c r="CR111" i="4"/>
  <c r="AE217" i="1" s="1"/>
  <c r="CS111" i="4"/>
  <c r="AF217" i="1" s="1"/>
  <c r="CT111" i="4"/>
  <c r="AG217" i="1" s="1"/>
  <c r="CU111" i="4"/>
  <c r="AH217" i="1" s="1"/>
  <c r="CV111" i="4"/>
  <c r="CW111" i="4"/>
  <c r="AJ217" i="1" s="1"/>
  <c r="CX111" i="4"/>
  <c r="CY111" i="4"/>
  <c r="CZ111" i="4"/>
  <c r="DA111" i="4"/>
  <c r="AN217" i="1" s="1"/>
  <c r="DB111" i="4"/>
  <c r="DC111" i="4"/>
  <c r="DD111" i="4"/>
  <c r="DE111" i="4"/>
  <c r="DF111" i="4"/>
  <c r="AS217" i="1" s="1"/>
  <c r="DG111" i="4"/>
  <c r="AT217" i="1" s="1"/>
  <c r="DI111" i="4"/>
  <c r="AV217" i="1" s="1"/>
  <c r="DJ111" i="4"/>
  <c r="AW217" i="1" s="1"/>
  <c r="DK111" i="4"/>
  <c r="DL111" i="4"/>
  <c r="DM111" i="4"/>
  <c r="AZ217" i="1" s="1"/>
  <c r="DN111" i="4"/>
  <c r="DO111" i="4"/>
  <c r="DP111" i="4"/>
  <c r="DQ111" i="4"/>
  <c r="BD217" i="1" s="1"/>
  <c r="DR111" i="4"/>
  <c r="DS111" i="4"/>
  <c r="BF217" i="1" s="1"/>
  <c r="DT111" i="4"/>
  <c r="BG217" i="1" s="1"/>
  <c r="DU111" i="4"/>
  <c r="BH217" i="1" s="1"/>
  <c r="DV111" i="4"/>
  <c r="BI217" i="1" s="1"/>
  <c r="DW111" i="4"/>
  <c r="BJ217" i="1" s="1"/>
  <c r="EA111" i="4"/>
  <c r="EB111" i="4"/>
  <c r="ED111" i="4"/>
  <c r="EE111" i="4"/>
  <c r="F268" i="1" s="1"/>
  <c r="EF111" i="4"/>
  <c r="G268" i="1" s="1"/>
  <c r="EG111" i="4"/>
  <c r="EH111" i="4"/>
  <c r="EI111" i="4"/>
  <c r="J268" i="1" s="1"/>
  <c r="EJ111" i="4"/>
  <c r="EK111" i="4"/>
  <c r="EL111" i="4"/>
  <c r="EM111" i="4"/>
  <c r="EN111" i="4"/>
  <c r="EO111" i="4"/>
  <c r="EP111" i="4"/>
  <c r="EQ111" i="4"/>
  <c r="ER111" i="4"/>
  <c r="ES111" i="4"/>
  <c r="T268" i="1" s="1"/>
  <c r="ET111" i="4"/>
  <c r="U268" i="1" s="1"/>
  <c r="EU111" i="4"/>
  <c r="V268" i="1" s="1"/>
  <c r="EV111" i="4"/>
  <c r="EW111" i="4"/>
  <c r="X268" i="1" s="1"/>
  <c r="EX111" i="4"/>
  <c r="Y268" i="1" s="1"/>
  <c r="EY111" i="4"/>
  <c r="Z268" i="1" s="1"/>
  <c r="EZ111" i="4"/>
  <c r="AA268" i="1" s="1"/>
  <c r="FA111" i="4"/>
  <c r="AB268" i="1" s="1"/>
  <c r="FB111" i="4"/>
  <c r="FC111" i="4"/>
  <c r="FD111" i="4"/>
  <c r="AE268" i="1" s="1"/>
  <c r="FE111" i="4"/>
  <c r="AF268" i="1" s="1"/>
  <c r="FF111" i="4"/>
  <c r="AG268" i="1" s="1"/>
  <c r="FG111" i="4"/>
  <c r="AH268" i="1" s="1"/>
  <c r="FH111" i="4"/>
  <c r="FI111" i="4"/>
  <c r="AJ268" i="1" s="1"/>
  <c r="FJ111" i="4"/>
  <c r="FK111" i="4"/>
  <c r="FL111" i="4"/>
  <c r="FM111" i="4"/>
  <c r="AN268" i="1" s="1"/>
  <c r="FN111" i="4"/>
  <c r="FO111" i="4"/>
  <c r="FP111" i="4"/>
  <c r="FQ111" i="4"/>
  <c r="FR111" i="4"/>
  <c r="FS111" i="4"/>
  <c r="FT111" i="4"/>
  <c r="AU268" i="1" s="1"/>
  <c r="FU111" i="4"/>
  <c r="FV111" i="4"/>
  <c r="FW111" i="4"/>
  <c r="FX111" i="4"/>
  <c r="FZ111" i="4"/>
  <c r="GA111" i="4"/>
  <c r="GB111" i="4"/>
  <c r="GD111" i="4"/>
  <c r="GE111" i="4"/>
  <c r="BF268" i="1" s="1"/>
  <c r="GF111" i="4"/>
  <c r="GG111" i="4"/>
  <c r="GH111" i="4"/>
  <c r="GI111" i="4"/>
  <c r="C112" i="4"/>
  <c r="B167" i="1" s="1"/>
  <c r="D112" i="4"/>
  <c r="C167" i="1" s="1"/>
  <c r="E112" i="4"/>
  <c r="F112" i="4"/>
  <c r="E167" i="1" s="1"/>
  <c r="G112" i="4"/>
  <c r="BS112" i="4" s="1"/>
  <c r="F218" i="1" s="1"/>
  <c r="I112" i="4"/>
  <c r="H167" i="1" s="1"/>
  <c r="AV112" i="4"/>
  <c r="AW112" i="4"/>
  <c r="AX112" i="4"/>
  <c r="DJ112" i="4" s="1"/>
  <c r="AW218" i="1" s="1"/>
  <c r="AY112" i="4"/>
  <c r="AX167" i="1" s="1"/>
  <c r="BA112" i="4"/>
  <c r="BB112" i="4"/>
  <c r="BA167" i="1" s="1"/>
  <c r="BC112" i="4"/>
  <c r="BB167" i="1" s="1"/>
  <c r="BD112" i="4"/>
  <c r="BC167" i="1" s="1"/>
  <c r="BE112" i="4"/>
  <c r="BF112" i="4"/>
  <c r="BE167" i="1" s="1"/>
  <c r="BG112" i="4"/>
  <c r="GE112" i="4" s="1"/>
  <c r="BF269" i="1" s="1"/>
  <c r="BH112" i="4"/>
  <c r="BI112" i="4"/>
  <c r="BJ112" i="4"/>
  <c r="BK112" i="4"/>
  <c r="BO112" i="4"/>
  <c r="BP112" i="4"/>
  <c r="BQ112" i="4"/>
  <c r="D218" i="1" s="1"/>
  <c r="BR112" i="4"/>
  <c r="BT112" i="4"/>
  <c r="G218" i="1" s="1"/>
  <c r="BU112" i="4"/>
  <c r="BW112" i="4"/>
  <c r="J218" i="1" s="1"/>
  <c r="BX112" i="4"/>
  <c r="BY112" i="4"/>
  <c r="L218" i="1" s="1"/>
  <c r="BZ112" i="4"/>
  <c r="CA112" i="4"/>
  <c r="N218" i="1" s="1"/>
  <c r="CB112" i="4"/>
  <c r="O218" i="1" s="1"/>
  <c r="CC112" i="4"/>
  <c r="P218" i="1" s="1"/>
  <c r="CD112" i="4"/>
  <c r="CE112" i="4"/>
  <c r="CF112" i="4"/>
  <c r="CG112" i="4"/>
  <c r="T218" i="1" s="1"/>
  <c r="CH112" i="4"/>
  <c r="U218" i="1" s="1"/>
  <c r="CI112" i="4"/>
  <c r="V218" i="1" s="1"/>
  <c r="CJ112" i="4"/>
  <c r="CK112" i="4"/>
  <c r="X218" i="1" s="1"/>
  <c r="CL112" i="4"/>
  <c r="Y218" i="1" s="1"/>
  <c r="CM112" i="4"/>
  <c r="Z218" i="1" s="1"/>
  <c r="CN112" i="4"/>
  <c r="AA218" i="1" s="1"/>
  <c r="CO112" i="4"/>
  <c r="AB218" i="1" s="1"/>
  <c r="CP112" i="4"/>
  <c r="CQ112" i="4"/>
  <c r="CR112" i="4"/>
  <c r="AE218" i="1" s="1"/>
  <c r="CS112" i="4"/>
  <c r="AF218" i="1" s="1"/>
  <c r="CT112" i="4"/>
  <c r="AG218" i="1" s="1"/>
  <c r="CU112" i="4"/>
  <c r="AH218" i="1" s="1"/>
  <c r="CV112" i="4"/>
  <c r="CW112" i="4"/>
  <c r="AJ218" i="1" s="1"/>
  <c r="CX112" i="4"/>
  <c r="CY112" i="4"/>
  <c r="CZ112" i="4"/>
  <c r="DA112" i="4"/>
  <c r="AN218" i="1" s="1"/>
  <c r="DB112" i="4"/>
  <c r="DC112" i="4"/>
  <c r="DD112" i="4"/>
  <c r="DE112" i="4"/>
  <c r="DF112" i="4"/>
  <c r="AS218" i="1" s="1"/>
  <c r="DG112" i="4"/>
  <c r="AT218" i="1" s="1"/>
  <c r="DH112" i="4"/>
  <c r="AU218" i="1" s="1"/>
  <c r="DI112" i="4"/>
  <c r="AV218" i="1" s="1"/>
  <c r="DK112" i="4"/>
  <c r="DL112" i="4"/>
  <c r="DM112" i="4"/>
  <c r="AZ218" i="1" s="1"/>
  <c r="DN112" i="4"/>
  <c r="DO112" i="4"/>
  <c r="DP112" i="4"/>
  <c r="DQ112" i="4"/>
  <c r="BD218" i="1" s="1"/>
  <c r="DR112" i="4"/>
  <c r="DS112" i="4"/>
  <c r="BF218" i="1" s="1"/>
  <c r="DT112" i="4"/>
  <c r="BG218" i="1" s="1"/>
  <c r="DU112" i="4"/>
  <c r="BH218" i="1" s="1"/>
  <c r="DV112" i="4"/>
  <c r="BI218" i="1" s="1"/>
  <c r="DW112" i="4"/>
  <c r="BJ218" i="1" s="1"/>
  <c r="EA112" i="4"/>
  <c r="EB112" i="4"/>
  <c r="EC112" i="4"/>
  <c r="D269" i="1" s="1"/>
  <c r="ED112" i="4"/>
  <c r="EF112" i="4"/>
  <c r="G269" i="1" s="1"/>
  <c r="EG112" i="4"/>
  <c r="EH112" i="4"/>
  <c r="EI112" i="4"/>
  <c r="J269" i="1" s="1"/>
  <c r="EJ112" i="4"/>
  <c r="EK112" i="4"/>
  <c r="EL112" i="4"/>
  <c r="EM112" i="4"/>
  <c r="EN112" i="4"/>
  <c r="EO112" i="4"/>
  <c r="EP112" i="4"/>
  <c r="EQ112" i="4"/>
  <c r="ER112" i="4"/>
  <c r="ES112" i="4"/>
  <c r="T269" i="1" s="1"/>
  <c r="ET112" i="4"/>
  <c r="U269" i="1" s="1"/>
  <c r="EU112" i="4"/>
  <c r="V269" i="1" s="1"/>
  <c r="EV112" i="4"/>
  <c r="EW112" i="4"/>
  <c r="X269" i="1" s="1"/>
  <c r="EX112" i="4"/>
  <c r="Y269" i="1" s="1"/>
  <c r="EY112" i="4"/>
  <c r="Z269" i="1" s="1"/>
  <c r="EZ112" i="4"/>
  <c r="AA269" i="1" s="1"/>
  <c r="FA112" i="4"/>
  <c r="AB269" i="1" s="1"/>
  <c r="FB112" i="4"/>
  <c r="FC112" i="4"/>
  <c r="FD112" i="4"/>
  <c r="AE269" i="1" s="1"/>
  <c r="FE112" i="4"/>
  <c r="AF269" i="1" s="1"/>
  <c r="FF112" i="4"/>
  <c r="AG269" i="1" s="1"/>
  <c r="FG112" i="4"/>
  <c r="AH269" i="1" s="1"/>
  <c r="FH112" i="4"/>
  <c r="FI112" i="4"/>
  <c r="AJ269" i="1" s="1"/>
  <c r="FJ112" i="4"/>
  <c r="FK112" i="4"/>
  <c r="FL112" i="4"/>
  <c r="FM112" i="4"/>
  <c r="AN269" i="1" s="1"/>
  <c r="FN112" i="4"/>
  <c r="FO112" i="4"/>
  <c r="FP112" i="4"/>
  <c r="FQ112" i="4"/>
  <c r="FR112" i="4"/>
  <c r="FS112" i="4"/>
  <c r="FT112" i="4"/>
  <c r="AU269" i="1" s="1"/>
  <c r="FU112" i="4"/>
  <c r="FV112" i="4"/>
  <c r="FW112" i="4"/>
  <c r="FX112" i="4"/>
  <c r="FY112" i="4"/>
  <c r="AZ269" i="1" s="1"/>
  <c r="FZ112" i="4"/>
  <c r="GA112" i="4"/>
  <c r="GB112" i="4"/>
  <c r="GC112" i="4"/>
  <c r="BD269" i="1" s="1"/>
  <c r="GD112" i="4"/>
  <c r="GF112" i="4"/>
  <c r="GG112" i="4"/>
  <c r="GH112" i="4"/>
  <c r="GI112" i="4"/>
  <c r="C113" i="4"/>
  <c r="BO113" i="4" s="1"/>
  <c r="D113" i="4"/>
  <c r="E113" i="4"/>
  <c r="BQ113" i="4" s="1"/>
  <c r="F113" i="4"/>
  <c r="G113" i="4"/>
  <c r="BS113" i="4" s="1"/>
  <c r="H113" i="4"/>
  <c r="I113" i="4"/>
  <c r="BU113" i="4" s="1"/>
  <c r="J113" i="4"/>
  <c r="AV113" i="4"/>
  <c r="AW113" i="4"/>
  <c r="AX113" i="4"/>
  <c r="DJ113" i="4" s="1"/>
  <c r="AY113" i="4"/>
  <c r="BA113" i="4"/>
  <c r="BB113" i="4"/>
  <c r="BC113" i="4"/>
  <c r="BD113" i="4"/>
  <c r="BE113" i="4"/>
  <c r="BF113" i="4"/>
  <c r="BG113" i="4"/>
  <c r="BH113" i="4"/>
  <c r="BI113" i="4"/>
  <c r="BJ113" i="4"/>
  <c r="BK113" i="4"/>
  <c r="BP113" i="4"/>
  <c r="BR113" i="4"/>
  <c r="BT113" i="4"/>
  <c r="BV113" i="4"/>
  <c r="BX113" i="4"/>
  <c r="BY113" i="4"/>
  <c r="BZ113" i="4"/>
  <c r="CA113" i="4"/>
  <c r="CB113" i="4"/>
  <c r="CC113" i="4"/>
  <c r="CD113" i="4"/>
  <c r="CE113" i="4"/>
  <c r="CF113" i="4"/>
  <c r="CG113" i="4"/>
  <c r="CH113" i="4"/>
  <c r="CI113" i="4"/>
  <c r="CJ113" i="4"/>
  <c r="CK113" i="4"/>
  <c r="CL113" i="4"/>
  <c r="CM113" i="4"/>
  <c r="CN113" i="4"/>
  <c r="CO113" i="4"/>
  <c r="CP113" i="4"/>
  <c r="CQ113" i="4"/>
  <c r="CR113" i="4"/>
  <c r="CS113" i="4"/>
  <c r="CT113" i="4"/>
  <c r="CU113" i="4"/>
  <c r="CV113" i="4"/>
  <c r="CW113" i="4"/>
  <c r="CX113" i="4"/>
  <c r="CY113" i="4"/>
  <c r="CZ113" i="4"/>
  <c r="DA113" i="4"/>
  <c r="DB113" i="4"/>
  <c r="DC113" i="4"/>
  <c r="DD113" i="4"/>
  <c r="DE113" i="4"/>
  <c r="DF113" i="4"/>
  <c r="DG113" i="4"/>
  <c r="DH113" i="4"/>
  <c r="DI113" i="4"/>
  <c r="DK113" i="4"/>
  <c r="DL113" i="4"/>
  <c r="DM113" i="4"/>
  <c r="DN113" i="4"/>
  <c r="DO113" i="4"/>
  <c r="DP113" i="4"/>
  <c r="DQ113" i="4"/>
  <c r="DR113" i="4"/>
  <c r="DS113" i="4"/>
  <c r="DT113" i="4"/>
  <c r="DU113" i="4"/>
  <c r="DV113" i="4"/>
  <c r="DW113" i="4"/>
  <c r="EA113" i="4"/>
  <c r="EB113" i="4"/>
  <c r="ED113" i="4"/>
  <c r="EE113" i="4"/>
  <c r="EF113" i="4"/>
  <c r="EH113" i="4"/>
  <c r="EJ113" i="4"/>
  <c r="EK113" i="4"/>
  <c r="EL113" i="4"/>
  <c r="EM113" i="4"/>
  <c r="EN113" i="4"/>
  <c r="EO113" i="4"/>
  <c r="EP113" i="4"/>
  <c r="EQ113" i="4"/>
  <c r="ER113" i="4"/>
  <c r="ES113" i="4"/>
  <c r="ET113" i="4"/>
  <c r="EU113" i="4"/>
  <c r="EV113" i="4"/>
  <c r="EW113" i="4"/>
  <c r="EX113" i="4"/>
  <c r="EY113" i="4"/>
  <c r="EZ113" i="4"/>
  <c r="FA113" i="4"/>
  <c r="FB113" i="4"/>
  <c r="FC113" i="4"/>
  <c r="FD113" i="4"/>
  <c r="FE113" i="4"/>
  <c r="FF113" i="4"/>
  <c r="FG113" i="4"/>
  <c r="FH113" i="4"/>
  <c r="FI113" i="4"/>
  <c r="FJ113" i="4"/>
  <c r="FK113" i="4"/>
  <c r="FL113" i="4"/>
  <c r="FM113" i="4"/>
  <c r="FN113" i="4"/>
  <c r="FO113" i="4"/>
  <c r="FP113" i="4"/>
  <c r="FQ113" i="4"/>
  <c r="FR113" i="4"/>
  <c r="FS113" i="4"/>
  <c r="FT113" i="4"/>
  <c r="FU113" i="4"/>
  <c r="FW113" i="4"/>
  <c r="FX113" i="4"/>
  <c r="FY113" i="4"/>
  <c r="FZ113" i="4"/>
  <c r="GA113" i="4"/>
  <c r="GB113" i="4"/>
  <c r="GC113" i="4"/>
  <c r="GD113" i="4"/>
  <c r="GE113" i="4"/>
  <c r="GF113" i="4"/>
  <c r="GG113" i="4"/>
  <c r="GH113" i="4"/>
  <c r="GI113" i="4"/>
  <c r="C114" i="4"/>
  <c r="B169" i="1" s="1"/>
  <c r="D114" i="4"/>
  <c r="C169" i="1" s="1"/>
  <c r="E114" i="4"/>
  <c r="BQ114" i="4" s="1"/>
  <c r="D220" i="1" s="1"/>
  <c r="F114" i="4"/>
  <c r="E169" i="1" s="1"/>
  <c r="G114" i="4"/>
  <c r="H114" i="4"/>
  <c r="I114" i="4"/>
  <c r="H169" i="1" s="1"/>
  <c r="J114" i="4"/>
  <c r="I169" i="1" s="1"/>
  <c r="AV114" i="4"/>
  <c r="AW114" i="4"/>
  <c r="AX114" i="4"/>
  <c r="AY114" i="4"/>
  <c r="AX169" i="1" s="1"/>
  <c r="BA114" i="4"/>
  <c r="BB114" i="4"/>
  <c r="BA169" i="1" s="1"/>
  <c r="BC114" i="4"/>
  <c r="BB169" i="1" s="1"/>
  <c r="BD114" i="4"/>
  <c r="BC169" i="1" s="1"/>
  <c r="BE114" i="4"/>
  <c r="BF114" i="4"/>
  <c r="BE169" i="1" s="1"/>
  <c r="BG114" i="4"/>
  <c r="BH114" i="4"/>
  <c r="BI114" i="4"/>
  <c r="BJ114" i="4"/>
  <c r="BK114" i="4"/>
  <c r="BO114" i="4"/>
  <c r="BP114" i="4"/>
  <c r="BR114" i="4"/>
  <c r="BS114" i="4"/>
  <c r="F220" i="1" s="1"/>
  <c r="BT114" i="4"/>
  <c r="G220" i="1" s="1"/>
  <c r="BU114" i="4"/>
  <c r="BV114" i="4"/>
  <c r="BW114" i="4"/>
  <c r="J220" i="1" s="1"/>
  <c r="BY114" i="4"/>
  <c r="L220" i="1" s="1"/>
  <c r="BZ114" i="4"/>
  <c r="CA114" i="4"/>
  <c r="N220" i="1" s="1"/>
  <c r="CB114" i="4"/>
  <c r="O220" i="1" s="1"/>
  <c r="CC114" i="4"/>
  <c r="P220" i="1" s="1"/>
  <c r="CD114" i="4"/>
  <c r="CE114" i="4"/>
  <c r="CF114" i="4"/>
  <c r="CG114" i="4"/>
  <c r="T220" i="1" s="1"/>
  <c r="CH114" i="4"/>
  <c r="U220" i="1" s="1"/>
  <c r="CI114" i="4"/>
  <c r="V220" i="1" s="1"/>
  <c r="CJ114" i="4"/>
  <c r="CK114" i="4"/>
  <c r="X220" i="1" s="1"/>
  <c r="CL114" i="4"/>
  <c r="Y220" i="1" s="1"/>
  <c r="CM114" i="4"/>
  <c r="Z220" i="1" s="1"/>
  <c r="CN114" i="4"/>
  <c r="AA220" i="1" s="1"/>
  <c r="CO114" i="4"/>
  <c r="AB220" i="1" s="1"/>
  <c r="CP114" i="4"/>
  <c r="CQ114" i="4"/>
  <c r="CR114" i="4"/>
  <c r="AE220" i="1" s="1"/>
  <c r="CS114" i="4"/>
  <c r="AF220" i="1" s="1"/>
  <c r="CT114" i="4"/>
  <c r="AG220" i="1" s="1"/>
  <c r="CU114" i="4"/>
  <c r="AH220" i="1" s="1"/>
  <c r="CV114" i="4"/>
  <c r="CW114" i="4"/>
  <c r="AJ220" i="1" s="1"/>
  <c r="CX114" i="4"/>
  <c r="CY114" i="4"/>
  <c r="CZ114" i="4"/>
  <c r="DA114" i="4"/>
  <c r="AN220" i="1" s="1"/>
  <c r="DB114" i="4"/>
  <c r="DC114" i="4"/>
  <c r="DD114" i="4"/>
  <c r="DE114" i="4"/>
  <c r="DF114" i="4"/>
  <c r="AS220" i="1" s="1"/>
  <c r="DG114" i="4"/>
  <c r="AT220" i="1" s="1"/>
  <c r="DH114" i="4"/>
  <c r="AU220" i="1" s="1"/>
  <c r="DI114" i="4"/>
  <c r="AV220" i="1" s="1"/>
  <c r="DJ114" i="4"/>
  <c r="AW220" i="1" s="1"/>
  <c r="DK114" i="4"/>
  <c r="DL114" i="4"/>
  <c r="DM114" i="4"/>
  <c r="AZ220" i="1" s="1"/>
  <c r="DN114" i="4"/>
  <c r="DO114" i="4"/>
  <c r="DP114" i="4"/>
  <c r="DQ114" i="4"/>
  <c r="BD220" i="1" s="1"/>
  <c r="DR114" i="4"/>
  <c r="DS114" i="4"/>
  <c r="BF220" i="1" s="1"/>
  <c r="DT114" i="4"/>
  <c r="BG220" i="1" s="1"/>
  <c r="DU114" i="4"/>
  <c r="BH220" i="1" s="1"/>
  <c r="DV114" i="4"/>
  <c r="BI220" i="1" s="1"/>
  <c r="DW114" i="4"/>
  <c r="BJ220" i="1" s="1"/>
  <c r="EA114" i="4"/>
  <c r="EB114" i="4"/>
  <c r="EC114" i="4"/>
  <c r="D271" i="1" s="1"/>
  <c r="ED114" i="4"/>
  <c r="EE114" i="4"/>
  <c r="F271" i="1" s="1"/>
  <c r="EF114" i="4"/>
  <c r="G271" i="1" s="1"/>
  <c r="EG114" i="4"/>
  <c r="EH114" i="4"/>
  <c r="EI114" i="4"/>
  <c r="J271" i="1" s="1"/>
  <c r="EJ114" i="4"/>
  <c r="EK114" i="4"/>
  <c r="EL114" i="4"/>
  <c r="EM114" i="4"/>
  <c r="EN114" i="4"/>
  <c r="EO114" i="4"/>
  <c r="EP114" i="4"/>
  <c r="EQ114" i="4"/>
  <c r="ER114" i="4"/>
  <c r="ES114" i="4"/>
  <c r="T271" i="1" s="1"/>
  <c r="ET114" i="4"/>
  <c r="U271" i="1" s="1"/>
  <c r="EU114" i="4"/>
  <c r="V271" i="1" s="1"/>
  <c r="EV114" i="4"/>
  <c r="EW114" i="4"/>
  <c r="X271" i="1" s="1"/>
  <c r="EX114" i="4"/>
  <c r="Y271" i="1" s="1"/>
  <c r="EY114" i="4"/>
  <c r="Z271" i="1" s="1"/>
  <c r="EZ114" i="4"/>
  <c r="AA271" i="1" s="1"/>
  <c r="FA114" i="4"/>
  <c r="AB271" i="1" s="1"/>
  <c r="FB114" i="4"/>
  <c r="FC114" i="4"/>
  <c r="FD114" i="4"/>
  <c r="AE271" i="1" s="1"/>
  <c r="FE114" i="4"/>
  <c r="AF271" i="1" s="1"/>
  <c r="FF114" i="4"/>
  <c r="AG271" i="1" s="1"/>
  <c r="FG114" i="4"/>
  <c r="AH271" i="1" s="1"/>
  <c r="FH114" i="4"/>
  <c r="FI114" i="4"/>
  <c r="AJ271" i="1" s="1"/>
  <c r="FJ114" i="4"/>
  <c r="FK114" i="4"/>
  <c r="FL114" i="4"/>
  <c r="FM114" i="4"/>
  <c r="AN271" i="1" s="1"/>
  <c r="FN114" i="4"/>
  <c r="FO114" i="4"/>
  <c r="FP114" i="4"/>
  <c r="FQ114" i="4"/>
  <c r="FR114" i="4"/>
  <c r="FS114" i="4"/>
  <c r="FT114" i="4"/>
  <c r="AU271" i="1" s="1"/>
  <c r="FU114" i="4"/>
  <c r="FV114" i="4"/>
  <c r="FW114" i="4"/>
  <c r="FX114" i="4"/>
  <c r="FY114" i="4"/>
  <c r="AZ271" i="1" s="1"/>
  <c r="FZ114" i="4"/>
  <c r="GA114" i="4"/>
  <c r="GB114" i="4"/>
  <c r="GC114" i="4"/>
  <c r="BD271" i="1" s="1"/>
  <c r="GD114" i="4"/>
  <c r="GE114" i="4"/>
  <c r="BF271" i="1" s="1"/>
  <c r="GF114" i="4"/>
  <c r="GG114" i="4"/>
  <c r="GH114" i="4"/>
  <c r="GI114" i="4"/>
  <c r="C115" i="4"/>
  <c r="D115" i="4"/>
  <c r="E115" i="4"/>
  <c r="F115" i="4"/>
  <c r="BR115" i="4" s="1"/>
  <c r="G115" i="4"/>
  <c r="H115" i="4"/>
  <c r="I115" i="4"/>
  <c r="J115" i="4"/>
  <c r="BV115" i="4" s="1"/>
  <c r="K115" i="4"/>
  <c r="L115" i="4"/>
  <c r="AV115" i="4"/>
  <c r="AW115" i="4"/>
  <c r="AX115" i="4"/>
  <c r="AY115" i="4"/>
  <c r="BA115" i="4"/>
  <c r="BB115" i="4"/>
  <c r="BC115" i="4"/>
  <c r="BD115" i="4"/>
  <c r="BE115" i="4"/>
  <c r="BF115" i="4"/>
  <c r="BG115" i="4"/>
  <c r="BH115" i="4"/>
  <c r="BI115" i="4"/>
  <c r="BJ115" i="4"/>
  <c r="BK115" i="4"/>
  <c r="BO115" i="4"/>
  <c r="BP115" i="4"/>
  <c r="BQ115" i="4"/>
  <c r="BS115" i="4"/>
  <c r="BT115" i="4"/>
  <c r="BU115" i="4"/>
  <c r="BW115" i="4"/>
  <c r="BX115" i="4"/>
  <c r="BZ115" i="4"/>
  <c r="CA115" i="4"/>
  <c r="CB115" i="4"/>
  <c r="CC115" i="4"/>
  <c r="CD115" i="4"/>
  <c r="CE115" i="4"/>
  <c r="CF115" i="4"/>
  <c r="CG115" i="4"/>
  <c r="CH115" i="4"/>
  <c r="CI115" i="4"/>
  <c r="CJ115" i="4"/>
  <c r="CK115" i="4"/>
  <c r="CL115" i="4"/>
  <c r="CM115" i="4"/>
  <c r="CN115" i="4"/>
  <c r="CO115" i="4"/>
  <c r="CP115" i="4"/>
  <c r="CQ115" i="4"/>
  <c r="CR115" i="4"/>
  <c r="CS115" i="4"/>
  <c r="CT115" i="4"/>
  <c r="CU115" i="4"/>
  <c r="CV115" i="4"/>
  <c r="CW115" i="4"/>
  <c r="CX115" i="4"/>
  <c r="CY115" i="4"/>
  <c r="CZ115" i="4"/>
  <c r="DA115" i="4"/>
  <c r="DB115" i="4"/>
  <c r="DC115" i="4"/>
  <c r="DD115" i="4"/>
  <c r="DE115" i="4"/>
  <c r="DF115" i="4"/>
  <c r="DG115" i="4"/>
  <c r="DH115" i="4"/>
  <c r="DI115" i="4"/>
  <c r="DJ115" i="4"/>
  <c r="DK115" i="4"/>
  <c r="DL115" i="4"/>
  <c r="DM115" i="4"/>
  <c r="DN115" i="4"/>
  <c r="DO115" i="4"/>
  <c r="DP115" i="4"/>
  <c r="DQ115" i="4"/>
  <c r="DR115" i="4"/>
  <c r="DS115" i="4"/>
  <c r="DT115" i="4"/>
  <c r="DU115" i="4"/>
  <c r="DV115" i="4"/>
  <c r="DW115" i="4"/>
  <c r="EA115" i="4"/>
  <c r="EB115" i="4"/>
  <c r="EC115" i="4"/>
  <c r="D272" i="1" s="1"/>
  <c r="ED115" i="4"/>
  <c r="EE115" i="4"/>
  <c r="F272" i="1" s="1"/>
  <c r="EF115" i="4"/>
  <c r="G272" i="1" s="1"/>
  <c r="EG115" i="4"/>
  <c r="EH115" i="4"/>
  <c r="EI115" i="4"/>
  <c r="J272" i="1" s="1"/>
  <c r="EJ115" i="4"/>
  <c r="EK115" i="4"/>
  <c r="EL115" i="4"/>
  <c r="EM115" i="4"/>
  <c r="EN115" i="4"/>
  <c r="EO115" i="4"/>
  <c r="EP115" i="4"/>
  <c r="EQ115" i="4"/>
  <c r="ER115" i="4"/>
  <c r="ES115" i="4"/>
  <c r="T272" i="1" s="1"/>
  <c r="ET115" i="4"/>
  <c r="U272" i="1" s="1"/>
  <c r="EU115" i="4"/>
  <c r="V272" i="1" s="1"/>
  <c r="EV115" i="4"/>
  <c r="EW115" i="4"/>
  <c r="X272" i="1" s="1"/>
  <c r="EX115" i="4"/>
  <c r="Y272" i="1" s="1"/>
  <c r="EY115" i="4"/>
  <c r="Z272" i="1" s="1"/>
  <c r="EZ115" i="4"/>
  <c r="AA272" i="1" s="1"/>
  <c r="FA115" i="4"/>
  <c r="AB272" i="1" s="1"/>
  <c r="FB115" i="4"/>
  <c r="FC115" i="4"/>
  <c r="FD115" i="4"/>
  <c r="AE272" i="1" s="1"/>
  <c r="FE115" i="4"/>
  <c r="AF272" i="1" s="1"/>
  <c r="FF115" i="4"/>
  <c r="AG272" i="1" s="1"/>
  <c r="FG115" i="4"/>
  <c r="AH272" i="1" s="1"/>
  <c r="FH115" i="4"/>
  <c r="FI115" i="4"/>
  <c r="AJ272" i="1" s="1"/>
  <c r="FJ115" i="4"/>
  <c r="FK115" i="4"/>
  <c r="FL115" i="4"/>
  <c r="FM115" i="4"/>
  <c r="AN272" i="1" s="1"/>
  <c r="FN115" i="4"/>
  <c r="FO115" i="4"/>
  <c r="FP115" i="4"/>
  <c r="FQ115" i="4"/>
  <c r="FR115" i="4"/>
  <c r="FS115" i="4"/>
  <c r="FT115" i="4"/>
  <c r="AU272" i="1" s="1"/>
  <c r="FU115" i="4"/>
  <c r="FV115" i="4"/>
  <c r="FW115" i="4"/>
  <c r="FX115" i="4"/>
  <c r="FY115" i="4"/>
  <c r="AZ272" i="1" s="1"/>
  <c r="FZ115" i="4"/>
  <c r="GA115" i="4"/>
  <c r="GB115" i="4"/>
  <c r="GC115" i="4"/>
  <c r="BD272" i="1" s="1"/>
  <c r="GD115" i="4"/>
  <c r="GE115" i="4"/>
  <c r="BF272" i="1" s="1"/>
  <c r="GF115" i="4"/>
  <c r="GG115" i="4"/>
  <c r="GH115" i="4"/>
  <c r="GI115" i="4"/>
  <c r="C116" i="4"/>
  <c r="B171" i="1" s="1"/>
  <c r="D116" i="4"/>
  <c r="C171" i="1" s="1"/>
  <c r="E116" i="4"/>
  <c r="F116" i="4"/>
  <c r="E171" i="1" s="1"/>
  <c r="G116" i="4"/>
  <c r="H116" i="4"/>
  <c r="I116" i="4"/>
  <c r="H171" i="1" s="1"/>
  <c r="J116" i="4"/>
  <c r="I171" i="1" s="1"/>
  <c r="K116" i="4"/>
  <c r="L116" i="4"/>
  <c r="K171" i="1" s="1"/>
  <c r="AV116" i="4"/>
  <c r="AW116" i="4"/>
  <c r="DI116" i="4" s="1"/>
  <c r="AV222" i="1" s="1"/>
  <c r="AX116" i="4"/>
  <c r="AY116" i="4"/>
  <c r="AX171" i="1" s="1"/>
  <c r="BA116" i="4"/>
  <c r="BB116" i="4"/>
  <c r="BA171" i="1" s="1"/>
  <c r="BC116" i="4"/>
  <c r="BB171" i="1" s="1"/>
  <c r="BD116" i="4"/>
  <c r="BC171" i="1" s="1"/>
  <c r="BE116" i="4"/>
  <c r="BF116" i="4"/>
  <c r="BE171" i="1" s="1"/>
  <c r="BG116" i="4"/>
  <c r="BH116" i="4"/>
  <c r="BI116" i="4"/>
  <c r="BJ116" i="4"/>
  <c r="BK116" i="4"/>
  <c r="BO116" i="4"/>
  <c r="BP116" i="4"/>
  <c r="BQ116" i="4"/>
  <c r="D222" i="1" s="1"/>
  <c r="BR116" i="4"/>
  <c r="BS116" i="4"/>
  <c r="F222" i="1" s="1"/>
  <c r="BT116" i="4"/>
  <c r="G222" i="1" s="1"/>
  <c r="BU116" i="4"/>
  <c r="BV116" i="4"/>
  <c r="BW116" i="4"/>
  <c r="J222" i="1" s="1"/>
  <c r="BX116" i="4"/>
  <c r="CA116" i="4"/>
  <c r="N222" i="1" s="1"/>
  <c r="CB116" i="4"/>
  <c r="O222" i="1" s="1"/>
  <c r="CC116" i="4"/>
  <c r="P222" i="1" s="1"/>
  <c r="CD116" i="4"/>
  <c r="CE116" i="4"/>
  <c r="CF116" i="4"/>
  <c r="CG116" i="4"/>
  <c r="T222" i="1" s="1"/>
  <c r="CH116" i="4"/>
  <c r="U222" i="1" s="1"/>
  <c r="CI116" i="4"/>
  <c r="V222" i="1" s="1"/>
  <c r="CJ116" i="4"/>
  <c r="CK116" i="4"/>
  <c r="X222" i="1" s="1"/>
  <c r="CL116" i="4"/>
  <c r="Y222" i="1" s="1"/>
  <c r="CM116" i="4"/>
  <c r="Z222" i="1" s="1"/>
  <c r="CN116" i="4"/>
  <c r="AA222" i="1" s="1"/>
  <c r="CO116" i="4"/>
  <c r="AB222" i="1" s="1"/>
  <c r="CP116" i="4"/>
  <c r="CQ116" i="4"/>
  <c r="CR116" i="4"/>
  <c r="AE222" i="1" s="1"/>
  <c r="CS116" i="4"/>
  <c r="AF222" i="1" s="1"/>
  <c r="CT116" i="4"/>
  <c r="AG222" i="1" s="1"/>
  <c r="CU116" i="4"/>
  <c r="AH222" i="1" s="1"/>
  <c r="CV116" i="4"/>
  <c r="CW116" i="4"/>
  <c r="AJ222" i="1" s="1"/>
  <c r="CX116" i="4"/>
  <c r="CY116" i="4"/>
  <c r="CZ116" i="4"/>
  <c r="DA116" i="4"/>
  <c r="AN222" i="1" s="1"/>
  <c r="DB116" i="4"/>
  <c r="DC116" i="4"/>
  <c r="DD116" i="4"/>
  <c r="DE116" i="4"/>
  <c r="DF116" i="4"/>
  <c r="AS222" i="1" s="1"/>
  <c r="DG116" i="4"/>
  <c r="AT222" i="1" s="1"/>
  <c r="DH116" i="4"/>
  <c r="AU222" i="1" s="1"/>
  <c r="DJ116" i="4"/>
  <c r="AW222" i="1" s="1"/>
  <c r="DK116" i="4"/>
  <c r="DL116" i="4"/>
  <c r="DM116" i="4"/>
  <c r="AZ222" i="1" s="1"/>
  <c r="DN116" i="4"/>
  <c r="DO116" i="4"/>
  <c r="DP116" i="4"/>
  <c r="DQ116" i="4"/>
  <c r="BD222" i="1" s="1"/>
  <c r="DR116" i="4"/>
  <c r="DS116" i="4"/>
  <c r="BF222" i="1" s="1"/>
  <c r="DT116" i="4"/>
  <c r="BG222" i="1" s="1"/>
  <c r="DU116" i="4"/>
  <c r="BH222" i="1" s="1"/>
  <c r="DV116" i="4"/>
  <c r="BI222" i="1" s="1"/>
  <c r="DW116" i="4"/>
  <c r="BJ222" i="1" s="1"/>
  <c r="EA116" i="4"/>
  <c r="EB116" i="4"/>
  <c r="EC116" i="4"/>
  <c r="D273" i="1" s="1"/>
  <c r="ED116" i="4"/>
  <c r="EE116" i="4"/>
  <c r="F273" i="1" s="1"/>
  <c r="EF116" i="4"/>
  <c r="G273" i="1" s="1"/>
  <c r="EG116" i="4"/>
  <c r="EH116" i="4"/>
  <c r="EI116" i="4"/>
  <c r="J273" i="1" s="1"/>
  <c r="EJ116" i="4"/>
  <c r="EK116" i="4"/>
  <c r="EL116" i="4"/>
  <c r="EM116" i="4"/>
  <c r="EN116" i="4"/>
  <c r="EO116" i="4"/>
  <c r="EP116" i="4"/>
  <c r="EQ116" i="4"/>
  <c r="ER116" i="4"/>
  <c r="ES116" i="4"/>
  <c r="T273" i="1" s="1"/>
  <c r="ET116" i="4"/>
  <c r="U273" i="1" s="1"/>
  <c r="EU116" i="4"/>
  <c r="V273" i="1" s="1"/>
  <c r="EV116" i="4"/>
  <c r="EW116" i="4"/>
  <c r="X273" i="1" s="1"/>
  <c r="EX116" i="4"/>
  <c r="Y273" i="1" s="1"/>
  <c r="EY116" i="4"/>
  <c r="Z273" i="1" s="1"/>
  <c r="EZ116" i="4"/>
  <c r="AA273" i="1" s="1"/>
  <c r="FA116" i="4"/>
  <c r="AB273" i="1" s="1"/>
  <c r="FB116" i="4"/>
  <c r="FC116" i="4"/>
  <c r="FD116" i="4"/>
  <c r="AE273" i="1" s="1"/>
  <c r="FE116" i="4"/>
  <c r="AF273" i="1" s="1"/>
  <c r="FF116" i="4"/>
  <c r="AG273" i="1" s="1"/>
  <c r="FG116" i="4"/>
  <c r="AH273" i="1" s="1"/>
  <c r="FH116" i="4"/>
  <c r="FI116" i="4"/>
  <c r="AJ273" i="1" s="1"/>
  <c r="FJ116" i="4"/>
  <c r="FK116" i="4"/>
  <c r="FL116" i="4"/>
  <c r="FM116" i="4"/>
  <c r="AN273" i="1" s="1"/>
  <c r="FN116" i="4"/>
  <c r="FO116" i="4"/>
  <c r="FP116" i="4"/>
  <c r="FQ116" i="4"/>
  <c r="FR116" i="4"/>
  <c r="FS116" i="4"/>
  <c r="FT116" i="4"/>
  <c r="AU273" i="1" s="1"/>
  <c r="FU116" i="4"/>
  <c r="FV116" i="4"/>
  <c r="FW116" i="4"/>
  <c r="FX116" i="4"/>
  <c r="FY116" i="4"/>
  <c r="AZ273" i="1" s="1"/>
  <c r="FZ116" i="4"/>
  <c r="GA116" i="4"/>
  <c r="GB116" i="4"/>
  <c r="GC116" i="4"/>
  <c r="BD273" i="1" s="1"/>
  <c r="GD116" i="4"/>
  <c r="GE116" i="4"/>
  <c r="BF273" i="1" s="1"/>
  <c r="GF116" i="4"/>
  <c r="GG116" i="4"/>
  <c r="GH116" i="4"/>
  <c r="GI116" i="4"/>
  <c r="C117" i="4"/>
  <c r="D117" i="4"/>
  <c r="BP117" i="4" s="1"/>
  <c r="E117" i="4"/>
  <c r="F117" i="4"/>
  <c r="BR117" i="4" s="1"/>
  <c r="G117" i="4"/>
  <c r="H117" i="4"/>
  <c r="BT117" i="4" s="1"/>
  <c r="I117" i="4"/>
  <c r="J117" i="4"/>
  <c r="BV117" i="4" s="1"/>
  <c r="K117" i="4"/>
  <c r="L117" i="4"/>
  <c r="BX117" i="4" s="1"/>
  <c r="M117" i="4"/>
  <c r="BY116" i="4" s="1"/>
  <c r="L222" i="1" s="1"/>
  <c r="N117" i="4"/>
  <c r="BZ117" i="4" s="1"/>
  <c r="AV117" i="4"/>
  <c r="AW117" i="4"/>
  <c r="AX117" i="4"/>
  <c r="AY117" i="4"/>
  <c r="DK117" i="4" s="1"/>
  <c r="BA117" i="4"/>
  <c r="BB117" i="4"/>
  <c r="BC117" i="4"/>
  <c r="BD117" i="4"/>
  <c r="BE117" i="4"/>
  <c r="BF117" i="4"/>
  <c r="BG117" i="4"/>
  <c r="BH117" i="4"/>
  <c r="BI117" i="4"/>
  <c r="BJ117" i="4"/>
  <c r="BK117" i="4"/>
  <c r="BO117" i="4"/>
  <c r="BQ117" i="4"/>
  <c r="BS117" i="4"/>
  <c r="BU117" i="4"/>
  <c r="BW117" i="4"/>
  <c r="BY117" i="4"/>
  <c r="CB117" i="4"/>
  <c r="CC117" i="4"/>
  <c r="CD117" i="4"/>
  <c r="CE117" i="4"/>
  <c r="CF117" i="4"/>
  <c r="CG117" i="4"/>
  <c r="CH117" i="4"/>
  <c r="CI117" i="4"/>
  <c r="CJ117" i="4"/>
  <c r="CK117" i="4"/>
  <c r="CL117" i="4"/>
  <c r="CM117" i="4"/>
  <c r="CN117" i="4"/>
  <c r="CO117" i="4"/>
  <c r="CP117" i="4"/>
  <c r="CQ117" i="4"/>
  <c r="CR117" i="4"/>
  <c r="CS117" i="4"/>
  <c r="CT117" i="4"/>
  <c r="CU117" i="4"/>
  <c r="CV117" i="4"/>
  <c r="CW117" i="4"/>
  <c r="CX117" i="4"/>
  <c r="CY117" i="4"/>
  <c r="CZ117" i="4"/>
  <c r="DA117" i="4"/>
  <c r="DB117" i="4"/>
  <c r="DC117" i="4"/>
  <c r="DD117" i="4"/>
  <c r="DE117" i="4"/>
  <c r="DF117" i="4"/>
  <c r="DG117" i="4"/>
  <c r="DH117" i="4"/>
  <c r="DI117" i="4"/>
  <c r="DJ117" i="4"/>
  <c r="DL117" i="4"/>
  <c r="DM117" i="4"/>
  <c r="DN117" i="4"/>
  <c r="DO117" i="4"/>
  <c r="DP117" i="4"/>
  <c r="DQ117" i="4"/>
  <c r="DR117" i="4"/>
  <c r="DS117" i="4"/>
  <c r="DT117" i="4"/>
  <c r="DU117" i="4"/>
  <c r="DV117" i="4"/>
  <c r="DW117" i="4"/>
  <c r="EA117" i="4"/>
  <c r="EB117" i="4"/>
  <c r="EC117" i="4"/>
  <c r="D274" i="1" s="1"/>
  <c r="ED117" i="4"/>
  <c r="EE117" i="4"/>
  <c r="F274" i="1" s="1"/>
  <c r="EF117" i="4"/>
  <c r="G274" i="1" s="1"/>
  <c r="EG117" i="4"/>
  <c r="EH117" i="4"/>
  <c r="EI117" i="4"/>
  <c r="J274" i="1" s="1"/>
  <c r="EJ117" i="4"/>
  <c r="EK117" i="4"/>
  <c r="EL117" i="4"/>
  <c r="EM117" i="4"/>
  <c r="EN117" i="4"/>
  <c r="EO117" i="4"/>
  <c r="EP117" i="4"/>
  <c r="EQ117" i="4"/>
  <c r="ER117" i="4"/>
  <c r="ES117" i="4"/>
  <c r="T274" i="1" s="1"/>
  <c r="ET117" i="4"/>
  <c r="U274" i="1" s="1"/>
  <c r="EU117" i="4"/>
  <c r="V274" i="1" s="1"/>
  <c r="EV117" i="4"/>
  <c r="EW117" i="4"/>
  <c r="X274" i="1" s="1"/>
  <c r="EX117" i="4"/>
  <c r="Y274" i="1" s="1"/>
  <c r="EY117" i="4"/>
  <c r="Z274" i="1" s="1"/>
  <c r="EZ117" i="4"/>
  <c r="AA274" i="1" s="1"/>
  <c r="FA117" i="4"/>
  <c r="AB274" i="1" s="1"/>
  <c r="FB117" i="4"/>
  <c r="FC117" i="4"/>
  <c r="FD117" i="4"/>
  <c r="AE274" i="1" s="1"/>
  <c r="FE117" i="4"/>
  <c r="AF274" i="1" s="1"/>
  <c r="FF117" i="4"/>
  <c r="AG274" i="1" s="1"/>
  <c r="FG117" i="4"/>
  <c r="AH274" i="1" s="1"/>
  <c r="FH117" i="4"/>
  <c r="FI117" i="4"/>
  <c r="AJ274" i="1" s="1"/>
  <c r="FJ117" i="4"/>
  <c r="FK117" i="4"/>
  <c r="FL117" i="4"/>
  <c r="FM117" i="4"/>
  <c r="AN274" i="1" s="1"/>
  <c r="FN117" i="4"/>
  <c r="FO117" i="4"/>
  <c r="FP117" i="4"/>
  <c r="FQ117" i="4"/>
  <c r="FR117" i="4"/>
  <c r="FS117" i="4"/>
  <c r="FT117" i="4"/>
  <c r="AU274" i="1" s="1"/>
  <c r="FU117" i="4"/>
  <c r="FV117" i="4"/>
  <c r="FW117" i="4"/>
  <c r="FX117" i="4"/>
  <c r="FY117" i="4"/>
  <c r="AZ274" i="1" s="1"/>
  <c r="FZ117" i="4"/>
  <c r="GA117" i="4"/>
  <c r="GB117" i="4"/>
  <c r="GC117" i="4"/>
  <c r="BD274" i="1" s="1"/>
  <c r="GD117" i="4"/>
  <c r="GE117" i="4"/>
  <c r="BF274" i="1" s="1"/>
  <c r="GF117" i="4"/>
  <c r="GG117" i="4"/>
  <c r="GH117" i="4"/>
  <c r="GI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AV118" i="4"/>
  <c r="AW118" i="4"/>
  <c r="AX118" i="4"/>
  <c r="DJ118" i="4" s="1"/>
  <c r="AY118" i="4"/>
  <c r="BA118" i="4"/>
  <c r="BB118" i="4"/>
  <c r="BC118" i="4"/>
  <c r="BD118" i="4"/>
  <c r="BE118" i="4"/>
  <c r="BF118" i="4"/>
  <c r="BG118" i="4"/>
  <c r="GE118" i="4" s="1"/>
  <c r="BF275" i="1" s="1"/>
  <c r="BH118" i="4"/>
  <c r="BI118" i="4"/>
  <c r="BJ118" i="4"/>
  <c r="BK118" i="4"/>
  <c r="BO118" i="4"/>
  <c r="BP118" i="4"/>
  <c r="BQ118" i="4"/>
  <c r="BR118" i="4"/>
  <c r="BS118" i="4"/>
  <c r="BT118" i="4"/>
  <c r="BU118" i="4"/>
  <c r="BV118" i="4"/>
  <c r="BW118" i="4"/>
  <c r="BX118" i="4"/>
  <c r="BY118" i="4"/>
  <c r="BZ118" i="4"/>
  <c r="CA118" i="4"/>
  <c r="CC118" i="4"/>
  <c r="CD118" i="4"/>
  <c r="CE118" i="4"/>
  <c r="CF118" i="4"/>
  <c r="CG118" i="4"/>
  <c r="CH118" i="4"/>
  <c r="CI118" i="4"/>
  <c r="CJ118" i="4"/>
  <c r="CK118" i="4"/>
  <c r="CL118" i="4"/>
  <c r="CM118" i="4"/>
  <c r="CN118" i="4"/>
  <c r="CO118" i="4"/>
  <c r="CP118" i="4"/>
  <c r="CQ118" i="4"/>
  <c r="CR118" i="4"/>
  <c r="CS118" i="4"/>
  <c r="CT118" i="4"/>
  <c r="CU118" i="4"/>
  <c r="CV118" i="4"/>
  <c r="CW118" i="4"/>
  <c r="CX118" i="4"/>
  <c r="CY118" i="4"/>
  <c r="CZ118" i="4"/>
  <c r="DA118" i="4"/>
  <c r="DB118" i="4"/>
  <c r="DC118" i="4"/>
  <c r="DD118" i="4"/>
  <c r="DE118" i="4"/>
  <c r="DF118" i="4"/>
  <c r="DG118" i="4"/>
  <c r="DH118" i="4"/>
  <c r="DI118" i="4"/>
  <c r="DK118" i="4"/>
  <c r="DL118" i="4"/>
  <c r="DM118" i="4"/>
  <c r="DN118" i="4"/>
  <c r="DO118" i="4"/>
  <c r="DP118" i="4"/>
  <c r="DQ118" i="4"/>
  <c r="DR118" i="4"/>
  <c r="DS118" i="4"/>
  <c r="DT118" i="4"/>
  <c r="DU118" i="4"/>
  <c r="DV118" i="4"/>
  <c r="DW118" i="4"/>
  <c r="EA118" i="4"/>
  <c r="EB118" i="4"/>
  <c r="EC118" i="4"/>
  <c r="D275" i="1" s="1"/>
  <c r="ED118" i="4"/>
  <c r="EE118" i="4"/>
  <c r="F275" i="1" s="1"/>
  <c r="EF118" i="4"/>
  <c r="G275" i="1" s="1"/>
  <c r="EG118" i="4"/>
  <c r="EH118" i="4"/>
  <c r="EI118" i="4"/>
  <c r="J275" i="1" s="1"/>
  <c r="EJ118" i="4"/>
  <c r="EK118" i="4"/>
  <c r="EL118" i="4"/>
  <c r="EM118" i="4"/>
  <c r="EN118" i="4"/>
  <c r="EO118" i="4"/>
  <c r="EP118" i="4"/>
  <c r="EQ118" i="4"/>
  <c r="ER118" i="4"/>
  <c r="ES118" i="4"/>
  <c r="T275" i="1" s="1"/>
  <c r="ET118" i="4"/>
  <c r="U275" i="1" s="1"/>
  <c r="EU118" i="4"/>
  <c r="V275" i="1" s="1"/>
  <c r="EV118" i="4"/>
  <c r="EW118" i="4"/>
  <c r="X275" i="1" s="1"/>
  <c r="EX118" i="4"/>
  <c r="Y275" i="1" s="1"/>
  <c r="EY118" i="4"/>
  <c r="Z275" i="1" s="1"/>
  <c r="EZ118" i="4"/>
  <c r="AA275" i="1" s="1"/>
  <c r="FA118" i="4"/>
  <c r="AB275" i="1" s="1"/>
  <c r="FB118" i="4"/>
  <c r="FC118" i="4"/>
  <c r="FD118" i="4"/>
  <c r="AE275" i="1" s="1"/>
  <c r="FE118" i="4"/>
  <c r="AF275" i="1" s="1"/>
  <c r="FF118" i="4"/>
  <c r="AG275" i="1" s="1"/>
  <c r="FG118" i="4"/>
  <c r="AH275" i="1" s="1"/>
  <c r="FH118" i="4"/>
  <c r="FI118" i="4"/>
  <c r="AJ275" i="1" s="1"/>
  <c r="FJ118" i="4"/>
  <c r="FK118" i="4"/>
  <c r="FL118" i="4"/>
  <c r="FM118" i="4"/>
  <c r="AN275" i="1" s="1"/>
  <c r="FN118" i="4"/>
  <c r="FO118" i="4"/>
  <c r="FP118" i="4"/>
  <c r="FQ118" i="4"/>
  <c r="FR118" i="4"/>
  <c r="FS118" i="4"/>
  <c r="FT118" i="4"/>
  <c r="AU275" i="1" s="1"/>
  <c r="FU118" i="4"/>
  <c r="FV118" i="4"/>
  <c r="FW118" i="4"/>
  <c r="FX118" i="4"/>
  <c r="FY118" i="4"/>
  <c r="AZ275" i="1" s="1"/>
  <c r="FZ118" i="4"/>
  <c r="GA118" i="4"/>
  <c r="GB118" i="4"/>
  <c r="GC118" i="4"/>
  <c r="BD275" i="1" s="1"/>
  <c r="GD118" i="4"/>
  <c r="GF118" i="4"/>
  <c r="GG118" i="4"/>
  <c r="GH118" i="4"/>
  <c r="GI118" i="4"/>
  <c r="C119" i="4"/>
  <c r="D119" i="4"/>
  <c r="E119" i="4"/>
  <c r="BQ119" i="4" s="1"/>
  <c r="F119" i="4"/>
  <c r="G119" i="4"/>
  <c r="H119" i="4"/>
  <c r="I119" i="4"/>
  <c r="BU119" i="4" s="1"/>
  <c r="J119" i="4"/>
  <c r="K119" i="4"/>
  <c r="L119" i="4"/>
  <c r="M119" i="4"/>
  <c r="BY119" i="4" s="1"/>
  <c r="N119" i="4"/>
  <c r="O119" i="4"/>
  <c r="P119" i="4"/>
  <c r="AV119" i="4"/>
  <c r="DH119" i="4" s="1"/>
  <c r="AW119" i="4"/>
  <c r="AX119" i="4"/>
  <c r="DJ119" i="4" s="1"/>
  <c r="AY119" i="4"/>
  <c r="BA119" i="4"/>
  <c r="BB119" i="4"/>
  <c r="BC119" i="4"/>
  <c r="BD119" i="4"/>
  <c r="BE119" i="4"/>
  <c r="BF119" i="4"/>
  <c r="BG119" i="4"/>
  <c r="BH119" i="4"/>
  <c r="BI119" i="4"/>
  <c r="BJ119" i="4"/>
  <c r="BK119" i="4"/>
  <c r="BO119" i="4"/>
  <c r="BP119" i="4"/>
  <c r="BR119" i="4"/>
  <c r="BS119" i="4"/>
  <c r="BT119" i="4"/>
  <c r="BV119" i="4"/>
  <c r="BW119" i="4"/>
  <c r="BX119" i="4"/>
  <c r="BZ119" i="4"/>
  <c r="CA119" i="4"/>
  <c r="CB119" i="4"/>
  <c r="CD119" i="4"/>
  <c r="CE119" i="4"/>
  <c r="CF119" i="4"/>
  <c r="CG119" i="4"/>
  <c r="CH119" i="4"/>
  <c r="CI119" i="4"/>
  <c r="CJ119" i="4"/>
  <c r="CK119" i="4"/>
  <c r="CL119" i="4"/>
  <c r="CM119" i="4"/>
  <c r="CN119" i="4"/>
  <c r="CO119" i="4"/>
  <c r="CP119" i="4"/>
  <c r="CQ119" i="4"/>
  <c r="CR119" i="4"/>
  <c r="CS119" i="4"/>
  <c r="CT119" i="4"/>
  <c r="CU119" i="4"/>
  <c r="CV119" i="4"/>
  <c r="CW119" i="4"/>
  <c r="CX119" i="4"/>
  <c r="CY119" i="4"/>
  <c r="CZ119" i="4"/>
  <c r="DA119" i="4"/>
  <c r="DB119" i="4"/>
  <c r="DC119" i="4"/>
  <c r="DD119" i="4"/>
  <c r="DE119" i="4"/>
  <c r="DF119" i="4"/>
  <c r="DG119" i="4"/>
  <c r="DI119" i="4"/>
  <c r="DK119" i="4"/>
  <c r="DL119" i="4"/>
  <c r="DM119" i="4"/>
  <c r="DN119" i="4"/>
  <c r="DO119" i="4"/>
  <c r="DP119" i="4"/>
  <c r="DQ119" i="4"/>
  <c r="DR119" i="4"/>
  <c r="DS119" i="4"/>
  <c r="DT119" i="4"/>
  <c r="DU119" i="4"/>
  <c r="DV119" i="4"/>
  <c r="DW119" i="4"/>
  <c r="EA119" i="4"/>
  <c r="EB119" i="4"/>
  <c r="ED119" i="4"/>
  <c r="EE119" i="4"/>
  <c r="F276" i="1" s="1"/>
  <c r="EF119" i="4"/>
  <c r="G276" i="1" s="1"/>
  <c r="EG119" i="4"/>
  <c r="EH119" i="4"/>
  <c r="EI119" i="4"/>
  <c r="J276" i="1" s="1"/>
  <c r="EJ119" i="4"/>
  <c r="EK119" i="4"/>
  <c r="EL119" i="4"/>
  <c r="EM119" i="4"/>
  <c r="EN119" i="4"/>
  <c r="EO119" i="4"/>
  <c r="EP119" i="4"/>
  <c r="EQ119" i="4"/>
  <c r="ER119" i="4"/>
  <c r="ES119" i="4"/>
  <c r="T276" i="1" s="1"/>
  <c r="ET119" i="4"/>
  <c r="U276" i="1" s="1"/>
  <c r="EU119" i="4"/>
  <c r="V276" i="1" s="1"/>
  <c r="EV119" i="4"/>
  <c r="EW119" i="4"/>
  <c r="X276" i="1" s="1"/>
  <c r="EX119" i="4"/>
  <c r="Y276" i="1" s="1"/>
  <c r="EY119" i="4"/>
  <c r="Z276" i="1" s="1"/>
  <c r="EZ119" i="4"/>
  <c r="AA276" i="1" s="1"/>
  <c r="FA119" i="4"/>
  <c r="AB276" i="1" s="1"/>
  <c r="FB119" i="4"/>
  <c r="FC119" i="4"/>
  <c r="FD119" i="4"/>
  <c r="AE276" i="1" s="1"/>
  <c r="FE119" i="4"/>
  <c r="AF276" i="1" s="1"/>
  <c r="FF119" i="4"/>
  <c r="AG276" i="1" s="1"/>
  <c r="FG119" i="4"/>
  <c r="AH276" i="1" s="1"/>
  <c r="FH119" i="4"/>
  <c r="FI119" i="4"/>
  <c r="AJ276" i="1" s="1"/>
  <c r="FJ119" i="4"/>
  <c r="FK119" i="4"/>
  <c r="FL119" i="4"/>
  <c r="FM119" i="4"/>
  <c r="AN276" i="1" s="1"/>
  <c r="FN119" i="4"/>
  <c r="FO119" i="4"/>
  <c r="FP119" i="4"/>
  <c r="FQ119" i="4"/>
  <c r="FR119" i="4"/>
  <c r="FS119" i="4"/>
  <c r="FT119" i="4"/>
  <c r="AU276" i="1" s="1"/>
  <c r="FU119" i="4"/>
  <c r="FV119" i="4"/>
  <c r="FW119" i="4"/>
  <c r="FX119" i="4"/>
  <c r="FY119" i="4"/>
  <c r="AZ276" i="1" s="1"/>
  <c r="FZ119" i="4"/>
  <c r="GA119" i="4"/>
  <c r="GB119" i="4"/>
  <c r="GC119" i="4"/>
  <c r="BD276" i="1" s="1"/>
  <c r="GD119" i="4"/>
  <c r="GE119" i="4"/>
  <c r="BF276" i="1" s="1"/>
  <c r="GF119" i="4"/>
  <c r="GG119" i="4"/>
  <c r="GH119" i="4"/>
  <c r="GI119" i="4"/>
  <c r="C120" i="4"/>
  <c r="B175" i="1" s="1"/>
  <c r="D120" i="4"/>
  <c r="C175" i="1" s="1"/>
  <c r="E120" i="4"/>
  <c r="F120" i="4"/>
  <c r="E175" i="1" s="1"/>
  <c r="G120" i="4"/>
  <c r="H120" i="4"/>
  <c r="I120" i="4"/>
  <c r="H175" i="1" s="1"/>
  <c r="J120" i="4"/>
  <c r="I175" i="1" s="1"/>
  <c r="K120" i="4"/>
  <c r="L120" i="4"/>
  <c r="K175" i="1" s="1"/>
  <c r="M120" i="4"/>
  <c r="N120" i="4"/>
  <c r="M175" i="1" s="1"/>
  <c r="O120" i="4"/>
  <c r="P120" i="4"/>
  <c r="Q120" i="4"/>
  <c r="AV120" i="4"/>
  <c r="DH120" i="4" s="1"/>
  <c r="AU226" i="1" s="1"/>
  <c r="AW120" i="4"/>
  <c r="AX120" i="4"/>
  <c r="AY120" i="4"/>
  <c r="AX175" i="1" s="1"/>
  <c r="BA120" i="4"/>
  <c r="BB120" i="4"/>
  <c r="BA175" i="1" s="1"/>
  <c r="BC120" i="4"/>
  <c r="BB175" i="1" s="1"/>
  <c r="BD120" i="4"/>
  <c r="BC175" i="1" s="1"/>
  <c r="BE120" i="4"/>
  <c r="BF120" i="4"/>
  <c r="BE175" i="1" s="1"/>
  <c r="BG120" i="4"/>
  <c r="GE120" i="4" s="1"/>
  <c r="BF277" i="1" s="1"/>
  <c r="BH120" i="4"/>
  <c r="BI120" i="4"/>
  <c r="BJ120" i="4"/>
  <c r="BK120" i="4"/>
  <c r="BO120" i="4"/>
  <c r="BP120" i="4"/>
  <c r="BQ120" i="4"/>
  <c r="D226" i="1" s="1"/>
  <c r="BR120" i="4"/>
  <c r="BS120" i="4"/>
  <c r="F226" i="1" s="1"/>
  <c r="BT120" i="4"/>
  <c r="G226" i="1" s="1"/>
  <c r="BU120" i="4"/>
  <c r="BV120" i="4"/>
  <c r="BW120" i="4"/>
  <c r="J226" i="1" s="1"/>
  <c r="BX120" i="4"/>
  <c r="BY120" i="4"/>
  <c r="L226" i="1" s="1"/>
  <c r="BZ120" i="4"/>
  <c r="CA120" i="4"/>
  <c r="N226" i="1" s="1"/>
  <c r="CB120" i="4"/>
  <c r="O226" i="1" s="1"/>
  <c r="CC120" i="4"/>
  <c r="P226" i="1" s="1"/>
  <c r="CE120" i="4"/>
  <c r="CF120" i="4"/>
  <c r="CG120" i="4"/>
  <c r="T226" i="1" s="1"/>
  <c r="CH120" i="4"/>
  <c r="U226" i="1" s="1"/>
  <c r="CI120" i="4"/>
  <c r="V226" i="1" s="1"/>
  <c r="CJ120" i="4"/>
  <c r="CK120" i="4"/>
  <c r="X226" i="1" s="1"/>
  <c r="CL120" i="4"/>
  <c r="Y226" i="1" s="1"/>
  <c r="CM120" i="4"/>
  <c r="Z226" i="1" s="1"/>
  <c r="CN120" i="4"/>
  <c r="AA226" i="1" s="1"/>
  <c r="CO120" i="4"/>
  <c r="AB226" i="1" s="1"/>
  <c r="CP120" i="4"/>
  <c r="CQ120" i="4"/>
  <c r="CR120" i="4"/>
  <c r="AE226" i="1" s="1"/>
  <c r="CS120" i="4"/>
  <c r="AF226" i="1" s="1"/>
  <c r="CT120" i="4"/>
  <c r="AG226" i="1" s="1"/>
  <c r="CU120" i="4"/>
  <c r="AH226" i="1" s="1"/>
  <c r="CV120" i="4"/>
  <c r="CW120" i="4"/>
  <c r="AJ226" i="1" s="1"/>
  <c r="CX120" i="4"/>
  <c r="CY120" i="4"/>
  <c r="CZ120" i="4"/>
  <c r="DA120" i="4"/>
  <c r="AN226" i="1" s="1"/>
  <c r="DB120" i="4"/>
  <c r="DC120" i="4"/>
  <c r="DD120" i="4"/>
  <c r="DE120" i="4"/>
  <c r="DF120" i="4"/>
  <c r="AS226" i="1" s="1"/>
  <c r="DG120" i="4"/>
  <c r="AT226" i="1" s="1"/>
  <c r="DI120" i="4"/>
  <c r="AV226" i="1" s="1"/>
  <c r="DJ120" i="4"/>
  <c r="AW226" i="1" s="1"/>
  <c r="DK120" i="4"/>
  <c r="DL120" i="4"/>
  <c r="DM120" i="4"/>
  <c r="AZ226" i="1" s="1"/>
  <c r="DN120" i="4"/>
  <c r="DO120" i="4"/>
  <c r="DP120" i="4"/>
  <c r="DQ120" i="4"/>
  <c r="BD226" i="1" s="1"/>
  <c r="DR120" i="4"/>
  <c r="DS120" i="4"/>
  <c r="BF226" i="1" s="1"/>
  <c r="DT120" i="4"/>
  <c r="BG226" i="1" s="1"/>
  <c r="DU120" i="4"/>
  <c r="BH226" i="1" s="1"/>
  <c r="DV120" i="4"/>
  <c r="BI226" i="1" s="1"/>
  <c r="DW120" i="4"/>
  <c r="BJ226" i="1" s="1"/>
  <c r="EA120" i="4"/>
  <c r="EB120" i="4"/>
  <c r="EC120" i="4"/>
  <c r="D277" i="1" s="1"/>
  <c r="ED120" i="4"/>
  <c r="EE120" i="4"/>
  <c r="F277" i="1" s="1"/>
  <c r="EF120" i="4"/>
  <c r="G277" i="1" s="1"/>
  <c r="EG120" i="4"/>
  <c r="EH120" i="4"/>
  <c r="EI120" i="4"/>
  <c r="J277" i="1" s="1"/>
  <c r="EJ120" i="4"/>
  <c r="EK120" i="4"/>
  <c r="EL120" i="4"/>
  <c r="EM120" i="4"/>
  <c r="EN120" i="4"/>
  <c r="EO120" i="4"/>
  <c r="EP120" i="4"/>
  <c r="EQ120" i="4"/>
  <c r="ER120" i="4"/>
  <c r="ES120" i="4"/>
  <c r="T277" i="1" s="1"/>
  <c r="ET120" i="4"/>
  <c r="U277" i="1" s="1"/>
  <c r="EU120" i="4"/>
  <c r="V277" i="1" s="1"/>
  <c r="EV120" i="4"/>
  <c r="EW120" i="4"/>
  <c r="X277" i="1" s="1"/>
  <c r="EX120" i="4"/>
  <c r="Y277" i="1" s="1"/>
  <c r="EY120" i="4"/>
  <c r="Z277" i="1" s="1"/>
  <c r="EZ120" i="4"/>
  <c r="AA277" i="1" s="1"/>
  <c r="FA120" i="4"/>
  <c r="AB277" i="1" s="1"/>
  <c r="FB120" i="4"/>
  <c r="FC120" i="4"/>
  <c r="FD120" i="4"/>
  <c r="AE277" i="1" s="1"/>
  <c r="FE120" i="4"/>
  <c r="AF277" i="1" s="1"/>
  <c r="FF120" i="4"/>
  <c r="AG277" i="1" s="1"/>
  <c r="FG120" i="4"/>
  <c r="AH277" i="1" s="1"/>
  <c r="FH120" i="4"/>
  <c r="FI120" i="4"/>
  <c r="AJ277" i="1" s="1"/>
  <c r="FJ120" i="4"/>
  <c r="FK120" i="4"/>
  <c r="FL120" i="4"/>
  <c r="FM120" i="4"/>
  <c r="AN277" i="1" s="1"/>
  <c r="FN120" i="4"/>
  <c r="FO120" i="4"/>
  <c r="FP120" i="4"/>
  <c r="FQ120" i="4"/>
  <c r="FR120" i="4"/>
  <c r="FS120" i="4"/>
  <c r="FT120" i="4"/>
  <c r="AU277" i="1" s="1"/>
  <c r="FU120" i="4"/>
  <c r="FV120" i="4"/>
  <c r="FW120" i="4"/>
  <c r="FX120" i="4"/>
  <c r="FY120" i="4"/>
  <c r="AZ277" i="1" s="1"/>
  <c r="FZ120" i="4"/>
  <c r="GA120" i="4"/>
  <c r="GB120" i="4"/>
  <c r="GC120" i="4"/>
  <c r="BD277" i="1" s="1"/>
  <c r="GD120" i="4"/>
  <c r="GF120" i="4"/>
  <c r="GG120" i="4"/>
  <c r="GH120" i="4"/>
  <c r="GI120" i="4"/>
  <c r="C121" i="4"/>
  <c r="B176" i="1" s="1"/>
  <c r="D121" i="4"/>
  <c r="C176" i="1" s="1"/>
  <c r="E121" i="4"/>
  <c r="BQ121" i="4" s="1"/>
  <c r="D227" i="1" s="1"/>
  <c r="F121" i="4"/>
  <c r="E176" i="1" s="1"/>
  <c r="G121" i="4"/>
  <c r="BS121" i="4" s="1"/>
  <c r="F227" i="1" s="1"/>
  <c r="H121" i="4"/>
  <c r="I121" i="4"/>
  <c r="H176" i="1" s="1"/>
  <c r="J121" i="4"/>
  <c r="I176" i="1" s="1"/>
  <c r="K121" i="4"/>
  <c r="BW121" i="4" s="1"/>
  <c r="J227" i="1" s="1"/>
  <c r="L121" i="4"/>
  <c r="K176" i="1" s="1"/>
  <c r="M121" i="4"/>
  <c r="BY121" i="4" s="1"/>
  <c r="L227" i="1" s="1"/>
  <c r="N121" i="4"/>
  <c r="M176" i="1" s="1"/>
  <c r="O121" i="4"/>
  <c r="CA121" i="4" s="1"/>
  <c r="N227" i="1" s="1"/>
  <c r="P121" i="4"/>
  <c r="Q121" i="4"/>
  <c r="CC121" i="4" s="1"/>
  <c r="P227" i="1" s="1"/>
  <c r="R121" i="4"/>
  <c r="Q176" i="1" s="1"/>
  <c r="AV121" i="4"/>
  <c r="DH121" i="4" s="1"/>
  <c r="AU227" i="1" s="1"/>
  <c r="AW121" i="4"/>
  <c r="AX121" i="4"/>
  <c r="DJ121" i="4" s="1"/>
  <c r="AW227" i="1" s="1"/>
  <c r="AY121" i="4"/>
  <c r="AX176" i="1" s="1"/>
  <c r="BA121" i="4"/>
  <c r="BB121" i="4"/>
  <c r="BA176" i="1" s="1"/>
  <c r="BC121" i="4"/>
  <c r="BB176" i="1" s="1"/>
  <c r="BD121" i="4"/>
  <c r="BC176" i="1" s="1"/>
  <c r="BE121" i="4"/>
  <c r="BF121" i="4"/>
  <c r="BE176" i="1" s="1"/>
  <c r="BG121" i="4"/>
  <c r="GE121" i="4" s="1"/>
  <c r="BF278" i="1" s="1"/>
  <c r="BH121" i="4"/>
  <c r="BI121" i="4"/>
  <c r="BJ121" i="4"/>
  <c r="BK121" i="4"/>
  <c r="BO121" i="4"/>
  <c r="BP121" i="4"/>
  <c r="BR121" i="4"/>
  <c r="BT121" i="4"/>
  <c r="G227" i="1" s="1"/>
  <c r="BU121" i="4"/>
  <c r="BV121" i="4"/>
  <c r="BX121" i="4"/>
  <c r="BZ121" i="4"/>
  <c r="CB121" i="4"/>
  <c r="O227" i="1" s="1"/>
  <c r="CD121" i="4"/>
  <c r="CF121" i="4"/>
  <c r="CG121" i="4"/>
  <c r="T227" i="1" s="1"/>
  <c r="CH121" i="4"/>
  <c r="U227" i="1" s="1"/>
  <c r="CI121" i="4"/>
  <c r="V227" i="1" s="1"/>
  <c r="CJ121" i="4"/>
  <c r="CK121" i="4"/>
  <c r="X227" i="1" s="1"/>
  <c r="CL121" i="4"/>
  <c r="Y227" i="1" s="1"/>
  <c r="CM121" i="4"/>
  <c r="Z227" i="1" s="1"/>
  <c r="CN121" i="4"/>
  <c r="AA227" i="1" s="1"/>
  <c r="CO121" i="4"/>
  <c r="AB227" i="1" s="1"/>
  <c r="CP121" i="4"/>
  <c r="CQ121" i="4"/>
  <c r="CR121" i="4"/>
  <c r="AE227" i="1" s="1"/>
  <c r="CS121" i="4"/>
  <c r="AF227" i="1" s="1"/>
  <c r="CT121" i="4"/>
  <c r="AG227" i="1" s="1"/>
  <c r="CU121" i="4"/>
  <c r="AH227" i="1" s="1"/>
  <c r="CV121" i="4"/>
  <c r="CW121" i="4"/>
  <c r="AJ227" i="1" s="1"/>
  <c r="CX121" i="4"/>
  <c r="CY121" i="4"/>
  <c r="CZ121" i="4"/>
  <c r="DA121" i="4"/>
  <c r="AN227" i="1" s="1"/>
  <c r="DB121" i="4"/>
  <c r="DC121" i="4"/>
  <c r="DD121" i="4"/>
  <c r="DE121" i="4"/>
  <c r="DF121" i="4"/>
  <c r="AS227" i="1" s="1"/>
  <c r="DG121" i="4"/>
  <c r="AT227" i="1" s="1"/>
  <c r="DI121" i="4"/>
  <c r="AV227" i="1" s="1"/>
  <c r="DK121" i="4"/>
  <c r="DL121" i="4"/>
  <c r="DM121" i="4"/>
  <c r="AZ227" i="1" s="1"/>
  <c r="DN121" i="4"/>
  <c r="DO121" i="4"/>
  <c r="DP121" i="4"/>
  <c r="DQ121" i="4"/>
  <c r="BD227" i="1" s="1"/>
  <c r="DR121" i="4"/>
  <c r="DS121" i="4"/>
  <c r="BF227" i="1" s="1"/>
  <c r="DT121" i="4"/>
  <c r="BG227" i="1" s="1"/>
  <c r="DU121" i="4"/>
  <c r="BH227" i="1" s="1"/>
  <c r="DV121" i="4"/>
  <c r="BI227" i="1" s="1"/>
  <c r="DW121" i="4"/>
  <c r="BJ227" i="1" s="1"/>
  <c r="EA121" i="4"/>
  <c r="EB121" i="4"/>
  <c r="ED121" i="4"/>
  <c r="EF121" i="4"/>
  <c r="G278" i="1" s="1"/>
  <c r="EG121" i="4"/>
  <c r="EH121" i="4"/>
  <c r="EJ121" i="4"/>
  <c r="EK121" i="4"/>
  <c r="EL121" i="4"/>
  <c r="EM121" i="4"/>
  <c r="EN121" i="4"/>
  <c r="EO121" i="4"/>
  <c r="EP121" i="4"/>
  <c r="EQ121" i="4"/>
  <c r="ER121" i="4"/>
  <c r="ES121" i="4"/>
  <c r="T278" i="1" s="1"/>
  <c r="ET121" i="4"/>
  <c r="U278" i="1" s="1"/>
  <c r="EU121" i="4"/>
  <c r="V278" i="1" s="1"/>
  <c r="EV121" i="4"/>
  <c r="EW121" i="4"/>
  <c r="X278" i="1" s="1"/>
  <c r="EX121" i="4"/>
  <c r="Y278" i="1" s="1"/>
  <c r="EY121" i="4"/>
  <c r="Z278" i="1" s="1"/>
  <c r="EZ121" i="4"/>
  <c r="AA278" i="1" s="1"/>
  <c r="FA121" i="4"/>
  <c r="AB278" i="1" s="1"/>
  <c r="FB121" i="4"/>
  <c r="FC121" i="4"/>
  <c r="FD121" i="4"/>
  <c r="AE278" i="1" s="1"/>
  <c r="FE121" i="4"/>
  <c r="AF278" i="1" s="1"/>
  <c r="FF121" i="4"/>
  <c r="AG278" i="1" s="1"/>
  <c r="FG121" i="4"/>
  <c r="AH278" i="1" s="1"/>
  <c r="FH121" i="4"/>
  <c r="FI121" i="4"/>
  <c r="AJ278" i="1" s="1"/>
  <c r="FJ121" i="4"/>
  <c r="FK121" i="4"/>
  <c r="FL121" i="4"/>
  <c r="FM121" i="4"/>
  <c r="AN278" i="1" s="1"/>
  <c r="FN121" i="4"/>
  <c r="FO121" i="4"/>
  <c r="FP121" i="4"/>
  <c r="FQ121" i="4"/>
  <c r="FR121" i="4"/>
  <c r="FS121" i="4"/>
  <c r="FT121" i="4"/>
  <c r="AU278" i="1" s="1"/>
  <c r="FU121" i="4"/>
  <c r="FV121" i="4"/>
  <c r="FW121" i="4"/>
  <c r="FX121" i="4"/>
  <c r="FY121" i="4"/>
  <c r="AZ278" i="1" s="1"/>
  <c r="FZ121" i="4"/>
  <c r="GA121" i="4"/>
  <c r="GB121" i="4"/>
  <c r="GC121" i="4"/>
  <c r="BD278" i="1" s="1"/>
  <c r="GD121" i="4"/>
  <c r="GF121" i="4"/>
  <c r="GG121" i="4"/>
  <c r="GH121" i="4"/>
  <c r="GI121" i="4"/>
  <c r="C122" i="4"/>
  <c r="B177" i="1" s="1"/>
  <c r="D122" i="4"/>
  <c r="C177" i="1" s="1"/>
  <c r="E122" i="4"/>
  <c r="F122" i="4"/>
  <c r="E177" i="1" s="1"/>
  <c r="G122" i="4"/>
  <c r="H122" i="4"/>
  <c r="I122" i="4"/>
  <c r="H177" i="1" s="1"/>
  <c r="J122" i="4"/>
  <c r="I177" i="1" s="1"/>
  <c r="K122" i="4"/>
  <c r="L122" i="4"/>
  <c r="K177" i="1" s="1"/>
  <c r="M122" i="4"/>
  <c r="N122" i="4"/>
  <c r="M177" i="1" s="1"/>
  <c r="O122" i="4"/>
  <c r="P122" i="4"/>
  <c r="Q122" i="4"/>
  <c r="R122" i="4"/>
  <c r="Q177" i="1" s="1"/>
  <c r="S122" i="4"/>
  <c r="R177" i="1" s="1"/>
  <c r="AV122" i="4"/>
  <c r="DH122" i="4" s="1"/>
  <c r="AU228" i="1" s="1"/>
  <c r="AW122" i="4"/>
  <c r="AX122" i="4"/>
  <c r="AY122" i="4"/>
  <c r="AX177" i="1" s="1"/>
  <c r="BA122" i="4"/>
  <c r="FY122" i="4" s="1"/>
  <c r="AZ279" i="1" s="1"/>
  <c r="BB122" i="4"/>
  <c r="BA177" i="1" s="1"/>
  <c r="BC122" i="4"/>
  <c r="BB177" i="1" s="1"/>
  <c r="BD122" i="4"/>
  <c r="BC177" i="1" s="1"/>
  <c r="BE122" i="4"/>
  <c r="GC122" i="4" s="1"/>
  <c r="BD279" i="1" s="1"/>
  <c r="BF122" i="4"/>
  <c r="BE177" i="1" s="1"/>
  <c r="BG122" i="4"/>
  <c r="BH122" i="4"/>
  <c r="BI122" i="4"/>
  <c r="BJ122" i="4"/>
  <c r="BK122" i="4"/>
  <c r="BO122" i="4"/>
  <c r="BP122" i="4"/>
  <c r="BQ122" i="4"/>
  <c r="D228" i="1" s="1"/>
  <c r="BR122" i="4"/>
  <c r="BS122" i="4"/>
  <c r="F228" i="1" s="1"/>
  <c r="BT122" i="4"/>
  <c r="G228" i="1" s="1"/>
  <c r="BU122" i="4"/>
  <c r="BV122" i="4"/>
  <c r="BW122" i="4"/>
  <c r="J228" i="1" s="1"/>
  <c r="BX122" i="4"/>
  <c r="BY122" i="4"/>
  <c r="L228" i="1" s="1"/>
  <c r="BZ122" i="4"/>
  <c r="CA122" i="4"/>
  <c r="N228" i="1" s="1"/>
  <c r="CB122" i="4"/>
  <c r="O228" i="1" s="1"/>
  <c r="CC122" i="4"/>
  <c r="P228" i="1" s="1"/>
  <c r="CD122" i="4"/>
  <c r="CE122" i="4"/>
  <c r="CG122" i="4"/>
  <c r="T228" i="1" s="1"/>
  <c r="CH122" i="4"/>
  <c r="U228" i="1" s="1"/>
  <c r="CI122" i="4"/>
  <c r="V228" i="1" s="1"/>
  <c r="CJ122" i="4"/>
  <c r="CK122" i="4"/>
  <c r="X228" i="1" s="1"/>
  <c r="CL122" i="4"/>
  <c r="Y228" i="1" s="1"/>
  <c r="CM122" i="4"/>
  <c r="Z228" i="1" s="1"/>
  <c r="CN122" i="4"/>
  <c r="AA228" i="1" s="1"/>
  <c r="CO122" i="4"/>
  <c r="AB228" i="1" s="1"/>
  <c r="CP122" i="4"/>
  <c r="CQ122" i="4"/>
  <c r="CR122" i="4"/>
  <c r="AE228" i="1" s="1"/>
  <c r="CS122" i="4"/>
  <c r="AF228" i="1" s="1"/>
  <c r="CT122" i="4"/>
  <c r="AG228" i="1" s="1"/>
  <c r="CU122" i="4"/>
  <c r="AH228" i="1" s="1"/>
  <c r="CV122" i="4"/>
  <c r="CW122" i="4"/>
  <c r="AJ228" i="1" s="1"/>
  <c r="CX122" i="4"/>
  <c r="CY122" i="4"/>
  <c r="CZ122" i="4"/>
  <c r="DA122" i="4"/>
  <c r="AN228" i="1" s="1"/>
  <c r="DB122" i="4"/>
  <c r="DC122" i="4"/>
  <c r="DD122" i="4"/>
  <c r="DE122" i="4"/>
  <c r="DF122" i="4"/>
  <c r="AS228" i="1" s="1"/>
  <c r="DG122" i="4"/>
  <c r="AT228" i="1" s="1"/>
  <c r="DI122" i="4"/>
  <c r="AV228" i="1" s="1"/>
  <c r="DJ122" i="4"/>
  <c r="AW228" i="1" s="1"/>
  <c r="DK122" i="4"/>
  <c r="DL122" i="4"/>
  <c r="DM122" i="4"/>
  <c r="AZ228" i="1" s="1"/>
  <c r="DN122" i="4"/>
  <c r="DO122" i="4"/>
  <c r="DP122" i="4"/>
  <c r="DQ122" i="4"/>
  <c r="BD228" i="1" s="1"/>
  <c r="DR122" i="4"/>
  <c r="DS122" i="4"/>
  <c r="BF228" i="1" s="1"/>
  <c r="DT122" i="4"/>
  <c r="BG228" i="1" s="1"/>
  <c r="DU122" i="4"/>
  <c r="BH228" i="1" s="1"/>
  <c r="DV122" i="4"/>
  <c r="BI228" i="1" s="1"/>
  <c r="DW122" i="4"/>
  <c r="BJ228" i="1" s="1"/>
  <c r="EA122" i="4"/>
  <c r="EB122" i="4"/>
  <c r="EC122" i="4"/>
  <c r="D279" i="1" s="1"/>
  <c r="ED122" i="4"/>
  <c r="EE122" i="4"/>
  <c r="F279" i="1" s="1"/>
  <c r="EF122" i="4"/>
  <c r="G279" i="1" s="1"/>
  <c r="EG122" i="4"/>
  <c r="EH122" i="4"/>
  <c r="EI122" i="4"/>
  <c r="J279" i="1" s="1"/>
  <c r="EJ122" i="4"/>
  <c r="EK122" i="4"/>
  <c r="EL122" i="4"/>
  <c r="EM122" i="4"/>
  <c r="EN122" i="4"/>
  <c r="EO122" i="4"/>
  <c r="EP122" i="4"/>
  <c r="EQ122" i="4"/>
  <c r="ER122" i="4"/>
  <c r="ES122" i="4"/>
  <c r="T279" i="1" s="1"/>
  <c r="ET122" i="4"/>
  <c r="U279" i="1" s="1"/>
  <c r="EU122" i="4"/>
  <c r="V279" i="1" s="1"/>
  <c r="EV122" i="4"/>
  <c r="EW122" i="4"/>
  <c r="X279" i="1" s="1"/>
  <c r="EX122" i="4"/>
  <c r="Y279" i="1" s="1"/>
  <c r="EY122" i="4"/>
  <c r="Z279" i="1" s="1"/>
  <c r="EZ122" i="4"/>
  <c r="AA279" i="1" s="1"/>
  <c r="FA122" i="4"/>
  <c r="AB279" i="1" s="1"/>
  <c r="FB122" i="4"/>
  <c r="FC122" i="4"/>
  <c r="FD122" i="4"/>
  <c r="AE279" i="1" s="1"/>
  <c r="FE122" i="4"/>
  <c r="AF279" i="1" s="1"/>
  <c r="FF122" i="4"/>
  <c r="AG279" i="1" s="1"/>
  <c r="FG122" i="4"/>
  <c r="AH279" i="1" s="1"/>
  <c r="FH122" i="4"/>
  <c r="FI122" i="4"/>
  <c r="AJ279" i="1" s="1"/>
  <c r="FJ122" i="4"/>
  <c r="FK122" i="4"/>
  <c r="FL122" i="4"/>
  <c r="FM122" i="4"/>
  <c r="AN279" i="1" s="1"/>
  <c r="FN122" i="4"/>
  <c r="FO122" i="4"/>
  <c r="FP122" i="4"/>
  <c r="FQ122" i="4"/>
  <c r="FR122" i="4"/>
  <c r="FS122" i="4"/>
  <c r="FT122" i="4"/>
  <c r="AU279" i="1" s="1"/>
  <c r="FU122" i="4"/>
  <c r="FV122" i="4"/>
  <c r="FW122" i="4"/>
  <c r="FX122" i="4"/>
  <c r="FZ122" i="4"/>
  <c r="GA122" i="4"/>
  <c r="GB122" i="4"/>
  <c r="GD122" i="4"/>
  <c r="GE122" i="4"/>
  <c r="BF279" i="1" s="1"/>
  <c r="GF122" i="4"/>
  <c r="GG122" i="4"/>
  <c r="GH122" i="4"/>
  <c r="GI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AV123" i="4"/>
  <c r="AW123" i="4"/>
  <c r="AX123" i="4"/>
  <c r="DJ123" i="4" s="1"/>
  <c r="AY123" i="4"/>
  <c r="DK123" i="4" s="1"/>
  <c r="BA123" i="4"/>
  <c r="BB123" i="4"/>
  <c r="BC123" i="4"/>
  <c r="BD123" i="4"/>
  <c r="BE123" i="4"/>
  <c r="BF123" i="4"/>
  <c r="BG123" i="4"/>
  <c r="BH123" i="4"/>
  <c r="BI123" i="4"/>
  <c r="BJ123" i="4"/>
  <c r="BK123" i="4"/>
  <c r="BO123" i="4"/>
  <c r="BP123" i="4"/>
  <c r="BQ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D123" i="4"/>
  <c r="CE123" i="4"/>
  <c r="CF123" i="4"/>
  <c r="CH123" i="4"/>
  <c r="CI123" i="4"/>
  <c r="CJ123" i="4"/>
  <c r="CK123" i="4"/>
  <c r="CL123" i="4"/>
  <c r="CM123" i="4"/>
  <c r="CN123" i="4"/>
  <c r="CO123" i="4"/>
  <c r="CP123" i="4"/>
  <c r="CQ123" i="4"/>
  <c r="CR123" i="4"/>
  <c r="CS123" i="4"/>
  <c r="CT123" i="4"/>
  <c r="CU123" i="4"/>
  <c r="CV123" i="4"/>
  <c r="CW123" i="4"/>
  <c r="CX123" i="4"/>
  <c r="CY123" i="4"/>
  <c r="CZ123" i="4"/>
  <c r="DA123" i="4"/>
  <c r="DB123" i="4"/>
  <c r="DC123" i="4"/>
  <c r="DD123" i="4"/>
  <c r="DE123" i="4"/>
  <c r="DF123" i="4"/>
  <c r="DG123" i="4"/>
  <c r="DH123" i="4"/>
  <c r="DI123" i="4"/>
  <c r="DL123" i="4"/>
  <c r="DM123" i="4"/>
  <c r="DN123" i="4"/>
  <c r="DO123" i="4"/>
  <c r="DP123" i="4"/>
  <c r="DQ123" i="4"/>
  <c r="DR123" i="4"/>
  <c r="DS123" i="4"/>
  <c r="DT123" i="4"/>
  <c r="DU123" i="4"/>
  <c r="DV123" i="4"/>
  <c r="DW123" i="4"/>
  <c r="EA123" i="4"/>
  <c r="EB123" i="4"/>
  <c r="EC123" i="4"/>
  <c r="ED123" i="4"/>
  <c r="EE123" i="4"/>
  <c r="EF123" i="4"/>
  <c r="EG123" i="4"/>
  <c r="EH123" i="4"/>
  <c r="EI123" i="4"/>
  <c r="EJ123" i="4"/>
  <c r="EK123" i="4"/>
  <c r="EL123" i="4"/>
  <c r="EM123" i="4"/>
  <c r="EN123" i="4"/>
  <c r="EO123" i="4"/>
  <c r="EP123" i="4"/>
  <c r="EQ123" i="4"/>
  <c r="ER123" i="4"/>
  <c r="ET123" i="4"/>
  <c r="EU123" i="4"/>
  <c r="EV123" i="4"/>
  <c r="EW123" i="4"/>
  <c r="EX123" i="4"/>
  <c r="EY123" i="4"/>
  <c r="EZ123" i="4"/>
  <c r="FA123" i="4"/>
  <c r="FB123" i="4"/>
  <c r="FC123" i="4"/>
  <c r="FD123" i="4"/>
  <c r="FE123" i="4"/>
  <c r="FF123" i="4"/>
  <c r="FG123" i="4"/>
  <c r="FH123" i="4"/>
  <c r="FI123" i="4"/>
  <c r="FJ123" i="4"/>
  <c r="FK123" i="4"/>
  <c r="FL123" i="4"/>
  <c r="FM123" i="4"/>
  <c r="FN123" i="4"/>
  <c r="FO123" i="4"/>
  <c r="FP123" i="4"/>
  <c r="FQ123" i="4"/>
  <c r="FR123" i="4"/>
  <c r="FS123" i="4"/>
  <c r="FT123" i="4"/>
  <c r="FU123" i="4"/>
  <c r="FV123" i="4"/>
  <c r="FX123" i="4"/>
  <c r="FY123" i="4"/>
  <c r="FZ123" i="4"/>
  <c r="GA123" i="4"/>
  <c r="GB123" i="4"/>
  <c r="GC123" i="4"/>
  <c r="GD123" i="4"/>
  <c r="GE123" i="4"/>
  <c r="GF123" i="4"/>
  <c r="GG123" i="4"/>
  <c r="GH123" i="4"/>
  <c r="GI123" i="4"/>
  <c r="C124" i="4"/>
  <c r="BO124" i="4" s="1"/>
  <c r="D124" i="4"/>
  <c r="BP124" i="4" s="1"/>
  <c r="E124" i="4"/>
  <c r="F124" i="4"/>
  <c r="G124" i="4"/>
  <c r="BS124" i="4" s="1"/>
  <c r="H124" i="4"/>
  <c r="BT124" i="4" s="1"/>
  <c r="I124" i="4"/>
  <c r="J124" i="4"/>
  <c r="K124" i="4"/>
  <c r="BW124" i="4" s="1"/>
  <c r="L124" i="4"/>
  <c r="BX124" i="4" s="1"/>
  <c r="M124" i="4"/>
  <c r="N124" i="4"/>
  <c r="O124" i="4"/>
  <c r="CA124" i="4" s="1"/>
  <c r="P124" i="4"/>
  <c r="CB124" i="4" s="1"/>
  <c r="Q124" i="4"/>
  <c r="R124" i="4"/>
  <c r="S124" i="4"/>
  <c r="CE124" i="4" s="1"/>
  <c r="T124" i="4"/>
  <c r="CF124" i="4" s="1"/>
  <c r="U124" i="4"/>
  <c r="AV124" i="4"/>
  <c r="AW124" i="4"/>
  <c r="DI124" i="4" s="1"/>
  <c r="AX124" i="4"/>
  <c r="AY124" i="4"/>
  <c r="BA124" i="4"/>
  <c r="BB124" i="4"/>
  <c r="BC124" i="4"/>
  <c r="BD124" i="4"/>
  <c r="BE124" i="4"/>
  <c r="BF124" i="4"/>
  <c r="BG124" i="4"/>
  <c r="BH124" i="4"/>
  <c r="BI124" i="4"/>
  <c r="BJ124" i="4"/>
  <c r="BK124" i="4"/>
  <c r="BQ124" i="4"/>
  <c r="BR124" i="4"/>
  <c r="BU124" i="4"/>
  <c r="BV124" i="4"/>
  <c r="BY124" i="4"/>
  <c r="BZ124" i="4"/>
  <c r="CC124" i="4"/>
  <c r="CD124" i="4"/>
  <c r="CG124" i="4"/>
  <c r="CI124" i="4"/>
  <c r="CJ124" i="4"/>
  <c r="CK124" i="4"/>
  <c r="CL124" i="4"/>
  <c r="CM124" i="4"/>
  <c r="CN124" i="4"/>
  <c r="CO124" i="4"/>
  <c r="CP124" i="4"/>
  <c r="CQ124" i="4"/>
  <c r="CR124" i="4"/>
  <c r="CS124" i="4"/>
  <c r="CT124" i="4"/>
  <c r="CU124" i="4"/>
  <c r="CV124" i="4"/>
  <c r="CW124" i="4"/>
  <c r="CX124" i="4"/>
  <c r="CY124" i="4"/>
  <c r="CZ124" i="4"/>
  <c r="DA124" i="4"/>
  <c r="DB124" i="4"/>
  <c r="DC124" i="4"/>
  <c r="DD124" i="4"/>
  <c r="DE124" i="4"/>
  <c r="DF124" i="4"/>
  <c r="DG124" i="4"/>
  <c r="DH124" i="4"/>
  <c r="DJ124" i="4"/>
  <c r="DK124" i="4"/>
  <c r="DL124" i="4"/>
  <c r="DM124" i="4"/>
  <c r="DN124" i="4"/>
  <c r="DO124" i="4"/>
  <c r="DP124" i="4"/>
  <c r="DQ124" i="4"/>
  <c r="DR124" i="4"/>
  <c r="DS124" i="4"/>
  <c r="DT124" i="4"/>
  <c r="DU124" i="4"/>
  <c r="DV124" i="4"/>
  <c r="DW124" i="4"/>
  <c r="EC124" i="4"/>
  <c r="ED124" i="4"/>
  <c r="EG124" i="4"/>
  <c r="EH124" i="4"/>
  <c r="EK124" i="4"/>
  <c r="EL124" i="4"/>
  <c r="EO124" i="4"/>
  <c r="EP124" i="4"/>
  <c r="ES124" i="4"/>
  <c r="EU124" i="4"/>
  <c r="EV124" i="4"/>
  <c r="EW124" i="4"/>
  <c r="EX124" i="4"/>
  <c r="EY124" i="4"/>
  <c r="EZ124" i="4"/>
  <c r="FA124" i="4"/>
  <c r="FB124" i="4"/>
  <c r="FC124" i="4"/>
  <c r="FD124" i="4"/>
  <c r="FE124" i="4"/>
  <c r="FF124" i="4"/>
  <c r="FG124" i="4"/>
  <c r="FH124" i="4"/>
  <c r="FI124" i="4"/>
  <c r="FJ124" i="4"/>
  <c r="FK124" i="4"/>
  <c r="FL124" i="4"/>
  <c r="FM124" i="4"/>
  <c r="FN124" i="4"/>
  <c r="FO124" i="4"/>
  <c r="FP124" i="4"/>
  <c r="FQ124" i="4"/>
  <c r="FR124" i="4"/>
  <c r="FS124" i="4"/>
  <c r="FT124" i="4"/>
  <c r="FV124" i="4"/>
  <c r="FW124" i="4"/>
  <c r="FX124" i="4"/>
  <c r="FY124" i="4"/>
  <c r="FZ124" i="4"/>
  <c r="GA124" i="4"/>
  <c r="GB124" i="4"/>
  <c r="GC124" i="4"/>
  <c r="GD124" i="4"/>
  <c r="GE124" i="4"/>
  <c r="GF124" i="4"/>
  <c r="GG124" i="4"/>
  <c r="GH124" i="4"/>
  <c r="GI124" i="4"/>
  <c r="C125" i="4"/>
  <c r="D125" i="4"/>
  <c r="E125" i="4"/>
  <c r="BQ125" i="4" s="1"/>
  <c r="F125" i="4"/>
  <c r="G125" i="4"/>
  <c r="H125" i="4"/>
  <c r="I125" i="4"/>
  <c r="BU125" i="4" s="1"/>
  <c r="J125" i="4"/>
  <c r="K125" i="4"/>
  <c r="L125" i="4"/>
  <c r="M125" i="4"/>
  <c r="BY125" i="4" s="1"/>
  <c r="N125" i="4"/>
  <c r="O125" i="4"/>
  <c r="P125" i="4"/>
  <c r="Q125" i="4"/>
  <c r="CC125" i="4" s="1"/>
  <c r="R125" i="4"/>
  <c r="S125" i="4"/>
  <c r="T125" i="4"/>
  <c r="U125" i="4"/>
  <c r="CG125" i="4" s="1"/>
  <c r="V125" i="4"/>
  <c r="AV125" i="4"/>
  <c r="AW125" i="4"/>
  <c r="AX125" i="4"/>
  <c r="DJ125" i="4" s="1"/>
  <c r="AY125" i="4"/>
  <c r="BA125" i="4"/>
  <c r="BB125" i="4"/>
  <c r="BC125" i="4"/>
  <c r="BD125" i="4"/>
  <c r="BE125" i="4"/>
  <c r="BF125" i="4"/>
  <c r="BG125" i="4"/>
  <c r="BH125" i="4"/>
  <c r="BI125" i="4"/>
  <c r="BJ125" i="4"/>
  <c r="BK125" i="4"/>
  <c r="BO125" i="4"/>
  <c r="BP125" i="4"/>
  <c r="BR125" i="4"/>
  <c r="BS125" i="4"/>
  <c r="BT125" i="4"/>
  <c r="BV125" i="4"/>
  <c r="BW125" i="4"/>
  <c r="BX125" i="4"/>
  <c r="BZ125" i="4"/>
  <c r="CA125" i="4"/>
  <c r="CB125" i="4"/>
  <c r="CD125" i="4"/>
  <c r="CE125" i="4"/>
  <c r="CF125" i="4"/>
  <c r="CH125" i="4"/>
  <c r="CJ125" i="4"/>
  <c r="CK125" i="4"/>
  <c r="CL125" i="4"/>
  <c r="CM125" i="4"/>
  <c r="CN125" i="4"/>
  <c r="CO125" i="4"/>
  <c r="CP125" i="4"/>
  <c r="CQ125" i="4"/>
  <c r="CR125" i="4"/>
  <c r="CS125" i="4"/>
  <c r="CT125" i="4"/>
  <c r="CU125" i="4"/>
  <c r="CV125" i="4"/>
  <c r="CW125" i="4"/>
  <c r="CX125" i="4"/>
  <c r="CY125" i="4"/>
  <c r="CZ125" i="4"/>
  <c r="DA125" i="4"/>
  <c r="DB125" i="4"/>
  <c r="DC125" i="4"/>
  <c r="DD125" i="4"/>
  <c r="DE125" i="4"/>
  <c r="DF125" i="4"/>
  <c r="DG125" i="4"/>
  <c r="DH125" i="4"/>
  <c r="DI125" i="4"/>
  <c r="DK125" i="4"/>
  <c r="DL125" i="4"/>
  <c r="DM125" i="4"/>
  <c r="DN125" i="4"/>
  <c r="DO125" i="4"/>
  <c r="DP125" i="4"/>
  <c r="DQ125" i="4"/>
  <c r="DR125" i="4"/>
  <c r="DS125" i="4"/>
  <c r="DT125" i="4"/>
  <c r="DU125" i="4"/>
  <c r="DV125" i="4"/>
  <c r="DW125" i="4"/>
  <c r="EA125" i="4"/>
  <c r="EB125" i="4"/>
  <c r="ED125" i="4"/>
  <c r="EE125" i="4"/>
  <c r="EF125" i="4"/>
  <c r="EH125" i="4"/>
  <c r="EI125" i="4"/>
  <c r="EJ125" i="4"/>
  <c r="EL125" i="4"/>
  <c r="EM125" i="4"/>
  <c r="EN125" i="4"/>
  <c r="EP125" i="4"/>
  <c r="EQ125" i="4"/>
  <c r="ER125" i="4"/>
  <c r="ET125" i="4"/>
  <c r="EV125" i="4"/>
  <c r="EW125" i="4"/>
  <c r="EX125" i="4"/>
  <c r="EY125" i="4"/>
  <c r="EZ125" i="4"/>
  <c r="FA125" i="4"/>
  <c r="FB125" i="4"/>
  <c r="FC125" i="4"/>
  <c r="FD125" i="4"/>
  <c r="FE125" i="4"/>
  <c r="FF125" i="4"/>
  <c r="FG125" i="4"/>
  <c r="FH125" i="4"/>
  <c r="FI125" i="4"/>
  <c r="FJ125" i="4"/>
  <c r="FK125" i="4"/>
  <c r="FL125" i="4"/>
  <c r="FM125" i="4"/>
  <c r="FN125" i="4"/>
  <c r="FO125" i="4"/>
  <c r="FP125" i="4"/>
  <c r="FQ125" i="4"/>
  <c r="FR125" i="4"/>
  <c r="FS125" i="4"/>
  <c r="FT125" i="4"/>
  <c r="FU125" i="4"/>
  <c r="FW125" i="4"/>
  <c r="FX125" i="4"/>
  <c r="FY125" i="4"/>
  <c r="FZ125" i="4"/>
  <c r="GA125" i="4"/>
  <c r="GB125" i="4"/>
  <c r="GC125" i="4"/>
  <c r="GD125" i="4"/>
  <c r="GE125" i="4"/>
  <c r="GF125" i="4"/>
  <c r="GG125" i="4"/>
  <c r="GH125" i="4"/>
  <c r="GI125" i="4"/>
  <c r="C126" i="4"/>
  <c r="B181" i="1" s="1"/>
  <c r="D126" i="4"/>
  <c r="C181" i="1" s="1"/>
  <c r="E126" i="4"/>
  <c r="F126" i="4"/>
  <c r="E181" i="1" s="1"/>
  <c r="G126" i="4"/>
  <c r="H126" i="4"/>
  <c r="I126" i="4"/>
  <c r="H181" i="1" s="1"/>
  <c r="J126" i="4"/>
  <c r="I181" i="1" s="1"/>
  <c r="K126" i="4"/>
  <c r="L126" i="4"/>
  <c r="K181" i="1" s="1"/>
  <c r="M126" i="4"/>
  <c r="N126" i="4"/>
  <c r="M181" i="1" s="1"/>
  <c r="O126" i="4"/>
  <c r="P126" i="4"/>
  <c r="Q126" i="4"/>
  <c r="R126" i="4"/>
  <c r="Q181" i="1" s="1"/>
  <c r="S126" i="4"/>
  <c r="R181" i="1" s="1"/>
  <c r="T126" i="4"/>
  <c r="S181" i="1" s="1"/>
  <c r="U126" i="4"/>
  <c r="V126" i="4"/>
  <c r="W126" i="4"/>
  <c r="AV126" i="4"/>
  <c r="AW126" i="4"/>
  <c r="AX126" i="4"/>
  <c r="DJ126" i="4" s="1"/>
  <c r="AW232" i="1" s="1"/>
  <c r="AY126" i="4"/>
  <c r="AX181" i="1" s="1"/>
  <c r="BA126" i="4"/>
  <c r="BB126" i="4"/>
  <c r="BA181" i="1" s="1"/>
  <c r="BC126" i="4"/>
  <c r="BB181" i="1" s="1"/>
  <c r="BD126" i="4"/>
  <c r="BC181" i="1" s="1"/>
  <c r="BE126" i="4"/>
  <c r="BF126" i="4"/>
  <c r="BE181" i="1" s="1"/>
  <c r="BG126" i="4"/>
  <c r="GE126" i="4" s="1"/>
  <c r="BF283" i="1" s="1"/>
  <c r="BH126" i="4"/>
  <c r="BI126" i="4"/>
  <c r="BJ126" i="4"/>
  <c r="BK126" i="4"/>
  <c r="BO126" i="4"/>
  <c r="BP126" i="4"/>
  <c r="BQ126" i="4"/>
  <c r="D232" i="1" s="1"/>
  <c r="BR126" i="4"/>
  <c r="BS126" i="4"/>
  <c r="F232" i="1" s="1"/>
  <c r="BT126" i="4"/>
  <c r="G232" i="1" s="1"/>
  <c r="BU126" i="4"/>
  <c r="BV126" i="4"/>
  <c r="BW126" i="4"/>
  <c r="J232" i="1" s="1"/>
  <c r="BX126" i="4"/>
  <c r="BY126" i="4"/>
  <c r="L232" i="1" s="1"/>
  <c r="BZ126" i="4"/>
  <c r="CA126" i="4"/>
  <c r="N232" i="1" s="1"/>
  <c r="CB126" i="4"/>
  <c r="O232" i="1" s="1"/>
  <c r="CC126" i="4"/>
  <c r="P232" i="1" s="1"/>
  <c r="CD126" i="4"/>
  <c r="CE126" i="4"/>
  <c r="CF126" i="4"/>
  <c r="CG126" i="4"/>
  <c r="T232" i="1" s="1"/>
  <c r="CH126" i="4"/>
  <c r="U232" i="1" s="1"/>
  <c r="CI126" i="4"/>
  <c r="V232" i="1" s="1"/>
  <c r="CK126" i="4"/>
  <c r="X232" i="1" s="1"/>
  <c r="CL126" i="4"/>
  <c r="Y232" i="1" s="1"/>
  <c r="CM126" i="4"/>
  <c r="Z232" i="1" s="1"/>
  <c r="CN126" i="4"/>
  <c r="AA232" i="1" s="1"/>
  <c r="CO126" i="4"/>
  <c r="AB232" i="1" s="1"/>
  <c r="CP126" i="4"/>
  <c r="CQ126" i="4"/>
  <c r="CR126" i="4"/>
  <c r="AE232" i="1" s="1"/>
  <c r="CS126" i="4"/>
  <c r="AF232" i="1" s="1"/>
  <c r="CT126" i="4"/>
  <c r="AG232" i="1" s="1"/>
  <c r="CU126" i="4"/>
  <c r="AH232" i="1" s="1"/>
  <c r="CV126" i="4"/>
  <c r="CW126" i="4"/>
  <c r="AJ232" i="1" s="1"/>
  <c r="CX126" i="4"/>
  <c r="CY126" i="4"/>
  <c r="CZ126" i="4"/>
  <c r="DA126" i="4"/>
  <c r="AN232" i="1" s="1"/>
  <c r="DB126" i="4"/>
  <c r="DC126" i="4"/>
  <c r="DD126" i="4"/>
  <c r="DE126" i="4"/>
  <c r="DF126" i="4"/>
  <c r="AS232" i="1" s="1"/>
  <c r="DG126" i="4"/>
  <c r="AT232" i="1" s="1"/>
  <c r="DH126" i="4"/>
  <c r="AU232" i="1" s="1"/>
  <c r="DI126" i="4"/>
  <c r="AV232" i="1" s="1"/>
  <c r="DK126" i="4"/>
  <c r="DL126" i="4"/>
  <c r="DM126" i="4"/>
  <c r="AZ232" i="1" s="1"/>
  <c r="DN126" i="4"/>
  <c r="DO126" i="4"/>
  <c r="DP126" i="4"/>
  <c r="DQ126" i="4"/>
  <c r="BD232" i="1" s="1"/>
  <c r="DR126" i="4"/>
  <c r="DS126" i="4"/>
  <c r="BF232" i="1" s="1"/>
  <c r="DT126" i="4"/>
  <c r="BG232" i="1" s="1"/>
  <c r="DU126" i="4"/>
  <c r="BH232" i="1" s="1"/>
  <c r="DV126" i="4"/>
  <c r="BI232" i="1" s="1"/>
  <c r="DW126" i="4"/>
  <c r="BJ232" i="1" s="1"/>
  <c r="EA126" i="4"/>
  <c r="EB126" i="4"/>
  <c r="EC126" i="4"/>
  <c r="D283" i="1" s="1"/>
  <c r="ED126" i="4"/>
  <c r="EE126" i="4"/>
  <c r="F283" i="1" s="1"/>
  <c r="EF126" i="4"/>
  <c r="G283" i="1" s="1"/>
  <c r="EG126" i="4"/>
  <c r="EH126" i="4"/>
  <c r="EI126" i="4"/>
  <c r="J283" i="1" s="1"/>
  <c r="EJ126" i="4"/>
  <c r="EK126" i="4"/>
  <c r="EL126" i="4"/>
  <c r="EM126" i="4"/>
  <c r="EN126" i="4"/>
  <c r="EO126" i="4"/>
  <c r="EP126" i="4"/>
  <c r="EQ126" i="4"/>
  <c r="ER126" i="4"/>
  <c r="ES126" i="4"/>
  <c r="T283" i="1" s="1"/>
  <c r="ET126" i="4"/>
  <c r="U283" i="1" s="1"/>
  <c r="EU126" i="4"/>
  <c r="V283" i="1" s="1"/>
  <c r="EV126" i="4"/>
  <c r="EW126" i="4"/>
  <c r="X283" i="1" s="1"/>
  <c r="EX126" i="4"/>
  <c r="Y283" i="1" s="1"/>
  <c r="EY126" i="4"/>
  <c r="Z283" i="1" s="1"/>
  <c r="EZ126" i="4"/>
  <c r="AA283" i="1" s="1"/>
  <c r="FA126" i="4"/>
  <c r="AB283" i="1" s="1"/>
  <c r="FB126" i="4"/>
  <c r="FC126" i="4"/>
  <c r="FD126" i="4"/>
  <c r="AE283" i="1" s="1"/>
  <c r="FE126" i="4"/>
  <c r="AF283" i="1" s="1"/>
  <c r="FF126" i="4"/>
  <c r="AG283" i="1" s="1"/>
  <c r="FG126" i="4"/>
  <c r="AH283" i="1" s="1"/>
  <c r="FH126" i="4"/>
  <c r="FI126" i="4"/>
  <c r="AJ283" i="1" s="1"/>
  <c r="FJ126" i="4"/>
  <c r="FK126" i="4"/>
  <c r="FL126" i="4"/>
  <c r="FM126" i="4"/>
  <c r="AN283" i="1" s="1"/>
  <c r="FN126" i="4"/>
  <c r="FO126" i="4"/>
  <c r="FP126" i="4"/>
  <c r="FQ126" i="4"/>
  <c r="FR126" i="4"/>
  <c r="FS126" i="4"/>
  <c r="FT126" i="4"/>
  <c r="AU283" i="1" s="1"/>
  <c r="FU126" i="4"/>
  <c r="FV126" i="4"/>
  <c r="FW126" i="4"/>
  <c r="FX126" i="4"/>
  <c r="FY126" i="4"/>
  <c r="AZ283" i="1" s="1"/>
  <c r="FZ126" i="4"/>
  <c r="GA126" i="4"/>
  <c r="GB126" i="4"/>
  <c r="GC126" i="4"/>
  <c r="BD283" i="1" s="1"/>
  <c r="GD126" i="4"/>
  <c r="GF126" i="4"/>
  <c r="GG126" i="4"/>
  <c r="GH126" i="4"/>
  <c r="GI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AV127" i="4"/>
  <c r="AW127" i="4"/>
  <c r="DI127" i="4" s="1"/>
  <c r="AX127" i="4"/>
  <c r="AY127" i="4"/>
  <c r="DK127" i="4" s="1"/>
  <c r="BA127" i="4"/>
  <c r="BB127" i="4"/>
  <c r="BC127" i="4"/>
  <c r="BD127" i="4"/>
  <c r="BE127" i="4"/>
  <c r="BF127" i="4"/>
  <c r="BG127" i="4"/>
  <c r="BH127" i="4"/>
  <c r="BI127" i="4"/>
  <c r="BJ127" i="4"/>
  <c r="BK127" i="4"/>
  <c r="BO127" i="4"/>
  <c r="BP127" i="4"/>
  <c r="BQ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D127" i="4"/>
  <c r="CE127" i="4"/>
  <c r="CF127" i="4"/>
  <c r="CG127" i="4"/>
  <c r="CH127" i="4"/>
  <c r="CI127" i="4"/>
  <c r="CJ127" i="4"/>
  <c r="CL127" i="4"/>
  <c r="CM127" i="4"/>
  <c r="CN127" i="4"/>
  <c r="CO127" i="4"/>
  <c r="CP127" i="4"/>
  <c r="CQ127" i="4"/>
  <c r="CR127" i="4"/>
  <c r="CS127" i="4"/>
  <c r="CT127" i="4"/>
  <c r="CU127" i="4"/>
  <c r="CV127" i="4"/>
  <c r="CW127" i="4"/>
  <c r="CX127" i="4"/>
  <c r="CY127" i="4"/>
  <c r="CZ127" i="4"/>
  <c r="DA127" i="4"/>
  <c r="DB127" i="4"/>
  <c r="DC127" i="4"/>
  <c r="DD127" i="4"/>
  <c r="DE127" i="4"/>
  <c r="DF127" i="4"/>
  <c r="DG127" i="4"/>
  <c r="DH127" i="4"/>
  <c r="DJ127" i="4"/>
  <c r="DL127" i="4"/>
  <c r="DM127" i="4"/>
  <c r="DN127" i="4"/>
  <c r="DO127" i="4"/>
  <c r="DP127" i="4"/>
  <c r="DQ127" i="4"/>
  <c r="DR127" i="4"/>
  <c r="DS127" i="4"/>
  <c r="DT127" i="4"/>
  <c r="DU127" i="4"/>
  <c r="DV127" i="4"/>
  <c r="DW127" i="4"/>
  <c r="EA127" i="4"/>
  <c r="EB127" i="4"/>
  <c r="EC127" i="4"/>
  <c r="ED127" i="4"/>
  <c r="EE127" i="4"/>
  <c r="EF127" i="4"/>
  <c r="EG127" i="4"/>
  <c r="EH127" i="4"/>
  <c r="EI127" i="4"/>
  <c r="EJ127" i="4"/>
  <c r="EK127" i="4"/>
  <c r="EL127" i="4"/>
  <c r="EM127" i="4"/>
  <c r="EN127" i="4"/>
  <c r="EO127" i="4"/>
  <c r="EP127" i="4"/>
  <c r="EQ127" i="4"/>
  <c r="ER127" i="4"/>
  <c r="ES127" i="4"/>
  <c r="ET127" i="4"/>
  <c r="EU127" i="4"/>
  <c r="EV127" i="4"/>
  <c r="EX127" i="4"/>
  <c r="EY127" i="4"/>
  <c r="EZ127" i="4"/>
  <c r="FA127" i="4"/>
  <c r="FB127" i="4"/>
  <c r="FC127" i="4"/>
  <c r="FD127" i="4"/>
  <c r="FE127" i="4"/>
  <c r="FF127" i="4"/>
  <c r="FG127" i="4"/>
  <c r="FH127" i="4"/>
  <c r="FI127" i="4"/>
  <c r="FJ127" i="4"/>
  <c r="FK127" i="4"/>
  <c r="FL127" i="4"/>
  <c r="FM127" i="4"/>
  <c r="FN127" i="4"/>
  <c r="FO127" i="4"/>
  <c r="FP127" i="4"/>
  <c r="FQ127" i="4"/>
  <c r="FR127" i="4"/>
  <c r="FS127" i="4"/>
  <c r="FT127" i="4"/>
  <c r="FV127" i="4"/>
  <c r="FW127" i="4"/>
  <c r="FX127" i="4"/>
  <c r="FY127" i="4"/>
  <c r="FZ127" i="4"/>
  <c r="GA127" i="4"/>
  <c r="GB127" i="4"/>
  <c r="GC127" i="4"/>
  <c r="GD127" i="4"/>
  <c r="GE127" i="4"/>
  <c r="GF127" i="4"/>
  <c r="GG127" i="4"/>
  <c r="GH127" i="4"/>
  <c r="GI127" i="4"/>
  <c r="C128" i="4"/>
  <c r="BO128" i="4" s="1"/>
  <c r="D128" i="4"/>
  <c r="E128" i="4"/>
  <c r="BQ128" i="4" s="1"/>
  <c r="F128" i="4"/>
  <c r="G128" i="4"/>
  <c r="BS128" i="4" s="1"/>
  <c r="H128" i="4"/>
  <c r="I128" i="4"/>
  <c r="BU128" i="4" s="1"/>
  <c r="J128" i="4"/>
  <c r="K128" i="4"/>
  <c r="BW128" i="4" s="1"/>
  <c r="L128" i="4"/>
  <c r="M128" i="4"/>
  <c r="BY128" i="4" s="1"/>
  <c r="N128" i="4"/>
  <c r="O128" i="4"/>
  <c r="CA128" i="4" s="1"/>
  <c r="P128" i="4"/>
  <c r="Q128" i="4"/>
  <c r="CC128" i="4" s="1"/>
  <c r="R128" i="4"/>
  <c r="S128" i="4"/>
  <c r="CE128" i="4" s="1"/>
  <c r="V128" i="4"/>
  <c r="W128" i="4"/>
  <c r="CI128" i="4" s="1"/>
  <c r="Y128" i="4"/>
  <c r="AV128" i="4"/>
  <c r="AW128" i="4"/>
  <c r="AX128" i="4"/>
  <c r="DJ128" i="4" s="1"/>
  <c r="AY128" i="4"/>
  <c r="BA128" i="4"/>
  <c r="BB128" i="4"/>
  <c r="BC128" i="4"/>
  <c r="BD128" i="4"/>
  <c r="BE128" i="4"/>
  <c r="BF128" i="4"/>
  <c r="BG128" i="4"/>
  <c r="BH128" i="4"/>
  <c r="BI128" i="4"/>
  <c r="BJ128" i="4"/>
  <c r="BK128" i="4"/>
  <c r="BP128" i="4"/>
  <c r="BR128" i="4"/>
  <c r="BT128" i="4"/>
  <c r="BV128" i="4"/>
  <c r="BX128" i="4"/>
  <c r="BZ128" i="4"/>
  <c r="CB128" i="4"/>
  <c r="CD128" i="4"/>
  <c r="CF128" i="4"/>
  <c r="CG128" i="4"/>
  <c r="CH128" i="4"/>
  <c r="CJ128" i="4"/>
  <c r="CK128" i="4"/>
  <c r="CM128" i="4"/>
  <c r="CN128" i="4"/>
  <c r="CO128" i="4"/>
  <c r="CP128" i="4"/>
  <c r="CQ128" i="4"/>
  <c r="CR128" i="4"/>
  <c r="CS128" i="4"/>
  <c r="CT128" i="4"/>
  <c r="CU128" i="4"/>
  <c r="CV128" i="4"/>
  <c r="CW128" i="4"/>
  <c r="CX128" i="4"/>
  <c r="CY128" i="4"/>
  <c r="CZ128" i="4"/>
  <c r="DA128" i="4"/>
  <c r="DB128" i="4"/>
  <c r="DC128" i="4"/>
  <c r="DD128" i="4"/>
  <c r="DE128" i="4"/>
  <c r="DF128" i="4"/>
  <c r="DG128" i="4"/>
  <c r="DH128" i="4"/>
  <c r="DI128" i="4"/>
  <c r="DK128" i="4"/>
  <c r="DL128" i="4"/>
  <c r="DM128" i="4"/>
  <c r="DN128" i="4"/>
  <c r="DO128" i="4"/>
  <c r="DP128" i="4"/>
  <c r="DQ128" i="4"/>
  <c r="DR128" i="4"/>
  <c r="DS128" i="4"/>
  <c r="DT128" i="4"/>
  <c r="DU128" i="4"/>
  <c r="DV128" i="4"/>
  <c r="DW128" i="4"/>
  <c r="EA128" i="4"/>
  <c r="EB128" i="4"/>
  <c r="ED128" i="4"/>
  <c r="EE128" i="4"/>
  <c r="EF128" i="4"/>
  <c r="EH128" i="4"/>
  <c r="EI128" i="4"/>
  <c r="EJ128" i="4"/>
  <c r="EL128" i="4"/>
  <c r="EM128" i="4"/>
  <c r="EN128" i="4"/>
  <c r="EP128" i="4"/>
  <c r="EQ128" i="4"/>
  <c r="ER128" i="4"/>
  <c r="ES128" i="4"/>
  <c r="ET128" i="4"/>
  <c r="EV128" i="4"/>
  <c r="EW128" i="4"/>
  <c r="EY128" i="4"/>
  <c r="EZ128" i="4"/>
  <c r="FA128" i="4"/>
  <c r="FB128" i="4"/>
  <c r="FC128" i="4"/>
  <c r="FD128" i="4"/>
  <c r="FE128" i="4"/>
  <c r="FF128" i="4"/>
  <c r="FG128" i="4"/>
  <c r="FH128" i="4"/>
  <c r="FI128" i="4"/>
  <c r="FJ128" i="4"/>
  <c r="FK128" i="4"/>
  <c r="FL128" i="4"/>
  <c r="FM128" i="4"/>
  <c r="FN128" i="4"/>
  <c r="FO128" i="4"/>
  <c r="FP128" i="4"/>
  <c r="FQ128" i="4"/>
  <c r="FR128" i="4"/>
  <c r="FS128" i="4"/>
  <c r="FT128" i="4"/>
  <c r="FU128" i="4"/>
  <c r="FV128" i="4"/>
  <c r="FW128" i="4"/>
  <c r="FX128" i="4"/>
  <c r="FY128" i="4"/>
  <c r="FZ128" i="4"/>
  <c r="GA128" i="4"/>
  <c r="GB128" i="4"/>
  <c r="GC128" i="4"/>
  <c r="GD128" i="4"/>
  <c r="GE128" i="4"/>
  <c r="GF128" i="4"/>
  <c r="GG128" i="4"/>
  <c r="GH128" i="4"/>
  <c r="GI128" i="4"/>
  <c r="C129" i="4"/>
  <c r="D129" i="4"/>
  <c r="E129" i="4"/>
  <c r="F129" i="4"/>
  <c r="BR129" i="4" s="1"/>
  <c r="G129" i="4"/>
  <c r="H129" i="4"/>
  <c r="I129" i="4"/>
  <c r="J129" i="4"/>
  <c r="BV129" i="4" s="1"/>
  <c r="K129" i="4"/>
  <c r="L129" i="4"/>
  <c r="M129" i="4"/>
  <c r="N129" i="4"/>
  <c r="BZ129" i="4" s="1"/>
  <c r="O129" i="4"/>
  <c r="P129" i="4"/>
  <c r="Q129" i="4"/>
  <c r="R129" i="4"/>
  <c r="S129" i="4"/>
  <c r="T129" i="4"/>
  <c r="U129" i="4"/>
  <c r="W129" i="4"/>
  <c r="X129" i="4"/>
  <c r="Y129" i="4"/>
  <c r="Z129" i="4"/>
  <c r="AV129" i="4"/>
  <c r="AW129" i="4"/>
  <c r="AX129" i="4"/>
  <c r="AY129" i="4"/>
  <c r="BA129" i="4"/>
  <c r="BB129" i="4"/>
  <c r="BC129" i="4"/>
  <c r="BD129" i="4"/>
  <c r="BE129" i="4"/>
  <c r="BF129" i="4"/>
  <c r="BG129" i="4"/>
  <c r="BH129" i="4"/>
  <c r="BI129" i="4"/>
  <c r="BJ129" i="4"/>
  <c r="BK129" i="4"/>
  <c r="BO129" i="4"/>
  <c r="BP129" i="4"/>
  <c r="BQ129" i="4"/>
  <c r="BS129" i="4"/>
  <c r="BT129" i="4"/>
  <c r="BU129" i="4"/>
  <c r="BW129" i="4"/>
  <c r="BX129" i="4"/>
  <c r="BY129" i="4"/>
  <c r="CA129" i="4"/>
  <c r="CB129" i="4"/>
  <c r="CC129" i="4"/>
  <c r="CD129" i="4"/>
  <c r="CE129" i="4"/>
  <c r="CF129" i="4"/>
  <c r="CG129" i="4"/>
  <c r="CH129" i="4"/>
  <c r="CI129" i="4"/>
  <c r="CJ129" i="4"/>
  <c r="CK129" i="4"/>
  <c r="CL129" i="4"/>
  <c r="CN129" i="4"/>
  <c r="CO129" i="4"/>
  <c r="CP129" i="4"/>
  <c r="CQ129" i="4"/>
  <c r="CR129" i="4"/>
  <c r="CS129" i="4"/>
  <c r="CT129" i="4"/>
  <c r="CU129" i="4"/>
  <c r="CV129" i="4"/>
  <c r="CW129" i="4"/>
  <c r="CX129" i="4"/>
  <c r="CY129" i="4"/>
  <c r="CZ129" i="4"/>
  <c r="DA129" i="4"/>
  <c r="DB129" i="4"/>
  <c r="DC129" i="4"/>
  <c r="DD129" i="4"/>
  <c r="DE129" i="4"/>
  <c r="DF129" i="4"/>
  <c r="DG129" i="4"/>
  <c r="DH129" i="4"/>
  <c r="DI129" i="4"/>
  <c r="DJ129" i="4"/>
  <c r="DK129" i="4"/>
  <c r="DL129" i="4"/>
  <c r="DM129" i="4"/>
  <c r="DN129" i="4"/>
  <c r="DO129" i="4"/>
  <c r="DP129" i="4"/>
  <c r="DQ129" i="4"/>
  <c r="DR129" i="4"/>
  <c r="DS129" i="4"/>
  <c r="DT129" i="4"/>
  <c r="DU129" i="4"/>
  <c r="DV129" i="4"/>
  <c r="DW129" i="4"/>
  <c r="EA129" i="4"/>
  <c r="EB129" i="4"/>
  <c r="EC129" i="4"/>
  <c r="ED129" i="4"/>
  <c r="EE129" i="4"/>
  <c r="EF129" i="4"/>
  <c r="EG129" i="4"/>
  <c r="EH129" i="4"/>
  <c r="EI129" i="4"/>
  <c r="EJ129" i="4"/>
  <c r="EK129" i="4"/>
  <c r="EL129" i="4"/>
  <c r="EM129" i="4"/>
  <c r="EN129" i="4"/>
  <c r="EO129" i="4"/>
  <c r="EP129" i="4"/>
  <c r="EQ129" i="4"/>
  <c r="ER129" i="4"/>
  <c r="ES129" i="4"/>
  <c r="ET129" i="4"/>
  <c r="EU129" i="4"/>
  <c r="EV129" i="4"/>
  <c r="EW129" i="4"/>
  <c r="EX129" i="4"/>
  <c r="EZ129" i="4"/>
  <c r="FA129" i="4"/>
  <c r="FB129" i="4"/>
  <c r="FC129" i="4"/>
  <c r="FD129" i="4"/>
  <c r="FE129" i="4"/>
  <c r="FF129" i="4"/>
  <c r="FG129" i="4"/>
  <c r="FH129" i="4"/>
  <c r="FI129" i="4"/>
  <c r="FJ129" i="4"/>
  <c r="FK129" i="4"/>
  <c r="FL129" i="4"/>
  <c r="FM129" i="4"/>
  <c r="FN129" i="4"/>
  <c r="FO129" i="4"/>
  <c r="FP129" i="4"/>
  <c r="FQ129" i="4"/>
  <c r="FR129" i="4"/>
  <c r="FS129" i="4"/>
  <c r="FT129" i="4"/>
  <c r="FU129" i="4"/>
  <c r="FV129" i="4"/>
  <c r="FW129" i="4"/>
  <c r="FX129" i="4"/>
  <c r="FY129" i="4"/>
  <c r="FZ129" i="4"/>
  <c r="GA129" i="4"/>
  <c r="GB129" i="4"/>
  <c r="GC129" i="4"/>
  <c r="GD129" i="4"/>
  <c r="GE129" i="4"/>
  <c r="GF129" i="4"/>
  <c r="GG129" i="4"/>
  <c r="GH129" i="4"/>
  <c r="GI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V130" i="4"/>
  <c r="DH130" i="4" s="1"/>
  <c r="AW130" i="4"/>
  <c r="AX130" i="4"/>
  <c r="AY130" i="4"/>
  <c r="BA130" i="4"/>
  <c r="BB130" i="4"/>
  <c r="BC130" i="4"/>
  <c r="BD130" i="4"/>
  <c r="BE130" i="4"/>
  <c r="BF130" i="4"/>
  <c r="BG130" i="4"/>
  <c r="BH130" i="4"/>
  <c r="BI130" i="4"/>
  <c r="BJ130" i="4"/>
  <c r="BK130" i="4"/>
  <c r="BO130" i="4"/>
  <c r="BP130" i="4"/>
  <c r="BQ130" i="4"/>
  <c r="BR130" i="4"/>
  <c r="BS130" i="4"/>
  <c r="BT130" i="4"/>
  <c r="BU130" i="4"/>
  <c r="BV130" i="4"/>
  <c r="BW130" i="4"/>
  <c r="BX130" i="4"/>
  <c r="BY130" i="4"/>
  <c r="BZ130" i="4"/>
  <c r="CA130" i="4"/>
  <c r="CB130" i="4"/>
  <c r="CC130" i="4"/>
  <c r="CD130" i="4"/>
  <c r="CE130" i="4"/>
  <c r="CF130" i="4"/>
  <c r="CG130" i="4"/>
  <c r="CH130" i="4"/>
  <c r="CI130" i="4"/>
  <c r="CJ130" i="4"/>
  <c r="CK130" i="4"/>
  <c r="CL130" i="4"/>
  <c r="CM130" i="4"/>
  <c r="CO130" i="4"/>
  <c r="CP130" i="4"/>
  <c r="CQ130" i="4"/>
  <c r="CR130" i="4"/>
  <c r="CS130" i="4"/>
  <c r="CT130" i="4"/>
  <c r="CU130" i="4"/>
  <c r="CV130" i="4"/>
  <c r="CW130" i="4"/>
  <c r="CX130" i="4"/>
  <c r="CY130" i="4"/>
  <c r="CZ130" i="4"/>
  <c r="DA130" i="4"/>
  <c r="DB130" i="4"/>
  <c r="DC130" i="4"/>
  <c r="DD130" i="4"/>
  <c r="DE130" i="4"/>
  <c r="DF130" i="4"/>
  <c r="DG130" i="4"/>
  <c r="DI130" i="4"/>
  <c r="DJ130" i="4"/>
  <c r="AW236" i="1" s="1"/>
  <c r="DK130" i="4"/>
  <c r="DL130" i="4"/>
  <c r="DM130" i="4"/>
  <c r="DN130" i="4"/>
  <c r="DO130" i="4"/>
  <c r="DP130" i="4"/>
  <c r="DQ130" i="4"/>
  <c r="DR130" i="4"/>
  <c r="DS130" i="4"/>
  <c r="DT130" i="4"/>
  <c r="DU130" i="4"/>
  <c r="DV130" i="4"/>
  <c r="DW130" i="4"/>
  <c r="EA130" i="4"/>
  <c r="EB130" i="4"/>
  <c r="EC130" i="4"/>
  <c r="ED130" i="4"/>
  <c r="EE130" i="4"/>
  <c r="EF130" i="4"/>
  <c r="EG130" i="4"/>
  <c r="EH130" i="4"/>
  <c r="EI130" i="4"/>
  <c r="EJ130" i="4"/>
  <c r="EK130" i="4"/>
  <c r="EL130" i="4"/>
  <c r="EM130" i="4"/>
  <c r="EN130" i="4"/>
  <c r="EO130" i="4"/>
  <c r="EP130" i="4"/>
  <c r="EQ130" i="4"/>
  <c r="ER130" i="4"/>
  <c r="ES130" i="4"/>
  <c r="ET130" i="4"/>
  <c r="EU130" i="4"/>
  <c r="EV130" i="4"/>
  <c r="EW130" i="4"/>
  <c r="EX130" i="4"/>
  <c r="EY130" i="4"/>
  <c r="FA130" i="4"/>
  <c r="FB130" i="4"/>
  <c r="FC130" i="4"/>
  <c r="FD130" i="4"/>
  <c r="FE130" i="4"/>
  <c r="FF130" i="4"/>
  <c r="FG130" i="4"/>
  <c r="FH130" i="4"/>
  <c r="FI130" i="4"/>
  <c r="FJ130" i="4"/>
  <c r="FK130" i="4"/>
  <c r="FL130" i="4"/>
  <c r="FM130" i="4"/>
  <c r="FN130" i="4"/>
  <c r="FO130" i="4"/>
  <c r="FP130" i="4"/>
  <c r="FQ130" i="4"/>
  <c r="FR130" i="4"/>
  <c r="FS130" i="4"/>
  <c r="FU130" i="4"/>
  <c r="FV130" i="4"/>
  <c r="FW130" i="4"/>
  <c r="FX130" i="4"/>
  <c r="FY130" i="4"/>
  <c r="FZ130" i="4"/>
  <c r="GA130" i="4"/>
  <c r="GB130" i="4"/>
  <c r="GC130" i="4"/>
  <c r="GD130" i="4"/>
  <c r="GE130" i="4"/>
  <c r="GF130" i="4"/>
  <c r="GG130" i="4"/>
  <c r="GH130" i="4"/>
  <c r="GI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W131" i="4"/>
  <c r="X131" i="4"/>
  <c r="Y131" i="4"/>
  <c r="Z131" i="4"/>
  <c r="AB131" i="4"/>
  <c r="AV131" i="4"/>
  <c r="AW131" i="4"/>
  <c r="AX131" i="4"/>
  <c r="AY131" i="4"/>
  <c r="BA131" i="4"/>
  <c r="BB131" i="4"/>
  <c r="BC131" i="4"/>
  <c r="BD131" i="4"/>
  <c r="BE131" i="4"/>
  <c r="BF131" i="4"/>
  <c r="BG131" i="4"/>
  <c r="BH131" i="4"/>
  <c r="BI131" i="4"/>
  <c r="BJ131" i="4"/>
  <c r="BK131" i="4"/>
  <c r="BO131" i="4"/>
  <c r="BP131" i="4"/>
  <c r="BQ131" i="4"/>
  <c r="BR131" i="4"/>
  <c r="BS131" i="4"/>
  <c r="BT131" i="4"/>
  <c r="BU131" i="4"/>
  <c r="BV131" i="4"/>
  <c r="BW131" i="4"/>
  <c r="BX131" i="4"/>
  <c r="BY131" i="4"/>
  <c r="BZ131" i="4"/>
  <c r="CA131" i="4"/>
  <c r="CB131" i="4"/>
  <c r="CC131" i="4"/>
  <c r="CD131" i="4"/>
  <c r="CE131" i="4"/>
  <c r="CF131" i="4"/>
  <c r="CG131" i="4"/>
  <c r="CH131" i="4"/>
  <c r="CI131" i="4"/>
  <c r="CJ131" i="4"/>
  <c r="CK131" i="4"/>
  <c r="CL131" i="4"/>
  <c r="CM131" i="4"/>
  <c r="CN131" i="4"/>
  <c r="CP131" i="4"/>
  <c r="CQ131" i="4"/>
  <c r="CR131" i="4"/>
  <c r="CS131" i="4"/>
  <c r="CT131" i="4"/>
  <c r="CU131" i="4"/>
  <c r="CV131" i="4"/>
  <c r="CW131" i="4"/>
  <c r="CX131" i="4"/>
  <c r="CY131" i="4"/>
  <c r="CZ131" i="4"/>
  <c r="DA131" i="4"/>
  <c r="DB131" i="4"/>
  <c r="DC131" i="4"/>
  <c r="DD131" i="4"/>
  <c r="DE131" i="4"/>
  <c r="DF131" i="4"/>
  <c r="DG131" i="4"/>
  <c r="DH131" i="4"/>
  <c r="DI131" i="4"/>
  <c r="DJ131" i="4"/>
  <c r="DK131" i="4"/>
  <c r="DL131" i="4"/>
  <c r="DM131" i="4"/>
  <c r="DN131" i="4"/>
  <c r="DO131" i="4"/>
  <c r="DP131" i="4"/>
  <c r="DQ131" i="4"/>
  <c r="DR131" i="4"/>
  <c r="DS131" i="4"/>
  <c r="DT131" i="4"/>
  <c r="DU131" i="4"/>
  <c r="DV131" i="4"/>
  <c r="DW131" i="4"/>
  <c r="EA131" i="4"/>
  <c r="EB131" i="4"/>
  <c r="EC131" i="4"/>
  <c r="ED131" i="4"/>
  <c r="EE131" i="4"/>
  <c r="EF131" i="4"/>
  <c r="EG131" i="4"/>
  <c r="EH131" i="4"/>
  <c r="EI131" i="4"/>
  <c r="EJ131" i="4"/>
  <c r="EK131" i="4"/>
  <c r="EL131" i="4"/>
  <c r="EM131" i="4"/>
  <c r="EN131" i="4"/>
  <c r="EO131" i="4"/>
  <c r="EP131" i="4"/>
  <c r="EQ131" i="4"/>
  <c r="ER131" i="4"/>
  <c r="ES131" i="4"/>
  <c r="ET131" i="4"/>
  <c r="EU131" i="4"/>
  <c r="EV131" i="4"/>
  <c r="EW131" i="4"/>
  <c r="EX131" i="4"/>
  <c r="EY131" i="4"/>
  <c r="EZ131" i="4"/>
  <c r="FB131" i="4"/>
  <c r="FC131" i="4"/>
  <c r="FD131" i="4"/>
  <c r="FE131" i="4"/>
  <c r="FF131" i="4"/>
  <c r="FG131" i="4"/>
  <c r="FH131" i="4"/>
  <c r="FI131" i="4"/>
  <c r="FJ131" i="4"/>
  <c r="FK131" i="4"/>
  <c r="FL131" i="4"/>
  <c r="FM131" i="4"/>
  <c r="FN131" i="4"/>
  <c r="FO131" i="4"/>
  <c r="FP131" i="4"/>
  <c r="FQ131" i="4"/>
  <c r="FR131" i="4"/>
  <c r="FS131" i="4"/>
  <c r="FT131" i="4"/>
  <c r="FU131" i="4"/>
  <c r="FV131" i="4"/>
  <c r="FW131" i="4"/>
  <c r="FX131" i="4"/>
  <c r="FY131" i="4"/>
  <c r="FZ131" i="4"/>
  <c r="GA131" i="4"/>
  <c r="GB131" i="4"/>
  <c r="GC131" i="4"/>
  <c r="GD131" i="4"/>
  <c r="GE131" i="4"/>
  <c r="GF131" i="4"/>
  <c r="GG131" i="4"/>
  <c r="GH131" i="4"/>
  <c r="GI131" i="4"/>
  <c r="C132" i="4"/>
  <c r="B187" i="1" s="1"/>
  <c r="D132" i="4"/>
  <c r="C187" i="1" s="1"/>
  <c r="E132" i="4"/>
  <c r="F132" i="4"/>
  <c r="E187" i="1" s="1"/>
  <c r="G132" i="4"/>
  <c r="H132" i="4"/>
  <c r="I132" i="4"/>
  <c r="H187" i="1" s="1"/>
  <c r="J132" i="4"/>
  <c r="I187" i="1" s="1"/>
  <c r="K132" i="4"/>
  <c r="L132" i="4"/>
  <c r="K187" i="1" s="1"/>
  <c r="M132" i="4"/>
  <c r="N132" i="4"/>
  <c r="M187" i="1" s="1"/>
  <c r="O132" i="4"/>
  <c r="P132" i="4"/>
  <c r="Q132" i="4"/>
  <c r="R132" i="4"/>
  <c r="Q187" i="1" s="1"/>
  <c r="S132" i="4"/>
  <c r="R187" i="1" s="1"/>
  <c r="T132" i="4"/>
  <c r="S187" i="1" s="1"/>
  <c r="U132" i="4"/>
  <c r="W132" i="4"/>
  <c r="X132" i="4"/>
  <c r="W187" i="1" s="1"/>
  <c r="Y132" i="4"/>
  <c r="Z132" i="4"/>
  <c r="CL132" i="4" s="1"/>
  <c r="Y238" i="1" s="1"/>
  <c r="AA132" i="4"/>
  <c r="AC132" i="4"/>
  <c r="AV132" i="4"/>
  <c r="AW132" i="4"/>
  <c r="DI132" i="4" s="1"/>
  <c r="AV238" i="1" s="1"/>
  <c r="AX132" i="4"/>
  <c r="AY132" i="4"/>
  <c r="AX187" i="1" s="1"/>
  <c r="BA132" i="4"/>
  <c r="BB132" i="4"/>
  <c r="BA187" i="1" s="1"/>
  <c r="BC132" i="4"/>
  <c r="BB187" i="1" s="1"/>
  <c r="BD132" i="4"/>
  <c r="BC187" i="1" s="1"/>
  <c r="BE132" i="4"/>
  <c r="BF132" i="4"/>
  <c r="BE187" i="1" s="1"/>
  <c r="BG132" i="4"/>
  <c r="BH132" i="4"/>
  <c r="BI132" i="4"/>
  <c r="BJ132" i="4"/>
  <c r="BK132" i="4"/>
  <c r="BO132" i="4"/>
  <c r="BP132" i="4"/>
  <c r="BQ132" i="4"/>
  <c r="D238" i="1" s="1"/>
  <c r="BR132" i="4"/>
  <c r="BS132" i="4"/>
  <c r="F238" i="1" s="1"/>
  <c r="BT132" i="4"/>
  <c r="G238" i="1" s="1"/>
  <c r="BU132" i="4"/>
  <c r="BV132" i="4"/>
  <c r="BW132" i="4"/>
  <c r="J238" i="1" s="1"/>
  <c r="BX132" i="4"/>
  <c r="BY132" i="4"/>
  <c r="L238" i="1" s="1"/>
  <c r="BZ132" i="4"/>
  <c r="CA132" i="4"/>
  <c r="N238" i="1" s="1"/>
  <c r="CB132" i="4"/>
  <c r="O238" i="1" s="1"/>
  <c r="CC132" i="4"/>
  <c r="P238" i="1" s="1"/>
  <c r="CD132" i="4"/>
  <c r="CE132" i="4"/>
  <c r="CF132" i="4"/>
  <c r="CG132" i="4"/>
  <c r="T238" i="1" s="1"/>
  <c r="CH132" i="4"/>
  <c r="U238" i="1" s="1"/>
  <c r="CI132" i="4"/>
  <c r="V238" i="1" s="1"/>
  <c r="CJ132" i="4"/>
  <c r="CK132" i="4"/>
  <c r="X238" i="1" s="1"/>
  <c r="CM132" i="4"/>
  <c r="Z238" i="1" s="1"/>
  <c r="CN132" i="4"/>
  <c r="AA238" i="1" s="1"/>
  <c r="CO132" i="4"/>
  <c r="AB238" i="1" s="1"/>
  <c r="CQ132" i="4"/>
  <c r="CR132" i="4"/>
  <c r="AE238" i="1" s="1"/>
  <c r="CS132" i="4"/>
  <c r="AF238" i="1" s="1"/>
  <c r="CT132" i="4"/>
  <c r="AG238" i="1" s="1"/>
  <c r="CU132" i="4"/>
  <c r="AH238" i="1" s="1"/>
  <c r="CV132" i="4"/>
  <c r="CW132" i="4"/>
  <c r="AJ238" i="1" s="1"/>
  <c r="CX132" i="4"/>
  <c r="CY132" i="4"/>
  <c r="CZ132" i="4"/>
  <c r="DA132" i="4"/>
  <c r="AN238" i="1" s="1"/>
  <c r="DB132" i="4"/>
  <c r="DC132" i="4"/>
  <c r="DD132" i="4"/>
  <c r="DE132" i="4"/>
  <c r="DF132" i="4"/>
  <c r="AS238" i="1" s="1"/>
  <c r="DG132" i="4"/>
  <c r="AT238" i="1" s="1"/>
  <c r="DH132" i="4"/>
  <c r="AU238" i="1" s="1"/>
  <c r="DJ132" i="4"/>
  <c r="AW238" i="1" s="1"/>
  <c r="DK132" i="4"/>
  <c r="DL132" i="4"/>
  <c r="DM132" i="4"/>
  <c r="AZ238" i="1" s="1"/>
  <c r="DN132" i="4"/>
  <c r="DO132" i="4"/>
  <c r="DP132" i="4"/>
  <c r="DQ132" i="4"/>
  <c r="BD238" i="1" s="1"/>
  <c r="DR132" i="4"/>
  <c r="DS132" i="4"/>
  <c r="BF238" i="1" s="1"/>
  <c r="DT132" i="4"/>
  <c r="BG238" i="1" s="1"/>
  <c r="DU132" i="4"/>
  <c r="BH238" i="1" s="1"/>
  <c r="DV132" i="4"/>
  <c r="BI238" i="1" s="1"/>
  <c r="DW132" i="4"/>
  <c r="BJ238" i="1" s="1"/>
  <c r="EA132" i="4"/>
  <c r="EB132" i="4"/>
  <c r="EC132" i="4"/>
  <c r="D289" i="1" s="1"/>
  <c r="ED132" i="4"/>
  <c r="EE132" i="4"/>
  <c r="F289" i="1" s="1"/>
  <c r="EF132" i="4"/>
  <c r="G289" i="1" s="1"/>
  <c r="EG132" i="4"/>
  <c r="EH132" i="4"/>
  <c r="EI132" i="4"/>
  <c r="J289" i="1" s="1"/>
  <c r="EJ132" i="4"/>
  <c r="EK132" i="4"/>
  <c r="EL132" i="4"/>
  <c r="EM132" i="4"/>
  <c r="EN132" i="4"/>
  <c r="EO132" i="4"/>
  <c r="EP132" i="4"/>
  <c r="EQ132" i="4"/>
  <c r="ER132" i="4"/>
  <c r="ES132" i="4"/>
  <c r="T289" i="1" s="1"/>
  <c r="ET132" i="4"/>
  <c r="U289" i="1" s="1"/>
  <c r="EU132" i="4"/>
  <c r="V289" i="1" s="1"/>
  <c r="EV132" i="4"/>
  <c r="EW132" i="4"/>
  <c r="X289" i="1" s="1"/>
  <c r="EY132" i="4"/>
  <c r="Z289" i="1" s="1"/>
  <c r="EZ132" i="4"/>
  <c r="AA289" i="1" s="1"/>
  <c r="FA132" i="4"/>
  <c r="AB289" i="1" s="1"/>
  <c r="FB132" i="4"/>
  <c r="FC132" i="4"/>
  <c r="FD132" i="4"/>
  <c r="AE289" i="1" s="1"/>
  <c r="FE132" i="4"/>
  <c r="AF289" i="1" s="1"/>
  <c r="FF132" i="4"/>
  <c r="AG289" i="1" s="1"/>
  <c r="FG132" i="4"/>
  <c r="AH289" i="1" s="1"/>
  <c r="FH132" i="4"/>
  <c r="FI132" i="4"/>
  <c r="AJ289" i="1" s="1"/>
  <c r="FJ132" i="4"/>
  <c r="FK132" i="4"/>
  <c r="FL132" i="4"/>
  <c r="FM132" i="4"/>
  <c r="AN289" i="1" s="1"/>
  <c r="FN132" i="4"/>
  <c r="FO132" i="4"/>
  <c r="FP132" i="4"/>
  <c r="FQ132" i="4"/>
  <c r="FR132" i="4"/>
  <c r="FS132" i="4"/>
  <c r="FT132" i="4"/>
  <c r="AU289" i="1" s="1"/>
  <c r="FU132" i="4"/>
  <c r="FV132" i="4"/>
  <c r="FW132" i="4"/>
  <c r="FX132" i="4"/>
  <c r="FY132" i="4"/>
  <c r="AZ289" i="1" s="1"/>
  <c r="FZ132" i="4"/>
  <c r="GA132" i="4"/>
  <c r="GB132" i="4"/>
  <c r="GC132" i="4"/>
  <c r="BD289" i="1" s="1"/>
  <c r="GD132" i="4"/>
  <c r="GE132" i="4"/>
  <c r="BF289" i="1" s="1"/>
  <c r="GF132" i="4"/>
  <c r="GG132" i="4"/>
  <c r="GH132" i="4"/>
  <c r="GI132" i="4"/>
  <c r="C133" i="4"/>
  <c r="B188" i="1" s="1"/>
  <c r="D133" i="4"/>
  <c r="C188" i="1" s="1"/>
  <c r="E133" i="4"/>
  <c r="F133" i="4"/>
  <c r="E188" i="1" s="1"/>
  <c r="G133" i="4"/>
  <c r="H133" i="4"/>
  <c r="BT133" i="4" s="1"/>
  <c r="G239" i="1" s="1"/>
  <c r="I133" i="4"/>
  <c r="H188" i="1" s="1"/>
  <c r="J133" i="4"/>
  <c r="I188" i="1" s="1"/>
  <c r="K133" i="4"/>
  <c r="L133" i="4"/>
  <c r="K188" i="1" s="1"/>
  <c r="M133" i="4"/>
  <c r="N133" i="4"/>
  <c r="M188" i="1" s="1"/>
  <c r="O133" i="4"/>
  <c r="P133" i="4"/>
  <c r="CB133" i="4" s="1"/>
  <c r="O239" i="1" s="1"/>
  <c r="Q133" i="4"/>
  <c r="R133" i="4"/>
  <c r="Q188" i="1" s="1"/>
  <c r="S133" i="4"/>
  <c r="R188" i="1" s="1"/>
  <c r="T133" i="4"/>
  <c r="S188" i="1" s="1"/>
  <c r="U133" i="4"/>
  <c r="V133" i="4"/>
  <c r="CH133" i="4" s="1"/>
  <c r="U239" i="1" s="1"/>
  <c r="W133" i="4"/>
  <c r="Z133" i="4"/>
  <c r="CL133" i="4" s="1"/>
  <c r="Y239" i="1" s="1"/>
  <c r="AA133" i="4"/>
  <c r="AB133" i="4"/>
  <c r="AC133" i="4"/>
  <c r="AD133" i="4"/>
  <c r="AC188" i="1" s="1"/>
  <c r="AV133" i="4"/>
  <c r="AW133" i="4"/>
  <c r="AX133" i="4"/>
  <c r="AY133" i="4"/>
  <c r="AX188" i="1" s="1"/>
  <c r="BA133" i="4"/>
  <c r="BB133" i="4"/>
  <c r="BA188" i="1" s="1"/>
  <c r="BC133" i="4"/>
  <c r="BB188" i="1" s="1"/>
  <c r="BD133" i="4"/>
  <c r="BC188" i="1" s="1"/>
  <c r="BE133" i="4"/>
  <c r="BF133" i="4"/>
  <c r="BE188" i="1" s="1"/>
  <c r="BG133" i="4"/>
  <c r="BH133" i="4"/>
  <c r="DT133" i="4" s="1"/>
  <c r="BG239" i="1" s="1"/>
  <c r="BI133" i="4"/>
  <c r="BJ133" i="4"/>
  <c r="DV133" i="4" s="1"/>
  <c r="BI239" i="1" s="1"/>
  <c r="BK133" i="4"/>
  <c r="BO133" i="4"/>
  <c r="BP133" i="4"/>
  <c r="BQ133" i="4"/>
  <c r="D239" i="1" s="1"/>
  <c r="BR133" i="4"/>
  <c r="BS133" i="4"/>
  <c r="F239" i="1" s="1"/>
  <c r="BU133" i="4"/>
  <c r="BV133" i="4"/>
  <c r="BW133" i="4"/>
  <c r="J239" i="1" s="1"/>
  <c r="BX133" i="4"/>
  <c r="BY133" i="4"/>
  <c r="L239" i="1" s="1"/>
  <c r="BZ133" i="4"/>
  <c r="CA133" i="4"/>
  <c r="N239" i="1" s="1"/>
  <c r="CC133" i="4"/>
  <c r="P239" i="1" s="1"/>
  <c r="CD133" i="4"/>
  <c r="CE133" i="4"/>
  <c r="CF133" i="4"/>
  <c r="CG133" i="4"/>
  <c r="T239" i="1" s="1"/>
  <c r="CI133" i="4"/>
  <c r="V239" i="1" s="1"/>
  <c r="CJ133" i="4"/>
  <c r="CM133" i="4"/>
  <c r="Z239" i="1" s="1"/>
  <c r="CN133" i="4"/>
  <c r="AA239" i="1" s="1"/>
  <c r="CO133" i="4"/>
  <c r="AB239" i="1" s="1"/>
  <c r="CP133" i="4"/>
  <c r="CR133" i="4"/>
  <c r="AE239" i="1" s="1"/>
  <c r="CS133" i="4"/>
  <c r="AF239" i="1" s="1"/>
  <c r="CT133" i="4"/>
  <c r="AG239" i="1" s="1"/>
  <c r="CU133" i="4"/>
  <c r="AH239" i="1" s="1"/>
  <c r="CV133" i="4"/>
  <c r="CW133" i="4"/>
  <c r="AJ239" i="1" s="1"/>
  <c r="CX133" i="4"/>
  <c r="CY133" i="4"/>
  <c r="CZ133" i="4"/>
  <c r="DA133" i="4"/>
  <c r="AN239" i="1" s="1"/>
  <c r="DB133" i="4"/>
  <c r="DC133" i="4"/>
  <c r="DD133" i="4"/>
  <c r="DE133" i="4"/>
  <c r="DF133" i="4"/>
  <c r="AS239" i="1" s="1"/>
  <c r="DG133" i="4"/>
  <c r="AT239" i="1" s="1"/>
  <c r="DH133" i="4"/>
  <c r="AU239" i="1" s="1"/>
  <c r="DI133" i="4"/>
  <c r="AV239" i="1" s="1"/>
  <c r="DJ133" i="4"/>
  <c r="AW239" i="1" s="1"/>
  <c r="DK133" i="4"/>
  <c r="DL133" i="4"/>
  <c r="DM133" i="4"/>
  <c r="AZ239" i="1" s="1"/>
  <c r="DN133" i="4"/>
  <c r="DO133" i="4"/>
  <c r="DP133" i="4"/>
  <c r="DQ133" i="4"/>
  <c r="BD239" i="1" s="1"/>
  <c r="DR133" i="4"/>
  <c r="DS133" i="4"/>
  <c r="BF239" i="1" s="1"/>
  <c r="DU133" i="4"/>
  <c r="BH239" i="1" s="1"/>
  <c r="DW133" i="4"/>
  <c r="BJ239" i="1" s="1"/>
  <c r="EA133" i="4"/>
  <c r="EB133" i="4"/>
  <c r="EC133" i="4"/>
  <c r="D290" i="1" s="1"/>
  <c r="ED133" i="4"/>
  <c r="EE133" i="4"/>
  <c r="F290" i="1" s="1"/>
  <c r="EF133" i="4"/>
  <c r="G290" i="1" s="1"/>
  <c r="EG133" i="4"/>
  <c r="EH133" i="4"/>
  <c r="EI133" i="4"/>
  <c r="J290" i="1" s="1"/>
  <c r="EJ133" i="4"/>
  <c r="EK133" i="4"/>
  <c r="EL133" i="4"/>
  <c r="EM133" i="4"/>
  <c r="EN133" i="4"/>
  <c r="EO133" i="4"/>
  <c r="EP133" i="4"/>
  <c r="EQ133" i="4"/>
  <c r="ER133" i="4"/>
  <c r="ES133" i="4"/>
  <c r="T290" i="1" s="1"/>
  <c r="ET133" i="4"/>
  <c r="U290" i="1" s="1"/>
  <c r="EU133" i="4"/>
  <c r="V290" i="1" s="1"/>
  <c r="EV133" i="4"/>
  <c r="EW133" i="4"/>
  <c r="X290" i="1" s="1"/>
  <c r="EY133" i="4"/>
  <c r="Z290" i="1" s="1"/>
  <c r="EZ133" i="4"/>
  <c r="AA290" i="1" s="1"/>
  <c r="FA133" i="4"/>
  <c r="AB290" i="1" s="1"/>
  <c r="FB133" i="4"/>
  <c r="FC133" i="4"/>
  <c r="FD133" i="4"/>
  <c r="AE290" i="1" s="1"/>
  <c r="FE133" i="4"/>
  <c r="AF290" i="1" s="1"/>
  <c r="FF133" i="4"/>
  <c r="AG290" i="1" s="1"/>
  <c r="FG133" i="4"/>
  <c r="AH290" i="1" s="1"/>
  <c r="FH133" i="4"/>
  <c r="FI133" i="4"/>
  <c r="AJ290" i="1" s="1"/>
  <c r="FJ133" i="4"/>
  <c r="FK133" i="4"/>
  <c r="FL133" i="4"/>
  <c r="FM133" i="4"/>
  <c r="AN290" i="1" s="1"/>
  <c r="FN133" i="4"/>
  <c r="FO133" i="4"/>
  <c r="FP133" i="4"/>
  <c r="FQ133" i="4"/>
  <c r="FR133" i="4"/>
  <c r="FS133" i="4"/>
  <c r="FT133" i="4"/>
  <c r="AU290" i="1" s="1"/>
  <c r="FU133" i="4"/>
  <c r="FV133" i="4"/>
  <c r="FW133" i="4"/>
  <c r="FX133" i="4"/>
  <c r="FY133" i="4"/>
  <c r="AZ290" i="1" s="1"/>
  <c r="FZ133" i="4"/>
  <c r="GA133" i="4"/>
  <c r="GB133" i="4"/>
  <c r="GC133" i="4"/>
  <c r="BD290" i="1" s="1"/>
  <c r="GD133" i="4"/>
  <c r="GE133" i="4"/>
  <c r="BF290" i="1" s="1"/>
  <c r="GF133" i="4"/>
  <c r="GG133" i="4"/>
  <c r="GH133" i="4"/>
  <c r="GI133" i="4"/>
  <c r="C134" i="4"/>
  <c r="BO134" i="4" s="1"/>
  <c r="D134" i="4"/>
  <c r="E134" i="4"/>
  <c r="F134" i="4"/>
  <c r="G134" i="4"/>
  <c r="BS134" i="4" s="1"/>
  <c r="H134" i="4"/>
  <c r="I134" i="4"/>
  <c r="J134" i="4"/>
  <c r="K134" i="4"/>
  <c r="BW134" i="4" s="1"/>
  <c r="L134" i="4"/>
  <c r="M134" i="4"/>
  <c r="N134" i="4"/>
  <c r="O134" i="4"/>
  <c r="CA134" i="4" s="1"/>
  <c r="P134" i="4"/>
  <c r="Q134" i="4"/>
  <c r="R134" i="4"/>
  <c r="S134" i="4"/>
  <c r="CE134" i="4" s="1"/>
  <c r="T134" i="4"/>
  <c r="U134" i="4"/>
  <c r="V134" i="4"/>
  <c r="X134" i="4"/>
  <c r="Y134" i="4"/>
  <c r="Z134" i="4"/>
  <c r="AA134" i="4"/>
  <c r="AB134" i="4"/>
  <c r="AC134" i="4"/>
  <c r="AD134" i="4"/>
  <c r="AE134" i="4"/>
  <c r="AV134" i="4"/>
  <c r="DH134" i="4" s="1"/>
  <c r="AW134" i="4"/>
  <c r="AX134" i="4"/>
  <c r="AY134" i="4"/>
  <c r="BA134" i="4"/>
  <c r="BB134" i="4"/>
  <c r="BC134" i="4"/>
  <c r="BD134" i="4"/>
  <c r="BE134" i="4"/>
  <c r="BF134" i="4"/>
  <c r="BG134" i="4"/>
  <c r="BH134" i="4"/>
  <c r="BI134" i="4"/>
  <c r="BJ134" i="4"/>
  <c r="BK134" i="4"/>
  <c r="BP134" i="4"/>
  <c r="BQ134" i="4"/>
  <c r="BR134" i="4"/>
  <c r="BT134" i="4"/>
  <c r="BU134" i="4"/>
  <c r="BV134" i="4"/>
  <c r="BX134" i="4"/>
  <c r="BY134" i="4"/>
  <c r="BZ134" i="4"/>
  <c r="CB134" i="4"/>
  <c r="CC134" i="4"/>
  <c r="CD134" i="4"/>
  <c r="CF134" i="4"/>
  <c r="CG134" i="4"/>
  <c r="CH134" i="4"/>
  <c r="CI134" i="4"/>
  <c r="CJ134" i="4"/>
  <c r="CK134" i="4"/>
  <c r="CL134" i="4"/>
  <c r="CM134" i="4"/>
  <c r="CN134" i="4"/>
  <c r="CO134" i="4"/>
  <c r="CP134" i="4"/>
  <c r="CQ134" i="4"/>
  <c r="CS134" i="4"/>
  <c r="CT134" i="4"/>
  <c r="CU134" i="4"/>
  <c r="CV134" i="4"/>
  <c r="CW134" i="4"/>
  <c r="CX134" i="4"/>
  <c r="CY134" i="4"/>
  <c r="CZ134" i="4"/>
  <c r="DA134" i="4"/>
  <c r="DB134" i="4"/>
  <c r="DC134" i="4"/>
  <c r="DD134" i="4"/>
  <c r="DE134" i="4"/>
  <c r="DF134" i="4"/>
  <c r="DG134" i="4"/>
  <c r="DI134" i="4"/>
  <c r="DJ134" i="4"/>
  <c r="DK134" i="4"/>
  <c r="DL134" i="4"/>
  <c r="DM134" i="4"/>
  <c r="DN134" i="4"/>
  <c r="DO134" i="4"/>
  <c r="DP134" i="4"/>
  <c r="DQ134" i="4"/>
  <c r="DR134" i="4"/>
  <c r="DS134" i="4"/>
  <c r="DT134" i="4"/>
  <c r="DU134" i="4"/>
  <c r="DV134" i="4"/>
  <c r="DW134" i="4"/>
  <c r="EB134" i="4"/>
  <c r="EC134" i="4"/>
  <c r="ED134" i="4"/>
  <c r="EF134" i="4"/>
  <c r="EG134" i="4"/>
  <c r="EH134" i="4"/>
  <c r="EJ134" i="4"/>
  <c r="EK134" i="4"/>
  <c r="EL134" i="4"/>
  <c r="EN134" i="4"/>
  <c r="EO134" i="4"/>
  <c r="EP134" i="4"/>
  <c r="ER134" i="4"/>
  <c r="ES134" i="4"/>
  <c r="ET134" i="4"/>
  <c r="EU134" i="4"/>
  <c r="EV134" i="4"/>
  <c r="EW134" i="4"/>
  <c r="EX134" i="4"/>
  <c r="EY134" i="4"/>
  <c r="EZ134" i="4"/>
  <c r="FA134" i="4"/>
  <c r="FB134" i="4"/>
  <c r="FC134" i="4"/>
  <c r="FE134" i="4"/>
  <c r="FF134" i="4"/>
  <c r="FG134" i="4"/>
  <c r="FH134" i="4"/>
  <c r="FI134" i="4"/>
  <c r="FJ134" i="4"/>
  <c r="FK134" i="4"/>
  <c r="FL134" i="4"/>
  <c r="FM134" i="4"/>
  <c r="FN134" i="4"/>
  <c r="FO134" i="4"/>
  <c r="FP134" i="4"/>
  <c r="FQ134" i="4"/>
  <c r="FR134" i="4"/>
  <c r="FS134" i="4"/>
  <c r="FT134" i="4"/>
  <c r="FU134" i="4"/>
  <c r="FV134" i="4"/>
  <c r="FW134" i="4"/>
  <c r="FX134" i="4"/>
  <c r="FY134" i="4"/>
  <c r="FZ134" i="4"/>
  <c r="GA134" i="4"/>
  <c r="GB134" i="4"/>
  <c r="GC134" i="4"/>
  <c r="GD134" i="4"/>
  <c r="GE134" i="4"/>
  <c r="GF134" i="4"/>
  <c r="GG134" i="4"/>
  <c r="GH134" i="4"/>
  <c r="GI134" i="4"/>
  <c r="C135" i="4"/>
  <c r="D135" i="4"/>
  <c r="BP135" i="4" s="1"/>
  <c r="E135" i="4"/>
  <c r="F135" i="4"/>
  <c r="G135" i="4"/>
  <c r="H135" i="4"/>
  <c r="BT135" i="4" s="1"/>
  <c r="I135" i="4"/>
  <c r="J135" i="4"/>
  <c r="K135" i="4"/>
  <c r="L135" i="4"/>
  <c r="BX135" i="4" s="1"/>
  <c r="M135" i="4"/>
  <c r="N135" i="4"/>
  <c r="O135" i="4"/>
  <c r="P135" i="4"/>
  <c r="CB135" i="4" s="1"/>
  <c r="Q135" i="4"/>
  <c r="R135" i="4"/>
  <c r="S135" i="4"/>
  <c r="T135" i="4"/>
  <c r="CF135" i="4" s="1"/>
  <c r="U135" i="4"/>
  <c r="V135" i="4"/>
  <c r="X135" i="4"/>
  <c r="Y135" i="4"/>
  <c r="Z135" i="4"/>
  <c r="AA135" i="4"/>
  <c r="AB135" i="4"/>
  <c r="AC135" i="4"/>
  <c r="AD135" i="4"/>
  <c r="AE135" i="4"/>
  <c r="AV135" i="4"/>
  <c r="AW135" i="4"/>
  <c r="DI135" i="4" s="1"/>
  <c r="AX135" i="4"/>
  <c r="AY135" i="4"/>
  <c r="BA135" i="4"/>
  <c r="BB135" i="4"/>
  <c r="BC135" i="4"/>
  <c r="BD135" i="4"/>
  <c r="BE135" i="4"/>
  <c r="BF135" i="4"/>
  <c r="BG135" i="4"/>
  <c r="BH135" i="4"/>
  <c r="BI135" i="4"/>
  <c r="BJ135" i="4"/>
  <c r="BK135" i="4"/>
  <c r="BO135" i="4"/>
  <c r="BQ135" i="4"/>
  <c r="BR135" i="4"/>
  <c r="BS135" i="4"/>
  <c r="BU135" i="4"/>
  <c r="BV135" i="4"/>
  <c r="BW135" i="4"/>
  <c r="BY135" i="4"/>
  <c r="BZ135" i="4"/>
  <c r="CA135" i="4"/>
  <c r="CC135" i="4"/>
  <c r="CD135" i="4"/>
  <c r="CE135" i="4"/>
  <c r="CG135" i="4"/>
  <c r="CH135" i="4"/>
  <c r="CI135" i="4"/>
  <c r="CJ135" i="4"/>
  <c r="CK135" i="4"/>
  <c r="CL135" i="4"/>
  <c r="CM135" i="4"/>
  <c r="CN135" i="4"/>
  <c r="CO135" i="4"/>
  <c r="CP135" i="4"/>
  <c r="CQ135" i="4"/>
  <c r="CR135" i="4"/>
  <c r="CT135" i="4"/>
  <c r="CU135" i="4"/>
  <c r="CV135" i="4"/>
  <c r="CW135" i="4"/>
  <c r="CX135" i="4"/>
  <c r="CY135" i="4"/>
  <c r="CZ135" i="4"/>
  <c r="DA135" i="4"/>
  <c r="DB135" i="4"/>
  <c r="DC135" i="4"/>
  <c r="DD135" i="4"/>
  <c r="DE135" i="4"/>
  <c r="DF135" i="4"/>
  <c r="DG135" i="4"/>
  <c r="DH135" i="4"/>
  <c r="DJ135" i="4"/>
  <c r="DK135" i="4"/>
  <c r="DL135" i="4"/>
  <c r="DM135" i="4"/>
  <c r="DN135" i="4"/>
  <c r="DO135" i="4"/>
  <c r="DP135" i="4"/>
  <c r="DQ135" i="4"/>
  <c r="DR135" i="4"/>
  <c r="DS135" i="4"/>
  <c r="DT135" i="4"/>
  <c r="DU135" i="4"/>
  <c r="DV135" i="4"/>
  <c r="DW135" i="4"/>
  <c r="EA135" i="4"/>
  <c r="EC135" i="4"/>
  <c r="ED135" i="4"/>
  <c r="EE135" i="4"/>
  <c r="EG135" i="4"/>
  <c r="EH135" i="4"/>
  <c r="EI135" i="4"/>
  <c r="EK135" i="4"/>
  <c r="EL135" i="4"/>
  <c r="EM135" i="4"/>
  <c r="EO135" i="4"/>
  <c r="EP135" i="4"/>
  <c r="EQ135" i="4"/>
  <c r="ES135" i="4"/>
  <c r="ET135" i="4"/>
  <c r="EU135" i="4"/>
  <c r="EV135" i="4"/>
  <c r="EW135" i="4"/>
  <c r="EX135" i="4"/>
  <c r="EY135" i="4"/>
  <c r="EZ135" i="4"/>
  <c r="FA135" i="4"/>
  <c r="FB135" i="4"/>
  <c r="FC135" i="4"/>
  <c r="FD135" i="4"/>
  <c r="FF135" i="4"/>
  <c r="FG135" i="4"/>
  <c r="FH135" i="4"/>
  <c r="FI135" i="4"/>
  <c r="FJ135" i="4"/>
  <c r="FK135" i="4"/>
  <c r="FL135" i="4"/>
  <c r="FM135" i="4"/>
  <c r="FN135" i="4"/>
  <c r="FO135" i="4"/>
  <c r="FP135" i="4"/>
  <c r="FQ135" i="4"/>
  <c r="FR135" i="4"/>
  <c r="FS135" i="4"/>
  <c r="FT135" i="4"/>
  <c r="FU135" i="4"/>
  <c r="FV135" i="4"/>
  <c r="FW135" i="4"/>
  <c r="FX135" i="4"/>
  <c r="FY135" i="4"/>
  <c r="FZ135" i="4"/>
  <c r="GA135" i="4"/>
  <c r="GB135" i="4"/>
  <c r="GC135" i="4"/>
  <c r="GD135" i="4"/>
  <c r="GE135" i="4"/>
  <c r="GF135" i="4"/>
  <c r="GG135" i="4"/>
  <c r="GH135" i="4"/>
  <c r="GI135" i="4"/>
  <c r="C136" i="4"/>
  <c r="D136" i="4"/>
  <c r="E136" i="4"/>
  <c r="BQ136" i="4" s="1"/>
  <c r="F136" i="4"/>
  <c r="G136" i="4"/>
  <c r="H136" i="4"/>
  <c r="I136" i="4"/>
  <c r="BU136" i="4" s="1"/>
  <c r="J136" i="4"/>
  <c r="K136" i="4"/>
  <c r="L136" i="4"/>
  <c r="M136" i="4"/>
  <c r="BY136" i="4" s="1"/>
  <c r="N136" i="4"/>
  <c r="O136" i="4"/>
  <c r="P136" i="4"/>
  <c r="Q136" i="4"/>
  <c r="CC136" i="4" s="1"/>
  <c r="R136" i="4"/>
  <c r="S136" i="4"/>
  <c r="T136" i="4"/>
  <c r="U136" i="4"/>
  <c r="CG136" i="4" s="1"/>
  <c r="V136" i="4"/>
  <c r="X136" i="4"/>
  <c r="Y136" i="4"/>
  <c r="Z136" i="4"/>
  <c r="AA136" i="4"/>
  <c r="AB136" i="4"/>
  <c r="AC136" i="4"/>
  <c r="AD136" i="4"/>
  <c r="AE136" i="4"/>
  <c r="AV136" i="4"/>
  <c r="AW136" i="4"/>
  <c r="AX136" i="4"/>
  <c r="AY136" i="4"/>
  <c r="BA136" i="4"/>
  <c r="BB136" i="4"/>
  <c r="BC136" i="4"/>
  <c r="BD136" i="4"/>
  <c r="BE136" i="4"/>
  <c r="BF136" i="4"/>
  <c r="BG136" i="4"/>
  <c r="BH136" i="4"/>
  <c r="BI136" i="4"/>
  <c r="BJ136" i="4"/>
  <c r="BK136" i="4"/>
  <c r="BO136" i="4"/>
  <c r="BP136" i="4"/>
  <c r="BR136" i="4"/>
  <c r="BS136" i="4"/>
  <c r="BT136" i="4"/>
  <c r="BV136" i="4"/>
  <c r="BW136" i="4"/>
  <c r="BX136" i="4"/>
  <c r="BZ136" i="4"/>
  <c r="CA136" i="4"/>
  <c r="CB136" i="4"/>
  <c r="CD136" i="4"/>
  <c r="CE136" i="4"/>
  <c r="CF136" i="4"/>
  <c r="CH136" i="4"/>
  <c r="CI136" i="4"/>
  <c r="CJ136" i="4"/>
  <c r="CK136" i="4"/>
  <c r="CL136" i="4"/>
  <c r="CM136" i="4"/>
  <c r="CN136" i="4"/>
  <c r="CO136" i="4"/>
  <c r="CP136" i="4"/>
  <c r="CQ136" i="4"/>
  <c r="CR136" i="4"/>
  <c r="CS136" i="4"/>
  <c r="CU136" i="4"/>
  <c r="CV136" i="4"/>
  <c r="CW136" i="4"/>
  <c r="CX136" i="4"/>
  <c r="CY136" i="4"/>
  <c r="CZ136" i="4"/>
  <c r="DA136" i="4"/>
  <c r="DB136" i="4"/>
  <c r="DC136" i="4"/>
  <c r="DD136" i="4"/>
  <c r="DE136" i="4"/>
  <c r="DF136" i="4"/>
  <c r="DG136" i="4"/>
  <c r="DH136" i="4"/>
  <c r="DI136" i="4"/>
  <c r="DJ136" i="4"/>
  <c r="DK136" i="4"/>
  <c r="DL136" i="4"/>
  <c r="DM136" i="4"/>
  <c r="DN136" i="4"/>
  <c r="DO136" i="4"/>
  <c r="DP136" i="4"/>
  <c r="DQ136" i="4"/>
  <c r="DR136" i="4"/>
  <c r="DS136" i="4"/>
  <c r="DT136" i="4"/>
  <c r="DU136" i="4"/>
  <c r="DV136" i="4"/>
  <c r="DW136" i="4"/>
  <c r="EA136" i="4"/>
  <c r="EB136" i="4"/>
  <c r="EC136" i="4"/>
  <c r="ED136" i="4"/>
  <c r="EE136" i="4"/>
  <c r="EF136" i="4"/>
  <c r="EG136" i="4"/>
  <c r="EH136" i="4"/>
  <c r="EI136" i="4"/>
  <c r="EJ136" i="4"/>
  <c r="EK136" i="4"/>
  <c r="EL136" i="4"/>
  <c r="EM136" i="4"/>
  <c r="EN136" i="4"/>
  <c r="EO136" i="4"/>
  <c r="EP136" i="4"/>
  <c r="EQ136" i="4"/>
  <c r="ER136" i="4"/>
  <c r="ES136" i="4"/>
  <c r="ET136" i="4"/>
  <c r="EU136" i="4"/>
  <c r="EV136" i="4"/>
  <c r="EW136" i="4"/>
  <c r="EX136" i="4"/>
  <c r="EY136" i="4"/>
  <c r="EZ136" i="4"/>
  <c r="FA136" i="4"/>
  <c r="FB136" i="4"/>
  <c r="FC136" i="4"/>
  <c r="FD136" i="4"/>
  <c r="FE136" i="4"/>
  <c r="FG136" i="4"/>
  <c r="FH136" i="4"/>
  <c r="FI136" i="4"/>
  <c r="FJ136" i="4"/>
  <c r="FK136" i="4"/>
  <c r="FL136" i="4"/>
  <c r="FM136" i="4"/>
  <c r="FN136" i="4"/>
  <c r="FO136" i="4"/>
  <c r="FP136" i="4"/>
  <c r="FQ136" i="4"/>
  <c r="FR136" i="4"/>
  <c r="FS136" i="4"/>
  <c r="FT136" i="4"/>
  <c r="FU136" i="4"/>
  <c r="FV136" i="4"/>
  <c r="FW136" i="4"/>
  <c r="FX136" i="4"/>
  <c r="FY136" i="4"/>
  <c r="FZ136" i="4"/>
  <c r="GA136" i="4"/>
  <c r="GB136" i="4"/>
  <c r="GC136" i="4"/>
  <c r="GD136" i="4"/>
  <c r="GE136" i="4"/>
  <c r="GF136" i="4"/>
  <c r="GG136" i="4"/>
  <c r="GH136" i="4"/>
  <c r="GI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V137" i="4"/>
  <c r="AW137" i="4"/>
  <c r="AX137" i="4"/>
  <c r="AY137" i="4"/>
  <c r="BA137" i="4"/>
  <c r="BB137" i="4"/>
  <c r="BC137" i="4"/>
  <c r="BD137" i="4"/>
  <c r="BE137" i="4"/>
  <c r="BF137" i="4"/>
  <c r="BG137" i="4"/>
  <c r="BH137" i="4"/>
  <c r="BI137" i="4"/>
  <c r="BJ137" i="4"/>
  <c r="BK137" i="4"/>
  <c r="BO137" i="4"/>
  <c r="BP137" i="4"/>
  <c r="BQ137" i="4"/>
  <c r="BR137" i="4"/>
  <c r="BS137" i="4"/>
  <c r="BT137" i="4"/>
  <c r="BU137" i="4"/>
  <c r="BV137" i="4"/>
  <c r="BW137" i="4"/>
  <c r="BX137" i="4"/>
  <c r="BY137" i="4"/>
  <c r="BZ137" i="4"/>
  <c r="CA137" i="4"/>
  <c r="CB137" i="4"/>
  <c r="CC137" i="4"/>
  <c r="CD137" i="4"/>
  <c r="CE137" i="4"/>
  <c r="CF137" i="4"/>
  <c r="CG137" i="4"/>
  <c r="CH137" i="4"/>
  <c r="CI137" i="4"/>
  <c r="CJ137" i="4"/>
  <c r="CK137" i="4"/>
  <c r="CL137" i="4"/>
  <c r="CM137" i="4"/>
  <c r="CN137" i="4"/>
  <c r="CO137" i="4"/>
  <c r="CP137" i="4"/>
  <c r="CQ137" i="4"/>
  <c r="CR137" i="4"/>
  <c r="CS137" i="4"/>
  <c r="CT137" i="4"/>
  <c r="CV137" i="4"/>
  <c r="CW137" i="4"/>
  <c r="CX137" i="4"/>
  <c r="CY137" i="4"/>
  <c r="CZ137" i="4"/>
  <c r="DA137" i="4"/>
  <c r="DB137" i="4"/>
  <c r="DC137" i="4"/>
  <c r="DD137" i="4"/>
  <c r="DE137" i="4"/>
  <c r="DF137" i="4"/>
  <c r="DG137" i="4"/>
  <c r="DH137" i="4"/>
  <c r="DI137" i="4"/>
  <c r="DJ137" i="4"/>
  <c r="DK137" i="4"/>
  <c r="DL137" i="4"/>
  <c r="DM137" i="4"/>
  <c r="DN137" i="4"/>
  <c r="DO137" i="4"/>
  <c r="DP137" i="4"/>
  <c r="DQ137" i="4"/>
  <c r="DR137" i="4"/>
  <c r="DS137" i="4"/>
  <c r="DT137" i="4"/>
  <c r="DU137" i="4"/>
  <c r="DV137" i="4"/>
  <c r="DW137" i="4"/>
  <c r="EA137" i="4"/>
  <c r="EB137" i="4"/>
  <c r="EC137" i="4"/>
  <c r="ED137" i="4"/>
  <c r="EE137" i="4"/>
  <c r="EF137" i="4"/>
  <c r="EG137" i="4"/>
  <c r="EH137" i="4"/>
  <c r="EI137" i="4"/>
  <c r="EJ137" i="4"/>
  <c r="EK137" i="4"/>
  <c r="EL137" i="4"/>
  <c r="EM137" i="4"/>
  <c r="EN137" i="4"/>
  <c r="EO137" i="4"/>
  <c r="EP137" i="4"/>
  <c r="EQ137" i="4"/>
  <c r="ER137" i="4"/>
  <c r="ES137" i="4"/>
  <c r="ET137" i="4"/>
  <c r="EU137" i="4"/>
  <c r="EV137" i="4"/>
  <c r="EW137" i="4"/>
  <c r="EX137" i="4"/>
  <c r="EY137" i="4"/>
  <c r="EZ137" i="4"/>
  <c r="FA137" i="4"/>
  <c r="FB137" i="4"/>
  <c r="FC137" i="4"/>
  <c r="FD137" i="4"/>
  <c r="FE137" i="4"/>
  <c r="FF137" i="4"/>
  <c r="FH137" i="4"/>
  <c r="FI137" i="4"/>
  <c r="FJ137" i="4"/>
  <c r="FK137" i="4"/>
  <c r="FL137" i="4"/>
  <c r="FM137" i="4"/>
  <c r="FN137" i="4"/>
  <c r="FO137" i="4"/>
  <c r="FP137" i="4"/>
  <c r="FQ137" i="4"/>
  <c r="FR137" i="4"/>
  <c r="FS137" i="4"/>
  <c r="FT137" i="4"/>
  <c r="FU137" i="4"/>
  <c r="FV137" i="4"/>
  <c r="FW137" i="4"/>
  <c r="FX137" i="4"/>
  <c r="FY137" i="4"/>
  <c r="FZ137" i="4"/>
  <c r="GA137" i="4"/>
  <c r="GB137" i="4"/>
  <c r="GC137" i="4"/>
  <c r="GD137" i="4"/>
  <c r="GE137" i="4"/>
  <c r="GF137" i="4"/>
  <c r="GG137" i="4"/>
  <c r="GH137" i="4"/>
  <c r="GI137" i="4"/>
  <c r="C138" i="4"/>
  <c r="B193" i="1" s="1"/>
  <c r="D138" i="4"/>
  <c r="C193" i="1" s="1"/>
  <c r="E138" i="4"/>
  <c r="F138" i="4"/>
  <c r="E193" i="1" s="1"/>
  <c r="G138" i="4"/>
  <c r="H138" i="4"/>
  <c r="I138" i="4"/>
  <c r="H193" i="1" s="1"/>
  <c r="J138" i="4"/>
  <c r="I193" i="1" s="1"/>
  <c r="K138" i="4"/>
  <c r="L138" i="4"/>
  <c r="K193" i="1" s="1"/>
  <c r="M138" i="4"/>
  <c r="N138" i="4"/>
  <c r="M193" i="1" s="1"/>
  <c r="O138" i="4"/>
  <c r="P138" i="4"/>
  <c r="Q138" i="4"/>
  <c r="R138" i="4"/>
  <c r="Q193" i="1" s="1"/>
  <c r="S138" i="4"/>
  <c r="R193" i="1" s="1"/>
  <c r="T138" i="4"/>
  <c r="S193" i="1" s="1"/>
  <c r="U138" i="4"/>
  <c r="V138" i="4"/>
  <c r="W138" i="4"/>
  <c r="X138" i="4"/>
  <c r="W193" i="1" s="1"/>
  <c r="Y138" i="4"/>
  <c r="Z138" i="4"/>
  <c r="AA138" i="4"/>
  <c r="AB138" i="4"/>
  <c r="AC138" i="4"/>
  <c r="AD138" i="4"/>
  <c r="AC193" i="1" s="1"/>
  <c r="AE138" i="4"/>
  <c r="AD193" i="1" s="1"/>
  <c r="AF138" i="4"/>
  <c r="AG138" i="4"/>
  <c r="AH138" i="4"/>
  <c r="AI138" i="4"/>
  <c r="AV138" i="4"/>
  <c r="AW138" i="4"/>
  <c r="AX138" i="4"/>
  <c r="AY138" i="4"/>
  <c r="AX193" i="1" s="1"/>
  <c r="BA138" i="4"/>
  <c r="BB138" i="4"/>
  <c r="BA193" i="1" s="1"/>
  <c r="BC138" i="4"/>
  <c r="BB193" i="1" s="1"/>
  <c r="BD138" i="4"/>
  <c r="BC193" i="1" s="1"/>
  <c r="BE138" i="4"/>
  <c r="BF138" i="4"/>
  <c r="BE193" i="1" s="1"/>
  <c r="BG138" i="4"/>
  <c r="BH138" i="4"/>
  <c r="BI138" i="4"/>
  <c r="BJ138" i="4"/>
  <c r="BK138" i="4"/>
  <c r="BO138" i="4"/>
  <c r="BP138" i="4"/>
  <c r="BQ138" i="4"/>
  <c r="D244" i="1" s="1"/>
  <c r="BR138" i="4"/>
  <c r="BS138" i="4"/>
  <c r="F244" i="1" s="1"/>
  <c r="BT138" i="4"/>
  <c r="G244" i="1" s="1"/>
  <c r="BU138" i="4"/>
  <c r="BV138" i="4"/>
  <c r="BW138" i="4"/>
  <c r="J244" i="1" s="1"/>
  <c r="BX138" i="4"/>
  <c r="BY138" i="4"/>
  <c r="L244" i="1" s="1"/>
  <c r="BZ138" i="4"/>
  <c r="CA138" i="4"/>
  <c r="N244" i="1" s="1"/>
  <c r="CB138" i="4"/>
  <c r="O244" i="1" s="1"/>
  <c r="CC138" i="4"/>
  <c r="P244" i="1" s="1"/>
  <c r="CD138" i="4"/>
  <c r="CE138" i="4"/>
  <c r="CF138" i="4"/>
  <c r="CG138" i="4"/>
  <c r="T244" i="1" s="1"/>
  <c r="CH138" i="4"/>
  <c r="U244" i="1" s="1"/>
  <c r="CI138" i="4"/>
  <c r="V244" i="1" s="1"/>
  <c r="CJ138" i="4"/>
  <c r="CK138" i="4"/>
  <c r="X244" i="1" s="1"/>
  <c r="CL138" i="4"/>
  <c r="Y244" i="1" s="1"/>
  <c r="CM138" i="4"/>
  <c r="Z244" i="1" s="1"/>
  <c r="CN138" i="4"/>
  <c r="AA244" i="1" s="1"/>
  <c r="CO138" i="4"/>
  <c r="AB244" i="1" s="1"/>
  <c r="CP138" i="4"/>
  <c r="CQ138" i="4"/>
  <c r="CR138" i="4"/>
  <c r="AE244" i="1" s="1"/>
  <c r="CS138" i="4"/>
  <c r="AF244" i="1" s="1"/>
  <c r="CT138" i="4"/>
  <c r="AG244" i="1" s="1"/>
  <c r="CU138" i="4"/>
  <c r="AH244" i="1" s="1"/>
  <c r="CW138" i="4"/>
  <c r="AJ244" i="1" s="1"/>
  <c r="CX138" i="4"/>
  <c r="CY138" i="4"/>
  <c r="CZ138" i="4"/>
  <c r="DA138" i="4"/>
  <c r="AN244" i="1" s="1"/>
  <c r="DB138" i="4"/>
  <c r="DC138" i="4"/>
  <c r="DD138" i="4"/>
  <c r="DE138" i="4"/>
  <c r="DF138" i="4"/>
  <c r="AS244" i="1" s="1"/>
  <c r="DG138" i="4"/>
  <c r="AT244" i="1" s="1"/>
  <c r="DH138" i="4"/>
  <c r="AU244" i="1" s="1"/>
  <c r="DI138" i="4"/>
  <c r="AV244" i="1" s="1"/>
  <c r="DJ138" i="4"/>
  <c r="AW244" i="1" s="1"/>
  <c r="DK138" i="4"/>
  <c r="DL138" i="4"/>
  <c r="DM138" i="4"/>
  <c r="AZ244" i="1" s="1"/>
  <c r="DN138" i="4"/>
  <c r="DO138" i="4"/>
  <c r="DP138" i="4"/>
  <c r="DQ138" i="4"/>
  <c r="BD244" i="1" s="1"/>
  <c r="DR138" i="4"/>
  <c r="DS138" i="4"/>
  <c r="BF244" i="1" s="1"/>
  <c r="DT138" i="4"/>
  <c r="BG244" i="1" s="1"/>
  <c r="DU138" i="4"/>
  <c r="BH244" i="1" s="1"/>
  <c r="DV138" i="4"/>
  <c r="BI244" i="1" s="1"/>
  <c r="DW138" i="4"/>
  <c r="BJ244" i="1" s="1"/>
  <c r="EA138" i="4"/>
  <c r="EB138" i="4"/>
  <c r="EC138" i="4"/>
  <c r="D295" i="1" s="1"/>
  <c r="ED138" i="4"/>
  <c r="EE138" i="4"/>
  <c r="F295" i="1" s="1"/>
  <c r="EF138" i="4"/>
  <c r="G295" i="1" s="1"/>
  <c r="EG138" i="4"/>
  <c r="EH138" i="4"/>
  <c r="EI138" i="4"/>
  <c r="J295" i="1" s="1"/>
  <c r="EJ138" i="4"/>
  <c r="EK138" i="4"/>
  <c r="EL138" i="4"/>
  <c r="EM138" i="4"/>
  <c r="EN138" i="4"/>
  <c r="EO138" i="4"/>
  <c r="EP138" i="4"/>
  <c r="EQ138" i="4"/>
  <c r="ER138" i="4"/>
  <c r="ES138" i="4"/>
  <c r="T295" i="1" s="1"/>
  <c r="ET138" i="4"/>
  <c r="U295" i="1" s="1"/>
  <c r="EU138" i="4"/>
  <c r="V295" i="1" s="1"/>
  <c r="EV138" i="4"/>
  <c r="EW138" i="4"/>
  <c r="X295" i="1" s="1"/>
  <c r="EX138" i="4"/>
  <c r="Y295" i="1" s="1"/>
  <c r="EY138" i="4"/>
  <c r="Z295" i="1" s="1"/>
  <c r="EZ138" i="4"/>
  <c r="AA295" i="1" s="1"/>
  <c r="FA138" i="4"/>
  <c r="AB295" i="1" s="1"/>
  <c r="FB138" i="4"/>
  <c r="FC138" i="4"/>
  <c r="FD138" i="4"/>
  <c r="AE295" i="1" s="1"/>
  <c r="FE138" i="4"/>
  <c r="AF295" i="1" s="1"/>
  <c r="FF138" i="4"/>
  <c r="AG295" i="1" s="1"/>
  <c r="FG138" i="4"/>
  <c r="AH295" i="1" s="1"/>
  <c r="FH138" i="4"/>
  <c r="FI138" i="4"/>
  <c r="AJ295" i="1" s="1"/>
  <c r="FJ138" i="4"/>
  <c r="FK138" i="4"/>
  <c r="FL138" i="4"/>
  <c r="FM138" i="4"/>
  <c r="AN295" i="1" s="1"/>
  <c r="FN138" i="4"/>
  <c r="FO138" i="4"/>
  <c r="FP138" i="4"/>
  <c r="FQ138" i="4"/>
  <c r="FR138" i="4"/>
  <c r="FS138" i="4"/>
  <c r="FT138" i="4"/>
  <c r="AU295" i="1" s="1"/>
  <c r="FU138" i="4"/>
  <c r="FV138" i="4"/>
  <c r="FW138" i="4"/>
  <c r="FX138" i="4"/>
  <c r="FY138" i="4"/>
  <c r="AZ295" i="1" s="1"/>
  <c r="FZ138" i="4"/>
  <c r="GA138" i="4"/>
  <c r="GB138" i="4"/>
  <c r="GC138" i="4"/>
  <c r="BD295" i="1" s="1"/>
  <c r="GD138" i="4"/>
  <c r="GE138" i="4"/>
  <c r="BF295" i="1" s="1"/>
  <c r="GF138" i="4"/>
  <c r="GG138" i="4"/>
  <c r="GH138" i="4"/>
  <c r="GI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J139" i="4"/>
  <c r="AV139" i="4"/>
  <c r="AW139" i="4"/>
  <c r="AX139" i="4"/>
  <c r="DJ139" i="4" s="1"/>
  <c r="AY139" i="4"/>
  <c r="BA139" i="4"/>
  <c r="BB139" i="4"/>
  <c r="BC139" i="4"/>
  <c r="GA139" i="4" s="1"/>
  <c r="BD139" i="4"/>
  <c r="BE139" i="4"/>
  <c r="BF139" i="4"/>
  <c r="BG139" i="4"/>
  <c r="GE139" i="4" s="1"/>
  <c r="BH139" i="4"/>
  <c r="BI139" i="4"/>
  <c r="BJ139" i="4"/>
  <c r="BK139" i="4"/>
  <c r="GI139" i="4" s="1"/>
  <c r="BO139" i="4"/>
  <c r="BP139" i="4"/>
  <c r="BQ139" i="4"/>
  <c r="BR139" i="4"/>
  <c r="BS139" i="4"/>
  <c r="BT139" i="4"/>
  <c r="BU139" i="4"/>
  <c r="BV139" i="4"/>
  <c r="BW139" i="4"/>
  <c r="BX139" i="4"/>
  <c r="BY139" i="4"/>
  <c r="BZ139" i="4"/>
  <c r="CA139" i="4"/>
  <c r="CB139" i="4"/>
  <c r="CC139" i="4"/>
  <c r="CD139" i="4"/>
  <c r="CE139" i="4"/>
  <c r="CF139" i="4"/>
  <c r="CG139" i="4"/>
  <c r="CH139" i="4"/>
  <c r="CI139" i="4"/>
  <c r="CJ139" i="4"/>
  <c r="CK139" i="4"/>
  <c r="CL139" i="4"/>
  <c r="CM139" i="4"/>
  <c r="CN139" i="4"/>
  <c r="CO139" i="4"/>
  <c r="CP139" i="4"/>
  <c r="CQ139" i="4"/>
  <c r="CR139" i="4"/>
  <c r="CS139" i="4"/>
  <c r="CT139" i="4"/>
  <c r="CU139" i="4"/>
  <c r="CV139" i="4"/>
  <c r="CX139" i="4"/>
  <c r="CY139" i="4"/>
  <c r="CZ139" i="4"/>
  <c r="DA139" i="4"/>
  <c r="DB139" i="4"/>
  <c r="DC139" i="4"/>
  <c r="DD139" i="4"/>
  <c r="DE139" i="4"/>
  <c r="DF139" i="4"/>
  <c r="DG139" i="4"/>
  <c r="DH139" i="4"/>
  <c r="DI139" i="4"/>
  <c r="DK139" i="4"/>
  <c r="DL139" i="4"/>
  <c r="DM139" i="4"/>
  <c r="DN139" i="4"/>
  <c r="DO139" i="4"/>
  <c r="DP139" i="4"/>
  <c r="DQ139" i="4"/>
  <c r="DR139" i="4"/>
  <c r="DS139" i="4"/>
  <c r="DT139" i="4"/>
  <c r="DU139" i="4"/>
  <c r="DV139" i="4"/>
  <c r="DW139" i="4"/>
  <c r="EA139" i="4"/>
  <c r="EB139" i="4"/>
  <c r="EC139" i="4"/>
  <c r="ED139" i="4"/>
  <c r="EE139" i="4"/>
  <c r="EF139" i="4"/>
  <c r="EG139" i="4"/>
  <c r="EH139" i="4"/>
  <c r="EI139" i="4"/>
  <c r="EJ139" i="4"/>
  <c r="EK139" i="4"/>
  <c r="EL139" i="4"/>
  <c r="EM139" i="4"/>
  <c r="EN139" i="4"/>
  <c r="EO139" i="4"/>
  <c r="EP139" i="4"/>
  <c r="EQ139" i="4"/>
  <c r="ER139" i="4"/>
  <c r="ES139" i="4"/>
  <c r="ET139" i="4"/>
  <c r="EU139" i="4"/>
  <c r="EV139" i="4"/>
  <c r="EW139" i="4"/>
  <c r="EX139" i="4"/>
  <c r="EY139" i="4"/>
  <c r="EZ139" i="4"/>
  <c r="FA139" i="4"/>
  <c r="FB139" i="4"/>
  <c r="FC139" i="4"/>
  <c r="FD139" i="4"/>
  <c r="FE139" i="4"/>
  <c r="FF139" i="4"/>
  <c r="FG139" i="4"/>
  <c r="FH139" i="4"/>
  <c r="FI139" i="4"/>
  <c r="FJ139" i="4"/>
  <c r="FK139" i="4"/>
  <c r="FL139" i="4"/>
  <c r="FM139" i="4"/>
  <c r="FN139" i="4"/>
  <c r="FO139" i="4"/>
  <c r="FP139" i="4"/>
  <c r="FQ139" i="4"/>
  <c r="FR139" i="4"/>
  <c r="FS139" i="4"/>
  <c r="FT139" i="4"/>
  <c r="FU139" i="4"/>
  <c r="FV139" i="4"/>
  <c r="FW139" i="4"/>
  <c r="FX139" i="4"/>
  <c r="FY139" i="4"/>
  <c r="FZ139" i="4"/>
  <c r="GB139" i="4"/>
  <c r="GC139" i="4"/>
  <c r="GD139" i="4"/>
  <c r="GF139" i="4"/>
  <c r="GG139" i="4"/>
  <c r="GH139" i="4"/>
  <c r="C140" i="4"/>
  <c r="B195" i="1" s="1"/>
  <c r="D140" i="4"/>
  <c r="C195" i="1" s="1"/>
  <c r="E140" i="4"/>
  <c r="BQ140" i="4" s="1"/>
  <c r="D246" i="1" s="1"/>
  <c r="F140" i="4"/>
  <c r="E195" i="1" s="1"/>
  <c r="G140" i="4"/>
  <c r="H140" i="4"/>
  <c r="I140" i="4"/>
  <c r="H195" i="1" s="1"/>
  <c r="J140" i="4"/>
  <c r="I195" i="1" s="1"/>
  <c r="K140" i="4"/>
  <c r="L140" i="4"/>
  <c r="K195" i="1" s="1"/>
  <c r="M140" i="4"/>
  <c r="BY140" i="4" s="1"/>
  <c r="L246" i="1" s="1"/>
  <c r="N140" i="4"/>
  <c r="M195" i="1" s="1"/>
  <c r="O140" i="4"/>
  <c r="P140" i="4"/>
  <c r="Q140" i="4"/>
  <c r="CC140" i="4" s="1"/>
  <c r="P246" i="1" s="1"/>
  <c r="R140" i="4"/>
  <c r="Q195" i="1" s="1"/>
  <c r="S140" i="4"/>
  <c r="R195" i="1" s="1"/>
  <c r="T140" i="4"/>
  <c r="S195" i="1" s="1"/>
  <c r="U140" i="4"/>
  <c r="CG140" i="4" s="1"/>
  <c r="T246" i="1" s="1"/>
  <c r="V140" i="4"/>
  <c r="W140" i="4"/>
  <c r="X140" i="4"/>
  <c r="W195" i="1" s="1"/>
  <c r="Y140" i="4"/>
  <c r="CK140" i="4" s="1"/>
  <c r="X246" i="1" s="1"/>
  <c r="Z140" i="4"/>
  <c r="AA140" i="4"/>
  <c r="AB140" i="4"/>
  <c r="AC140" i="4"/>
  <c r="CO140" i="4" s="1"/>
  <c r="AB246" i="1" s="1"/>
  <c r="AD140" i="4"/>
  <c r="AC195" i="1" s="1"/>
  <c r="AE140" i="4"/>
  <c r="AD195" i="1" s="1"/>
  <c r="AF140" i="4"/>
  <c r="AG140" i="4"/>
  <c r="CS140" i="4" s="1"/>
  <c r="AF246" i="1" s="1"/>
  <c r="AH140" i="4"/>
  <c r="AI140" i="4"/>
  <c r="AJ140" i="4"/>
  <c r="AI195" i="1" s="1"/>
  <c r="AK140" i="4"/>
  <c r="CW140" i="4" s="1"/>
  <c r="AJ246" i="1" s="1"/>
  <c r="AV140" i="4"/>
  <c r="AW140" i="4"/>
  <c r="DI140" i="4" s="1"/>
  <c r="AV246" i="1" s="1"/>
  <c r="AX140" i="4"/>
  <c r="AY140" i="4"/>
  <c r="AX195" i="1" s="1"/>
  <c r="BA140" i="4"/>
  <c r="BB140" i="4"/>
  <c r="BA195" i="1" s="1"/>
  <c r="BC140" i="4"/>
  <c r="BB195" i="1" s="1"/>
  <c r="BD140" i="4"/>
  <c r="BC195" i="1" s="1"/>
  <c r="BE140" i="4"/>
  <c r="BF140" i="4"/>
  <c r="BE195" i="1" s="1"/>
  <c r="BG140" i="4"/>
  <c r="BH140" i="4"/>
  <c r="BI140" i="4"/>
  <c r="BJ140" i="4"/>
  <c r="BK140" i="4"/>
  <c r="BO140" i="4"/>
  <c r="BP140" i="4"/>
  <c r="BR140" i="4"/>
  <c r="BS140" i="4"/>
  <c r="F246" i="1" s="1"/>
  <c r="BT140" i="4"/>
  <c r="G246" i="1" s="1"/>
  <c r="BU140" i="4"/>
  <c r="BV140" i="4"/>
  <c r="BW140" i="4"/>
  <c r="J246" i="1" s="1"/>
  <c r="BX140" i="4"/>
  <c r="BZ140" i="4"/>
  <c r="CA140" i="4"/>
  <c r="N246" i="1" s="1"/>
  <c r="CB140" i="4"/>
  <c r="O246" i="1" s="1"/>
  <c r="CD140" i="4"/>
  <c r="CE140" i="4"/>
  <c r="CF140" i="4"/>
  <c r="CH140" i="4"/>
  <c r="U246" i="1" s="1"/>
  <c r="CI140" i="4"/>
  <c r="V246" i="1" s="1"/>
  <c r="CJ140" i="4"/>
  <c r="CL140" i="4"/>
  <c r="Y246" i="1" s="1"/>
  <c r="CM140" i="4"/>
  <c r="Z246" i="1" s="1"/>
  <c r="CN140" i="4"/>
  <c r="AA246" i="1" s="1"/>
  <c r="CP140" i="4"/>
  <c r="CQ140" i="4"/>
  <c r="CR140" i="4"/>
  <c r="AE246" i="1" s="1"/>
  <c r="CT140" i="4"/>
  <c r="AG246" i="1" s="1"/>
  <c r="CU140" i="4"/>
  <c r="AH246" i="1" s="1"/>
  <c r="CV140" i="4"/>
  <c r="CY140" i="4"/>
  <c r="CZ140" i="4"/>
  <c r="DA140" i="4"/>
  <c r="AN246" i="1" s="1"/>
  <c r="DB140" i="4"/>
  <c r="DC140" i="4"/>
  <c r="DD140" i="4"/>
  <c r="DE140" i="4"/>
  <c r="DF140" i="4"/>
  <c r="AS246" i="1" s="1"/>
  <c r="DG140" i="4"/>
  <c r="AT246" i="1" s="1"/>
  <c r="DH140" i="4"/>
  <c r="AU246" i="1" s="1"/>
  <c r="DJ140" i="4"/>
  <c r="AW246" i="1" s="1"/>
  <c r="DK140" i="4"/>
  <c r="DL140" i="4"/>
  <c r="DM140" i="4"/>
  <c r="AZ246" i="1" s="1"/>
  <c r="DN140" i="4"/>
  <c r="DO140" i="4"/>
  <c r="DP140" i="4"/>
  <c r="DQ140" i="4"/>
  <c r="BD246" i="1" s="1"/>
  <c r="DR140" i="4"/>
  <c r="DS140" i="4"/>
  <c r="BF246" i="1" s="1"/>
  <c r="DT140" i="4"/>
  <c r="BG246" i="1" s="1"/>
  <c r="DU140" i="4"/>
  <c r="BH246" i="1" s="1"/>
  <c r="DV140" i="4"/>
  <c r="BI246" i="1" s="1"/>
  <c r="DW140" i="4"/>
  <c r="BJ246" i="1" s="1"/>
  <c r="EA140" i="4"/>
  <c r="EB140" i="4"/>
  <c r="ED140" i="4"/>
  <c r="EE140" i="4"/>
  <c r="F297" i="1" s="1"/>
  <c r="EF140" i="4"/>
  <c r="G297" i="1" s="1"/>
  <c r="EG140" i="4"/>
  <c r="EH140" i="4"/>
  <c r="EI140" i="4"/>
  <c r="J297" i="1" s="1"/>
  <c r="EJ140" i="4"/>
  <c r="EK140" i="4"/>
  <c r="EL140" i="4"/>
  <c r="EM140" i="4"/>
  <c r="EN140" i="4"/>
  <c r="EO140" i="4"/>
  <c r="EP140" i="4"/>
  <c r="EQ140" i="4"/>
  <c r="ER140" i="4"/>
  <c r="ET140" i="4"/>
  <c r="U297" i="1" s="1"/>
  <c r="EU140" i="4"/>
  <c r="V297" i="1" s="1"/>
  <c r="EV140" i="4"/>
  <c r="EX140" i="4"/>
  <c r="Y297" i="1" s="1"/>
  <c r="EY140" i="4"/>
  <c r="Z297" i="1" s="1"/>
  <c r="EZ140" i="4"/>
  <c r="AA297" i="1" s="1"/>
  <c r="FB140" i="4"/>
  <c r="FC140" i="4"/>
  <c r="FD140" i="4"/>
  <c r="AE297" i="1" s="1"/>
  <c r="FF140" i="4"/>
  <c r="AG297" i="1" s="1"/>
  <c r="FG140" i="4"/>
  <c r="AH297" i="1" s="1"/>
  <c r="FH140" i="4"/>
  <c r="FJ140" i="4"/>
  <c r="FK140" i="4"/>
  <c r="FL140" i="4"/>
  <c r="FM140" i="4"/>
  <c r="AN297" i="1" s="1"/>
  <c r="FN140" i="4"/>
  <c r="FO140" i="4"/>
  <c r="FP140" i="4"/>
  <c r="FQ140" i="4"/>
  <c r="FR140" i="4"/>
  <c r="FS140" i="4"/>
  <c r="FT140" i="4"/>
  <c r="AU297" i="1" s="1"/>
  <c r="FU140" i="4"/>
  <c r="FV140" i="4"/>
  <c r="FW140" i="4"/>
  <c r="FX140" i="4"/>
  <c r="FY140" i="4"/>
  <c r="AZ297" i="1" s="1"/>
  <c r="FZ140" i="4"/>
  <c r="GA140" i="4"/>
  <c r="GB140" i="4"/>
  <c r="GC140" i="4"/>
  <c r="BD297" i="1" s="1"/>
  <c r="GD140" i="4"/>
  <c r="GE140" i="4"/>
  <c r="BF297" i="1" s="1"/>
  <c r="GF140" i="4"/>
  <c r="GG140" i="4"/>
  <c r="GH140" i="4"/>
  <c r="GI140" i="4"/>
  <c r="C141" i="4"/>
  <c r="B196" i="1" s="1"/>
  <c r="D141" i="4"/>
  <c r="C196" i="1" s="1"/>
  <c r="E141" i="4"/>
  <c r="F141" i="4"/>
  <c r="E196" i="1" s="1"/>
  <c r="G141" i="4"/>
  <c r="H141" i="4"/>
  <c r="BT141" i="4" s="1"/>
  <c r="G247" i="1" s="1"/>
  <c r="I141" i="4"/>
  <c r="H196" i="1" s="1"/>
  <c r="J141" i="4"/>
  <c r="I196" i="1" s="1"/>
  <c r="K141" i="4"/>
  <c r="L141" i="4"/>
  <c r="K196" i="1" s="1"/>
  <c r="M141" i="4"/>
  <c r="N141" i="4"/>
  <c r="M196" i="1" s="1"/>
  <c r="O141" i="4"/>
  <c r="P141" i="4"/>
  <c r="CB141" i="4" s="1"/>
  <c r="O247" i="1" s="1"/>
  <c r="Q141" i="4"/>
  <c r="R141" i="4"/>
  <c r="Q196" i="1" s="1"/>
  <c r="S141" i="4"/>
  <c r="R196" i="1" s="1"/>
  <c r="T141" i="4"/>
  <c r="S196" i="1" s="1"/>
  <c r="U141" i="4"/>
  <c r="V141" i="4"/>
  <c r="CH141" i="4" s="1"/>
  <c r="U247" i="1" s="1"/>
  <c r="W141" i="4"/>
  <c r="X141" i="4"/>
  <c r="W196" i="1" s="1"/>
  <c r="Y141" i="4"/>
  <c r="Z141" i="4"/>
  <c r="CL141" i="4" s="1"/>
  <c r="Y247" i="1" s="1"/>
  <c r="AA141" i="4"/>
  <c r="AB141" i="4"/>
  <c r="CN141" i="4" s="1"/>
  <c r="AA247" i="1" s="1"/>
  <c r="AC141" i="4"/>
  <c r="AD141" i="4"/>
  <c r="AC196" i="1" s="1"/>
  <c r="AE141" i="4"/>
  <c r="AD196" i="1" s="1"/>
  <c r="AF141" i="4"/>
  <c r="CR141" i="4" s="1"/>
  <c r="AE247" i="1" s="1"/>
  <c r="AG141" i="4"/>
  <c r="AH141" i="4"/>
  <c r="CT141" i="4" s="1"/>
  <c r="AG247" i="1" s="1"/>
  <c r="AI141" i="4"/>
  <c r="AJ141" i="4"/>
  <c r="AI196" i="1" s="1"/>
  <c r="AK141" i="4"/>
  <c r="AL141" i="4"/>
  <c r="AK196" i="1" s="1"/>
  <c r="AV141" i="4"/>
  <c r="AW141" i="4"/>
  <c r="DI141" i="4" s="1"/>
  <c r="AV247" i="1" s="1"/>
  <c r="AX141" i="4"/>
  <c r="AY141" i="4"/>
  <c r="AX196" i="1" s="1"/>
  <c r="BA141" i="4"/>
  <c r="BB141" i="4"/>
  <c r="BA196" i="1" s="1"/>
  <c r="BC141" i="4"/>
  <c r="BB196" i="1" s="1"/>
  <c r="BD141" i="4"/>
  <c r="BC196" i="1" s="1"/>
  <c r="BE141" i="4"/>
  <c r="BF141" i="4"/>
  <c r="BE196" i="1" s="1"/>
  <c r="BG141" i="4"/>
  <c r="BH141" i="4"/>
  <c r="BI141" i="4"/>
  <c r="BJ141" i="4"/>
  <c r="BK141" i="4"/>
  <c r="BO141" i="4"/>
  <c r="BP141" i="4"/>
  <c r="BQ141" i="4"/>
  <c r="D247" i="1" s="1"/>
  <c r="BR141" i="4"/>
  <c r="BS141" i="4"/>
  <c r="F247" i="1" s="1"/>
  <c r="BU141" i="4"/>
  <c r="BV141" i="4"/>
  <c r="BW141" i="4"/>
  <c r="J247" i="1" s="1"/>
  <c r="BX141" i="4"/>
  <c r="BY141" i="4"/>
  <c r="L247" i="1" s="1"/>
  <c r="BZ141" i="4"/>
  <c r="CA141" i="4"/>
  <c r="N247" i="1" s="1"/>
  <c r="CC141" i="4"/>
  <c r="P247" i="1" s="1"/>
  <c r="CD141" i="4"/>
  <c r="CE141" i="4"/>
  <c r="CF141" i="4"/>
  <c r="CG141" i="4"/>
  <c r="T247" i="1" s="1"/>
  <c r="CI141" i="4"/>
  <c r="V247" i="1" s="1"/>
  <c r="CJ141" i="4"/>
  <c r="CK141" i="4"/>
  <c r="X247" i="1" s="1"/>
  <c r="CM141" i="4"/>
  <c r="Z247" i="1" s="1"/>
  <c r="CO141" i="4"/>
  <c r="AB247" i="1" s="1"/>
  <c r="CP141" i="4"/>
  <c r="CQ141" i="4"/>
  <c r="CS141" i="4"/>
  <c r="AF247" i="1" s="1"/>
  <c r="CU141" i="4"/>
  <c r="AH247" i="1" s="1"/>
  <c r="CV141" i="4"/>
  <c r="CW141" i="4"/>
  <c r="AJ247" i="1" s="1"/>
  <c r="CX141" i="4"/>
  <c r="CZ141" i="4"/>
  <c r="DA141" i="4"/>
  <c r="AN247" i="1" s="1"/>
  <c r="DB141" i="4"/>
  <c r="DC141" i="4"/>
  <c r="DD141" i="4"/>
  <c r="DE141" i="4"/>
  <c r="DF141" i="4"/>
  <c r="AS247" i="1" s="1"/>
  <c r="DG141" i="4"/>
  <c r="AT247" i="1" s="1"/>
  <c r="DH141" i="4"/>
  <c r="AU247" i="1" s="1"/>
  <c r="DJ141" i="4"/>
  <c r="AW247" i="1" s="1"/>
  <c r="DK141" i="4"/>
  <c r="DL141" i="4"/>
  <c r="DM141" i="4"/>
  <c r="AZ247" i="1" s="1"/>
  <c r="DN141" i="4"/>
  <c r="DO141" i="4"/>
  <c r="DP141" i="4"/>
  <c r="DQ141" i="4"/>
  <c r="BD247" i="1" s="1"/>
  <c r="DR141" i="4"/>
  <c r="DS141" i="4"/>
  <c r="BF247" i="1" s="1"/>
  <c r="DT141" i="4"/>
  <c r="BG247" i="1" s="1"/>
  <c r="DU141" i="4"/>
  <c r="BH247" i="1" s="1"/>
  <c r="DV141" i="4"/>
  <c r="BI247" i="1" s="1"/>
  <c r="DW141" i="4"/>
  <c r="BJ247" i="1" s="1"/>
  <c r="EA141" i="4"/>
  <c r="EB141" i="4"/>
  <c r="EC141" i="4"/>
  <c r="D298" i="1" s="1"/>
  <c r="ED141" i="4"/>
  <c r="EE141" i="4"/>
  <c r="F298" i="1" s="1"/>
  <c r="EF141" i="4"/>
  <c r="G298" i="1" s="1"/>
  <c r="EG141" i="4"/>
  <c r="EH141" i="4"/>
  <c r="EI141" i="4"/>
  <c r="J298" i="1" s="1"/>
  <c r="EJ141" i="4"/>
  <c r="EK141" i="4"/>
  <c r="EL141" i="4"/>
  <c r="EM141" i="4"/>
  <c r="EN141" i="4"/>
  <c r="EO141" i="4"/>
  <c r="EP141" i="4"/>
  <c r="EQ141" i="4"/>
  <c r="ER141" i="4"/>
  <c r="ES141" i="4"/>
  <c r="T298" i="1" s="1"/>
  <c r="EU141" i="4"/>
  <c r="V298" i="1" s="1"/>
  <c r="EV141" i="4"/>
  <c r="EW141" i="4"/>
  <c r="X298" i="1" s="1"/>
  <c r="EY141" i="4"/>
  <c r="Z298" i="1" s="1"/>
  <c r="EZ141" i="4"/>
  <c r="AA298" i="1" s="1"/>
  <c r="FA141" i="4"/>
  <c r="AB298" i="1" s="1"/>
  <c r="FB141" i="4"/>
  <c r="FC141" i="4"/>
  <c r="FD141" i="4"/>
  <c r="AE298" i="1" s="1"/>
  <c r="FE141" i="4"/>
  <c r="AF298" i="1" s="1"/>
  <c r="FG141" i="4"/>
  <c r="AH298" i="1" s="1"/>
  <c r="FH141" i="4"/>
  <c r="FI141" i="4"/>
  <c r="AJ298" i="1" s="1"/>
  <c r="FJ141" i="4"/>
  <c r="FK141" i="4"/>
  <c r="FL141" i="4"/>
  <c r="FM141" i="4"/>
  <c r="AN298" i="1" s="1"/>
  <c r="FN141" i="4"/>
  <c r="FO141" i="4"/>
  <c r="FP141" i="4"/>
  <c r="FQ141" i="4"/>
  <c r="FR141" i="4"/>
  <c r="FS141" i="4"/>
  <c r="FT141" i="4"/>
  <c r="AU298" i="1" s="1"/>
  <c r="FU141" i="4"/>
  <c r="FV141" i="4"/>
  <c r="FW141" i="4"/>
  <c r="FX141" i="4"/>
  <c r="FY141" i="4"/>
  <c r="AZ298" i="1" s="1"/>
  <c r="FZ141" i="4"/>
  <c r="GA141" i="4"/>
  <c r="GB141" i="4"/>
  <c r="GC141" i="4"/>
  <c r="BD298" i="1" s="1"/>
  <c r="GD141" i="4"/>
  <c r="GE141" i="4"/>
  <c r="BF298" i="1" s="1"/>
  <c r="GF141" i="4"/>
  <c r="GG141" i="4"/>
  <c r="GH141" i="4"/>
  <c r="GI141" i="4"/>
  <c r="C142" i="4"/>
  <c r="B197" i="1" s="1"/>
  <c r="D142" i="4"/>
  <c r="C197" i="1" s="1"/>
  <c r="E142" i="4"/>
  <c r="F142" i="4"/>
  <c r="E197" i="1" s="1"/>
  <c r="G142" i="4"/>
  <c r="H142" i="4"/>
  <c r="BT142" i="4" s="1"/>
  <c r="G248" i="1" s="1"/>
  <c r="I142" i="4"/>
  <c r="H197" i="1" s="1"/>
  <c r="J142" i="4"/>
  <c r="I197" i="1" s="1"/>
  <c r="K142" i="4"/>
  <c r="L142" i="4"/>
  <c r="K197" i="1" s="1"/>
  <c r="M142" i="4"/>
  <c r="N142" i="4"/>
  <c r="M197" i="1" s="1"/>
  <c r="O142" i="4"/>
  <c r="P142" i="4"/>
  <c r="CB142" i="4" s="1"/>
  <c r="O248" i="1" s="1"/>
  <c r="Q142" i="4"/>
  <c r="R142" i="4"/>
  <c r="Q197" i="1" s="1"/>
  <c r="S142" i="4"/>
  <c r="R197" i="1" s="1"/>
  <c r="T142" i="4"/>
  <c r="S197" i="1" s="1"/>
  <c r="U142" i="4"/>
  <c r="V142" i="4"/>
  <c r="CH142" i="4" s="1"/>
  <c r="U248" i="1" s="1"/>
  <c r="W142" i="4"/>
  <c r="X142" i="4"/>
  <c r="W197" i="1" s="1"/>
  <c r="Y142" i="4"/>
  <c r="Z142" i="4"/>
  <c r="CL142" i="4" s="1"/>
  <c r="Y248" i="1" s="1"/>
  <c r="AA142" i="4"/>
  <c r="AB142" i="4"/>
  <c r="CN142" i="4" s="1"/>
  <c r="AA248" i="1" s="1"/>
  <c r="AC142" i="4"/>
  <c r="AD142" i="4"/>
  <c r="AC197" i="1" s="1"/>
  <c r="AE142" i="4"/>
  <c r="AD197" i="1" s="1"/>
  <c r="AF142" i="4"/>
  <c r="CR142" i="4" s="1"/>
  <c r="AE248" i="1" s="1"/>
  <c r="AG142" i="4"/>
  <c r="AH142" i="4"/>
  <c r="CT142" i="4" s="1"/>
  <c r="AG248" i="1" s="1"/>
  <c r="AI142" i="4"/>
  <c r="AJ142" i="4"/>
  <c r="AI197" i="1" s="1"/>
  <c r="AK142" i="4"/>
  <c r="AL142" i="4"/>
  <c r="AK197" i="1" s="1"/>
  <c r="AV142" i="4"/>
  <c r="AW142" i="4"/>
  <c r="DI142" i="4" s="1"/>
  <c r="AV248" i="1" s="1"/>
  <c r="AX142" i="4"/>
  <c r="AY142" i="4"/>
  <c r="AX197" i="1" s="1"/>
  <c r="BA142" i="4"/>
  <c r="BB142" i="4"/>
  <c r="BA197" i="1" s="1"/>
  <c r="BC142" i="4"/>
  <c r="BB197" i="1" s="1"/>
  <c r="BD142" i="4"/>
  <c r="BC197" i="1" s="1"/>
  <c r="BE142" i="4"/>
  <c r="BF142" i="4"/>
  <c r="BE197" i="1" s="1"/>
  <c r="BG142" i="4"/>
  <c r="BH142" i="4"/>
  <c r="BI142" i="4"/>
  <c r="BJ142" i="4"/>
  <c r="BK142" i="4"/>
  <c r="BO142" i="4"/>
  <c r="BP142" i="4"/>
  <c r="BQ142" i="4"/>
  <c r="D248" i="1" s="1"/>
  <c r="BR142" i="4"/>
  <c r="BS142" i="4"/>
  <c r="F248" i="1" s="1"/>
  <c r="BU142" i="4"/>
  <c r="BV142" i="4"/>
  <c r="BW142" i="4"/>
  <c r="J248" i="1" s="1"/>
  <c r="BX142" i="4"/>
  <c r="BY142" i="4"/>
  <c r="L248" i="1" s="1"/>
  <c r="BZ142" i="4"/>
  <c r="CA142" i="4"/>
  <c r="N248" i="1" s="1"/>
  <c r="CC142" i="4"/>
  <c r="P248" i="1" s="1"/>
  <c r="CD142" i="4"/>
  <c r="CE142" i="4"/>
  <c r="CF142" i="4"/>
  <c r="CG142" i="4"/>
  <c r="T248" i="1" s="1"/>
  <c r="CI142" i="4"/>
  <c r="V248" i="1" s="1"/>
  <c r="CJ142" i="4"/>
  <c r="CK142" i="4"/>
  <c r="X248" i="1" s="1"/>
  <c r="CM142" i="4"/>
  <c r="Z248" i="1" s="1"/>
  <c r="CO142" i="4"/>
  <c r="AB248" i="1" s="1"/>
  <c r="CP142" i="4"/>
  <c r="CQ142" i="4"/>
  <c r="CS142" i="4"/>
  <c r="AF248" i="1" s="1"/>
  <c r="CU142" i="4"/>
  <c r="AH248" i="1" s="1"/>
  <c r="CV142" i="4"/>
  <c r="CW142" i="4"/>
  <c r="AJ248" i="1" s="1"/>
  <c r="CX142" i="4"/>
  <c r="CY142" i="4"/>
  <c r="DA142" i="4"/>
  <c r="AN248" i="1" s="1"/>
  <c r="DB142" i="4"/>
  <c r="DC142" i="4"/>
  <c r="DD142" i="4"/>
  <c r="DE142" i="4"/>
  <c r="DF142" i="4"/>
  <c r="AS248" i="1" s="1"/>
  <c r="DG142" i="4"/>
  <c r="AT248" i="1" s="1"/>
  <c r="DH142" i="4"/>
  <c r="AU248" i="1" s="1"/>
  <c r="DJ142" i="4"/>
  <c r="AW248" i="1" s="1"/>
  <c r="DK142" i="4"/>
  <c r="DL142" i="4"/>
  <c r="DM142" i="4"/>
  <c r="AZ248" i="1" s="1"/>
  <c r="DN142" i="4"/>
  <c r="DO142" i="4"/>
  <c r="DP142" i="4"/>
  <c r="DQ142" i="4"/>
  <c r="BD248" i="1" s="1"/>
  <c r="DR142" i="4"/>
  <c r="DS142" i="4"/>
  <c r="BF248" i="1" s="1"/>
  <c r="DT142" i="4"/>
  <c r="BG248" i="1" s="1"/>
  <c r="DU142" i="4"/>
  <c r="BH248" i="1" s="1"/>
  <c r="DV142" i="4"/>
  <c r="BI248" i="1" s="1"/>
  <c r="DW142" i="4"/>
  <c r="BJ248" i="1" s="1"/>
  <c r="EA142" i="4"/>
  <c r="EB142" i="4"/>
  <c r="EC142" i="4"/>
  <c r="D299" i="1" s="1"/>
  <c r="ED142" i="4"/>
  <c r="EE142" i="4"/>
  <c r="F299" i="1" s="1"/>
  <c r="EG142" i="4"/>
  <c r="EH142" i="4"/>
  <c r="EI142" i="4"/>
  <c r="J299" i="1" s="1"/>
  <c r="EJ142" i="4"/>
  <c r="EK142" i="4"/>
  <c r="EL142" i="4"/>
  <c r="EM142" i="4"/>
  <c r="EN142" i="4"/>
  <c r="EO142" i="4"/>
  <c r="EP142" i="4"/>
  <c r="EQ142" i="4"/>
  <c r="ER142" i="4"/>
  <c r="ES142" i="4"/>
  <c r="T299" i="1" s="1"/>
  <c r="EU142" i="4"/>
  <c r="V299" i="1" s="1"/>
  <c r="EV142" i="4"/>
  <c r="EW142" i="4"/>
  <c r="X299" i="1" s="1"/>
  <c r="EY142" i="4"/>
  <c r="Z299" i="1" s="1"/>
  <c r="FA142" i="4"/>
  <c r="AB299" i="1" s="1"/>
  <c r="FB142" i="4"/>
  <c r="FC142" i="4"/>
  <c r="FE142" i="4"/>
  <c r="AF299" i="1" s="1"/>
  <c r="FG142" i="4"/>
  <c r="AH299" i="1" s="1"/>
  <c r="FH142" i="4"/>
  <c r="FI142" i="4"/>
  <c r="AJ299" i="1" s="1"/>
  <c r="FJ142" i="4"/>
  <c r="FK142" i="4"/>
  <c r="FL142" i="4"/>
  <c r="FM142" i="4"/>
  <c r="AN299" i="1" s="1"/>
  <c r="FN142" i="4"/>
  <c r="FO142" i="4"/>
  <c r="FP142" i="4"/>
  <c r="FQ142" i="4"/>
  <c r="FR142" i="4"/>
  <c r="FS142" i="4"/>
  <c r="FT142" i="4"/>
  <c r="AU299" i="1" s="1"/>
  <c r="FU142" i="4"/>
  <c r="FV142" i="4"/>
  <c r="FW142" i="4"/>
  <c r="FX142" i="4"/>
  <c r="FY142" i="4"/>
  <c r="AZ299" i="1" s="1"/>
  <c r="FZ142" i="4"/>
  <c r="GA142" i="4"/>
  <c r="GB142" i="4"/>
  <c r="GC142" i="4"/>
  <c r="BD299" i="1" s="1"/>
  <c r="GD142" i="4"/>
  <c r="GE142" i="4"/>
  <c r="BF299" i="1" s="1"/>
  <c r="GF142" i="4"/>
  <c r="GG142" i="4"/>
  <c r="GH142" i="4"/>
  <c r="GI142" i="4"/>
  <c r="C143" i="4"/>
  <c r="D143" i="4"/>
  <c r="E143" i="4"/>
  <c r="F143" i="4"/>
  <c r="BR143" i="4" s="1"/>
  <c r="G143" i="4"/>
  <c r="H143" i="4"/>
  <c r="I143" i="4"/>
  <c r="J143" i="4"/>
  <c r="BV143" i="4" s="1"/>
  <c r="K143" i="4"/>
  <c r="L143" i="4"/>
  <c r="M143" i="4"/>
  <c r="N143" i="4"/>
  <c r="BZ143" i="4" s="1"/>
  <c r="O143" i="4"/>
  <c r="P143" i="4"/>
  <c r="Q143" i="4"/>
  <c r="R143" i="4"/>
  <c r="CD143" i="4" s="1"/>
  <c r="S143" i="4"/>
  <c r="T143" i="4"/>
  <c r="U143" i="4"/>
  <c r="V143" i="4"/>
  <c r="CH143" i="4" s="1"/>
  <c r="W143" i="4"/>
  <c r="X143" i="4"/>
  <c r="Y143" i="4"/>
  <c r="Z143" i="4"/>
  <c r="CL143" i="4" s="1"/>
  <c r="AA143" i="4"/>
  <c r="AB143" i="4"/>
  <c r="AC143" i="4"/>
  <c r="AD143" i="4"/>
  <c r="CP143" i="4" s="1"/>
  <c r="AE143" i="4"/>
  <c r="AF143" i="4"/>
  <c r="AG143" i="4"/>
  <c r="AH143" i="4"/>
  <c r="CT143" i="4" s="1"/>
  <c r="AI143" i="4"/>
  <c r="AJ143" i="4"/>
  <c r="AK143" i="4"/>
  <c r="AL143" i="4"/>
  <c r="CX143" i="4" s="1"/>
  <c r="AW143" i="4"/>
  <c r="AX143" i="4"/>
  <c r="DJ143" i="4" s="1"/>
  <c r="AY143" i="4"/>
  <c r="BA143" i="4"/>
  <c r="BB143" i="4"/>
  <c r="BC143" i="4"/>
  <c r="BD143" i="4"/>
  <c r="BE143" i="4"/>
  <c r="BF143" i="4"/>
  <c r="BG143" i="4"/>
  <c r="BH143" i="4"/>
  <c r="BI143" i="4"/>
  <c r="BJ143" i="4"/>
  <c r="BK143" i="4"/>
  <c r="BO143" i="4"/>
  <c r="BP143" i="4"/>
  <c r="BQ143" i="4"/>
  <c r="BS143" i="4"/>
  <c r="BT143" i="4"/>
  <c r="BU143" i="4"/>
  <c r="BW143" i="4"/>
  <c r="BX143" i="4"/>
  <c r="BY143" i="4"/>
  <c r="CA143" i="4"/>
  <c r="CB143" i="4"/>
  <c r="CC143" i="4"/>
  <c r="CE143" i="4"/>
  <c r="CF143" i="4"/>
  <c r="CG143" i="4"/>
  <c r="CI143" i="4"/>
  <c r="CJ143" i="4"/>
  <c r="CK143" i="4"/>
  <c r="CM143" i="4"/>
  <c r="CN143" i="4"/>
  <c r="CO143" i="4"/>
  <c r="CQ143" i="4"/>
  <c r="CR143" i="4"/>
  <c r="CS143" i="4"/>
  <c r="CU143" i="4"/>
  <c r="CV143" i="4"/>
  <c r="CW143" i="4"/>
  <c r="CY143" i="4"/>
  <c r="CZ143" i="4"/>
  <c r="DB143" i="4"/>
  <c r="DC143" i="4"/>
  <c r="DD143" i="4"/>
  <c r="DE143" i="4"/>
  <c r="DF143" i="4"/>
  <c r="DG143" i="4"/>
  <c r="DH143" i="4"/>
  <c r="DI143" i="4"/>
  <c r="DK143" i="4"/>
  <c r="DL143" i="4"/>
  <c r="DM143" i="4"/>
  <c r="DN143" i="4"/>
  <c r="DO143" i="4"/>
  <c r="DP143" i="4"/>
  <c r="DQ143" i="4"/>
  <c r="DR143" i="4"/>
  <c r="DS143" i="4"/>
  <c r="DT143" i="4"/>
  <c r="DU143" i="4"/>
  <c r="DV143" i="4"/>
  <c r="DW143" i="4"/>
  <c r="EA143" i="4"/>
  <c r="EB143" i="4"/>
  <c r="EC143" i="4"/>
  <c r="EE143" i="4"/>
  <c r="EF143" i="4"/>
  <c r="EG143" i="4"/>
  <c r="EI143" i="4"/>
  <c r="EJ143" i="4"/>
  <c r="EK143" i="4"/>
  <c r="EM143" i="4"/>
  <c r="EN143" i="4"/>
  <c r="EO143" i="4"/>
  <c r="EQ143" i="4"/>
  <c r="ER143" i="4"/>
  <c r="ES143" i="4"/>
  <c r="EU143" i="4"/>
  <c r="EV143" i="4"/>
  <c r="EW143" i="4"/>
  <c r="EY143" i="4"/>
  <c r="EZ143" i="4"/>
  <c r="FA143" i="4"/>
  <c r="FC143" i="4"/>
  <c r="FD143" i="4"/>
  <c r="FE143" i="4"/>
  <c r="FG143" i="4"/>
  <c r="FH143" i="4"/>
  <c r="FI143" i="4"/>
  <c r="FK143" i="4"/>
  <c r="FL143" i="4"/>
  <c r="FN143" i="4"/>
  <c r="FO143" i="4"/>
  <c r="FP143" i="4"/>
  <c r="FQ143" i="4"/>
  <c r="FR143" i="4"/>
  <c r="FS143" i="4"/>
  <c r="FT143" i="4"/>
  <c r="FU143" i="4"/>
  <c r="FW143" i="4"/>
  <c r="FX143" i="4"/>
  <c r="FY143" i="4"/>
  <c r="FZ143" i="4"/>
  <c r="GA143" i="4"/>
  <c r="GB143" i="4"/>
  <c r="GC143" i="4"/>
  <c r="GD143" i="4"/>
  <c r="GE143" i="4"/>
  <c r="GF143" i="4"/>
  <c r="GG143" i="4"/>
  <c r="GH143" i="4"/>
  <c r="GI143" i="4"/>
  <c r="C144" i="4"/>
  <c r="B199" i="1" s="1"/>
  <c r="D144" i="4"/>
  <c r="C199" i="1" s="1"/>
  <c r="E144" i="4"/>
  <c r="F144" i="4"/>
  <c r="E199" i="1" s="1"/>
  <c r="G144" i="4"/>
  <c r="H144" i="4"/>
  <c r="BT144" i="4" s="1"/>
  <c r="G250" i="1" s="1"/>
  <c r="I144" i="4"/>
  <c r="H199" i="1" s="1"/>
  <c r="J144" i="4"/>
  <c r="I199" i="1" s="1"/>
  <c r="K144" i="4"/>
  <c r="L144" i="4"/>
  <c r="K199" i="1" s="1"/>
  <c r="M144" i="4"/>
  <c r="N144" i="4"/>
  <c r="M199" i="1" s="1"/>
  <c r="O144" i="4"/>
  <c r="P144" i="4"/>
  <c r="CB144" i="4" s="1"/>
  <c r="O250" i="1" s="1"/>
  <c r="Q144" i="4"/>
  <c r="R144" i="4"/>
  <c r="Q199" i="1" s="1"/>
  <c r="S144" i="4"/>
  <c r="R199" i="1" s="1"/>
  <c r="T144" i="4"/>
  <c r="S199" i="1" s="1"/>
  <c r="U144" i="4"/>
  <c r="V144" i="4"/>
  <c r="W144" i="4"/>
  <c r="CI144" i="4" s="1"/>
  <c r="V250" i="1" s="1"/>
  <c r="X144" i="4"/>
  <c r="W199" i="1" s="1"/>
  <c r="Y144" i="4"/>
  <c r="Z144" i="4"/>
  <c r="AA144" i="4"/>
  <c r="CM144" i="4" s="1"/>
  <c r="Z250" i="1" s="1"/>
  <c r="AB144" i="4"/>
  <c r="CN144" i="4" s="1"/>
  <c r="AA250" i="1" s="1"/>
  <c r="AC144" i="4"/>
  <c r="AD144" i="4"/>
  <c r="AC199" i="1" s="1"/>
  <c r="AE144" i="4"/>
  <c r="AD199" i="1" s="1"/>
  <c r="AF144" i="4"/>
  <c r="CR144" i="4" s="1"/>
  <c r="AE250" i="1" s="1"/>
  <c r="AG144" i="4"/>
  <c r="AH144" i="4"/>
  <c r="AI144" i="4"/>
  <c r="CU144" i="4" s="1"/>
  <c r="AH250" i="1" s="1"/>
  <c r="AJ144" i="4"/>
  <c r="AI199" i="1" s="1"/>
  <c r="AK144" i="4"/>
  <c r="AL144" i="4"/>
  <c r="AK199" i="1" s="1"/>
  <c r="AM144" i="4"/>
  <c r="AL199" i="1" s="1"/>
  <c r="AN144" i="4"/>
  <c r="AM199" i="1" s="1"/>
  <c r="AO144" i="4"/>
  <c r="AV144" i="4"/>
  <c r="DH144" i="4" s="1"/>
  <c r="AU250" i="1" s="1"/>
  <c r="AW144" i="4"/>
  <c r="DI144" i="4" s="1"/>
  <c r="AV250" i="1" s="1"/>
  <c r="AX144" i="4"/>
  <c r="DJ144" i="4" s="1"/>
  <c r="AW250" i="1" s="1"/>
  <c r="AY144" i="4"/>
  <c r="AX199" i="1" s="1"/>
  <c r="BA144" i="4"/>
  <c r="BB144" i="4"/>
  <c r="BA199" i="1" s="1"/>
  <c r="BC144" i="4"/>
  <c r="BB199" i="1" s="1"/>
  <c r="BD144" i="4"/>
  <c r="BC199" i="1" s="1"/>
  <c r="BE144" i="4"/>
  <c r="BF144" i="4"/>
  <c r="BE199" i="1" s="1"/>
  <c r="BG144" i="4"/>
  <c r="GE144" i="4" s="1"/>
  <c r="BF301" i="1" s="1"/>
  <c r="BH144" i="4"/>
  <c r="BI144" i="4"/>
  <c r="BJ144" i="4"/>
  <c r="BK144" i="4"/>
  <c r="BO144" i="4"/>
  <c r="BP144" i="4"/>
  <c r="BQ144" i="4"/>
  <c r="D250" i="1" s="1"/>
  <c r="BR144" i="4"/>
  <c r="BS144" i="4"/>
  <c r="F250" i="1" s="1"/>
  <c r="BU144" i="4"/>
  <c r="BV144" i="4"/>
  <c r="BW144" i="4"/>
  <c r="J250" i="1" s="1"/>
  <c r="BX144" i="4"/>
  <c r="BY144" i="4"/>
  <c r="L250" i="1" s="1"/>
  <c r="BZ144" i="4"/>
  <c r="CA144" i="4"/>
  <c r="N250" i="1" s="1"/>
  <c r="CC144" i="4"/>
  <c r="P250" i="1" s="1"/>
  <c r="CD144" i="4"/>
  <c r="CE144" i="4"/>
  <c r="CF144" i="4"/>
  <c r="CG144" i="4"/>
  <c r="T250" i="1" s="1"/>
  <c r="CH144" i="4"/>
  <c r="U250" i="1" s="1"/>
  <c r="CJ144" i="4"/>
  <c r="CK144" i="4"/>
  <c r="X250" i="1" s="1"/>
  <c r="CL144" i="4"/>
  <c r="Y250" i="1" s="1"/>
  <c r="CO144" i="4"/>
  <c r="AB250" i="1" s="1"/>
  <c r="CP144" i="4"/>
  <c r="CQ144" i="4"/>
  <c r="CS144" i="4"/>
  <c r="AF250" i="1" s="1"/>
  <c r="CT144" i="4"/>
  <c r="AG250" i="1" s="1"/>
  <c r="CV144" i="4"/>
  <c r="CW144" i="4"/>
  <c r="AJ250" i="1" s="1"/>
  <c r="CX144" i="4"/>
  <c r="CY144" i="4"/>
  <c r="CZ144" i="4"/>
  <c r="DA144" i="4"/>
  <c r="AN250" i="1" s="1"/>
  <c r="DC144" i="4"/>
  <c r="DD144" i="4"/>
  <c r="DE144" i="4"/>
  <c r="DF144" i="4"/>
  <c r="AS250" i="1" s="1"/>
  <c r="DG144" i="4"/>
  <c r="AT250" i="1" s="1"/>
  <c r="DK144" i="4"/>
  <c r="DL144" i="4"/>
  <c r="DM144" i="4"/>
  <c r="AZ250" i="1" s="1"/>
  <c r="DN144" i="4"/>
  <c r="DO144" i="4"/>
  <c r="DP144" i="4"/>
  <c r="DQ144" i="4"/>
  <c r="BD250" i="1" s="1"/>
  <c r="DR144" i="4"/>
  <c r="DS144" i="4"/>
  <c r="BF250" i="1" s="1"/>
  <c r="DT144" i="4"/>
  <c r="BG250" i="1" s="1"/>
  <c r="DU144" i="4"/>
  <c r="BH250" i="1" s="1"/>
  <c r="DV144" i="4"/>
  <c r="BI250" i="1" s="1"/>
  <c r="DW144" i="4"/>
  <c r="BJ250" i="1" s="1"/>
  <c r="EA144" i="4"/>
  <c r="EB144" i="4"/>
  <c r="EC144" i="4"/>
  <c r="D301" i="1" s="1"/>
  <c r="ED144" i="4"/>
  <c r="EE144" i="4"/>
  <c r="F301" i="1" s="1"/>
  <c r="EG144" i="4"/>
  <c r="EH144" i="4"/>
  <c r="EI144" i="4"/>
  <c r="J301" i="1" s="1"/>
  <c r="EJ144" i="4"/>
  <c r="EK144" i="4"/>
  <c r="EL144" i="4"/>
  <c r="EM144" i="4"/>
  <c r="EN144" i="4"/>
  <c r="EO144" i="4"/>
  <c r="EP144" i="4"/>
  <c r="EQ144" i="4"/>
  <c r="ER144" i="4"/>
  <c r="ES144" i="4"/>
  <c r="T301" i="1" s="1"/>
  <c r="ET144" i="4"/>
  <c r="U301" i="1" s="1"/>
  <c r="EU144" i="4"/>
  <c r="V301" i="1" s="1"/>
  <c r="EV144" i="4"/>
  <c r="EW144" i="4"/>
  <c r="X301" i="1" s="1"/>
  <c r="EX144" i="4"/>
  <c r="Y301" i="1" s="1"/>
  <c r="EY144" i="4"/>
  <c r="Z301" i="1" s="1"/>
  <c r="FA144" i="4"/>
  <c r="AB301" i="1" s="1"/>
  <c r="FB144" i="4"/>
  <c r="FC144" i="4"/>
  <c r="FE144" i="4"/>
  <c r="AF301" i="1" s="1"/>
  <c r="FF144" i="4"/>
  <c r="AG301" i="1" s="1"/>
  <c r="FG144" i="4"/>
  <c r="AH301" i="1" s="1"/>
  <c r="FH144" i="4"/>
  <c r="FI144" i="4"/>
  <c r="AJ301" i="1" s="1"/>
  <c r="FJ144" i="4"/>
  <c r="FK144" i="4"/>
  <c r="FL144" i="4"/>
  <c r="FM144" i="4"/>
  <c r="AN301" i="1" s="1"/>
  <c r="FN144" i="4"/>
  <c r="FO144" i="4"/>
  <c r="FP144" i="4"/>
  <c r="FQ144" i="4"/>
  <c r="FR144" i="4"/>
  <c r="FS144" i="4"/>
  <c r="FT144" i="4"/>
  <c r="AU301" i="1" s="1"/>
  <c r="FU144" i="4"/>
  <c r="FV144" i="4"/>
  <c r="FW144" i="4"/>
  <c r="FX144" i="4"/>
  <c r="FY144" i="4"/>
  <c r="AZ301" i="1" s="1"/>
  <c r="FZ144" i="4"/>
  <c r="GA144" i="4"/>
  <c r="GB144" i="4"/>
  <c r="GC144" i="4"/>
  <c r="BD301" i="1" s="1"/>
  <c r="GD144" i="4"/>
  <c r="GF144" i="4"/>
  <c r="GG144" i="4"/>
  <c r="GH144" i="4"/>
  <c r="GI144" i="4"/>
  <c r="C145" i="4"/>
  <c r="B200" i="1" s="1"/>
  <c r="D145" i="4"/>
  <c r="C200" i="1" s="1"/>
  <c r="E145" i="4"/>
  <c r="BQ145" i="4" s="1"/>
  <c r="D251" i="1" s="1"/>
  <c r="F145" i="4"/>
  <c r="E200" i="1" s="1"/>
  <c r="G145" i="4"/>
  <c r="H145" i="4"/>
  <c r="BT145" i="4" s="1"/>
  <c r="G251" i="1" s="1"/>
  <c r="I145" i="4"/>
  <c r="H200" i="1" s="1"/>
  <c r="J145" i="4"/>
  <c r="I200" i="1" s="1"/>
  <c r="K145" i="4"/>
  <c r="L145" i="4"/>
  <c r="K200" i="1" s="1"/>
  <c r="M145" i="4"/>
  <c r="BY145" i="4" s="1"/>
  <c r="L251" i="1" s="1"/>
  <c r="N145" i="4"/>
  <c r="M200" i="1" s="1"/>
  <c r="O145" i="4"/>
  <c r="P145" i="4"/>
  <c r="CB145" i="4" s="1"/>
  <c r="O251" i="1" s="1"/>
  <c r="Q145" i="4"/>
  <c r="CC145" i="4" s="1"/>
  <c r="P251" i="1" s="1"/>
  <c r="R145" i="4"/>
  <c r="Q200" i="1" s="1"/>
  <c r="S145" i="4"/>
  <c r="R200" i="1" s="1"/>
  <c r="T145" i="4"/>
  <c r="S200" i="1" s="1"/>
  <c r="U145" i="4"/>
  <c r="CG145" i="4" s="1"/>
  <c r="T251" i="1" s="1"/>
  <c r="V145" i="4"/>
  <c r="W145" i="4"/>
  <c r="X145" i="4"/>
  <c r="W200" i="1" s="1"/>
  <c r="Y145" i="4"/>
  <c r="CK145" i="4" s="1"/>
  <c r="X251" i="1" s="1"/>
  <c r="Z145" i="4"/>
  <c r="AA145" i="4"/>
  <c r="AB145" i="4"/>
  <c r="CN145" i="4" s="1"/>
  <c r="AA251" i="1" s="1"/>
  <c r="AC145" i="4"/>
  <c r="CO145" i="4" s="1"/>
  <c r="AB251" i="1" s="1"/>
  <c r="AD145" i="4"/>
  <c r="AC200" i="1" s="1"/>
  <c r="AE145" i="4"/>
  <c r="AD200" i="1" s="1"/>
  <c r="AF145" i="4"/>
  <c r="CR145" i="4" s="1"/>
  <c r="AE251" i="1" s="1"/>
  <c r="AG145" i="4"/>
  <c r="CS145" i="4" s="1"/>
  <c r="AF251" i="1" s="1"/>
  <c r="AH145" i="4"/>
  <c r="AI145" i="4"/>
  <c r="AJ145" i="4"/>
  <c r="AI200" i="1" s="1"/>
  <c r="AK145" i="4"/>
  <c r="CW145" i="4" s="1"/>
  <c r="AJ251" i="1" s="1"/>
  <c r="AL145" i="4"/>
  <c r="AK200" i="1" s="1"/>
  <c r="AM145" i="4"/>
  <c r="AL200" i="1" s="1"/>
  <c r="AN145" i="4"/>
  <c r="AM200" i="1" s="1"/>
  <c r="AO145" i="4"/>
  <c r="DA145" i="4" s="1"/>
  <c r="AN251" i="1" s="1"/>
  <c r="AP145" i="4"/>
  <c r="AO200" i="1" s="1"/>
  <c r="AV145" i="4"/>
  <c r="AW145" i="4"/>
  <c r="DI145" i="4" s="1"/>
  <c r="AV251" i="1" s="1"/>
  <c r="AX145" i="4"/>
  <c r="DJ145" i="4" s="1"/>
  <c r="AW251" i="1" s="1"/>
  <c r="AY145" i="4"/>
  <c r="AX200" i="1" s="1"/>
  <c r="BA145" i="4"/>
  <c r="BB145" i="4"/>
  <c r="BA200" i="1" s="1"/>
  <c r="BC145" i="4"/>
  <c r="BB200" i="1" s="1"/>
  <c r="BD145" i="4"/>
  <c r="BC200" i="1" s="1"/>
  <c r="BE145" i="4"/>
  <c r="BF145" i="4"/>
  <c r="BE200" i="1" s="1"/>
  <c r="BG145" i="4"/>
  <c r="GE145" i="4" s="1"/>
  <c r="BF302" i="1" s="1"/>
  <c r="BH145" i="4"/>
  <c r="BI145" i="4"/>
  <c r="BJ145" i="4"/>
  <c r="BK145" i="4"/>
  <c r="BO145" i="4"/>
  <c r="BP145" i="4"/>
  <c r="BR145" i="4"/>
  <c r="BS145" i="4"/>
  <c r="F251" i="1" s="1"/>
  <c r="BU145" i="4"/>
  <c r="BV145" i="4"/>
  <c r="BW145" i="4"/>
  <c r="J251" i="1" s="1"/>
  <c r="BX145" i="4"/>
  <c r="BZ145" i="4"/>
  <c r="CA145" i="4"/>
  <c r="N251" i="1" s="1"/>
  <c r="CD145" i="4"/>
  <c r="CE145" i="4"/>
  <c r="CF145" i="4"/>
  <c r="CH145" i="4"/>
  <c r="U251" i="1" s="1"/>
  <c r="CI145" i="4"/>
  <c r="V251" i="1" s="1"/>
  <c r="CJ145" i="4"/>
  <c r="CL145" i="4"/>
  <c r="Y251" i="1" s="1"/>
  <c r="CM145" i="4"/>
  <c r="Z251" i="1" s="1"/>
  <c r="CP145" i="4"/>
  <c r="CQ145" i="4"/>
  <c r="CT145" i="4"/>
  <c r="AG251" i="1" s="1"/>
  <c r="CU145" i="4"/>
  <c r="AH251" i="1" s="1"/>
  <c r="CV145" i="4"/>
  <c r="CX145" i="4"/>
  <c r="CY145" i="4"/>
  <c r="CZ145" i="4"/>
  <c r="DB145" i="4"/>
  <c r="DD145" i="4"/>
  <c r="DE145" i="4"/>
  <c r="DF145" i="4"/>
  <c r="AS251" i="1" s="1"/>
  <c r="DG145" i="4"/>
  <c r="AT251" i="1" s="1"/>
  <c r="DH145" i="4"/>
  <c r="AU251" i="1" s="1"/>
  <c r="DK145" i="4"/>
  <c r="DL145" i="4"/>
  <c r="DM145" i="4"/>
  <c r="AZ251" i="1" s="1"/>
  <c r="DN145" i="4"/>
  <c r="DO145" i="4"/>
  <c r="DP145" i="4"/>
  <c r="DQ145" i="4"/>
  <c r="BD251" i="1" s="1"/>
  <c r="DR145" i="4"/>
  <c r="DS145" i="4"/>
  <c r="BF251" i="1" s="1"/>
  <c r="DT145" i="4"/>
  <c r="BG251" i="1" s="1"/>
  <c r="DU145" i="4"/>
  <c r="BH251" i="1" s="1"/>
  <c r="DV145" i="4"/>
  <c r="BI251" i="1" s="1"/>
  <c r="DW145" i="4"/>
  <c r="BJ251" i="1" s="1"/>
  <c r="EA145" i="4"/>
  <c r="EB145" i="4"/>
  <c r="ED145" i="4"/>
  <c r="EE145" i="4"/>
  <c r="F302" i="1" s="1"/>
  <c r="EG145" i="4"/>
  <c r="EH145" i="4"/>
  <c r="EI145" i="4"/>
  <c r="J302" i="1" s="1"/>
  <c r="EJ145" i="4"/>
  <c r="EK145" i="4"/>
  <c r="EL145" i="4"/>
  <c r="EM145" i="4"/>
  <c r="EN145" i="4"/>
  <c r="EO145" i="4"/>
  <c r="EP145" i="4"/>
  <c r="EQ145" i="4"/>
  <c r="ER145" i="4"/>
  <c r="ET145" i="4"/>
  <c r="U302" i="1" s="1"/>
  <c r="EU145" i="4"/>
  <c r="V302" i="1" s="1"/>
  <c r="EV145" i="4"/>
  <c r="EX145" i="4"/>
  <c r="Y302" i="1" s="1"/>
  <c r="EY145" i="4"/>
  <c r="Z302" i="1" s="1"/>
  <c r="FB145" i="4"/>
  <c r="FC145" i="4"/>
  <c r="FF145" i="4"/>
  <c r="AG302" i="1" s="1"/>
  <c r="FG145" i="4"/>
  <c r="AH302" i="1" s="1"/>
  <c r="FH145" i="4"/>
  <c r="FJ145" i="4"/>
  <c r="FK145" i="4"/>
  <c r="FL145" i="4"/>
  <c r="FN145" i="4"/>
  <c r="FO145" i="4"/>
  <c r="FP145" i="4"/>
  <c r="FQ145" i="4"/>
  <c r="FR145" i="4"/>
  <c r="FS145" i="4"/>
  <c r="FT145" i="4"/>
  <c r="AU302" i="1" s="1"/>
  <c r="FU145" i="4"/>
  <c r="FV145" i="4"/>
  <c r="FW145" i="4"/>
  <c r="FX145" i="4"/>
  <c r="FY145" i="4"/>
  <c r="AZ302" i="1" s="1"/>
  <c r="FZ145" i="4"/>
  <c r="GA145" i="4"/>
  <c r="GB145" i="4"/>
  <c r="GC145" i="4"/>
  <c r="BD302" i="1" s="1"/>
  <c r="GD145" i="4"/>
  <c r="GF145" i="4"/>
  <c r="GG145" i="4"/>
  <c r="GH145" i="4"/>
  <c r="GI145" i="4"/>
  <c r="C146" i="4"/>
  <c r="B201" i="1" s="1"/>
  <c r="D146" i="4"/>
  <c r="C201" i="1" s="1"/>
  <c r="E146" i="4"/>
  <c r="F146" i="4"/>
  <c r="E201" i="1" s="1"/>
  <c r="G146" i="4"/>
  <c r="H146" i="4"/>
  <c r="I146" i="4"/>
  <c r="H201" i="1" s="1"/>
  <c r="J146" i="4"/>
  <c r="I201" i="1" s="1"/>
  <c r="K146" i="4"/>
  <c r="L146" i="4"/>
  <c r="K201" i="1" s="1"/>
  <c r="M146" i="4"/>
  <c r="N146" i="4"/>
  <c r="M201" i="1" s="1"/>
  <c r="O146" i="4"/>
  <c r="P146" i="4"/>
  <c r="Q146" i="4"/>
  <c r="R146" i="4"/>
  <c r="Q201" i="1" s="1"/>
  <c r="S146" i="4"/>
  <c r="R201" i="1" s="1"/>
  <c r="T146" i="4"/>
  <c r="S201" i="1" s="1"/>
  <c r="U146" i="4"/>
  <c r="V146" i="4"/>
  <c r="W146" i="4"/>
  <c r="X146" i="4"/>
  <c r="W201" i="1" s="1"/>
  <c r="Y146" i="4"/>
  <c r="Z146" i="4"/>
  <c r="AA146" i="4"/>
  <c r="AB146" i="4"/>
  <c r="AC146" i="4"/>
  <c r="AD146" i="4"/>
  <c r="AC201" i="1" s="1"/>
  <c r="AE146" i="4"/>
  <c r="AD201" i="1" s="1"/>
  <c r="AF146" i="4"/>
  <c r="AG146" i="4"/>
  <c r="AH146" i="4"/>
  <c r="AI146" i="4"/>
  <c r="AJ146" i="4"/>
  <c r="AI201" i="1" s="1"/>
  <c r="AK146" i="4"/>
  <c r="AL146" i="4"/>
  <c r="AK201" i="1" s="1"/>
  <c r="AM146" i="4"/>
  <c r="AL201" i="1" s="1"/>
  <c r="AN146" i="4"/>
  <c r="AM201" i="1" s="1"/>
  <c r="AO146" i="4"/>
  <c r="AP146" i="4"/>
  <c r="AO201" i="1" s="1"/>
  <c r="AQ146" i="4"/>
  <c r="AP201" i="1" s="1"/>
  <c r="AV146" i="4"/>
  <c r="DH146" i="4" s="1"/>
  <c r="AU252" i="1" s="1"/>
  <c r="AW146" i="4"/>
  <c r="DI146" i="4" s="1"/>
  <c r="AV252" i="1" s="1"/>
  <c r="AX146" i="4"/>
  <c r="AY146" i="4"/>
  <c r="AX201" i="1" s="1"/>
  <c r="BA146" i="4"/>
  <c r="BB146" i="4"/>
  <c r="BA201" i="1" s="1"/>
  <c r="BC146" i="4"/>
  <c r="BB201" i="1" s="1"/>
  <c r="BD146" i="4"/>
  <c r="BC201" i="1" s="1"/>
  <c r="BE146" i="4"/>
  <c r="BF146" i="4"/>
  <c r="BE201" i="1" s="1"/>
  <c r="BG146" i="4"/>
  <c r="BH146" i="4"/>
  <c r="BI146" i="4"/>
  <c r="BJ146" i="4"/>
  <c r="BK146" i="4"/>
  <c r="BO146" i="4"/>
  <c r="BP146" i="4"/>
  <c r="BQ146" i="4"/>
  <c r="D252" i="1" s="1"/>
  <c r="BR146" i="4"/>
  <c r="BS146" i="4"/>
  <c r="F252" i="1" s="1"/>
  <c r="BT146" i="4"/>
  <c r="G252" i="1" s="1"/>
  <c r="BU146" i="4"/>
  <c r="BV146" i="4"/>
  <c r="BW146" i="4"/>
  <c r="J252" i="1" s="1"/>
  <c r="BX146" i="4"/>
  <c r="BY146" i="4"/>
  <c r="L252" i="1" s="1"/>
  <c r="BZ146" i="4"/>
  <c r="CA146" i="4"/>
  <c r="N252" i="1" s="1"/>
  <c r="CB146" i="4"/>
  <c r="O252" i="1" s="1"/>
  <c r="CC146" i="4"/>
  <c r="P252" i="1" s="1"/>
  <c r="CD146" i="4"/>
  <c r="CE146" i="4"/>
  <c r="CF146" i="4"/>
  <c r="CG146" i="4"/>
  <c r="T252" i="1" s="1"/>
  <c r="CH146" i="4"/>
  <c r="U252" i="1" s="1"/>
  <c r="CI146" i="4"/>
  <c r="V252" i="1" s="1"/>
  <c r="CJ146" i="4"/>
  <c r="CK146" i="4"/>
  <c r="X252" i="1" s="1"/>
  <c r="CL146" i="4"/>
  <c r="Y252" i="1" s="1"/>
  <c r="CM146" i="4"/>
  <c r="Z252" i="1" s="1"/>
  <c r="CN146" i="4"/>
  <c r="AA252" i="1" s="1"/>
  <c r="CO146" i="4"/>
  <c r="AB252" i="1" s="1"/>
  <c r="CP146" i="4"/>
  <c r="CQ146" i="4"/>
  <c r="CR146" i="4"/>
  <c r="AE252" i="1" s="1"/>
  <c r="CS146" i="4"/>
  <c r="AF252" i="1" s="1"/>
  <c r="CT146" i="4"/>
  <c r="AG252" i="1" s="1"/>
  <c r="CU146" i="4"/>
  <c r="AH252" i="1" s="1"/>
  <c r="CV146" i="4"/>
  <c r="CW146" i="4"/>
  <c r="AJ252" i="1" s="1"/>
  <c r="CX146" i="4"/>
  <c r="CY146" i="4"/>
  <c r="CZ146" i="4"/>
  <c r="DA146" i="4"/>
  <c r="AN252" i="1" s="1"/>
  <c r="DB146" i="4"/>
  <c r="DC146" i="4"/>
  <c r="DE146" i="4"/>
  <c r="DF146" i="4"/>
  <c r="AS252" i="1" s="1"/>
  <c r="DG146" i="4"/>
  <c r="AT252" i="1" s="1"/>
  <c r="DJ146" i="4"/>
  <c r="AW252" i="1" s="1"/>
  <c r="DK146" i="4"/>
  <c r="DL146" i="4"/>
  <c r="DM146" i="4"/>
  <c r="AZ252" i="1" s="1"/>
  <c r="DN146" i="4"/>
  <c r="DO146" i="4"/>
  <c r="DP146" i="4"/>
  <c r="DQ146" i="4"/>
  <c r="BD252" i="1" s="1"/>
  <c r="DR146" i="4"/>
  <c r="DS146" i="4"/>
  <c r="BF252" i="1" s="1"/>
  <c r="DT146" i="4"/>
  <c r="BG252" i="1" s="1"/>
  <c r="DU146" i="4"/>
  <c r="BH252" i="1" s="1"/>
  <c r="DV146" i="4"/>
  <c r="BI252" i="1" s="1"/>
  <c r="DW146" i="4"/>
  <c r="BJ252" i="1" s="1"/>
  <c r="EA146" i="4"/>
  <c r="EB146" i="4"/>
  <c r="EC146" i="4"/>
  <c r="D303" i="1" s="1"/>
  <c r="ED146" i="4"/>
  <c r="EE146" i="4"/>
  <c r="F303" i="1" s="1"/>
  <c r="EF146" i="4"/>
  <c r="G303" i="1" s="1"/>
  <c r="EG146" i="4"/>
  <c r="EH146" i="4"/>
  <c r="EI146" i="4"/>
  <c r="J303" i="1" s="1"/>
  <c r="EJ146" i="4"/>
  <c r="EK146" i="4"/>
  <c r="EL146" i="4"/>
  <c r="EM146" i="4"/>
  <c r="EN146" i="4"/>
  <c r="EO146" i="4"/>
  <c r="EP146" i="4"/>
  <c r="EQ146" i="4"/>
  <c r="ER146" i="4"/>
  <c r="ES146" i="4"/>
  <c r="T303" i="1" s="1"/>
  <c r="ET146" i="4"/>
  <c r="U303" i="1" s="1"/>
  <c r="EU146" i="4"/>
  <c r="V303" i="1" s="1"/>
  <c r="EV146" i="4"/>
  <c r="EW146" i="4"/>
  <c r="X303" i="1" s="1"/>
  <c r="EX146" i="4"/>
  <c r="Y303" i="1" s="1"/>
  <c r="EY146" i="4"/>
  <c r="Z303" i="1" s="1"/>
  <c r="EZ146" i="4"/>
  <c r="AA303" i="1" s="1"/>
  <c r="FA146" i="4"/>
  <c r="AB303" i="1" s="1"/>
  <c r="FB146" i="4"/>
  <c r="FC146" i="4"/>
  <c r="FD146" i="4"/>
  <c r="AE303" i="1" s="1"/>
  <c r="FE146" i="4"/>
  <c r="AF303" i="1" s="1"/>
  <c r="FF146" i="4"/>
  <c r="AG303" i="1" s="1"/>
  <c r="FG146" i="4"/>
  <c r="AH303" i="1" s="1"/>
  <c r="FH146" i="4"/>
  <c r="FI146" i="4"/>
  <c r="AJ303" i="1" s="1"/>
  <c r="FJ146" i="4"/>
  <c r="FK146" i="4"/>
  <c r="FL146" i="4"/>
  <c r="FM146" i="4"/>
  <c r="AN303" i="1" s="1"/>
  <c r="FN146" i="4"/>
  <c r="FO146" i="4"/>
  <c r="FP146" i="4"/>
  <c r="FQ146" i="4"/>
  <c r="FR146" i="4"/>
  <c r="FS146" i="4"/>
  <c r="FT146" i="4"/>
  <c r="AU303" i="1" s="1"/>
  <c r="FU146" i="4"/>
  <c r="FV146" i="4"/>
  <c r="FW146" i="4"/>
  <c r="FX146" i="4"/>
  <c r="FY146" i="4"/>
  <c r="AZ303" i="1" s="1"/>
  <c r="FZ146" i="4"/>
  <c r="GA146" i="4"/>
  <c r="GB146" i="4"/>
  <c r="GC146" i="4"/>
  <c r="BD303" i="1" s="1"/>
  <c r="GD146" i="4"/>
  <c r="GE146" i="4"/>
  <c r="BF303" i="1" s="1"/>
  <c r="GF146" i="4"/>
  <c r="GG146" i="4"/>
  <c r="GH146" i="4"/>
  <c r="GI146" i="4"/>
  <c r="C147" i="4"/>
  <c r="B202" i="1" s="1"/>
  <c r="D147" i="4"/>
  <c r="C202" i="1" s="1"/>
  <c r="E147" i="4"/>
  <c r="F147" i="4"/>
  <c r="E202" i="1" s="1"/>
  <c r="G147" i="4"/>
  <c r="H147" i="4"/>
  <c r="BT147" i="4" s="1"/>
  <c r="G253" i="1" s="1"/>
  <c r="I147" i="4"/>
  <c r="H202" i="1" s="1"/>
  <c r="J147" i="4"/>
  <c r="I202" i="1" s="1"/>
  <c r="K147" i="4"/>
  <c r="L147" i="4"/>
  <c r="K202" i="1" s="1"/>
  <c r="M147" i="4"/>
  <c r="N147" i="4"/>
  <c r="M202" i="1" s="1"/>
  <c r="O147" i="4"/>
  <c r="P147" i="4"/>
  <c r="CB147" i="4" s="1"/>
  <c r="O253" i="1" s="1"/>
  <c r="Q147" i="4"/>
  <c r="R147" i="4"/>
  <c r="Q202" i="1" s="1"/>
  <c r="S147" i="4"/>
  <c r="R202" i="1" s="1"/>
  <c r="T147" i="4"/>
  <c r="S202" i="1" s="1"/>
  <c r="U147" i="4"/>
  <c r="V147" i="4"/>
  <c r="W147" i="4"/>
  <c r="X147" i="4"/>
  <c r="W202" i="1" s="1"/>
  <c r="Y147" i="4"/>
  <c r="Z147" i="4"/>
  <c r="AA147" i="4"/>
  <c r="AB147" i="4"/>
  <c r="CN147" i="4" s="1"/>
  <c r="AA253" i="1" s="1"/>
  <c r="AC147" i="4"/>
  <c r="AD147" i="4"/>
  <c r="AC202" i="1" s="1"/>
  <c r="AE147" i="4"/>
  <c r="AD202" i="1" s="1"/>
  <c r="AF147" i="4"/>
  <c r="CR147" i="4" s="1"/>
  <c r="AE253" i="1" s="1"/>
  <c r="AG147" i="4"/>
  <c r="AH147" i="4"/>
  <c r="AI147" i="4"/>
  <c r="AJ147" i="4"/>
  <c r="AI202" i="1" s="1"/>
  <c r="AK147" i="4"/>
  <c r="AL147" i="4"/>
  <c r="AK202" i="1" s="1"/>
  <c r="AM147" i="4"/>
  <c r="AL202" i="1" s="1"/>
  <c r="AN147" i="4"/>
  <c r="AM202" i="1" s="1"/>
  <c r="AO147" i="4"/>
  <c r="AP147" i="4"/>
  <c r="AO202" i="1" s="1"/>
  <c r="AQ147" i="4"/>
  <c r="AP202" i="1" s="1"/>
  <c r="AR147" i="4"/>
  <c r="AQ202" i="1" s="1"/>
  <c r="AV147" i="4"/>
  <c r="AW147" i="4"/>
  <c r="AX147" i="4"/>
  <c r="DJ147" i="4" s="1"/>
  <c r="AW253" i="1" s="1"/>
  <c r="AY147" i="4"/>
  <c r="AX202" i="1" s="1"/>
  <c r="BA147" i="4"/>
  <c r="BB147" i="4"/>
  <c r="BA202" i="1" s="1"/>
  <c r="BC147" i="4"/>
  <c r="BB202" i="1" s="1"/>
  <c r="BD147" i="4"/>
  <c r="BC202" i="1" s="1"/>
  <c r="BE147" i="4"/>
  <c r="BF147" i="4"/>
  <c r="BE202" i="1" s="1"/>
  <c r="BG147" i="4"/>
  <c r="BH147" i="4"/>
  <c r="BI147" i="4"/>
  <c r="BJ147" i="4"/>
  <c r="BK147" i="4"/>
  <c r="BO147" i="4"/>
  <c r="BP147" i="4"/>
  <c r="BQ147" i="4"/>
  <c r="D253" i="1" s="1"/>
  <c r="BR147" i="4"/>
  <c r="BS147" i="4"/>
  <c r="F253" i="1" s="1"/>
  <c r="BU147" i="4"/>
  <c r="BV147" i="4"/>
  <c r="BW147" i="4"/>
  <c r="J253" i="1" s="1"/>
  <c r="BX147" i="4"/>
  <c r="BY147" i="4"/>
  <c r="L253" i="1" s="1"/>
  <c r="BZ147" i="4"/>
  <c r="CA147" i="4"/>
  <c r="N253" i="1" s="1"/>
  <c r="CC147" i="4"/>
  <c r="P253" i="1" s="1"/>
  <c r="CD147" i="4"/>
  <c r="CE147" i="4"/>
  <c r="CF147" i="4"/>
  <c r="CG147" i="4"/>
  <c r="T253" i="1" s="1"/>
  <c r="CH147" i="4"/>
  <c r="U253" i="1" s="1"/>
  <c r="CI147" i="4"/>
  <c r="V253" i="1" s="1"/>
  <c r="CJ147" i="4"/>
  <c r="CK147" i="4"/>
  <c r="X253" i="1" s="1"/>
  <c r="CL147" i="4"/>
  <c r="Y253" i="1" s="1"/>
  <c r="CM147" i="4"/>
  <c r="Z253" i="1" s="1"/>
  <c r="CO147" i="4"/>
  <c r="AB253" i="1" s="1"/>
  <c r="CP147" i="4"/>
  <c r="CQ147" i="4"/>
  <c r="CS147" i="4"/>
  <c r="AF253" i="1" s="1"/>
  <c r="CT147" i="4"/>
  <c r="AG253" i="1" s="1"/>
  <c r="CU147" i="4"/>
  <c r="AH253" i="1" s="1"/>
  <c r="CV147" i="4"/>
  <c r="CW147" i="4"/>
  <c r="AJ253" i="1" s="1"/>
  <c r="CX147" i="4"/>
  <c r="CY147" i="4"/>
  <c r="CZ147" i="4"/>
  <c r="DA147" i="4"/>
  <c r="AN253" i="1" s="1"/>
  <c r="DB147" i="4"/>
  <c r="DC147" i="4"/>
  <c r="DD147" i="4"/>
  <c r="DF147" i="4"/>
  <c r="AS253" i="1" s="1"/>
  <c r="DG147" i="4"/>
  <c r="AT253" i="1" s="1"/>
  <c r="DH147" i="4"/>
  <c r="AU253" i="1" s="1"/>
  <c r="DI147" i="4"/>
  <c r="AV253" i="1" s="1"/>
  <c r="DK147" i="4"/>
  <c r="DL147" i="4"/>
  <c r="DM147" i="4"/>
  <c r="AZ253" i="1" s="1"/>
  <c r="DN147" i="4"/>
  <c r="DO147" i="4"/>
  <c r="DP147" i="4"/>
  <c r="DQ147" i="4"/>
  <c r="BD253" i="1" s="1"/>
  <c r="DR147" i="4"/>
  <c r="DS147" i="4"/>
  <c r="BF253" i="1" s="1"/>
  <c r="DT147" i="4"/>
  <c r="BG253" i="1" s="1"/>
  <c r="DU147" i="4"/>
  <c r="BH253" i="1" s="1"/>
  <c r="DV147" i="4"/>
  <c r="BI253" i="1" s="1"/>
  <c r="DW147" i="4"/>
  <c r="BJ253" i="1" s="1"/>
  <c r="EA147" i="4"/>
  <c r="EB147" i="4"/>
  <c r="EC147" i="4"/>
  <c r="D304" i="1" s="1"/>
  <c r="ED147" i="4"/>
  <c r="EE147" i="4"/>
  <c r="F304" i="1" s="1"/>
  <c r="EG147" i="4"/>
  <c r="EH147" i="4"/>
  <c r="EI147" i="4"/>
  <c r="J304" i="1" s="1"/>
  <c r="EJ147" i="4"/>
  <c r="EK147" i="4"/>
  <c r="EL147" i="4"/>
  <c r="EM147" i="4"/>
  <c r="EN147" i="4"/>
  <c r="EO147" i="4"/>
  <c r="EP147" i="4"/>
  <c r="EQ147" i="4"/>
  <c r="ER147" i="4"/>
  <c r="ES147" i="4"/>
  <c r="T304" i="1" s="1"/>
  <c r="ET147" i="4"/>
  <c r="U304" i="1" s="1"/>
  <c r="EU147" i="4"/>
  <c r="V304" i="1" s="1"/>
  <c r="EV147" i="4"/>
  <c r="EW147" i="4"/>
  <c r="X304" i="1" s="1"/>
  <c r="EX147" i="4"/>
  <c r="Y304" i="1" s="1"/>
  <c r="EY147" i="4"/>
  <c r="Z304" i="1" s="1"/>
  <c r="FA147" i="4"/>
  <c r="AB304" i="1" s="1"/>
  <c r="FB147" i="4"/>
  <c r="FC147" i="4"/>
  <c r="FE147" i="4"/>
  <c r="AF304" i="1" s="1"/>
  <c r="FF147" i="4"/>
  <c r="AG304" i="1" s="1"/>
  <c r="FG147" i="4"/>
  <c r="AH304" i="1" s="1"/>
  <c r="FH147" i="4"/>
  <c r="FI147" i="4"/>
  <c r="AJ304" i="1" s="1"/>
  <c r="FJ147" i="4"/>
  <c r="FK147" i="4"/>
  <c r="FL147" i="4"/>
  <c r="FM147" i="4"/>
  <c r="AN304" i="1" s="1"/>
  <c r="FN147" i="4"/>
  <c r="FO147" i="4"/>
  <c r="FP147" i="4"/>
  <c r="FQ147" i="4"/>
  <c r="FR147" i="4"/>
  <c r="FS147" i="4"/>
  <c r="FT147" i="4"/>
  <c r="AU304" i="1" s="1"/>
  <c r="FU147" i="4"/>
  <c r="FV147" i="4"/>
  <c r="FW147" i="4"/>
  <c r="FX147" i="4"/>
  <c r="FY147" i="4"/>
  <c r="AZ304" i="1" s="1"/>
  <c r="FZ147" i="4"/>
  <c r="GA147" i="4"/>
  <c r="GB147" i="4"/>
  <c r="GC147" i="4"/>
  <c r="BD304" i="1" s="1"/>
  <c r="GD147" i="4"/>
  <c r="GE147" i="4"/>
  <c r="BF304" i="1" s="1"/>
  <c r="GF147" i="4"/>
  <c r="GG147" i="4"/>
  <c r="GH147" i="4"/>
  <c r="GI147" i="4"/>
  <c r="C148" i="4"/>
  <c r="D148" i="4"/>
  <c r="E148" i="4"/>
  <c r="F148" i="4"/>
  <c r="BR148" i="4" s="1"/>
  <c r="G148" i="4"/>
  <c r="H148" i="4"/>
  <c r="I148" i="4"/>
  <c r="J148" i="4"/>
  <c r="BV148" i="4" s="1"/>
  <c r="K148" i="4"/>
  <c r="L148" i="4"/>
  <c r="M148" i="4"/>
  <c r="N148" i="4"/>
  <c r="BZ148" i="4" s="1"/>
  <c r="O148" i="4"/>
  <c r="P148" i="4"/>
  <c r="Q148" i="4"/>
  <c r="R148" i="4"/>
  <c r="CD148" i="4" s="1"/>
  <c r="S148" i="4"/>
  <c r="T148" i="4"/>
  <c r="U148" i="4"/>
  <c r="V148" i="4"/>
  <c r="CH148" i="4" s="1"/>
  <c r="W148" i="4"/>
  <c r="X148" i="4"/>
  <c r="Y148" i="4"/>
  <c r="Z148" i="4"/>
  <c r="CL148" i="4" s="1"/>
  <c r="AA148" i="4"/>
  <c r="AB148" i="4"/>
  <c r="AC148" i="4"/>
  <c r="AD148" i="4"/>
  <c r="CP148" i="4" s="1"/>
  <c r="AE148" i="4"/>
  <c r="AF148" i="4"/>
  <c r="AG148" i="4"/>
  <c r="AH148" i="4"/>
  <c r="CT148" i="4" s="1"/>
  <c r="AI148" i="4"/>
  <c r="AJ148" i="4"/>
  <c r="AK148" i="4"/>
  <c r="AL148" i="4"/>
  <c r="CX148" i="4" s="1"/>
  <c r="AM148" i="4"/>
  <c r="AN148" i="4"/>
  <c r="AO148" i="4"/>
  <c r="AP148" i="4"/>
  <c r="DB148" i="4" s="1"/>
  <c r="AQ148" i="4"/>
  <c r="AR148" i="4"/>
  <c r="AV148" i="4"/>
  <c r="DH148" i="4" s="1"/>
  <c r="AW148" i="4"/>
  <c r="DI148" i="4" s="1"/>
  <c r="AX148" i="4"/>
  <c r="AY148" i="4"/>
  <c r="BA148" i="4"/>
  <c r="BB148" i="4"/>
  <c r="BC148" i="4"/>
  <c r="BD148" i="4"/>
  <c r="BE148" i="4"/>
  <c r="BF148" i="4"/>
  <c r="BG148" i="4"/>
  <c r="BH148" i="4"/>
  <c r="BI148" i="4"/>
  <c r="BJ148" i="4"/>
  <c r="BK148" i="4"/>
  <c r="BO148" i="4"/>
  <c r="BP148" i="4"/>
  <c r="BQ148" i="4"/>
  <c r="BS148" i="4"/>
  <c r="BT148" i="4"/>
  <c r="BU148" i="4"/>
  <c r="BW148" i="4"/>
  <c r="BX148" i="4"/>
  <c r="BY148" i="4"/>
  <c r="CA148" i="4"/>
  <c r="CB148" i="4"/>
  <c r="CC148" i="4"/>
  <c r="CE148" i="4"/>
  <c r="CF148" i="4"/>
  <c r="CG148" i="4"/>
  <c r="CI148" i="4"/>
  <c r="CJ148" i="4"/>
  <c r="CK148" i="4"/>
  <c r="CM148" i="4"/>
  <c r="CN148" i="4"/>
  <c r="CO148" i="4"/>
  <c r="CQ148" i="4"/>
  <c r="CR148" i="4"/>
  <c r="CS148" i="4"/>
  <c r="CU148" i="4"/>
  <c r="CV148" i="4"/>
  <c r="CW148" i="4"/>
  <c r="CY148" i="4"/>
  <c r="CZ148" i="4"/>
  <c r="DA148" i="4"/>
  <c r="DC148" i="4"/>
  <c r="DD148" i="4"/>
  <c r="DE148" i="4"/>
  <c r="DG148" i="4"/>
  <c r="DJ148" i="4"/>
  <c r="DK148" i="4"/>
  <c r="DL148" i="4"/>
  <c r="DM148" i="4"/>
  <c r="DN148" i="4"/>
  <c r="DO148" i="4"/>
  <c r="DP148" i="4"/>
  <c r="DQ148" i="4"/>
  <c r="DR148" i="4"/>
  <c r="DS148" i="4"/>
  <c r="DT148" i="4"/>
  <c r="DU148" i="4"/>
  <c r="DV148" i="4"/>
  <c r="DW148" i="4"/>
  <c r="EA148" i="4"/>
  <c r="EB148" i="4"/>
  <c r="EC148" i="4"/>
  <c r="D305" i="1" s="1"/>
  <c r="ED148" i="4"/>
  <c r="EE148" i="4"/>
  <c r="F305" i="1" s="1"/>
  <c r="EF148" i="4"/>
  <c r="G305" i="1" s="1"/>
  <c r="EG148" i="4"/>
  <c r="EH148" i="4"/>
  <c r="EI148" i="4"/>
  <c r="J305" i="1" s="1"/>
  <c r="EJ148" i="4"/>
  <c r="EK148" i="4"/>
  <c r="EL148" i="4"/>
  <c r="EM148" i="4"/>
  <c r="EN148" i="4"/>
  <c r="EO148" i="4"/>
  <c r="EP148" i="4"/>
  <c r="EQ148" i="4"/>
  <c r="ER148" i="4"/>
  <c r="ES148" i="4"/>
  <c r="T305" i="1" s="1"/>
  <c r="EU148" i="4"/>
  <c r="V305" i="1" s="1"/>
  <c r="EV148" i="4"/>
  <c r="EW148" i="4"/>
  <c r="X305" i="1" s="1"/>
  <c r="EY148" i="4"/>
  <c r="Z305" i="1" s="1"/>
  <c r="EZ148" i="4"/>
  <c r="AA305" i="1" s="1"/>
  <c r="FA148" i="4"/>
  <c r="AB305" i="1" s="1"/>
  <c r="FB148" i="4"/>
  <c r="FC148" i="4"/>
  <c r="FD148" i="4"/>
  <c r="AE305" i="1" s="1"/>
  <c r="FE148" i="4"/>
  <c r="AF305" i="1" s="1"/>
  <c r="FG148" i="4"/>
  <c r="AH305" i="1" s="1"/>
  <c r="FH148" i="4"/>
  <c r="FI148" i="4"/>
  <c r="AJ305" i="1" s="1"/>
  <c r="FJ148" i="4"/>
  <c r="FK148" i="4"/>
  <c r="FL148" i="4"/>
  <c r="FM148" i="4"/>
  <c r="AN305" i="1" s="1"/>
  <c r="FN148" i="4"/>
  <c r="FO148" i="4"/>
  <c r="FP148" i="4"/>
  <c r="FQ148" i="4"/>
  <c r="FR148" i="4"/>
  <c r="FS148" i="4"/>
  <c r="FT148" i="4"/>
  <c r="AU305" i="1" s="1"/>
  <c r="FU148" i="4"/>
  <c r="FV148" i="4"/>
  <c r="FW148" i="4"/>
  <c r="FX148" i="4"/>
  <c r="FY148" i="4"/>
  <c r="AZ305" i="1" s="1"/>
  <c r="FZ148" i="4"/>
  <c r="GA148" i="4"/>
  <c r="GB148" i="4"/>
  <c r="GC148" i="4"/>
  <c r="BD305" i="1" s="1"/>
  <c r="GD148" i="4"/>
  <c r="GE148" i="4"/>
  <c r="BF305" i="1" s="1"/>
  <c r="GF148" i="4"/>
  <c r="GG148" i="4"/>
  <c r="GH148" i="4"/>
  <c r="GI148" i="4"/>
  <c r="D149" i="4"/>
  <c r="E149" i="4"/>
  <c r="BQ149" i="4" s="1"/>
  <c r="F149" i="4"/>
  <c r="G149" i="4"/>
  <c r="H149" i="4"/>
  <c r="I149" i="4"/>
  <c r="BU149" i="4" s="1"/>
  <c r="J149" i="4"/>
  <c r="K149" i="4"/>
  <c r="L149" i="4"/>
  <c r="M149" i="4"/>
  <c r="BY149" i="4" s="1"/>
  <c r="N149" i="4"/>
  <c r="O149" i="4"/>
  <c r="P149" i="4"/>
  <c r="Q149" i="4"/>
  <c r="CC149" i="4" s="1"/>
  <c r="R149" i="4"/>
  <c r="S149" i="4"/>
  <c r="T149" i="4"/>
  <c r="U149" i="4"/>
  <c r="CG149" i="4" s="1"/>
  <c r="V149" i="4"/>
  <c r="W149" i="4"/>
  <c r="X149" i="4"/>
  <c r="Y149" i="4"/>
  <c r="CK149" i="4" s="1"/>
  <c r="Z149" i="4"/>
  <c r="AA149" i="4"/>
  <c r="AB149" i="4"/>
  <c r="AC149" i="4"/>
  <c r="CO149" i="4" s="1"/>
  <c r="AD149" i="4"/>
  <c r="AE149" i="4"/>
  <c r="AF149" i="4"/>
  <c r="AG149" i="4"/>
  <c r="CS149" i="4" s="1"/>
  <c r="AH149" i="4"/>
  <c r="AI149" i="4"/>
  <c r="AJ149" i="4"/>
  <c r="AK149" i="4"/>
  <c r="CW149" i="4" s="1"/>
  <c r="AL149" i="4"/>
  <c r="AM149" i="4"/>
  <c r="AN149" i="4"/>
  <c r="AO149" i="4"/>
  <c r="DA149" i="4" s="1"/>
  <c r="AP149" i="4"/>
  <c r="AQ149" i="4"/>
  <c r="AR149" i="4"/>
  <c r="AV149" i="4"/>
  <c r="DH149" i="4" s="1"/>
  <c r="AW149" i="4"/>
  <c r="AX149" i="4"/>
  <c r="AY149" i="4"/>
  <c r="DK149" i="4" s="1"/>
  <c r="BA149" i="4"/>
  <c r="FY149" i="4" s="1"/>
  <c r="AZ306" i="1" s="1"/>
  <c r="BB149" i="4"/>
  <c r="BC149" i="4"/>
  <c r="BD149" i="4"/>
  <c r="BE149" i="4"/>
  <c r="GC149" i="4" s="1"/>
  <c r="BD306" i="1" s="1"/>
  <c r="BF149" i="4"/>
  <c r="BG149" i="4"/>
  <c r="BH149" i="4"/>
  <c r="BI149" i="4"/>
  <c r="BJ149" i="4"/>
  <c r="BK149" i="4"/>
  <c r="BO149" i="4"/>
  <c r="BP149" i="4"/>
  <c r="BR149" i="4"/>
  <c r="BS149" i="4"/>
  <c r="BT149" i="4"/>
  <c r="BV149" i="4"/>
  <c r="BW149" i="4"/>
  <c r="BX149" i="4"/>
  <c r="BZ149" i="4"/>
  <c r="CA149" i="4"/>
  <c r="CB149" i="4"/>
  <c r="CD149" i="4"/>
  <c r="CE149" i="4"/>
  <c r="CF149" i="4"/>
  <c r="CH149" i="4"/>
  <c r="CI149" i="4"/>
  <c r="CJ149" i="4"/>
  <c r="CL149" i="4"/>
  <c r="CM149" i="4"/>
  <c r="CN149" i="4"/>
  <c r="CP149" i="4"/>
  <c r="CQ149" i="4"/>
  <c r="CR149" i="4"/>
  <c r="CT149" i="4"/>
  <c r="CU149" i="4"/>
  <c r="CV149" i="4"/>
  <c r="CX149" i="4"/>
  <c r="CY149" i="4"/>
  <c r="CZ149" i="4"/>
  <c r="DB149" i="4"/>
  <c r="DC149" i="4"/>
  <c r="DD149" i="4"/>
  <c r="DE149" i="4"/>
  <c r="DF149" i="4"/>
  <c r="DI149" i="4"/>
  <c r="DJ149" i="4"/>
  <c r="DL149" i="4"/>
  <c r="DM149" i="4"/>
  <c r="DN149" i="4"/>
  <c r="DO149" i="4"/>
  <c r="DP149" i="4"/>
  <c r="DQ149" i="4"/>
  <c r="DR149" i="4"/>
  <c r="DS149" i="4"/>
  <c r="DT149" i="4"/>
  <c r="DU149" i="4"/>
  <c r="DV149" i="4"/>
  <c r="DW149" i="4"/>
  <c r="EA149" i="4"/>
  <c r="EB149" i="4"/>
  <c r="ED149" i="4"/>
  <c r="EE149" i="4"/>
  <c r="F306" i="1" s="1"/>
  <c r="EF149" i="4"/>
  <c r="G306" i="1" s="1"/>
  <c r="EG149" i="4"/>
  <c r="EH149" i="4"/>
  <c r="EI149" i="4"/>
  <c r="J306" i="1" s="1"/>
  <c r="EJ149" i="4"/>
  <c r="EK149" i="4"/>
  <c r="EL149" i="4"/>
  <c r="EM149" i="4"/>
  <c r="EN149" i="4"/>
  <c r="EO149" i="4"/>
  <c r="EP149" i="4"/>
  <c r="EQ149" i="4"/>
  <c r="ER149" i="4"/>
  <c r="ET149" i="4"/>
  <c r="U306" i="1" s="1"/>
  <c r="EU149" i="4"/>
  <c r="V306" i="1" s="1"/>
  <c r="EV149" i="4"/>
  <c r="EX149" i="4"/>
  <c r="Y306" i="1" s="1"/>
  <c r="EY149" i="4"/>
  <c r="Z306" i="1" s="1"/>
  <c r="EZ149" i="4"/>
  <c r="AA306" i="1" s="1"/>
  <c r="FB149" i="4"/>
  <c r="FC149" i="4"/>
  <c r="FD149" i="4"/>
  <c r="AE306" i="1" s="1"/>
  <c r="FF149" i="4"/>
  <c r="AG306" i="1" s="1"/>
  <c r="FG149" i="4"/>
  <c r="AH306" i="1" s="1"/>
  <c r="FH149" i="4"/>
  <c r="FJ149" i="4"/>
  <c r="FK149" i="4"/>
  <c r="FL149" i="4"/>
  <c r="FN149" i="4"/>
  <c r="FO149" i="4"/>
  <c r="FP149" i="4"/>
  <c r="FQ149" i="4"/>
  <c r="FR149" i="4"/>
  <c r="FS149" i="4"/>
  <c r="FT149" i="4"/>
  <c r="AU306" i="1" s="1"/>
  <c r="FU149" i="4"/>
  <c r="FV149" i="4"/>
  <c r="FW149" i="4"/>
  <c r="FX149" i="4"/>
  <c r="FZ149" i="4"/>
  <c r="GA149" i="4"/>
  <c r="GB149" i="4"/>
  <c r="GD149" i="4"/>
  <c r="GE149" i="4"/>
  <c r="BF306" i="1" s="1"/>
  <c r="GF149" i="4"/>
  <c r="GG149" i="4"/>
  <c r="GH149" i="4"/>
  <c r="GI149" i="4"/>
  <c r="AU155" i="4"/>
  <c r="AU109" i="1" s="1"/>
  <c r="AV155" i="4"/>
  <c r="AV109" i="1" s="1"/>
  <c r="AW155" i="4"/>
  <c r="AW109" i="1" s="1"/>
  <c r="AX155" i="4"/>
  <c r="AX109" i="1" s="1"/>
  <c r="AY155" i="4"/>
  <c r="AY109" i="1" s="1"/>
  <c r="AZ155" i="4"/>
  <c r="AZ109" i="1" s="1"/>
  <c r="BA155" i="4"/>
  <c r="BA109" i="1" s="1"/>
  <c r="BB155" i="4"/>
  <c r="BB109" i="1" s="1"/>
  <c r="BC155" i="4"/>
  <c r="BC109" i="1" s="1"/>
  <c r="BD155" i="4"/>
  <c r="BD109" i="1" s="1"/>
  <c r="BE155" i="4"/>
  <c r="BE109" i="1" s="1"/>
  <c r="BF155" i="4"/>
  <c r="BF109" i="1" s="1"/>
  <c r="BG155" i="4"/>
  <c r="BG109" i="1" s="1"/>
  <c r="BH155" i="4"/>
  <c r="BH109" i="1" s="1"/>
  <c r="BI155" i="4"/>
  <c r="BI109" i="1" s="1"/>
  <c r="BJ155" i="4"/>
  <c r="BJ109" i="1" s="1"/>
  <c r="B156" i="4"/>
  <c r="B110" i="1" s="1"/>
  <c r="AU156" i="4"/>
  <c r="AU110" i="1" s="1"/>
  <c r="AV156" i="4"/>
  <c r="AV110" i="1" s="1"/>
  <c r="AW156" i="4"/>
  <c r="AW110" i="1" s="1"/>
  <c r="AX156" i="4"/>
  <c r="AX110" i="1" s="1"/>
  <c r="AY156" i="4"/>
  <c r="AY110" i="1" s="1"/>
  <c r="AZ156" i="4"/>
  <c r="AZ110" i="1" s="1"/>
  <c r="BA156" i="4"/>
  <c r="BA110" i="1" s="1"/>
  <c r="BB156" i="4"/>
  <c r="BB110" i="1" s="1"/>
  <c r="BC156" i="4"/>
  <c r="BC110" i="1" s="1"/>
  <c r="BD156" i="4"/>
  <c r="BD110" i="1" s="1"/>
  <c r="BE156" i="4"/>
  <c r="BE110" i="1" s="1"/>
  <c r="BF156" i="4"/>
  <c r="BF110" i="1" s="1"/>
  <c r="BG156" i="4"/>
  <c r="BG110" i="1" s="1"/>
  <c r="BH156" i="4"/>
  <c r="BH110" i="1" s="1"/>
  <c r="BI156" i="4"/>
  <c r="BI110" i="1" s="1"/>
  <c r="BJ156" i="4"/>
  <c r="BJ110" i="1" s="1"/>
  <c r="B157" i="4"/>
  <c r="B111" i="1" s="1"/>
  <c r="C157" i="4"/>
  <c r="C111" i="1" s="1"/>
  <c r="AU157" i="4"/>
  <c r="AU111" i="1" s="1"/>
  <c r="AV157" i="4"/>
  <c r="AV111" i="1" s="1"/>
  <c r="AW157" i="4"/>
  <c r="AW111" i="1" s="1"/>
  <c r="AX157" i="4"/>
  <c r="AX111" i="1" s="1"/>
  <c r="AY157" i="4"/>
  <c r="AY111" i="1" s="1"/>
  <c r="AZ157" i="4"/>
  <c r="AZ111" i="1" s="1"/>
  <c r="BA157" i="4"/>
  <c r="BA111" i="1" s="1"/>
  <c r="BB157" i="4"/>
  <c r="BB111" i="1" s="1"/>
  <c r="BC157" i="4"/>
  <c r="BC111" i="1" s="1"/>
  <c r="BD157" i="4"/>
  <c r="BD111" i="1" s="1"/>
  <c r="BE157" i="4"/>
  <c r="BE111" i="1" s="1"/>
  <c r="BF157" i="4"/>
  <c r="BF111" i="1" s="1"/>
  <c r="BG157" i="4"/>
  <c r="BG111" i="1" s="1"/>
  <c r="BH157" i="4"/>
  <c r="BH111" i="1" s="1"/>
  <c r="BI157" i="4"/>
  <c r="BI111" i="1" s="1"/>
  <c r="BJ157" i="4"/>
  <c r="BJ111" i="1" s="1"/>
  <c r="B158" i="4"/>
  <c r="B112" i="1" s="1"/>
  <c r="C158" i="4"/>
  <c r="C112" i="1" s="1"/>
  <c r="D158" i="4"/>
  <c r="D112" i="1" s="1"/>
  <c r="AU158" i="4"/>
  <c r="AU112" i="1" s="1"/>
  <c r="AV158" i="4"/>
  <c r="AV112" i="1" s="1"/>
  <c r="AW158" i="4"/>
  <c r="AW112" i="1" s="1"/>
  <c r="AX158" i="4"/>
  <c r="AX112" i="1" s="1"/>
  <c r="AY158" i="4"/>
  <c r="AY112" i="1" s="1"/>
  <c r="AZ158" i="4"/>
  <c r="AZ112" i="1" s="1"/>
  <c r="BA158" i="4"/>
  <c r="BA112" i="1" s="1"/>
  <c r="BB158" i="4"/>
  <c r="BB112" i="1" s="1"/>
  <c r="BC158" i="4"/>
  <c r="BC112" i="1" s="1"/>
  <c r="BD158" i="4"/>
  <c r="BD112" i="1" s="1"/>
  <c r="BE158" i="4"/>
  <c r="BE112" i="1" s="1"/>
  <c r="BF158" i="4"/>
  <c r="BF112" i="1" s="1"/>
  <c r="BG158" i="4"/>
  <c r="BG112" i="1" s="1"/>
  <c r="BH158" i="4"/>
  <c r="BH112" i="1" s="1"/>
  <c r="BI158" i="4"/>
  <c r="BI112" i="1" s="1"/>
  <c r="BJ158" i="4"/>
  <c r="BJ112" i="1" s="1"/>
  <c r="B159" i="4"/>
  <c r="B113" i="1" s="1"/>
  <c r="C159" i="4"/>
  <c r="C113" i="1" s="1"/>
  <c r="D159" i="4"/>
  <c r="D113" i="1" s="1"/>
  <c r="E159" i="4"/>
  <c r="E113" i="1" s="1"/>
  <c r="B160" i="4"/>
  <c r="C160" i="4"/>
  <c r="C114" i="1" s="1"/>
  <c r="D160" i="4"/>
  <c r="D114" i="1" s="1"/>
  <c r="E160" i="4"/>
  <c r="F160" i="4"/>
  <c r="F114" i="1" s="1"/>
  <c r="B161" i="4"/>
  <c r="B115" i="1" s="1"/>
  <c r="C161" i="4"/>
  <c r="C115" i="1" s="1"/>
  <c r="D161" i="4"/>
  <c r="D115" i="1" s="1"/>
  <c r="E161" i="4"/>
  <c r="E115" i="1" s="1"/>
  <c r="F161" i="4"/>
  <c r="F115" i="1" s="1"/>
  <c r="B162" i="4"/>
  <c r="B116" i="1" s="1"/>
  <c r="C162" i="4"/>
  <c r="C116" i="1" s="1"/>
  <c r="D162" i="4"/>
  <c r="D116" i="1" s="1"/>
  <c r="E162" i="4"/>
  <c r="E116" i="1" s="1"/>
  <c r="F162" i="4"/>
  <c r="F116" i="1" s="1"/>
  <c r="B163" i="4"/>
  <c r="B117" i="1" s="1"/>
  <c r="C163" i="4"/>
  <c r="C117" i="1" s="1"/>
  <c r="D163" i="4"/>
  <c r="D117" i="1" s="1"/>
  <c r="E163" i="4"/>
  <c r="E117" i="1" s="1"/>
  <c r="F163" i="4"/>
  <c r="F117" i="1" s="1"/>
  <c r="B164" i="4"/>
  <c r="B118" i="1" s="1"/>
  <c r="C164" i="4"/>
  <c r="C118" i="1" s="1"/>
  <c r="D164" i="4"/>
  <c r="D118" i="1" s="1"/>
  <c r="E164" i="4"/>
  <c r="E118" i="1" s="1"/>
  <c r="F164" i="4"/>
  <c r="F118" i="1" s="1"/>
  <c r="B165" i="4"/>
  <c r="B119" i="1" s="1"/>
  <c r="C165" i="4"/>
  <c r="C119" i="1" s="1"/>
  <c r="D165" i="4"/>
  <c r="D119" i="1" s="1"/>
  <c r="E165" i="4"/>
  <c r="E119" i="1" s="1"/>
  <c r="F165" i="4"/>
  <c r="F119" i="1" s="1"/>
  <c r="B166" i="4"/>
  <c r="B120" i="1" s="1"/>
  <c r="C166" i="4"/>
  <c r="C120" i="1" s="1"/>
  <c r="D166" i="4"/>
  <c r="D120" i="1" s="1"/>
  <c r="E166" i="4"/>
  <c r="E120" i="1" s="1"/>
  <c r="F166" i="4"/>
  <c r="F120" i="1" s="1"/>
  <c r="B167" i="4"/>
  <c r="B121" i="1" s="1"/>
  <c r="C167" i="4"/>
  <c r="C121" i="1" s="1"/>
  <c r="D167" i="4"/>
  <c r="D121" i="1" s="1"/>
  <c r="E167" i="4"/>
  <c r="E121" i="1" s="1"/>
  <c r="F167" i="4"/>
  <c r="F121" i="1" s="1"/>
  <c r="B168" i="4"/>
  <c r="B122" i="1" s="1"/>
  <c r="C168" i="4"/>
  <c r="C122" i="1" s="1"/>
  <c r="D168" i="4"/>
  <c r="D122" i="1" s="1"/>
  <c r="E168" i="4"/>
  <c r="E122" i="1" s="1"/>
  <c r="F168" i="4"/>
  <c r="F122" i="1" s="1"/>
  <c r="B169" i="4"/>
  <c r="B123" i="1" s="1"/>
  <c r="C169" i="4"/>
  <c r="C123" i="1" s="1"/>
  <c r="D169" i="4"/>
  <c r="D123" i="1" s="1"/>
  <c r="E169" i="4"/>
  <c r="E123" i="1" s="1"/>
  <c r="F169" i="4"/>
  <c r="F123" i="1" s="1"/>
  <c r="B170" i="4"/>
  <c r="B124" i="1" s="1"/>
  <c r="C170" i="4"/>
  <c r="C124" i="1" s="1"/>
  <c r="D170" i="4"/>
  <c r="D124" i="1" s="1"/>
  <c r="E170" i="4"/>
  <c r="E124" i="1" s="1"/>
  <c r="F170" i="4"/>
  <c r="F124" i="1" s="1"/>
  <c r="B171" i="4"/>
  <c r="B125" i="1" s="1"/>
  <c r="C171" i="4"/>
  <c r="C125" i="1" s="1"/>
  <c r="D171" i="4"/>
  <c r="D125" i="1" s="1"/>
  <c r="E171" i="4"/>
  <c r="E125" i="1" s="1"/>
  <c r="F171" i="4"/>
  <c r="F125" i="1" s="1"/>
  <c r="B172" i="4"/>
  <c r="B126" i="1" s="1"/>
  <c r="C172" i="4"/>
  <c r="C126" i="1" s="1"/>
  <c r="D172" i="4"/>
  <c r="D126" i="1" s="1"/>
  <c r="E172" i="4"/>
  <c r="E126" i="1" s="1"/>
  <c r="F172" i="4"/>
  <c r="F126" i="1" s="1"/>
  <c r="B173" i="4"/>
  <c r="B127" i="1" s="1"/>
  <c r="C173" i="4"/>
  <c r="C127" i="1" s="1"/>
  <c r="D173" i="4"/>
  <c r="D127" i="1" s="1"/>
  <c r="E173" i="4"/>
  <c r="E127" i="1" s="1"/>
  <c r="F173" i="4"/>
  <c r="F127" i="1" s="1"/>
  <c r="B174" i="4"/>
  <c r="B128" i="1" s="1"/>
  <c r="C174" i="4"/>
  <c r="C128" i="1" s="1"/>
  <c r="D174" i="4"/>
  <c r="D128" i="1" s="1"/>
  <c r="E174" i="4"/>
  <c r="E128" i="1" s="1"/>
  <c r="F174" i="4"/>
  <c r="F128" i="1" s="1"/>
  <c r="B175" i="4"/>
  <c r="B129" i="1" s="1"/>
  <c r="C175" i="4"/>
  <c r="C129" i="1" s="1"/>
  <c r="D175" i="4"/>
  <c r="D129" i="1" s="1"/>
  <c r="E175" i="4"/>
  <c r="E129" i="1" s="1"/>
  <c r="F175" i="4"/>
  <c r="F129" i="1" s="1"/>
  <c r="B176" i="4"/>
  <c r="B130" i="1" s="1"/>
  <c r="C176" i="4"/>
  <c r="C130" i="1" s="1"/>
  <c r="D176" i="4"/>
  <c r="D130" i="1" s="1"/>
  <c r="E176" i="4"/>
  <c r="E130" i="1" s="1"/>
  <c r="F176" i="4"/>
  <c r="F130" i="1" s="1"/>
  <c r="B177" i="4"/>
  <c r="B131" i="1" s="1"/>
  <c r="C177" i="4"/>
  <c r="C131" i="1" s="1"/>
  <c r="D177" i="4"/>
  <c r="D131" i="1" s="1"/>
  <c r="E177" i="4"/>
  <c r="E131" i="1" s="1"/>
  <c r="F177" i="4"/>
  <c r="F131" i="1" s="1"/>
  <c r="B178" i="4"/>
  <c r="B132" i="1" s="1"/>
  <c r="C178" i="4"/>
  <c r="C132" i="1" s="1"/>
  <c r="D178" i="4"/>
  <c r="D132" i="1" s="1"/>
  <c r="E178" i="4"/>
  <c r="E132" i="1" s="1"/>
  <c r="B179" i="4"/>
  <c r="B133" i="1" s="1"/>
  <c r="C179" i="4"/>
  <c r="C133" i="1" s="1"/>
  <c r="D179" i="4"/>
  <c r="D133" i="1" s="1"/>
  <c r="E179" i="4"/>
  <c r="E133" i="1" s="1"/>
  <c r="B180" i="4"/>
  <c r="B134" i="1" s="1"/>
  <c r="C180" i="4"/>
  <c r="C134" i="1" s="1"/>
  <c r="D180" i="4"/>
  <c r="D134" i="1" s="1"/>
  <c r="E180" i="4"/>
  <c r="E134" i="1" s="1"/>
  <c r="B181" i="4"/>
  <c r="B135" i="1" s="1"/>
  <c r="C181" i="4"/>
  <c r="C135" i="1" s="1"/>
  <c r="D181" i="4"/>
  <c r="D135" i="1" s="1"/>
  <c r="E181" i="4"/>
  <c r="E135" i="1" s="1"/>
  <c r="B182" i="4"/>
  <c r="B136" i="1" s="1"/>
  <c r="C182" i="4"/>
  <c r="C136" i="1" s="1"/>
  <c r="D182" i="4"/>
  <c r="D136" i="1" s="1"/>
  <c r="E182" i="4"/>
  <c r="E136" i="1" s="1"/>
  <c r="B183" i="4"/>
  <c r="B137" i="1" s="1"/>
  <c r="C183" i="4"/>
  <c r="C137" i="1" s="1"/>
  <c r="D183" i="4"/>
  <c r="D137" i="1" s="1"/>
  <c r="E183" i="4"/>
  <c r="E137" i="1" s="1"/>
  <c r="B184" i="4"/>
  <c r="B138" i="1" s="1"/>
  <c r="C184" i="4"/>
  <c r="C138" i="1" s="1"/>
  <c r="D184" i="4"/>
  <c r="D138" i="1" s="1"/>
  <c r="E184" i="4"/>
  <c r="E138" i="1" s="1"/>
  <c r="B185" i="4"/>
  <c r="B139" i="1" s="1"/>
  <c r="C185" i="4"/>
  <c r="C139" i="1" s="1"/>
  <c r="D185" i="4"/>
  <c r="D139" i="1" s="1"/>
  <c r="E185" i="4"/>
  <c r="E139" i="1" s="1"/>
  <c r="B186" i="4"/>
  <c r="B140" i="1" s="1"/>
  <c r="C186" i="4"/>
  <c r="C140" i="1" s="1"/>
  <c r="D186" i="4"/>
  <c r="D140" i="1" s="1"/>
  <c r="E186" i="4"/>
  <c r="E140" i="1" s="1"/>
  <c r="B187" i="4"/>
  <c r="C187" i="4"/>
  <c r="C141" i="1" s="1"/>
  <c r="D187" i="4"/>
  <c r="D141" i="1" s="1"/>
  <c r="E187" i="4"/>
  <c r="E141" i="1" s="1"/>
  <c r="B188" i="4"/>
  <c r="B142" i="1" s="1"/>
  <c r="C188" i="4"/>
  <c r="C142" i="1" s="1"/>
  <c r="D188" i="4"/>
  <c r="D142" i="1" s="1"/>
  <c r="E188" i="4"/>
  <c r="E142" i="1" s="1"/>
  <c r="B189" i="4"/>
  <c r="B143" i="1" s="1"/>
  <c r="C189" i="4"/>
  <c r="C143" i="1" s="1"/>
  <c r="D189" i="4"/>
  <c r="D143" i="1" s="1"/>
  <c r="E189" i="4"/>
  <c r="E143" i="1" s="1"/>
  <c r="B190" i="4"/>
  <c r="B144" i="1" s="1"/>
  <c r="C190" i="4"/>
  <c r="C144" i="1" s="1"/>
  <c r="D190" i="4"/>
  <c r="D144" i="1" s="1"/>
  <c r="E190" i="4"/>
  <c r="E144" i="1" s="1"/>
  <c r="B191" i="4"/>
  <c r="B145" i="1" s="1"/>
  <c r="C191" i="4"/>
  <c r="C145" i="1" s="1"/>
  <c r="D191" i="4"/>
  <c r="D145" i="1" s="1"/>
  <c r="E191" i="4"/>
  <c r="E145" i="1" s="1"/>
  <c r="B192" i="4"/>
  <c r="B146" i="1" s="1"/>
  <c r="C192" i="4"/>
  <c r="C146" i="1" s="1"/>
  <c r="D192" i="4"/>
  <c r="D146" i="1" s="1"/>
  <c r="E192" i="4"/>
  <c r="E146" i="1" s="1"/>
  <c r="B193" i="4"/>
  <c r="B147" i="1" s="1"/>
  <c r="C193" i="4"/>
  <c r="C147" i="1" s="1"/>
  <c r="D193" i="4"/>
  <c r="D147" i="1" s="1"/>
  <c r="E193" i="4"/>
  <c r="E147" i="1" s="1"/>
  <c r="B194" i="4"/>
  <c r="B148" i="1" s="1"/>
  <c r="C194" i="4"/>
  <c r="C148" i="1" s="1"/>
  <c r="D194" i="4"/>
  <c r="D148" i="1" s="1"/>
  <c r="E194" i="4"/>
  <c r="E148" i="1" s="1"/>
  <c r="B195" i="4"/>
  <c r="B149" i="1" s="1"/>
  <c r="C195" i="4"/>
  <c r="C149" i="1" s="1"/>
  <c r="D195" i="4"/>
  <c r="D149" i="1" s="1"/>
  <c r="E195" i="4"/>
  <c r="E149" i="1" s="1"/>
  <c r="B196" i="4"/>
  <c r="B150" i="1" s="1"/>
  <c r="C196" i="4"/>
  <c r="C150" i="1" s="1"/>
  <c r="D196" i="4"/>
  <c r="D150" i="1" s="1"/>
  <c r="E196" i="4"/>
  <c r="E150" i="1" s="1"/>
  <c r="B197" i="4"/>
  <c r="B151" i="1" s="1"/>
  <c r="C197" i="4"/>
  <c r="C151" i="1" s="1"/>
  <c r="D197" i="4"/>
  <c r="D151" i="1" s="1"/>
  <c r="E197" i="4"/>
  <c r="E151" i="1" s="1"/>
  <c r="B198" i="4"/>
  <c r="B152" i="1" s="1"/>
  <c r="C198" i="4"/>
  <c r="C152" i="1" s="1"/>
  <c r="D198" i="4"/>
  <c r="D152" i="1" s="1"/>
  <c r="E198" i="4"/>
  <c r="E152" i="1" s="1"/>
  <c r="B199" i="4"/>
  <c r="B153" i="1" s="1"/>
  <c r="C199" i="4"/>
  <c r="C153" i="1" s="1"/>
  <c r="D199" i="4"/>
  <c r="D153" i="1" s="1"/>
  <c r="E199" i="4"/>
  <c r="E153" i="1" s="1"/>
  <c r="FY309" i="3"/>
  <c r="FR309" i="3"/>
  <c r="FY308" i="3"/>
  <c r="FR308" i="3"/>
  <c r="FQ308" i="3"/>
  <c r="FN307" i="3"/>
  <c r="FM307" i="3"/>
  <c r="FO306" i="3"/>
  <c r="FM306" i="3"/>
  <c r="FO305" i="3"/>
  <c r="FN305" i="3"/>
  <c r="GC304" i="3"/>
  <c r="GB304" i="3"/>
  <c r="GA304" i="3"/>
  <c r="FY304" i="3"/>
  <c r="FV304" i="3"/>
  <c r="FU304" i="3"/>
  <c r="FT304" i="3"/>
  <c r="FS304" i="3"/>
  <c r="FR304" i="3"/>
  <c r="FQ304" i="3"/>
  <c r="FP304" i="3"/>
  <c r="FK304" i="3"/>
  <c r="FJ304" i="3"/>
  <c r="FI304" i="3"/>
  <c r="FH304" i="3"/>
  <c r="FG304" i="3"/>
  <c r="FF304" i="3"/>
  <c r="GC303" i="3"/>
  <c r="GB303" i="3"/>
  <c r="GA303" i="3"/>
  <c r="FY303" i="3"/>
  <c r="FV303" i="3"/>
  <c r="FU303" i="3"/>
  <c r="FT303" i="3"/>
  <c r="FS303" i="3"/>
  <c r="FR303" i="3"/>
  <c r="FQ303" i="3"/>
  <c r="FP303" i="3"/>
  <c r="FL303" i="3"/>
  <c r="FJ303" i="3"/>
  <c r="FI303" i="3"/>
  <c r="FH303" i="3"/>
  <c r="FG303" i="3"/>
  <c r="FF303" i="3"/>
  <c r="GC302" i="3"/>
  <c r="GB302" i="3"/>
  <c r="GA302" i="3"/>
  <c r="FY302" i="3"/>
  <c r="FV302" i="3"/>
  <c r="FU302" i="3"/>
  <c r="FT302" i="3"/>
  <c r="FS302" i="3"/>
  <c r="AU302" i="3" s="1"/>
  <c r="FR302" i="3"/>
  <c r="FQ302" i="3"/>
  <c r="FP302" i="3"/>
  <c r="FL302" i="3"/>
  <c r="AN302" i="3" s="1"/>
  <c r="FK302" i="3"/>
  <c r="FI302" i="3"/>
  <c r="FH302" i="3"/>
  <c r="FG302" i="3"/>
  <c r="FF302" i="3"/>
  <c r="GC301" i="3"/>
  <c r="GB301" i="3"/>
  <c r="GA301" i="3"/>
  <c r="FY301" i="3"/>
  <c r="FV301" i="3"/>
  <c r="FU301" i="3"/>
  <c r="FT301" i="3"/>
  <c r="FS301" i="3"/>
  <c r="FR301" i="3"/>
  <c r="FQ301" i="3"/>
  <c r="FP301" i="3"/>
  <c r="FL301" i="3"/>
  <c r="FK301" i="3"/>
  <c r="FJ301" i="3"/>
  <c r="FH301" i="3"/>
  <c r="AJ301" i="3" s="1"/>
  <c r="FG301" i="3"/>
  <c r="FF301" i="3"/>
  <c r="GC300" i="3"/>
  <c r="GB300" i="3"/>
  <c r="GA300" i="3"/>
  <c r="FY300" i="3"/>
  <c r="FV300" i="3"/>
  <c r="FU300" i="3"/>
  <c r="FT300" i="3"/>
  <c r="FS300" i="3"/>
  <c r="FR300" i="3"/>
  <c r="FQ300" i="3"/>
  <c r="FP300" i="3"/>
  <c r="FL300" i="3"/>
  <c r="FK300" i="3"/>
  <c r="FJ300" i="3"/>
  <c r="FI300" i="3"/>
  <c r="FG300" i="3"/>
  <c r="FF300" i="3"/>
  <c r="FY299" i="3"/>
  <c r="FU299" i="3"/>
  <c r="FT299" i="3"/>
  <c r="FR299" i="3"/>
  <c r="FQ299" i="3"/>
  <c r="FP299" i="3"/>
  <c r="FL299" i="3"/>
  <c r="FK299" i="3"/>
  <c r="FJ299" i="3"/>
  <c r="FI299" i="3"/>
  <c r="FH299" i="3"/>
  <c r="FF299" i="3"/>
  <c r="GC298" i="3"/>
  <c r="GB298" i="3"/>
  <c r="GA298" i="3"/>
  <c r="FY298" i="3"/>
  <c r="FV298" i="3"/>
  <c r="FT298" i="3"/>
  <c r="FS298" i="3"/>
  <c r="FR298" i="3"/>
  <c r="FQ298" i="3"/>
  <c r="FP298" i="3"/>
  <c r="FL298" i="3"/>
  <c r="FK298" i="3"/>
  <c r="FJ298" i="3"/>
  <c r="FI298" i="3"/>
  <c r="FH298" i="3"/>
  <c r="FG298" i="3"/>
  <c r="GD297" i="3"/>
  <c r="FZ297" i="3"/>
  <c r="FD297" i="3"/>
  <c r="FC297" i="3"/>
  <c r="FB297" i="3"/>
  <c r="FA297" i="3"/>
  <c r="EZ297" i="3"/>
  <c r="EY297" i="3"/>
  <c r="EX297" i="3"/>
  <c r="EW297" i="3"/>
  <c r="EV297" i="3"/>
  <c r="EU297" i="3"/>
  <c r="ET297" i="3"/>
  <c r="ES297" i="3"/>
  <c r="ER297" i="3"/>
  <c r="EQ297" i="3"/>
  <c r="EP297" i="3"/>
  <c r="EO297" i="3"/>
  <c r="GE296" i="3"/>
  <c r="GD296" i="3"/>
  <c r="FZ296" i="3"/>
  <c r="FE296" i="3"/>
  <c r="FC296" i="3"/>
  <c r="FB296" i="3"/>
  <c r="FA296" i="3"/>
  <c r="EZ296" i="3"/>
  <c r="EY296" i="3"/>
  <c r="EX296" i="3"/>
  <c r="EW296" i="3"/>
  <c r="EV296" i="3"/>
  <c r="EU296" i="3"/>
  <c r="ET296" i="3"/>
  <c r="ES296" i="3"/>
  <c r="ER296" i="3"/>
  <c r="EQ296" i="3"/>
  <c r="EP296" i="3"/>
  <c r="EO296" i="3"/>
  <c r="GE295" i="3"/>
  <c r="FZ295" i="3"/>
  <c r="FE295" i="3"/>
  <c r="FD295" i="3"/>
  <c r="FB295" i="3"/>
  <c r="FA295" i="3"/>
  <c r="EZ295" i="3"/>
  <c r="EY295" i="3"/>
  <c r="EX295" i="3"/>
  <c r="EW295" i="3"/>
  <c r="EV295" i="3"/>
  <c r="EU295" i="3"/>
  <c r="ET295" i="3"/>
  <c r="ES295" i="3"/>
  <c r="ER295" i="3"/>
  <c r="EQ295" i="3"/>
  <c r="EP295" i="3"/>
  <c r="EO295" i="3"/>
  <c r="GE294" i="3"/>
  <c r="GD294" i="3"/>
  <c r="FZ294" i="3"/>
  <c r="FE294" i="3"/>
  <c r="FD294" i="3"/>
  <c r="FC294" i="3"/>
  <c r="AE294" i="3" s="1"/>
  <c r="FA294" i="3"/>
  <c r="EZ294" i="3"/>
  <c r="EY294" i="3"/>
  <c r="EX294" i="3"/>
  <c r="EW294" i="3"/>
  <c r="EV294" i="3"/>
  <c r="EU294" i="3"/>
  <c r="ET294" i="3"/>
  <c r="ES294" i="3"/>
  <c r="ER294" i="3"/>
  <c r="EQ294" i="3"/>
  <c r="EP294" i="3"/>
  <c r="EO294" i="3"/>
  <c r="GE293" i="3"/>
  <c r="GD293" i="3"/>
  <c r="FZ293" i="3"/>
  <c r="FE293" i="3"/>
  <c r="FD293" i="3"/>
  <c r="FC293" i="3"/>
  <c r="FB293" i="3"/>
  <c r="EZ293" i="3"/>
  <c r="EY293" i="3"/>
  <c r="EX293" i="3"/>
  <c r="EW293" i="3"/>
  <c r="EV293" i="3"/>
  <c r="EU293" i="3"/>
  <c r="ET293" i="3"/>
  <c r="ES293" i="3"/>
  <c r="ER293" i="3"/>
  <c r="EQ293" i="3"/>
  <c r="EP293" i="3"/>
  <c r="EO293" i="3"/>
  <c r="GE292" i="3"/>
  <c r="GD292" i="3"/>
  <c r="FZ292" i="3"/>
  <c r="FE292" i="3"/>
  <c r="FD292" i="3"/>
  <c r="FC292" i="3"/>
  <c r="FB292" i="3"/>
  <c r="FA292" i="3"/>
  <c r="EY292" i="3"/>
  <c r="EX292" i="3"/>
  <c r="EW292" i="3"/>
  <c r="EV292" i="3"/>
  <c r="EU292" i="3"/>
  <c r="ET292" i="3"/>
  <c r="ES292" i="3"/>
  <c r="ER292" i="3"/>
  <c r="EQ292" i="3"/>
  <c r="EP292" i="3"/>
  <c r="EO292" i="3"/>
  <c r="GE291" i="3"/>
  <c r="GD291" i="3"/>
  <c r="FZ291" i="3"/>
  <c r="FE291" i="3"/>
  <c r="FD291" i="3"/>
  <c r="FC291" i="3"/>
  <c r="FB291" i="3"/>
  <c r="FA291" i="3"/>
  <c r="EZ291" i="3"/>
  <c r="EX291" i="3"/>
  <c r="EW291" i="3"/>
  <c r="EV291" i="3"/>
  <c r="EU291" i="3"/>
  <c r="ET291" i="3"/>
  <c r="ES291" i="3"/>
  <c r="ER291" i="3"/>
  <c r="EQ291" i="3"/>
  <c r="EP291" i="3"/>
  <c r="EO291" i="3"/>
  <c r="GE290" i="3"/>
  <c r="GD290" i="3"/>
  <c r="FZ290" i="3"/>
  <c r="FE290" i="3"/>
  <c r="FD290" i="3"/>
  <c r="FC290" i="3"/>
  <c r="FB290" i="3"/>
  <c r="FA290" i="3"/>
  <c r="EZ290" i="3"/>
  <c r="EY290" i="3"/>
  <c r="EW290" i="3"/>
  <c r="EV290" i="3"/>
  <c r="EU290" i="3"/>
  <c r="ET290" i="3"/>
  <c r="ES290" i="3"/>
  <c r="ER290" i="3"/>
  <c r="EQ290" i="3"/>
  <c r="EP290" i="3"/>
  <c r="EO290" i="3"/>
  <c r="GE289" i="3"/>
  <c r="GD289" i="3"/>
  <c r="FZ289" i="3"/>
  <c r="FE289" i="3"/>
  <c r="FD289" i="3"/>
  <c r="FC289" i="3"/>
  <c r="FB289" i="3"/>
  <c r="FA289" i="3"/>
  <c r="EZ289" i="3"/>
  <c r="EY289" i="3"/>
  <c r="EX289" i="3"/>
  <c r="EV289" i="3"/>
  <c r="EU289" i="3"/>
  <c r="ET289" i="3"/>
  <c r="ES289" i="3"/>
  <c r="ER289" i="3"/>
  <c r="EQ289" i="3"/>
  <c r="EP289" i="3"/>
  <c r="EO289" i="3"/>
  <c r="GE288" i="3"/>
  <c r="GD288" i="3"/>
  <c r="FZ288" i="3"/>
  <c r="FE288" i="3"/>
  <c r="FD288" i="3"/>
  <c r="FC288" i="3"/>
  <c r="FB288" i="3"/>
  <c r="FA288" i="3"/>
  <c r="EZ288" i="3"/>
  <c r="EY288" i="3"/>
  <c r="EX288" i="3"/>
  <c r="EW288" i="3"/>
  <c r="EU288" i="3"/>
  <c r="ET288" i="3"/>
  <c r="ES288" i="3"/>
  <c r="ER288" i="3"/>
  <c r="EQ288" i="3"/>
  <c r="EP288" i="3"/>
  <c r="EO288" i="3"/>
  <c r="GE287" i="3"/>
  <c r="GD287" i="3"/>
  <c r="FE287" i="3"/>
  <c r="FD287" i="3"/>
  <c r="FC287" i="3"/>
  <c r="AE287" i="3" s="1"/>
  <c r="FB287" i="3"/>
  <c r="FA287" i="3"/>
  <c r="EZ287" i="3"/>
  <c r="EY287" i="3"/>
  <c r="AA287" i="3" s="1"/>
  <c r="EX287" i="3"/>
  <c r="EW287" i="3"/>
  <c r="EV287" i="3"/>
  <c r="ET287" i="3"/>
  <c r="ES287" i="3"/>
  <c r="ER287" i="3"/>
  <c r="EQ287" i="3"/>
  <c r="EP287" i="3"/>
  <c r="EO287" i="3"/>
  <c r="GE286" i="3"/>
  <c r="GD286" i="3"/>
  <c r="FZ286" i="3"/>
  <c r="FE286" i="3"/>
  <c r="FD286" i="3"/>
  <c r="FC286" i="3"/>
  <c r="FB286" i="3"/>
  <c r="FA286" i="3"/>
  <c r="EZ286" i="3"/>
  <c r="EY286" i="3"/>
  <c r="EX286" i="3"/>
  <c r="EW286" i="3"/>
  <c r="EV286" i="3"/>
  <c r="EU286" i="3"/>
  <c r="ES286" i="3"/>
  <c r="ER286" i="3"/>
  <c r="EQ286" i="3"/>
  <c r="EP286" i="3"/>
  <c r="EO286" i="3"/>
  <c r="GE285" i="3"/>
  <c r="GD285" i="3"/>
  <c r="FZ285" i="3"/>
  <c r="FE285" i="3"/>
  <c r="FD285" i="3"/>
  <c r="FC285" i="3"/>
  <c r="FB285" i="3"/>
  <c r="FA285" i="3"/>
  <c r="EZ285" i="3"/>
  <c r="EY285" i="3"/>
  <c r="EX285" i="3"/>
  <c r="EW285" i="3"/>
  <c r="EV285" i="3"/>
  <c r="EU285" i="3"/>
  <c r="ET285" i="3"/>
  <c r="ER285" i="3"/>
  <c r="EQ285" i="3"/>
  <c r="EP285" i="3"/>
  <c r="EO285" i="3"/>
  <c r="GE284" i="3"/>
  <c r="GD284" i="3"/>
  <c r="FZ284" i="3"/>
  <c r="FE284" i="3"/>
  <c r="FD284" i="3"/>
  <c r="FC284" i="3"/>
  <c r="FB284" i="3"/>
  <c r="FA284" i="3"/>
  <c r="EZ284" i="3"/>
  <c r="EY284" i="3"/>
  <c r="EX284" i="3"/>
  <c r="EW284" i="3"/>
  <c r="EV284" i="3"/>
  <c r="EU284" i="3"/>
  <c r="ET284" i="3"/>
  <c r="ES284" i="3"/>
  <c r="EQ284" i="3"/>
  <c r="EP284" i="3"/>
  <c r="EO284" i="3"/>
  <c r="GE283" i="3"/>
  <c r="GD283" i="3"/>
  <c r="FZ283" i="3"/>
  <c r="FE283" i="3"/>
  <c r="FD283" i="3"/>
  <c r="FC283" i="3"/>
  <c r="AE283" i="3" s="1"/>
  <c r="FB283" i="3"/>
  <c r="FA283" i="3"/>
  <c r="EZ283" i="3"/>
  <c r="EY283" i="3"/>
  <c r="AA283" i="3" s="1"/>
  <c r="EX283" i="3"/>
  <c r="EW283" i="3"/>
  <c r="EV283" i="3"/>
  <c r="EU283" i="3"/>
  <c r="ET283" i="3"/>
  <c r="ES283" i="3"/>
  <c r="ER283" i="3"/>
  <c r="EP283" i="3"/>
  <c r="EO283" i="3"/>
  <c r="GE282" i="3"/>
  <c r="GD282" i="3"/>
  <c r="FZ282" i="3"/>
  <c r="FE282" i="3"/>
  <c r="FD282" i="3"/>
  <c r="FC282" i="3"/>
  <c r="FB282" i="3"/>
  <c r="FA282" i="3"/>
  <c r="EZ282" i="3"/>
  <c r="EY282" i="3"/>
  <c r="EX282" i="3"/>
  <c r="EW282" i="3"/>
  <c r="EV282" i="3"/>
  <c r="EU282" i="3"/>
  <c r="ET282" i="3"/>
  <c r="ES282" i="3"/>
  <c r="ER282" i="3"/>
  <c r="EQ282" i="3"/>
  <c r="EO282" i="3"/>
  <c r="GE281" i="3"/>
  <c r="GD281" i="3"/>
  <c r="FZ281" i="3"/>
  <c r="FE281" i="3"/>
  <c r="AG281" i="3" s="1"/>
  <c r="FD281" i="3"/>
  <c r="AF281" i="3" s="1"/>
  <c r="FC281" i="3"/>
  <c r="FB281" i="3"/>
  <c r="FA281" i="3"/>
  <c r="EZ281" i="3"/>
  <c r="AB281" i="3" s="1"/>
  <c r="EY281" i="3"/>
  <c r="EX281" i="3"/>
  <c r="EW281" i="3"/>
  <c r="Y281" i="3" s="1"/>
  <c r="EV281" i="3"/>
  <c r="X281" i="3" s="1"/>
  <c r="EU281" i="3"/>
  <c r="ET281" i="3"/>
  <c r="ES281" i="3"/>
  <c r="U281" i="3" s="1"/>
  <c r="ER281" i="3"/>
  <c r="T281" i="3" s="1"/>
  <c r="EQ281" i="3"/>
  <c r="EP281" i="3"/>
  <c r="DZ279" i="3"/>
  <c r="EK278" i="3"/>
  <c r="EJ278" i="3"/>
  <c r="EI278" i="3"/>
  <c r="EH278" i="3"/>
  <c r="EG278" i="3"/>
  <c r="EF278" i="3"/>
  <c r="EE278" i="3"/>
  <c r="ED278" i="3"/>
  <c r="EC278" i="3"/>
  <c r="EB278" i="3"/>
  <c r="EA278" i="3"/>
  <c r="DZ278" i="3"/>
  <c r="EL277" i="3"/>
  <c r="EJ277" i="3"/>
  <c r="EI277" i="3"/>
  <c r="EH277" i="3"/>
  <c r="EG277" i="3"/>
  <c r="EF277" i="3"/>
  <c r="EE277" i="3"/>
  <c r="ED277" i="3"/>
  <c r="EC277" i="3"/>
  <c r="EB277" i="3"/>
  <c r="EA277" i="3"/>
  <c r="DZ277" i="3"/>
  <c r="EL276" i="3"/>
  <c r="EK276" i="3"/>
  <c r="EI276" i="3"/>
  <c r="EH276" i="3"/>
  <c r="EG276" i="3"/>
  <c r="EF276" i="3"/>
  <c r="EE276" i="3"/>
  <c r="ED276" i="3"/>
  <c r="EC276" i="3"/>
  <c r="EB276" i="3"/>
  <c r="EA276" i="3"/>
  <c r="DZ276" i="3"/>
  <c r="EL275" i="3"/>
  <c r="EK275" i="3"/>
  <c r="EJ275" i="3"/>
  <c r="EH275" i="3"/>
  <c r="EG275" i="3"/>
  <c r="EF275" i="3"/>
  <c r="EE275" i="3"/>
  <c r="ED275" i="3"/>
  <c r="EC275" i="3"/>
  <c r="EB275" i="3"/>
  <c r="EA275" i="3"/>
  <c r="DZ275" i="3"/>
  <c r="EL274" i="3"/>
  <c r="EK274" i="3"/>
  <c r="EJ274" i="3"/>
  <c r="EI274" i="3"/>
  <c r="EG274" i="3"/>
  <c r="EF274" i="3"/>
  <c r="EE274" i="3"/>
  <c r="ED274" i="3"/>
  <c r="EC274" i="3"/>
  <c r="EB274" i="3"/>
  <c r="EA274" i="3"/>
  <c r="DZ274" i="3"/>
  <c r="EL273" i="3"/>
  <c r="EK273" i="3"/>
  <c r="EJ273" i="3"/>
  <c r="EI273" i="3"/>
  <c r="EH273" i="3"/>
  <c r="EF273" i="3"/>
  <c r="EE273" i="3"/>
  <c r="ED273" i="3"/>
  <c r="EC273" i="3"/>
  <c r="EB273" i="3"/>
  <c r="EA273" i="3"/>
  <c r="DZ273" i="3"/>
  <c r="EL272" i="3"/>
  <c r="EK272" i="3"/>
  <c r="EJ272" i="3"/>
  <c r="EI272" i="3"/>
  <c r="EH272" i="3"/>
  <c r="EG272" i="3"/>
  <c r="EE272" i="3"/>
  <c r="ED272" i="3"/>
  <c r="EC272" i="3"/>
  <c r="EB272" i="3"/>
  <c r="EA272" i="3"/>
  <c r="DZ272" i="3"/>
  <c r="EL271" i="3"/>
  <c r="EK271" i="3"/>
  <c r="EJ271" i="3"/>
  <c r="EI271" i="3"/>
  <c r="EH271" i="3"/>
  <c r="EG271" i="3"/>
  <c r="EF271" i="3"/>
  <c r="ED271" i="3"/>
  <c r="EC271" i="3"/>
  <c r="EB271" i="3"/>
  <c r="EA271" i="3"/>
  <c r="DZ271" i="3"/>
  <c r="EL270" i="3"/>
  <c r="EK270" i="3"/>
  <c r="EJ270" i="3"/>
  <c r="EI270" i="3"/>
  <c r="EH270" i="3"/>
  <c r="EG270" i="3"/>
  <c r="EF270" i="3"/>
  <c r="EE270" i="3"/>
  <c r="EC270" i="3"/>
  <c r="EB270" i="3"/>
  <c r="EA270" i="3"/>
  <c r="DZ270" i="3"/>
  <c r="EL269" i="3"/>
  <c r="EK269" i="3"/>
  <c r="EJ269" i="3"/>
  <c r="EI269" i="3"/>
  <c r="EH269" i="3"/>
  <c r="EG269" i="3"/>
  <c r="EF269" i="3"/>
  <c r="EE269" i="3"/>
  <c r="G269" i="3" s="1"/>
  <c r="ED269" i="3"/>
  <c r="EB269" i="3"/>
  <c r="EA269" i="3"/>
  <c r="DZ269" i="3"/>
  <c r="EL268" i="3"/>
  <c r="EK268" i="3"/>
  <c r="EJ268" i="3"/>
  <c r="EI268" i="3"/>
  <c r="EH268" i="3"/>
  <c r="EG268" i="3"/>
  <c r="EF268" i="3"/>
  <c r="EE268" i="3"/>
  <c r="ED268" i="3"/>
  <c r="EC268" i="3"/>
  <c r="EA268" i="3"/>
  <c r="DZ268" i="3"/>
  <c r="EL267" i="3"/>
  <c r="EK267" i="3"/>
  <c r="EJ267" i="3"/>
  <c r="EI267" i="3"/>
  <c r="EH267" i="3"/>
  <c r="EG267" i="3"/>
  <c r="EF267" i="3"/>
  <c r="EE267" i="3"/>
  <c r="G267" i="3" s="1"/>
  <c r="ED267" i="3"/>
  <c r="EC267" i="3"/>
  <c r="EB267" i="3"/>
  <c r="DZ267" i="3"/>
  <c r="GF266" i="3"/>
  <c r="FZ266" i="3"/>
  <c r="FY266" i="3"/>
  <c r="FW266" i="3"/>
  <c r="FT266" i="3"/>
  <c r="FP266" i="3"/>
  <c r="FM266" i="3"/>
  <c r="FF266" i="3"/>
  <c r="EO266" i="3"/>
  <c r="EM266" i="3"/>
  <c r="EL266" i="3"/>
  <c r="EK266" i="3"/>
  <c r="EJ266" i="3"/>
  <c r="EI266" i="3"/>
  <c r="EH266" i="3"/>
  <c r="EG266" i="3"/>
  <c r="EF266" i="3"/>
  <c r="EE266" i="3"/>
  <c r="G266" i="3" s="1"/>
  <c r="ED266" i="3"/>
  <c r="EC266" i="3"/>
  <c r="EB266" i="3"/>
  <c r="D266" i="3" s="1"/>
  <c r="EA266" i="3"/>
  <c r="DV265" i="3"/>
  <c r="DU265" i="3"/>
  <c r="DT265" i="3"/>
  <c r="DS265" i="3"/>
  <c r="DR265" i="3"/>
  <c r="DQ265" i="3"/>
  <c r="DP265" i="3"/>
  <c r="DO265" i="3"/>
  <c r="DN265" i="3"/>
  <c r="DM265" i="3"/>
  <c r="DL265" i="3"/>
  <c r="DK265" i="3"/>
  <c r="DJ265" i="3"/>
  <c r="DI265" i="3"/>
  <c r="DH265" i="3"/>
  <c r="DG265" i="3"/>
  <c r="DF265" i="3"/>
  <c r="DE265" i="3"/>
  <c r="DD265" i="3"/>
  <c r="DC265" i="3"/>
  <c r="DB265" i="3"/>
  <c r="DA265" i="3"/>
  <c r="CZ265" i="3"/>
  <c r="CY265" i="3"/>
  <c r="CX265" i="3"/>
  <c r="CW265" i="3"/>
  <c r="CV265" i="3"/>
  <c r="CU265" i="3"/>
  <c r="CT265" i="3"/>
  <c r="CS265" i="3"/>
  <c r="CR265" i="3"/>
  <c r="CQ265" i="3"/>
  <c r="CP265" i="3"/>
  <c r="CO265" i="3"/>
  <c r="CN265" i="3"/>
  <c r="CM265" i="3"/>
  <c r="CL265" i="3"/>
  <c r="CK265" i="3"/>
  <c r="CJ265" i="3"/>
  <c r="CI265" i="3"/>
  <c r="CH265" i="3"/>
  <c r="CG265" i="3"/>
  <c r="CF265" i="3"/>
  <c r="CE265" i="3"/>
  <c r="CD265" i="3"/>
  <c r="CC265" i="3"/>
  <c r="CB265" i="3"/>
  <c r="CA265" i="3"/>
  <c r="BZ265" i="3"/>
  <c r="BY265" i="3"/>
  <c r="BX265" i="3"/>
  <c r="BW265" i="3"/>
  <c r="BV265" i="3"/>
  <c r="BU265" i="3"/>
  <c r="BT265" i="3"/>
  <c r="BS265" i="3"/>
  <c r="BR265" i="3"/>
  <c r="BQ265" i="3"/>
  <c r="BP265" i="3"/>
  <c r="BO265" i="3"/>
  <c r="BN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U266" i="3" s="1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AA267" i="3" s="1"/>
  <c r="Z265" i="3"/>
  <c r="Y265" i="3"/>
  <c r="X265" i="3"/>
  <c r="W265" i="3"/>
  <c r="V265" i="3"/>
  <c r="V267" i="3" s="1"/>
  <c r="U265" i="3"/>
  <c r="T265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FY257" i="3"/>
  <c r="FR257" i="3"/>
  <c r="FY256" i="3"/>
  <c r="FR256" i="3"/>
  <c r="FQ256" i="3"/>
  <c r="FN255" i="3"/>
  <c r="FM255" i="3"/>
  <c r="FO254" i="3"/>
  <c r="FM254" i="3"/>
  <c r="FO253" i="3"/>
  <c r="FN253" i="3"/>
  <c r="GC252" i="3"/>
  <c r="GB252" i="3"/>
  <c r="GA252" i="3"/>
  <c r="FY252" i="3"/>
  <c r="FV252" i="3"/>
  <c r="FU252" i="3"/>
  <c r="FT252" i="3"/>
  <c r="FS252" i="3"/>
  <c r="FR252" i="3"/>
  <c r="FQ252" i="3"/>
  <c r="FP252" i="3"/>
  <c r="FK252" i="3"/>
  <c r="FJ252" i="3"/>
  <c r="FI252" i="3"/>
  <c r="FH252" i="3"/>
  <c r="FG252" i="3"/>
  <c r="FF252" i="3"/>
  <c r="GC251" i="3"/>
  <c r="GB251" i="3"/>
  <c r="GA251" i="3"/>
  <c r="FY251" i="3"/>
  <c r="FV251" i="3"/>
  <c r="FU251" i="3"/>
  <c r="FT251" i="3"/>
  <c r="FS251" i="3"/>
  <c r="FR251" i="3"/>
  <c r="FQ251" i="3"/>
  <c r="FP251" i="3"/>
  <c r="FL251" i="3"/>
  <c r="FJ251" i="3"/>
  <c r="FI251" i="3"/>
  <c r="FH251" i="3"/>
  <c r="FG251" i="3"/>
  <c r="FF251" i="3"/>
  <c r="GC250" i="3"/>
  <c r="GB250" i="3"/>
  <c r="GA250" i="3"/>
  <c r="FY250" i="3"/>
  <c r="FV250" i="3"/>
  <c r="FU250" i="3"/>
  <c r="FT250" i="3"/>
  <c r="FS250" i="3"/>
  <c r="FR250" i="3"/>
  <c r="FQ250" i="3"/>
  <c r="FP250" i="3"/>
  <c r="FL250" i="3"/>
  <c r="FK250" i="3"/>
  <c r="FI250" i="3"/>
  <c r="FH250" i="3"/>
  <c r="FG250" i="3"/>
  <c r="FF250" i="3"/>
  <c r="GC249" i="3"/>
  <c r="GB249" i="3"/>
  <c r="GA249" i="3"/>
  <c r="FY249" i="3"/>
  <c r="FV249" i="3"/>
  <c r="FU249" i="3"/>
  <c r="FT249" i="3"/>
  <c r="FS249" i="3"/>
  <c r="FR249" i="3"/>
  <c r="FQ249" i="3"/>
  <c r="FP249" i="3"/>
  <c r="FL249" i="3"/>
  <c r="FK249" i="3"/>
  <c r="FJ249" i="3"/>
  <c r="FH249" i="3"/>
  <c r="FG249" i="3"/>
  <c r="FF249" i="3"/>
  <c r="GC248" i="3"/>
  <c r="GB248" i="3"/>
  <c r="GA248" i="3"/>
  <c r="FY248" i="3"/>
  <c r="FV248" i="3"/>
  <c r="FU248" i="3"/>
  <c r="FT248" i="3"/>
  <c r="FS248" i="3"/>
  <c r="FR248" i="3"/>
  <c r="FQ248" i="3"/>
  <c r="FP248" i="3"/>
  <c r="FL248" i="3"/>
  <c r="FK248" i="3"/>
  <c r="FJ248" i="3"/>
  <c r="FI248" i="3"/>
  <c r="FG248" i="3"/>
  <c r="FF248" i="3"/>
  <c r="FY247" i="3"/>
  <c r="FU247" i="3"/>
  <c r="FT247" i="3"/>
  <c r="FR247" i="3"/>
  <c r="FQ247" i="3"/>
  <c r="FP247" i="3"/>
  <c r="FL247" i="3"/>
  <c r="FK247" i="3"/>
  <c r="FJ247" i="3"/>
  <c r="FI247" i="3"/>
  <c r="FH247" i="3"/>
  <c r="FF247" i="3"/>
  <c r="GC246" i="3"/>
  <c r="GB246" i="3"/>
  <c r="GA246" i="3"/>
  <c r="FY246" i="3"/>
  <c r="FV246" i="3"/>
  <c r="FT246" i="3"/>
  <c r="FS246" i="3"/>
  <c r="FR246" i="3"/>
  <c r="FQ246" i="3"/>
  <c r="FP246" i="3"/>
  <c r="FL246" i="3"/>
  <c r="FK246" i="3"/>
  <c r="FJ246" i="3"/>
  <c r="FI246" i="3"/>
  <c r="FH246" i="3"/>
  <c r="FG246" i="3"/>
  <c r="GD245" i="3"/>
  <c r="FZ245" i="3"/>
  <c r="FD245" i="3"/>
  <c r="FC245" i="3"/>
  <c r="FB245" i="3"/>
  <c r="FA245" i="3"/>
  <c r="EZ245" i="3"/>
  <c r="EY245" i="3"/>
  <c r="EX245" i="3"/>
  <c r="EW245" i="3"/>
  <c r="EV245" i="3"/>
  <c r="EU245" i="3"/>
  <c r="ET245" i="3"/>
  <c r="ES245" i="3"/>
  <c r="ER245" i="3"/>
  <c r="EQ245" i="3"/>
  <c r="EP245" i="3"/>
  <c r="EO245" i="3"/>
  <c r="GE244" i="3"/>
  <c r="GD244" i="3"/>
  <c r="FZ244" i="3"/>
  <c r="FE244" i="3"/>
  <c r="FC244" i="3"/>
  <c r="FB244" i="3"/>
  <c r="FA244" i="3"/>
  <c r="EZ244" i="3"/>
  <c r="EY244" i="3"/>
  <c r="EX244" i="3"/>
  <c r="EW244" i="3"/>
  <c r="EV244" i="3"/>
  <c r="EU244" i="3"/>
  <c r="ET244" i="3"/>
  <c r="ES244" i="3"/>
  <c r="ER244" i="3"/>
  <c r="EQ244" i="3"/>
  <c r="EP244" i="3"/>
  <c r="EO244" i="3"/>
  <c r="GE243" i="3"/>
  <c r="FZ243" i="3"/>
  <c r="FE243" i="3"/>
  <c r="FD243" i="3"/>
  <c r="FB243" i="3"/>
  <c r="FA243" i="3"/>
  <c r="EZ243" i="3"/>
  <c r="EY243" i="3"/>
  <c r="EX243" i="3"/>
  <c r="EW243" i="3"/>
  <c r="EV243" i="3"/>
  <c r="EU243" i="3"/>
  <c r="ET243" i="3"/>
  <c r="ES243" i="3"/>
  <c r="ER243" i="3"/>
  <c r="EQ243" i="3"/>
  <c r="EP243" i="3"/>
  <c r="EO243" i="3"/>
  <c r="GE242" i="3"/>
  <c r="GD242" i="3"/>
  <c r="FZ242" i="3"/>
  <c r="FE242" i="3"/>
  <c r="FD242" i="3"/>
  <c r="FC242" i="3"/>
  <c r="FA242" i="3"/>
  <c r="EZ242" i="3"/>
  <c r="EY242" i="3"/>
  <c r="EX242" i="3"/>
  <c r="EW242" i="3"/>
  <c r="EV242" i="3"/>
  <c r="EU242" i="3"/>
  <c r="ET242" i="3"/>
  <c r="ES242" i="3"/>
  <c r="ER242" i="3"/>
  <c r="EQ242" i="3"/>
  <c r="EP242" i="3"/>
  <c r="EO242" i="3"/>
  <c r="GE241" i="3"/>
  <c r="GD241" i="3"/>
  <c r="FZ241" i="3"/>
  <c r="FE241" i="3"/>
  <c r="FD241" i="3"/>
  <c r="FC241" i="3"/>
  <c r="FB241" i="3"/>
  <c r="EZ241" i="3"/>
  <c r="EY241" i="3"/>
  <c r="EX241" i="3"/>
  <c r="EW241" i="3"/>
  <c r="EV241" i="3"/>
  <c r="EU241" i="3"/>
  <c r="ET241" i="3"/>
  <c r="ES241" i="3"/>
  <c r="ER241" i="3"/>
  <c r="EQ241" i="3"/>
  <c r="EP241" i="3"/>
  <c r="EO241" i="3"/>
  <c r="GE240" i="3"/>
  <c r="GD240" i="3"/>
  <c r="FZ240" i="3"/>
  <c r="FE240" i="3"/>
  <c r="FD240" i="3"/>
  <c r="FC240" i="3"/>
  <c r="FB240" i="3"/>
  <c r="FA240" i="3"/>
  <c r="EY240" i="3"/>
  <c r="EX240" i="3"/>
  <c r="EW240" i="3"/>
  <c r="EV240" i="3"/>
  <c r="EU240" i="3"/>
  <c r="ET240" i="3"/>
  <c r="ES240" i="3"/>
  <c r="ER240" i="3"/>
  <c r="EQ240" i="3"/>
  <c r="EP240" i="3"/>
  <c r="EO240" i="3"/>
  <c r="GE239" i="3"/>
  <c r="GD239" i="3"/>
  <c r="FZ239" i="3"/>
  <c r="FE239" i="3"/>
  <c r="FD239" i="3"/>
  <c r="FC239" i="3"/>
  <c r="FB239" i="3"/>
  <c r="FA239" i="3"/>
  <c r="EZ239" i="3"/>
  <c r="EX239" i="3"/>
  <c r="EW239" i="3"/>
  <c r="EV239" i="3"/>
  <c r="EU239" i="3"/>
  <c r="ET239" i="3"/>
  <c r="ES239" i="3"/>
  <c r="ER239" i="3"/>
  <c r="EQ239" i="3"/>
  <c r="EP239" i="3"/>
  <c r="EO239" i="3"/>
  <c r="GE238" i="3"/>
  <c r="GD238" i="3"/>
  <c r="FZ238" i="3"/>
  <c r="FE238" i="3"/>
  <c r="FD238" i="3"/>
  <c r="FC238" i="3"/>
  <c r="FB238" i="3"/>
  <c r="FA238" i="3"/>
  <c r="EZ238" i="3"/>
  <c r="EY238" i="3"/>
  <c r="EW238" i="3"/>
  <c r="EV238" i="3"/>
  <c r="EU238" i="3"/>
  <c r="ET238" i="3"/>
  <c r="ES238" i="3"/>
  <c r="ER238" i="3"/>
  <c r="EQ238" i="3"/>
  <c r="EP238" i="3"/>
  <c r="EO238" i="3"/>
  <c r="GE237" i="3"/>
  <c r="GD237" i="3"/>
  <c r="FZ237" i="3"/>
  <c r="FE237" i="3"/>
  <c r="FD237" i="3"/>
  <c r="FC237" i="3"/>
  <c r="FB237" i="3"/>
  <c r="FA237" i="3"/>
  <c r="EZ237" i="3"/>
  <c r="EY237" i="3"/>
  <c r="EX237" i="3"/>
  <c r="EV237" i="3"/>
  <c r="EU237" i="3"/>
  <c r="ET237" i="3"/>
  <c r="ES237" i="3"/>
  <c r="ER237" i="3"/>
  <c r="EQ237" i="3"/>
  <c r="EP237" i="3"/>
  <c r="EO237" i="3"/>
  <c r="GE236" i="3"/>
  <c r="GD236" i="3"/>
  <c r="FZ236" i="3"/>
  <c r="FE236" i="3"/>
  <c r="FD236" i="3"/>
  <c r="FC236" i="3"/>
  <c r="FB236" i="3"/>
  <c r="FA236" i="3"/>
  <c r="EZ236" i="3"/>
  <c r="EY236" i="3"/>
  <c r="EX236" i="3"/>
  <c r="EW236" i="3"/>
  <c r="EU236" i="3"/>
  <c r="ET236" i="3"/>
  <c r="ES236" i="3"/>
  <c r="ER236" i="3"/>
  <c r="EQ236" i="3"/>
  <c r="EP236" i="3"/>
  <c r="EO236" i="3"/>
  <c r="GE235" i="3"/>
  <c r="GD235" i="3"/>
  <c r="FE235" i="3"/>
  <c r="FD235" i="3"/>
  <c r="FC235" i="3"/>
  <c r="FB235" i="3"/>
  <c r="FA235" i="3"/>
  <c r="EZ235" i="3"/>
  <c r="EY235" i="3"/>
  <c r="EX235" i="3"/>
  <c r="EW235" i="3"/>
  <c r="EV235" i="3"/>
  <c r="ET235" i="3"/>
  <c r="ES235" i="3"/>
  <c r="ER235" i="3"/>
  <c r="EQ235" i="3"/>
  <c r="EP235" i="3"/>
  <c r="EO235" i="3"/>
  <c r="GE234" i="3"/>
  <c r="GD234" i="3"/>
  <c r="FZ234" i="3"/>
  <c r="FE234" i="3"/>
  <c r="FD234" i="3"/>
  <c r="FC234" i="3"/>
  <c r="FB234" i="3"/>
  <c r="FA234" i="3"/>
  <c r="EZ234" i="3"/>
  <c r="EY234" i="3"/>
  <c r="EX234" i="3"/>
  <c r="EW234" i="3"/>
  <c r="EV234" i="3"/>
  <c r="EU234" i="3"/>
  <c r="ES234" i="3"/>
  <c r="ER234" i="3"/>
  <c r="EQ234" i="3"/>
  <c r="EP234" i="3"/>
  <c r="EO234" i="3"/>
  <c r="GE233" i="3"/>
  <c r="GD233" i="3"/>
  <c r="FZ233" i="3"/>
  <c r="FE233" i="3"/>
  <c r="FD233" i="3"/>
  <c r="FC233" i="3"/>
  <c r="FB233" i="3"/>
  <c r="FA233" i="3"/>
  <c r="EZ233" i="3"/>
  <c r="EY233" i="3"/>
  <c r="EX233" i="3"/>
  <c r="EW233" i="3"/>
  <c r="EV233" i="3"/>
  <c r="EU233" i="3"/>
  <c r="ET233" i="3"/>
  <c r="ER233" i="3"/>
  <c r="EQ233" i="3"/>
  <c r="EP233" i="3"/>
  <c r="EO233" i="3"/>
  <c r="GE232" i="3"/>
  <c r="GD232" i="3"/>
  <c r="FZ232" i="3"/>
  <c r="FE232" i="3"/>
  <c r="FD232" i="3"/>
  <c r="FC232" i="3"/>
  <c r="FB232" i="3"/>
  <c r="FA232" i="3"/>
  <c r="EZ232" i="3"/>
  <c r="EY232" i="3"/>
  <c r="EX232" i="3"/>
  <c r="EW232" i="3"/>
  <c r="EV232" i="3"/>
  <c r="EU232" i="3"/>
  <c r="ET232" i="3"/>
  <c r="ES232" i="3"/>
  <c r="EQ232" i="3"/>
  <c r="EP232" i="3"/>
  <c r="EO232" i="3"/>
  <c r="GE231" i="3"/>
  <c r="GD231" i="3"/>
  <c r="FZ231" i="3"/>
  <c r="FE231" i="3"/>
  <c r="FD231" i="3"/>
  <c r="FC231" i="3"/>
  <c r="FB231" i="3"/>
  <c r="FA231" i="3"/>
  <c r="EZ231" i="3"/>
  <c r="EY231" i="3"/>
  <c r="EX231" i="3"/>
  <c r="EW231" i="3"/>
  <c r="EV231" i="3"/>
  <c r="EU231" i="3"/>
  <c r="ET231" i="3"/>
  <c r="ES231" i="3"/>
  <c r="ER231" i="3"/>
  <c r="EP231" i="3"/>
  <c r="EO231" i="3"/>
  <c r="GE230" i="3"/>
  <c r="GD230" i="3"/>
  <c r="FZ230" i="3"/>
  <c r="FE230" i="3"/>
  <c r="FD230" i="3"/>
  <c r="FC230" i="3"/>
  <c r="FB230" i="3"/>
  <c r="FA230" i="3"/>
  <c r="EZ230" i="3"/>
  <c r="EY230" i="3"/>
  <c r="EX230" i="3"/>
  <c r="EW230" i="3"/>
  <c r="EV230" i="3"/>
  <c r="EU230" i="3"/>
  <c r="ET230" i="3"/>
  <c r="ES230" i="3"/>
  <c r="ER230" i="3"/>
  <c r="EQ230" i="3"/>
  <c r="EO230" i="3"/>
  <c r="GE229" i="3"/>
  <c r="GD229" i="3"/>
  <c r="FZ229" i="3"/>
  <c r="FE229" i="3"/>
  <c r="FD229" i="3"/>
  <c r="FC229" i="3"/>
  <c r="FB229" i="3"/>
  <c r="FA229" i="3"/>
  <c r="EZ229" i="3"/>
  <c r="EY229" i="3"/>
  <c r="EX229" i="3"/>
  <c r="EW229" i="3"/>
  <c r="EV229" i="3"/>
  <c r="EU229" i="3"/>
  <c r="ET229" i="3"/>
  <c r="ES229" i="3"/>
  <c r="ER229" i="3"/>
  <c r="EQ229" i="3"/>
  <c r="EP229" i="3"/>
  <c r="DZ227" i="3"/>
  <c r="EK226" i="3"/>
  <c r="EJ226" i="3"/>
  <c r="EI226" i="3"/>
  <c r="EH226" i="3"/>
  <c r="EG226" i="3"/>
  <c r="EF226" i="3"/>
  <c r="EE226" i="3"/>
  <c r="ED226" i="3"/>
  <c r="EC226" i="3"/>
  <c r="EB226" i="3"/>
  <c r="EA226" i="3"/>
  <c r="DZ226" i="3"/>
  <c r="EL225" i="3"/>
  <c r="EJ225" i="3"/>
  <c r="EI225" i="3"/>
  <c r="EH225" i="3"/>
  <c r="EG225" i="3"/>
  <c r="EF225" i="3"/>
  <c r="EE225" i="3"/>
  <c r="ED225" i="3"/>
  <c r="EC225" i="3"/>
  <c r="EB225" i="3"/>
  <c r="EA225" i="3"/>
  <c r="DZ225" i="3"/>
  <c r="EL224" i="3"/>
  <c r="EK224" i="3"/>
  <c r="EI224" i="3"/>
  <c r="EH224" i="3"/>
  <c r="EG224" i="3"/>
  <c r="EF224" i="3"/>
  <c r="EE224" i="3"/>
  <c r="ED224" i="3"/>
  <c r="EC224" i="3"/>
  <c r="EB224" i="3"/>
  <c r="EA224" i="3"/>
  <c r="DZ224" i="3"/>
  <c r="EL223" i="3"/>
  <c r="EK223" i="3"/>
  <c r="EJ223" i="3"/>
  <c r="EH223" i="3"/>
  <c r="EG223" i="3"/>
  <c r="EF223" i="3"/>
  <c r="EE223" i="3"/>
  <c r="ED223" i="3"/>
  <c r="EC223" i="3"/>
  <c r="EB223" i="3"/>
  <c r="EA223" i="3"/>
  <c r="DZ223" i="3"/>
  <c r="EL222" i="3"/>
  <c r="EK222" i="3"/>
  <c r="EJ222" i="3"/>
  <c r="EI222" i="3"/>
  <c r="EG222" i="3"/>
  <c r="EF222" i="3"/>
  <c r="EE222" i="3"/>
  <c r="ED222" i="3"/>
  <c r="EC222" i="3"/>
  <c r="EB222" i="3"/>
  <c r="EA222" i="3"/>
  <c r="DZ222" i="3"/>
  <c r="EL221" i="3"/>
  <c r="EK221" i="3"/>
  <c r="EJ221" i="3"/>
  <c r="EI221" i="3"/>
  <c r="EH221" i="3"/>
  <c r="EF221" i="3"/>
  <c r="EE221" i="3"/>
  <c r="ED221" i="3"/>
  <c r="EC221" i="3"/>
  <c r="EB221" i="3"/>
  <c r="EA221" i="3"/>
  <c r="DZ221" i="3"/>
  <c r="EL220" i="3"/>
  <c r="EK220" i="3"/>
  <c r="EJ220" i="3"/>
  <c r="EI220" i="3"/>
  <c r="EH220" i="3"/>
  <c r="EG220" i="3"/>
  <c r="EE220" i="3"/>
  <c r="ED220" i="3"/>
  <c r="EC220" i="3"/>
  <c r="EB220" i="3"/>
  <c r="EA220" i="3"/>
  <c r="DZ220" i="3"/>
  <c r="EL219" i="3"/>
  <c r="EK219" i="3"/>
  <c r="EJ219" i="3"/>
  <c r="EI219" i="3"/>
  <c r="EH219" i="3"/>
  <c r="EG219" i="3"/>
  <c r="EF219" i="3"/>
  <c r="ED219" i="3"/>
  <c r="EC219" i="3"/>
  <c r="EB219" i="3"/>
  <c r="EA219" i="3"/>
  <c r="DZ219" i="3"/>
  <c r="EL218" i="3"/>
  <c r="EK218" i="3"/>
  <c r="EJ218" i="3"/>
  <c r="EI218" i="3"/>
  <c r="EH218" i="3"/>
  <c r="EG218" i="3"/>
  <c r="EF218" i="3"/>
  <c r="EE218" i="3"/>
  <c r="EC218" i="3"/>
  <c r="EB218" i="3"/>
  <c r="EA218" i="3"/>
  <c r="DZ218" i="3"/>
  <c r="EL217" i="3"/>
  <c r="EK217" i="3"/>
  <c r="EJ217" i="3"/>
  <c r="EI217" i="3"/>
  <c r="EH217" i="3"/>
  <c r="EG217" i="3"/>
  <c r="EF217" i="3"/>
  <c r="EE217" i="3"/>
  <c r="G217" i="3" s="1"/>
  <c r="ED217" i="3"/>
  <c r="EB217" i="3"/>
  <c r="EA217" i="3"/>
  <c r="DZ217" i="3"/>
  <c r="EL216" i="3"/>
  <c r="EK216" i="3"/>
  <c r="EJ216" i="3"/>
  <c r="EI216" i="3"/>
  <c r="EH216" i="3"/>
  <c r="EG216" i="3"/>
  <c r="EF216" i="3"/>
  <c r="EE216" i="3"/>
  <c r="ED216" i="3"/>
  <c r="EC216" i="3"/>
  <c r="EA216" i="3"/>
  <c r="DZ216" i="3"/>
  <c r="EL215" i="3"/>
  <c r="EK215" i="3"/>
  <c r="EJ215" i="3"/>
  <c r="EI215" i="3"/>
  <c r="EH215" i="3"/>
  <c r="EG215" i="3"/>
  <c r="EF215" i="3"/>
  <c r="EE215" i="3"/>
  <c r="G215" i="3" s="1"/>
  <c r="ED215" i="3"/>
  <c r="EC215" i="3"/>
  <c r="EB215" i="3"/>
  <c r="DZ215" i="3"/>
  <c r="GF214" i="3"/>
  <c r="FZ214" i="3"/>
  <c r="FY214" i="3"/>
  <c r="FW214" i="3"/>
  <c r="FT214" i="3"/>
  <c r="FP214" i="3"/>
  <c r="FM214" i="3"/>
  <c r="FF214" i="3"/>
  <c r="EO214" i="3"/>
  <c r="EM214" i="3"/>
  <c r="EL214" i="3"/>
  <c r="EK214" i="3"/>
  <c r="EJ214" i="3"/>
  <c r="EI214" i="3"/>
  <c r="EH214" i="3"/>
  <c r="EG214" i="3"/>
  <c r="EF214" i="3"/>
  <c r="EE214" i="3"/>
  <c r="ED214" i="3"/>
  <c r="EC214" i="3"/>
  <c r="EB214" i="3"/>
  <c r="EA214" i="3"/>
  <c r="DV213" i="3"/>
  <c r="DU213" i="3"/>
  <c r="DT213" i="3"/>
  <c r="DS213" i="3"/>
  <c r="DR213" i="3"/>
  <c r="DQ213" i="3"/>
  <c r="DP213" i="3"/>
  <c r="DO213" i="3"/>
  <c r="DN213" i="3"/>
  <c r="DM213" i="3"/>
  <c r="DL213" i="3"/>
  <c r="DK213" i="3"/>
  <c r="DJ213" i="3"/>
  <c r="DI213" i="3"/>
  <c r="DH213" i="3"/>
  <c r="DG213" i="3"/>
  <c r="DF213" i="3"/>
  <c r="DE213" i="3"/>
  <c r="DD213" i="3"/>
  <c r="DC213" i="3"/>
  <c r="DB213" i="3"/>
  <c r="DA213" i="3"/>
  <c r="CZ213" i="3"/>
  <c r="CY213" i="3"/>
  <c r="CX213" i="3"/>
  <c r="CW213" i="3"/>
  <c r="CV213" i="3"/>
  <c r="CU213" i="3"/>
  <c r="CT213" i="3"/>
  <c r="CS213" i="3"/>
  <c r="CR213" i="3"/>
  <c r="CQ213" i="3"/>
  <c r="CP213" i="3"/>
  <c r="CO213" i="3"/>
  <c r="CN213" i="3"/>
  <c r="CM213" i="3"/>
  <c r="CL213" i="3"/>
  <c r="CK213" i="3"/>
  <c r="CJ213" i="3"/>
  <c r="CI213" i="3"/>
  <c r="CH213" i="3"/>
  <c r="CG213" i="3"/>
  <c r="CF213" i="3"/>
  <c r="CE213" i="3"/>
  <c r="CD213" i="3"/>
  <c r="CC213" i="3"/>
  <c r="CB213" i="3"/>
  <c r="CA213" i="3"/>
  <c r="BZ213" i="3"/>
  <c r="BY213" i="3"/>
  <c r="BX213" i="3"/>
  <c r="BW213" i="3"/>
  <c r="BV213" i="3"/>
  <c r="BU213" i="3"/>
  <c r="BT213" i="3"/>
  <c r="BS213" i="3"/>
  <c r="BR213" i="3"/>
  <c r="BQ213" i="3"/>
  <c r="BP213" i="3"/>
  <c r="BO213" i="3"/>
  <c r="BN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H230" i="3" s="1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FY205" i="3"/>
  <c r="FR205" i="3"/>
  <c r="FY204" i="3"/>
  <c r="FR204" i="3"/>
  <c r="FQ204" i="3"/>
  <c r="FN203" i="3"/>
  <c r="FM203" i="3"/>
  <c r="FO202" i="3"/>
  <c r="FM202" i="3"/>
  <c r="FO201" i="3"/>
  <c r="FN201" i="3"/>
  <c r="GC200" i="3"/>
  <c r="GB200" i="3"/>
  <c r="GA200" i="3"/>
  <c r="FY200" i="3"/>
  <c r="FV200" i="3"/>
  <c r="FU200" i="3"/>
  <c r="FT200" i="3"/>
  <c r="FS200" i="3"/>
  <c r="FR200" i="3"/>
  <c r="FQ200" i="3"/>
  <c r="FP200" i="3"/>
  <c r="FK200" i="3"/>
  <c r="FJ200" i="3"/>
  <c r="FI200" i="3"/>
  <c r="FH200" i="3"/>
  <c r="FG200" i="3"/>
  <c r="FF200" i="3"/>
  <c r="GC199" i="3"/>
  <c r="GB199" i="3"/>
  <c r="GA199" i="3"/>
  <c r="FY199" i="3"/>
  <c r="FV199" i="3"/>
  <c r="FU199" i="3"/>
  <c r="FT199" i="3"/>
  <c r="FS199" i="3"/>
  <c r="FR199" i="3"/>
  <c r="FQ199" i="3"/>
  <c r="FP199" i="3"/>
  <c r="FL199" i="3"/>
  <c r="FJ199" i="3"/>
  <c r="FI199" i="3"/>
  <c r="FH199" i="3"/>
  <c r="FG199" i="3"/>
  <c r="FF199" i="3"/>
  <c r="GC198" i="3"/>
  <c r="GB198" i="3"/>
  <c r="GA198" i="3"/>
  <c r="FY198" i="3"/>
  <c r="FV198" i="3"/>
  <c r="FU198" i="3"/>
  <c r="FT198" i="3"/>
  <c r="FS198" i="3"/>
  <c r="FR198" i="3"/>
  <c r="FQ198" i="3"/>
  <c r="FP198" i="3"/>
  <c r="FL198" i="3"/>
  <c r="FK198" i="3"/>
  <c r="FI198" i="3"/>
  <c r="FH198" i="3"/>
  <c r="FG198" i="3"/>
  <c r="FF198" i="3"/>
  <c r="GC197" i="3"/>
  <c r="GB197" i="3"/>
  <c r="GA197" i="3"/>
  <c r="FY197" i="3"/>
  <c r="FV197" i="3"/>
  <c r="FU197" i="3"/>
  <c r="FT197" i="3"/>
  <c r="FS197" i="3"/>
  <c r="FR197" i="3"/>
  <c r="FQ197" i="3"/>
  <c r="FP197" i="3"/>
  <c r="FL197" i="3"/>
  <c r="FK197" i="3"/>
  <c r="FJ197" i="3"/>
  <c r="FH197" i="3"/>
  <c r="FG197" i="3"/>
  <c r="FF197" i="3"/>
  <c r="GC196" i="3"/>
  <c r="GB196" i="3"/>
  <c r="GA196" i="3"/>
  <c r="FY196" i="3"/>
  <c r="FV196" i="3"/>
  <c r="FU196" i="3"/>
  <c r="FT196" i="3"/>
  <c r="FS196" i="3"/>
  <c r="FR196" i="3"/>
  <c r="FQ196" i="3"/>
  <c r="FP196" i="3"/>
  <c r="FL196" i="3"/>
  <c r="FK196" i="3"/>
  <c r="FJ196" i="3"/>
  <c r="FI196" i="3"/>
  <c r="FG196" i="3"/>
  <c r="FF196" i="3"/>
  <c r="FY195" i="3"/>
  <c r="FU195" i="3"/>
  <c r="FT195" i="3"/>
  <c r="FR195" i="3"/>
  <c r="FQ195" i="3"/>
  <c r="FP195" i="3"/>
  <c r="FL195" i="3"/>
  <c r="FK195" i="3"/>
  <c r="FJ195" i="3"/>
  <c r="FI195" i="3"/>
  <c r="FH195" i="3"/>
  <c r="FF195" i="3"/>
  <c r="GC194" i="3"/>
  <c r="GB194" i="3"/>
  <c r="GA194" i="3"/>
  <c r="FY194" i="3"/>
  <c r="FV194" i="3"/>
  <c r="FT194" i="3"/>
  <c r="FS194" i="3"/>
  <c r="FR194" i="3"/>
  <c r="FQ194" i="3"/>
  <c r="FP194" i="3"/>
  <c r="FL194" i="3"/>
  <c r="FK194" i="3"/>
  <c r="FJ194" i="3"/>
  <c r="FI194" i="3"/>
  <c r="FH194" i="3"/>
  <c r="FG194" i="3"/>
  <c r="GD193" i="3"/>
  <c r="FZ193" i="3"/>
  <c r="FD193" i="3"/>
  <c r="FC193" i="3"/>
  <c r="FB193" i="3"/>
  <c r="FA193" i="3"/>
  <c r="EZ193" i="3"/>
  <c r="EY193" i="3"/>
  <c r="EX193" i="3"/>
  <c r="EW193" i="3"/>
  <c r="EV193" i="3"/>
  <c r="EU193" i="3"/>
  <c r="ET193" i="3"/>
  <c r="ES193" i="3"/>
  <c r="ER193" i="3"/>
  <c r="EQ193" i="3"/>
  <c r="EP193" i="3"/>
  <c r="EO193" i="3"/>
  <c r="GE192" i="3"/>
  <c r="GD192" i="3"/>
  <c r="FZ192" i="3"/>
  <c r="FE192" i="3"/>
  <c r="FC192" i="3"/>
  <c r="FB192" i="3"/>
  <c r="FA192" i="3"/>
  <c r="EZ192" i="3"/>
  <c r="EY192" i="3"/>
  <c r="EX192" i="3"/>
  <c r="EW192" i="3"/>
  <c r="EV192" i="3"/>
  <c r="EU192" i="3"/>
  <c r="ET192" i="3"/>
  <c r="ES192" i="3"/>
  <c r="ER192" i="3"/>
  <c r="EQ192" i="3"/>
  <c r="EP192" i="3"/>
  <c r="EO192" i="3"/>
  <c r="GE191" i="3"/>
  <c r="FZ191" i="3"/>
  <c r="FE191" i="3"/>
  <c r="FD191" i="3"/>
  <c r="FB191" i="3"/>
  <c r="FA191" i="3"/>
  <c r="EZ191" i="3"/>
  <c r="EY191" i="3"/>
  <c r="EX191" i="3"/>
  <c r="EW191" i="3"/>
  <c r="EV191" i="3"/>
  <c r="EU191" i="3"/>
  <c r="ET191" i="3"/>
  <c r="ES191" i="3"/>
  <c r="ER191" i="3"/>
  <c r="EQ191" i="3"/>
  <c r="EP191" i="3"/>
  <c r="EO191" i="3"/>
  <c r="GE190" i="3"/>
  <c r="GD190" i="3"/>
  <c r="FZ190" i="3"/>
  <c r="FE190" i="3"/>
  <c r="FD190" i="3"/>
  <c r="FC190" i="3"/>
  <c r="FA190" i="3"/>
  <c r="EZ190" i="3"/>
  <c r="EY190" i="3"/>
  <c r="EX190" i="3"/>
  <c r="EW190" i="3"/>
  <c r="EV190" i="3"/>
  <c r="EU190" i="3"/>
  <c r="ET190" i="3"/>
  <c r="ES190" i="3"/>
  <c r="ER190" i="3"/>
  <c r="EQ190" i="3"/>
  <c r="EP190" i="3"/>
  <c r="EO190" i="3"/>
  <c r="GE189" i="3"/>
  <c r="GD189" i="3"/>
  <c r="FZ189" i="3"/>
  <c r="FE189" i="3"/>
  <c r="FD189" i="3"/>
  <c r="FC189" i="3"/>
  <c r="FB189" i="3"/>
  <c r="EZ189" i="3"/>
  <c r="EY189" i="3"/>
  <c r="EX189" i="3"/>
  <c r="EW189" i="3"/>
  <c r="EV189" i="3"/>
  <c r="EU189" i="3"/>
  <c r="ET189" i="3"/>
  <c r="ES189" i="3"/>
  <c r="ER189" i="3"/>
  <c r="EQ189" i="3"/>
  <c r="EP189" i="3"/>
  <c r="EO189" i="3"/>
  <c r="GE188" i="3"/>
  <c r="GD188" i="3"/>
  <c r="FZ188" i="3"/>
  <c r="FE188" i="3"/>
  <c r="FD188" i="3"/>
  <c r="FC188" i="3"/>
  <c r="FB188" i="3"/>
  <c r="FA188" i="3"/>
  <c r="EY188" i="3"/>
  <c r="EX188" i="3"/>
  <c r="EW188" i="3"/>
  <c r="EV188" i="3"/>
  <c r="EU188" i="3"/>
  <c r="ET188" i="3"/>
  <c r="ES188" i="3"/>
  <c r="ER188" i="3"/>
  <c r="EQ188" i="3"/>
  <c r="EP188" i="3"/>
  <c r="EO188" i="3"/>
  <c r="GE187" i="3"/>
  <c r="GD187" i="3"/>
  <c r="FZ187" i="3"/>
  <c r="FE187" i="3"/>
  <c r="FD187" i="3"/>
  <c r="FC187" i="3"/>
  <c r="FB187" i="3"/>
  <c r="FA187" i="3"/>
  <c r="EZ187" i="3"/>
  <c r="EX187" i="3"/>
  <c r="EW187" i="3"/>
  <c r="EV187" i="3"/>
  <c r="EU187" i="3"/>
  <c r="ET187" i="3"/>
  <c r="ES187" i="3"/>
  <c r="ER187" i="3"/>
  <c r="EQ187" i="3"/>
  <c r="EP187" i="3"/>
  <c r="EO187" i="3"/>
  <c r="GE186" i="3"/>
  <c r="GD186" i="3"/>
  <c r="FZ186" i="3"/>
  <c r="FE186" i="3"/>
  <c r="FD186" i="3"/>
  <c r="FC186" i="3"/>
  <c r="FB186" i="3"/>
  <c r="FA186" i="3"/>
  <c r="EZ186" i="3"/>
  <c r="EY186" i="3"/>
  <c r="EW186" i="3"/>
  <c r="EV186" i="3"/>
  <c r="EU186" i="3"/>
  <c r="ET186" i="3"/>
  <c r="ES186" i="3"/>
  <c r="ER186" i="3"/>
  <c r="EQ186" i="3"/>
  <c r="EP186" i="3"/>
  <c r="EO186" i="3"/>
  <c r="GE185" i="3"/>
  <c r="GD185" i="3"/>
  <c r="FZ185" i="3"/>
  <c r="FE185" i="3"/>
  <c r="FD185" i="3"/>
  <c r="FC185" i="3"/>
  <c r="FB185" i="3"/>
  <c r="FA185" i="3"/>
  <c r="EZ185" i="3"/>
  <c r="EY185" i="3"/>
  <c r="EX185" i="3"/>
  <c r="EV185" i="3"/>
  <c r="EU185" i="3"/>
  <c r="ET185" i="3"/>
  <c r="ES185" i="3"/>
  <c r="ER185" i="3"/>
  <c r="EQ185" i="3"/>
  <c r="EP185" i="3"/>
  <c r="EO185" i="3"/>
  <c r="GE184" i="3"/>
  <c r="GD184" i="3"/>
  <c r="FZ184" i="3"/>
  <c r="FE184" i="3"/>
  <c r="FD184" i="3"/>
  <c r="FC184" i="3"/>
  <c r="FB184" i="3"/>
  <c r="FA184" i="3"/>
  <c r="EZ184" i="3"/>
  <c r="EY184" i="3"/>
  <c r="EX184" i="3"/>
  <c r="EW184" i="3"/>
  <c r="EU184" i="3"/>
  <c r="ET184" i="3"/>
  <c r="ES184" i="3"/>
  <c r="ER184" i="3"/>
  <c r="EQ184" i="3"/>
  <c r="EP184" i="3"/>
  <c r="EO184" i="3"/>
  <c r="GE183" i="3"/>
  <c r="GD183" i="3"/>
  <c r="FE183" i="3"/>
  <c r="FD183" i="3"/>
  <c r="FC183" i="3"/>
  <c r="FB183" i="3"/>
  <c r="FA183" i="3"/>
  <c r="EZ183" i="3"/>
  <c r="EY183" i="3"/>
  <c r="EX183" i="3"/>
  <c r="EW183" i="3"/>
  <c r="EV183" i="3"/>
  <c r="ET183" i="3"/>
  <c r="ES183" i="3"/>
  <c r="ER183" i="3"/>
  <c r="EQ183" i="3"/>
  <c r="EP183" i="3"/>
  <c r="EO183" i="3"/>
  <c r="GE182" i="3"/>
  <c r="GD182" i="3"/>
  <c r="FZ182" i="3"/>
  <c r="FE182" i="3"/>
  <c r="FD182" i="3"/>
  <c r="FC182" i="3"/>
  <c r="FB182" i="3"/>
  <c r="FA182" i="3"/>
  <c r="EZ182" i="3"/>
  <c r="EY182" i="3"/>
  <c r="EX182" i="3"/>
  <c r="EW182" i="3"/>
  <c r="EV182" i="3"/>
  <c r="EU182" i="3"/>
  <c r="ES182" i="3"/>
  <c r="ER182" i="3"/>
  <c r="EQ182" i="3"/>
  <c r="EP182" i="3"/>
  <c r="EO182" i="3"/>
  <c r="GE181" i="3"/>
  <c r="GD181" i="3"/>
  <c r="FZ181" i="3"/>
  <c r="FE181" i="3"/>
  <c r="FD181" i="3"/>
  <c r="FC181" i="3"/>
  <c r="FB181" i="3"/>
  <c r="FA181" i="3"/>
  <c r="EZ181" i="3"/>
  <c r="EY181" i="3"/>
  <c r="EX181" i="3"/>
  <c r="EW181" i="3"/>
  <c r="EV181" i="3"/>
  <c r="EU181" i="3"/>
  <c r="ET181" i="3"/>
  <c r="ER181" i="3"/>
  <c r="EQ181" i="3"/>
  <c r="EP181" i="3"/>
  <c r="EO181" i="3"/>
  <c r="GE180" i="3"/>
  <c r="GD180" i="3"/>
  <c r="FZ180" i="3"/>
  <c r="FE180" i="3"/>
  <c r="FD180" i="3"/>
  <c r="FC180" i="3"/>
  <c r="FB180" i="3"/>
  <c r="FA180" i="3"/>
  <c r="EZ180" i="3"/>
  <c r="EY180" i="3"/>
  <c r="EX180" i="3"/>
  <c r="EW180" i="3"/>
  <c r="EV180" i="3"/>
  <c r="EU180" i="3"/>
  <c r="ET180" i="3"/>
  <c r="ES180" i="3"/>
  <c r="EQ180" i="3"/>
  <c r="EP180" i="3"/>
  <c r="EO180" i="3"/>
  <c r="GE179" i="3"/>
  <c r="GD179" i="3"/>
  <c r="FZ179" i="3"/>
  <c r="FE179" i="3"/>
  <c r="FD179" i="3"/>
  <c r="FC179" i="3"/>
  <c r="FB179" i="3"/>
  <c r="FA179" i="3"/>
  <c r="EZ179" i="3"/>
  <c r="EY179" i="3"/>
  <c r="EX179" i="3"/>
  <c r="EW179" i="3"/>
  <c r="EV179" i="3"/>
  <c r="EU179" i="3"/>
  <c r="ET179" i="3"/>
  <c r="ES179" i="3"/>
  <c r="ER179" i="3"/>
  <c r="EP179" i="3"/>
  <c r="EO179" i="3"/>
  <c r="GE178" i="3"/>
  <c r="GD178" i="3"/>
  <c r="FZ178" i="3"/>
  <c r="FE178" i="3"/>
  <c r="FD178" i="3"/>
  <c r="FC178" i="3"/>
  <c r="FB178" i="3"/>
  <c r="FA178" i="3"/>
  <c r="EZ178" i="3"/>
  <c r="EY178" i="3"/>
  <c r="EX178" i="3"/>
  <c r="EW178" i="3"/>
  <c r="EV178" i="3"/>
  <c r="EU178" i="3"/>
  <c r="ET178" i="3"/>
  <c r="ES178" i="3"/>
  <c r="ER178" i="3"/>
  <c r="EQ178" i="3"/>
  <c r="EO178" i="3"/>
  <c r="GE177" i="3"/>
  <c r="GD177" i="3"/>
  <c r="FZ177" i="3"/>
  <c r="FE177" i="3"/>
  <c r="FD177" i="3"/>
  <c r="FC177" i="3"/>
  <c r="FB177" i="3"/>
  <c r="FA177" i="3"/>
  <c r="EZ177" i="3"/>
  <c r="EY177" i="3"/>
  <c r="EX177" i="3"/>
  <c r="EW177" i="3"/>
  <c r="EV177" i="3"/>
  <c r="EU177" i="3"/>
  <c r="ET177" i="3"/>
  <c r="ES177" i="3"/>
  <c r="ER177" i="3"/>
  <c r="EQ177" i="3"/>
  <c r="EP177" i="3"/>
  <c r="DZ175" i="3"/>
  <c r="EK174" i="3"/>
  <c r="EJ174" i="3"/>
  <c r="EI174" i="3"/>
  <c r="EH174" i="3"/>
  <c r="EG174" i="3"/>
  <c r="EF174" i="3"/>
  <c r="EE174" i="3"/>
  <c r="ED174" i="3"/>
  <c r="EC174" i="3"/>
  <c r="EB174" i="3"/>
  <c r="EA174" i="3"/>
  <c r="DZ174" i="3"/>
  <c r="EL173" i="3"/>
  <c r="EJ173" i="3"/>
  <c r="EI173" i="3"/>
  <c r="EH173" i="3"/>
  <c r="EG173" i="3"/>
  <c r="EF173" i="3"/>
  <c r="EE173" i="3"/>
  <c r="ED173" i="3"/>
  <c r="EC173" i="3"/>
  <c r="EB173" i="3"/>
  <c r="EA173" i="3"/>
  <c r="DZ173" i="3"/>
  <c r="EL172" i="3"/>
  <c r="EK172" i="3"/>
  <c r="EI172" i="3"/>
  <c r="EH172" i="3"/>
  <c r="EG172" i="3"/>
  <c r="EF172" i="3"/>
  <c r="EE172" i="3"/>
  <c r="ED172" i="3"/>
  <c r="EC172" i="3"/>
  <c r="EB172" i="3"/>
  <c r="EA172" i="3"/>
  <c r="DZ172" i="3"/>
  <c r="EL171" i="3"/>
  <c r="EK171" i="3"/>
  <c r="EJ171" i="3"/>
  <c r="EH171" i="3"/>
  <c r="EG171" i="3"/>
  <c r="EF171" i="3"/>
  <c r="EE171" i="3"/>
  <c r="ED171" i="3"/>
  <c r="EC171" i="3"/>
  <c r="EB171" i="3"/>
  <c r="EA171" i="3"/>
  <c r="DZ171" i="3"/>
  <c r="EL170" i="3"/>
  <c r="EK170" i="3"/>
  <c r="EJ170" i="3"/>
  <c r="EI170" i="3"/>
  <c r="EG170" i="3"/>
  <c r="EF170" i="3"/>
  <c r="EE170" i="3"/>
  <c r="ED170" i="3"/>
  <c r="EC170" i="3"/>
  <c r="EB170" i="3"/>
  <c r="EA170" i="3"/>
  <c r="DZ170" i="3"/>
  <c r="EL169" i="3"/>
  <c r="EK169" i="3"/>
  <c r="EJ169" i="3"/>
  <c r="EI169" i="3"/>
  <c r="EH169" i="3"/>
  <c r="EF169" i="3"/>
  <c r="EE169" i="3"/>
  <c r="ED169" i="3"/>
  <c r="EC169" i="3"/>
  <c r="EB169" i="3"/>
  <c r="EA169" i="3"/>
  <c r="DZ169" i="3"/>
  <c r="EL168" i="3"/>
  <c r="EK168" i="3"/>
  <c r="EJ168" i="3"/>
  <c r="EI168" i="3"/>
  <c r="EH168" i="3"/>
  <c r="EG168" i="3"/>
  <c r="EE168" i="3"/>
  <c r="ED168" i="3"/>
  <c r="EC168" i="3"/>
  <c r="EB168" i="3"/>
  <c r="EA168" i="3"/>
  <c r="DZ168" i="3"/>
  <c r="EL167" i="3"/>
  <c r="EK167" i="3"/>
  <c r="EJ167" i="3"/>
  <c r="EI167" i="3"/>
  <c r="EH167" i="3"/>
  <c r="EG167" i="3"/>
  <c r="EF167" i="3"/>
  <c r="ED167" i="3"/>
  <c r="EC167" i="3"/>
  <c r="EB167" i="3"/>
  <c r="EA167" i="3"/>
  <c r="DZ167" i="3"/>
  <c r="EL166" i="3"/>
  <c r="EK166" i="3"/>
  <c r="EJ166" i="3"/>
  <c r="EI166" i="3"/>
  <c r="EH166" i="3"/>
  <c r="EG166" i="3"/>
  <c r="EF166" i="3"/>
  <c r="EE166" i="3"/>
  <c r="EC166" i="3"/>
  <c r="EB166" i="3"/>
  <c r="EA166" i="3"/>
  <c r="DZ166" i="3"/>
  <c r="EL165" i="3"/>
  <c r="EK165" i="3"/>
  <c r="EJ165" i="3"/>
  <c r="EI165" i="3"/>
  <c r="EH165" i="3"/>
  <c r="EG165" i="3"/>
  <c r="EF165" i="3"/>
  <c r="EE165" i="3"/>
  <c r="ED165" i="3"/>
  <c r="EB165" i="3"/>
  <c r="EA165" i="3"/>
  <c r="DZ165" i="3"/>
  <c r="EL164" i="3"/>
  <c r="EK164" i="3"/>
  <c r="EJ164" i="3"/>
  <c r="EI164" i="3"/>
  <c r="EH164" i="3"/>
  <c r="EG164" i="3"/>
  <c r="EF164" i="3"/>
  <c r="EE164" i="3"/>
  <c r="ED164" i="3"/>
  <c r="EC164" i="3"/>
  <c r="EA164" i="3"/>
  <c r="DZ164" i="3"/>
  <c r="EL163" i="3"/>
  <c r="EK163" i="3"/>
  <c r="EJ163" i="3"/>
  <c r="EI163" i="3"/>
  <c r="EH163" i="3"/>
  <c r="EG163" i="3"/>
  <c r="EF163" i="3"/>
  <c r="EE163" i="3"/>
  <c r="ED163" i="3"/>
  <c r="EC163" i="3"/>
  <c r="EB163" i="3"/>
  <c r="DZ163" i="3"/>
  <c r="GF162" i="3"/>
  <c r="FZ162" i="3"/>
  <c r="FY162" i="3"/>
  <c r="FW162" i="3"/>
  <c r="FT162" i="3"/>
  <c r="FP162" i="3"/>
  <c r="FM162" i="3"/>
  <c r="FF162" i="3"/>
  <c r="EO162" i="3"/>
  <c r="EM162" i="3"/>
  <c r="EL162" i="3"/>
  <c r="EK162" i="3"/>
  <c r="EJ162" i="3"/>
  <c r="EI162" i="3"/>
  <c r="EH162" i="3"/>
  <c r="EG162" i="3"/>
  <c r="EF162" i="3"/>
  <c r="EE162" i="3"/>
  <c r="ED162" i="3"/>
  <c r="EC162" i="3"/>
  <c r="EB162" i="3"/>
  <c r="EA162" i="3"/>
  <c r="DV161" i="3"/>
  <c r="DU161" i="3"/>
  <c r="DT161" i="3"/>
  <c r="DS161" i="3"/>
  <c r="DR161" i="3"/>
  <c r="DQ161" i="3"/>
  <c r="DP161" i="3"/>
  <c r="DO161" i="3"/>
  <c r="DN161" i="3"/>
  <c r="DM161" i="3"/>
  <c r="DL161" i="3"/>
  <c r="DK161" i="3"/>
  <c r="DJ161" i="3"/>
  <c r="DI161" i="3"/>
  <c r="DH161" i="3"/>
  <c r="DG161" i="3"/>
  <c r="DF161" i="3"/>
  <c r="DE161" i="3"/>
  <c r="DD161" i="3"/>
  <c r="DC161" i="3"/>
  <c r="DB161" i="3"/>
  <c r="DA161" i="3"/>
  <c r="CZ161" i="3"/>
  <c r="CY161" i="3"/>
  <c r="CX161" i="3"/>
  <c r="CW161" i="3"/>
  <c r="CV161" i="3"/>
  <c r="CU161" i="3"/>
  <c r="CT161" i="3"/>
  <c r="CS161" i="3"/>
  <c r="CR161" i="3"/>
  <c r="CQ161" i="3"/>
  <c r="CP161" i="3"/>
  <c r="CO161" i="3"/>
  <c r="CN161" i="3"/>
  <c r="CM161" i="3"/>
  <c r="CL161" i="3"/>
  <c r="CK161" i="3"/>
  <c r="CJ161" i="3"/>
  <c r="CI161" i="3"/>
  <c r="CH161" i="3"/>
  <c r="CG161" i="3"/>
  <c r="CF161" i="3"/>
  <c r="CE161" i="3"/>
  <c r="CD161" i="3"/>
  <c r="CC161" i="3"/>
  <c r="CB161" i="3"/>
  <c r="CA161" i="3"/>
  <c r="BZ161" i="3"/>
  <c r="BY161" i="3"/>
  <c r="BX161" i="3"/>
  <c r="BW161" i="3"/>
  <c r="BV161" i="3"/>
  <c r="BU161" i="3"/>
  <c r="BT161" i="3"/>
  <c r="BS161" i="3"/>
  <c r="BR161" i="3"/>
  <c r="BQ161" i="3"/>
  <c r="BP161" i="3"/>
  <c r="BO161" i="3"/>
  <c r="BN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T206" i="3" s="1"/>
  <c r="AS161" i="3"/>
  <c r="AS205" i="3" s="1"/>
  <c r="AR161" i="3"/>
  <c r="AQ161" i="3"/>
  <c r="AP161" i="3"/>
  <c r="AO161" i="3"/>
  <c r="AN161" i="3"/>
  <c r="AN200" i="3" s="1"/>
  <c r="AM161" i="3"/>
  <c r="AL161" i="3"/>
  <c r="AK161" i="3"/>
  <c r="AJ161" i="3"/>
  <c r="AJ196" i="3" s="1"/>
  <c r="AI161" i="3"/>
  <c r="AH161" i="3"/>
  <c r="AH194" i="3" s="1"/>
  <c r="AG161" i="3"/>
  <c r="AG193" i="3" s="1"/>
  <c r="AF161" i="3"/>
  <c r="AF192" i="3" s="1"/>
  <c r="AE161" i="3"/>
  <c r="AE191" i="3" s="1"/>
  <c r="AD161" i="3"/>
  <c r="AC161" i="3"/>
  <c r="AB161" i="3"/>
  <c r="AB188" i="3" s="1"/>
  <c r="AA161" i="3"/>
  <c r="AA187" i="3" s="1"/>
  <c r="Z161" i="3"/>
  <c r="Z186" i="3" s="1"/>
  <c r="Y161" i="3"/>
  <c r="Y185" i="3" s="1"/>
  <c r="X161" i="3"/>
  <c r="X184" i="3" s="1"/>
  <c r="W161" i="3"/>
  <c r="V161" i="3"/>
  <c r="V182" i="3" s="1"/>
  <c r="U161" i="3"/>
  <c r="U181" i="3" s="1"/>
  <c r="T161" i="3"/>
  <c r="T180" i="3" s="1"/>
  <c r="S161" i="3"/>
  <c r="R161" i="3"/>
  <c r="R165" i="3" s="1"/>
  <c r="Q161" i="3"/>
  <c r="Q199" i="3" s="1"/>
  <c r="P161" i="3"/>
  <c r="P176" i="3" s="1"/>
  <c r="O161" i="3"/>
  <c r="O175" i="3" s="1"/>
  <c r="N161" i="3"/>
  <c r="N174" i="3" s="1"/>
  <c r="M161" i="3"/>
  <c r="M199" i="3" s="1"/>
  <c r="L161" i="3"/>
  <c r="L172" i="3" s="1"/>
  <c r="K161" i="3"/>
  <c r="J161" i="3"/>
  <c r="J170" i="3" s="1"/>
  <c r="I161" i="3"/>
  <c r="H161" i="3"/>
  <c r="G161" i="3"/>
  <c r="G167" i="3" s="1"/>
  <c r="F161" i="3"/>
  <c r="F166" i="3" s="1"/>
  <c r="E161" i="3"/>
  <c r="D161" i="3"/>
  <c r="D164" i="3" s="1"/>
  <c r="C161" i="3"/>
  <c r="B161" i="3"/>
  <c r="FY154" i="3"/>
  <c r="FR154" i="3"/>
  <c r="FY153" i="3"/>
  <c r="FR153" i="3"/>
  <c r="FQ153" i="3"/>
  <c r="FN152" i="3"/>
  <c r="FM152" i="3"/>
  <c r="FO151" i="3"/>
  <c r="FM151" i="3"/>
  <c r="FO150" i="3"/>
  <c r="FN150" i="3"/>
  <c r="GC149" i="3"/>
  <c r="GB149" i="3"/>
  <c r="GA149" i="3"/>
  <c r="FY149" i="3"/>
  <c r="FV149" i="3"/>
  <c r="FU149" i="3"/>
  <c r="FT149" i="3"/>
  <c r="FS149" i="3"/>
  <c r="FR149" i="3"/>
  <c r="FQ149" i="3"/>
  <c r="FP149" i="3"/>
  <c r="FK149" i="3"/>
  <c r="FJ149" i="3"/>
  <c r="FI149" i="3"/>
  <c r="FH149" i="3"/>
  <c r="FG149" i="3"/>
  <c r="FF149" i="3"/>
  <c r="GC148" i="3"/>
  <c r="GB148" i="3"/>
  <c r="GA148" i="3"/>
  <c r="FY148" i="3"/>
  <c r="FV148" i="3"/>
  <c r="FU148" i="3"/>
  <c r="FT148" i="3"/>
  <c r="FS148" i="3"/>
  <c r="FR148" i="3"/>
  <c r="FQ148" i="3"/>
  <c r="FP148" i="3"/>
  <c r="FL148" i="3"/>
  <c r="FJ148" i="3"/>
  <c r="FI148" i="3"/>
  <c r="FH148" i="3"/>
  <c r="FG148" i="3"/>
  <c r="FF148" i="3"/>
  <c r="GC147" i="3"/>
  <c r="GB147" i="3"/>
  <c r="GA147" i="3"/>
  <c r="FY147" i="3"/>
  <c r="FV147" i="3"/>
  <c r="FU147" i="3"/>
  <c r="FT147" i="3"/>
  <c r="FS147" i="3"/>
  <c r="FR147" i="3"/>
  <c r="FQ147" i="3"/>
  <c r="FP147" i="3"/>
  <c r="FL147" i="3"/>
  <c r="FK147" i="3"/>
  <c r="FI147" i="3"/>
  <c r="FH147" i="3"/>
  <c r="FG147" i="3"/>
  <c r="FF147" i="3"/>
  <c r="GC146" i="3"/>
  <c r="GB146" i="3"/>
  <c r="GA146" i="3"/>
  <c r="FY146" i="3"/>
  <c r="FV146" i="3"/>
  <c r="FU146" i="3"/>
  <c r="FT146" i="3"/>
  <c r="FS146" i="3"/>
  <c r="FR146" i="3"/>
  <c r="FQ146" i="3"/>
  <c r="FP146" i="3"/>
  <c r="FL146" i="3"/>
  <c r="FK146" i="3"/>
  <c r="FJ146" i="3"/>
  <c r="FH146" i="3"/>
  <c r="FG146" i="3"/>
  <c r="FF146" i="3"/>
  <c r="GC145" i="3"/>
  <c r="GB145" i="3"/>
  <c r="GA145" i="3"/>
  <c r="FY145" i="3"/>
  <c r="FV145" i="3"/>
  <c r="FU145" i="3"/>
  <c r="FT145" i="3"/>
  <c r="FS145" i="3"/>
  <c r="FR145" i="3"/>
  <c r="FQ145" i="3"/>
  <c r="FP145" i="3"/>
  <c r="FL145" i="3"/>
  <c r="FK145" i="3"/>
  <c r="FJ145" i="3"/>
  <c r="FI145" i="3"/>
  <c r="FG145" i="3"/>
  <c r="FF145" i="3"/>
  <c r="FY144" i="3"/>
  <c r="FU144" i="3"/>
  <c r="FT144" i="3"/>
  <c r="FR144" i="3"/>
  <c r="FQ144" i="3"/>
  <c r="FP144" i="3"/>
  <c r="FL144" i="3"/>
  <c r="FK144" i="3"/>
  <c r="FJ144" i="3"/>
  <c r="FI144" i="3"/>
  <c r="FH144" i="3"/>
  <c r="FF144" i="3"/>
  <c r="GC143" i="3"/>
  <c r="GB143" i="3"/>
  <c r="GA143" i="3"/>
  <c r="FY143" i="3"/>
  <c r="FV143" i="3"/>
  <c r="FT143" i="3"/>
  <c r="FS143" i="3"/>
  <c r="FR143" i="3"/>
  <c r="FQ143" i="3"/>
  <c r="FP143" i="3"/>
  <c r="FL143" i="3"/>
  <c r="FK143" i="3"/>
  <c r="FJ143" i="3"/>
  <c r="FI143" i="3"/>
  <c r="FH143" i="3"/>
  <c r="FG143" i="3"/>
  <c r="GD142" i="3"/>
  <c r="FZ142" i="3"/>
  <c r="FD142" i="3"/>
  <c r="FC142" i="3"/>
  <c r="FB142" i="3"/>
  <c r="FA142" i="3"/>
  <c r="EZ142" i="3"/>
  <c r="EY142" i="3"/>
  <c r="EX142" i="3"/>
  <c r="EW142" i="3"/>
  <c r="EV142" i="3"/>
  <c r="EU142" i="3"/>
  <c r="ET142" i="3"/>
  <c r="ES142" i="3"/>
  <c r="ER142" i="3"/>
  <c r="EQ142" i="3"/>
  <c r="EP142" i="3"/>
  <c r="EO142" i="3"/>
  <c r="GE141" i="3"/>
  <c r="GD141" i="3"/>
  <c r="FZ141" i="3"/>
  <c r="FE141" i="3"/>
  <c r="FC141" i="3"/>
  <c r="FB141" i="3"/>
  <c r="FA141" i="3"/>
  <c r="EZ141" i="3"/>
  <c r="EY141" i="3"/>
  <c r="EX141" i="3"/>
  <c r="EW141" i="3"/>
  <c r="EV141" i="3"/>
  <c r="EU141" i="3"/>
  <c r="ET141" i="3"/>
  <c r="ES141" i="3"/>
  <c r="ER141" i="3"/>
  <c r="EQ141" i="3"/>
  <c r="EP141" i="3"/>
  <c r="EO141" i="3"/>
  <c r="GE140" i="3"/>
  <c r="FZ140" i="3"/>
  <c r="FE140" i="3"/>
  <c r="FD140" i="3"/>
  <c r="FB140" i="3"/>
  <c r="FA140" i="3"/>
  <c r="EZ140" i="3"/>
  <c r="EY140" i="3"/>
  <c r="EX140" i="3"/>
  <c r="EW140" i="3"/>
  <c r="EV140" i="3"/>
  <c r="EU140" i="3"/>
  <c r="ET140" i="3"/>
  <c r="ES140" i="3"/>
  <c r="ER140" i="3"/>
  <c r="EQ140" i="3"/>
  <c r="EP140" i="3"/>
  <c r="EO140" i="3"/>
  <c r="GE139" i="3"/>
  <c r="GD139" i="3"/>
  <c r="FZ139" i="3"/>
  <c r="FE139" i="3"/>
  <c r="FD139" i="3"/>
  <c r="FC139" i="3"/>
  <c r="FA139" i="3"/>
  <c r="EZ139" i="3"/>
  <c r="EY139" i="3"/>
  <c r="EX139" i="3"/>
  <c r="EW139" i="3"/>
  <c r="EV139" i="3"/>
  <c r="EU139" i="3"/>
  <c r="ET139" i="3"/>
  <c r="ES139" i="3"/>
  <c r="ER139" i="3"/>
  <c r="EQ139" i="3"/>
  <c r="EP139" i="3"/>
  <c r="EO139" i="3"/>
  <c r="GE138" i="3"/>
  <c r="GD138" i="3"/>
  <c r="FZ138" i="3"/>
  <c r="FE138" i="3"/>
  <c r="FD138" i="3"/>
  <c r="FC138" i="3"/>
  <c r="FB138" i="3"/>
  <c r="EZ138" i="3"/>
  <c r="EY138" i="3"/>
  <c r="EX138" i="3"/>
  <c r="EW138" i="3"/>
  <c r="EV138" i="3"/>
  <c r="EU138" i="3"/>
  <c r="ET138" i="3"/>
  <c r="ES138" i="3"/>
  <c r="ER138" i="3"/>
  <c r="EQ138" i="3"/>
  <c r="EP138" i="3"/>
  <c r="EO138" i="3"/>
  <c r="GE137" i="3"/>
  <c r="GD137" i="3"/>
  <c r="FZ137" i="3"/>
  <c r="FE137" i="3"/>
  <c r="FD137" i="3"/>
  <c r="FC137" i="3"/>
  <c r="FB137" i="3"/>
  <c r="FA137" i="3"/>
  <c r="EY137" i="3"/>
  <c r="EX137" i="3"/>
  <c r="EW137" i="3"/>
  <c r="EV137" i="3"/>
  <c r="EU137" i="3"/>
  <c r="ET137" i="3"/>
  <c r="ES137" i="3"/>
  <c r="ER137" i="3"/>
  <c r="EQ137" i="3"/>
  <c r="EP137" i="3"/>
  <c r="EO137" i="3"/>
  <c r="GE136" i="3"/>
  <c r="GD136" i="3"/>
  <c r="FZ136" i="3"/>
  <c r="FE136" i="3"/>
  <c r="FD136" i="3"/>
  <c r="FC136" i="3"/>
  <c r="FB136" i="3"/>
  <c r="FA136" i="3"/>
  <c r="EZ136" i="3"/>
  <c r="EX136" i="3"/>
  <c r="EW136" i="3"/>
  <c r="EV136" i="3"/>
  <c r="EU136" i="3"/>
  <c r="ET136" i="3"/>
  <c r="ES136" i="3"/>
  <c r="ER136" i="3"/>
  <c r="EQ136" i="3"/>
  <c r="EP136" i="3"/>
  <c r="EO136" i="3"/>
  <c r="GE135" i="3"/>
  <c r="GD135" i="3"/>
  <c r="FZ135" i="3"/>
  <c r="FE135" i="3"/>
  <c r="FD135" i="3"/>
  <c r="FC135" i="3"/>
  <c r="FB135" i="3"/>
  <c r="FA135" i="3"/>
  <c r="EZ135" i="3"/>
  <c r="EY135" i="3"/>
  <c r="EW135" i="3"/>
  <c r="EV135" i="3"/>
  <c r="EU135" i="3"/>
  <c r="ET135" i="3"/>
  <c r="ES135" i="3"/>
  <c r="ER135" i="3"/>
  <c r="EQ135" i="3"/>
  <c r="EP135" i="3"/>
  <c r="EO135" i="3"/>
  <c r="GE134" i="3"/>
  <c r="GD134" i="3"/>
  <c r="FZ134" i="3"/>
  <c r="FE134" i="3"/>
  <c r="FD134" i="3"/>
  <c r="FC134" i="3"/>
  <c r="FB134" i="3"/>
  <c r="FA134" i="3"/>
  <c r="EZ134" i="3"/>
  <c r="EY134" i="3"/>
  <c r="EX134" i="3"/>
  <c r="EV134" i="3"/>
  <c r="EU134" i="3"/>
  <c r="ET134" i="3"/>
  <c r="ES134" i="3"/>
  <c r="ER134" i="3"/>
  <c r="EQ134" i="3"/>
  <c r="EP134" i="3"/>
  <c r="EO134" i="3"/>
  <c r="GE133" i="3"/>
  <c r="GD133" i="3"/>
  <c r="FZ133" i="3"/>
  <c r="FE133" i="3"/>
  <c r="FD133" i="3"/>
  <c r="FC133" i="3"/>
  <c r="FB133" i="3"/>
  <c r="FA133" i="3"/>
  <c r="EZ133" i="3"/>
  <c r="EY133" i="3"/>
  <c r="EX133" i="3"/>
  <c r="EW133" i="3"/>
  <c r="EU133" i="3"/>
  <c r="ET133" i="3"/>
  <c r="ES133" i="3"/>
  <c r="ER133" i="3"/>
  <c r="EQ133" i="3"/>
  <c r="EP133" i="3"/>
  <c r="EO133" i="3"/>
  <c r="GE132" i="3"/>
  <c r="GD132" i="3"/>
  <c r="FE132" i="3"/>
  <c r="FD132" i="3"/>
  <c r="FC132" i="3"/>
  <c r="FB132" i="3"/>
  <c r="FA132" i="3"/>
  <c r="EZ132" i="3"/>
  <c r="EY132" i="3"/>
  <c r="EX132" i="3"/>
  <c r="EW132" i="3"/>
  <c r="EV132" i="3"/>
  <c r="ET132" i="3"/>
  <c r="ES132" i="3"/>
  <c r="ER132" i="3"/>
  <c r="EQ132" i="3"/>
  <c r="EP132" i="3"/>
  <c r="EO132" i="3"/>
  <c r="GE131" i="3"/>
  <c r="GD131" i="3"/>
  <c r="FZ131" i="3"/>
  <c r="FE131" i="3"/>
  <c r="FD131" i="3"/>
  <c r="FC131" i="3"/>
  <c r="FB131" i="3"/>
  <c r="FA131" i="3"/>
  <c r="EZ131" i="3"/>
  <c r="EY131" i="3"/>
  <c r="EX131" i="3"/>
  <c r="EW131" i="3"/>
  <c r="EV131" i="3"/>
  <c r="EU131" i="3"/>
  <c r="ES131" i="3"/>
  <c r="ER131" i="3"/>
  <c r="EQ131" i="3"/>
  <c r="EP131" i="3"/>
  <c r="EO131" i="3"/>
  <c r="GE130" i="3"/>
  <c r="GD130" i="3"/>
  <c r="FZ130" i="3"/>
  <c r="FE130" i="3"/>
  <c r="FD130" i="3"/>
  <c r="FC130" i="3"/>
  <c r="FB130" i="3"/>
  <c r="FA130" i="3"/>
  <c r="EZ130" i="3"/>
  <c r="EY130" i="3"/>
  <c r="EX130" i="3"/>
  <c r="EW130" i="3"/>
  <c r="EV130" i="3"/>
  <c r="EU130" i="3"/>
  <c r="ET130" i="3"/>
  <c r="ER130" i="3"/>
  <c r="EQ130" i="3"/>
  <c r="EP130" i="3"/>
  <c r="EO130" i="3"/>
  <c r="GE129" i="3"/>
  <c r="GD129" i="3"/>
  <c r="FZ129" i="3"/>
  <c r="FE129" i="3"/>
  <c r="FD129" i="3"/>
  <c r="FC129" i="3"/>
  <c r="FB129" i="3"/>
  <c r="FA129" i="3"/>
  <c r="EZ129" i="3"/>
  <c r="EY129" i="3"/>
  <c r="EX129" i="3"/>
  <c r="EW129" i="3"/>
  <c r="EV129" i="3"/>
  <c r="EU129" i="3"/>
  <c r="ET129" i="3"/>
  <c r="ES129" i="3"/>
  <c r="EQ129" i="3"/>
  <c r="EP129" i="3"/>
  <c r="EO129" i="3"/>
  <c r="GE128" i="3"/>
  <c r="GD128" i="3"/>
  <c r="FZ128" i="3"/>
  <c r="FE128" i="3"/>
  <c r="FD128" i="3"/>
  <c r="FC128" i="3"/>
  <c r="FB128" i="3"/>
  <c r="FA128" i="3"/>
  <c r="EZ128" i="3"/>
  <c r="EY128" i="3"/>
  <c r="EX128" i="3"/>
  <c r="EW128" i="3"/>
  <c r="EV128" i="3"/>
  <c r="EU128" i="3"/>
  <c r="ET128" i="3"/>
  <c r="ES128" i="3"/>
  <c r="ER128" i="3"/>
  <c r="EP128" i="3"/>
  <c r="EO128" i="3"/>
  <c r="GE127" i="3"/>
  <c r="GD127" i="3"/>
  <c r="FZ127" i="3"/>
  <c r="FE127" i="3"/>
  <c r="FD127" i="3"/>
  <c r="FC127" i="3"/>
  <c r="FB127" i="3"/>
  <c r="FA127" i="3"/>
  <c r="EZ127" i="3"/>
  <c r="EY127" i="3"/>
  <c r="EX127" i="3"/>
  <c r="EW127" i="3"/>
  <c r="EV127" i="3"/>
  <c r="EU127" i="3"/>
  <c r="ET127" i="3"/>
  <c r="ES127" i="3"/>
  <c r="ER127" i="3"/>
  <c r="EQ127" i="3"/>
  <c r="EO127" i="3"/>
  <c r="GE126" i="3"/>
  <c r="GD126" i="3"/>
  <c r="FZ126" i="3"/>
  <c r="FE126" i="3"/>
  <c r="FD126" i="3"/>
  <c r="FC126" i="3"/>
  <c r="FB126" i="3"/>
  <c r="FA126" i="3"/>
  <c r="EZ126" i="3"/>
  <c r="EY126" i="3"/>
  <c r="EX126" i="3"/>
  <c r="EW126" i="3"/>
  <c r="EV126" i="3"/>
  <c r="EU126" i="3"/>
  <c r="ET126" i="3"/>
  <c r="ES126" i="3"/>
  <c r="ER126" i="3"/>
  <c r="EQ126" i="3"/>
  <c r="EP126" i="3"/>
  <c r="DZ124" i="3"/>
  <c r="EK123" i="3"/>
  <c r="EJ123" i="3"/>
  <c r="EI123" i="3"/>
  <c r="EH123" i="3"/>
  <c r="J123" i="3" s="1"/>
  <c r="EG123" i="3"/>
  <c r="EF123" i="3"/>
  <c r="EE123" i="3"/>
  <c r="ED123" i="3"/>
  <c r="EC123" i="3"/>
  <c r="EB123" i="3"/>
  <c r="EA123" i="3"/>
  <c r="DZ123" i="3"/>
  <c r="EL122" i="3"/>
  <c r="EJ122" i="3"/>
  <c r="EI122" i="3"/>
  <c r="EH122" i="3"/>
  <c r="EG122" i="3"/>
  <c r="EF122" i="3"/>
  <c r="EE122" i="3"/>
  <c r="ED122" i="3"/>
  <c r="EC122" i="3"/>
  <c r="EB122" i="3"/>
  <c r="EA122" i="3"/>
  <c r="DZ122" i="3"/>
  <c r="EL121" i="3"/>
  <c r="EK121" i="3"/>
  <c r="EI121" i="3"/>
  <c r="EH121" i="3"/>
  <c r="EG121" i="3"/>
  <c r="EF121" i="3"/>
  <c r="EE121" i="3"/>
  <c r="ED121" i="3"/>
  <c r="EC121" i="3"/>
  <c r="EB121" i="3"/>
  <c r="EA121" i="3"/>
  <c r="DZ121" i="3"/>
  <c r="EL120" i="3"/>
  <c r="EK120" i="3"/>
  <c r="EJ120" i="3"/>
  <c r="EH120" i="3"/>
  <c r="EG120" i="3"/>
  <c r="EF120" i="3"/>
  <c r="EE120" i="3"/>
  <c r="ED120" i="3"/>
  <c r="EC120" i="3"/>
  <c r="EB120" i="3"/>
  <c r="EA120" i="3"/>
  <c r="DZ120" i="3"/>
  <c r="EL119" i="3"/>
  <c r="EK119" i="3"/>
  <c r="EJ119" i="3"/>
  <c r="EI119" i="3"/>
  <c r="EG119" i="3"/>
  <c r="EF119" i="3"/>
  <c r="EE119" i="3"/>
  <c r="ED119" i="3"/>
  <c r="EC119" i="3"/>
  <c r="EB119" i="3"/>
  <c r="EA119" i="3"/>
  <c r="DZ119" i="3"/>
  <c r="EL118" i="3"/>
  <c r="EK118" i="3"/>
  <c r="EJ118" i="3"/>
  <c r="EI118" i="3"/>
  <c r="EH118" i="3"/>
  <c r="EF118" i="3"/>
  <c r="EE118" i="3"/>
  <c r="ED118" i="3"/>
  <c r="EC118" i="3"/>
  <c r="EB118" i="3"/>
  <c r="EA118" i="3"/>
  <c r="DZ118" i="3"/>
  <c r="EL117" i="3"/>
  <c r="EK117" i="3"/>
  <c r="EJ117" i="3"/>
  <c r="EI117" i="3"/>
  <c r="EH117" i="3"/>
  <c r="EG117" i="3"/>
  <c r="EE117" i="3"/>
  <c r="ED117" i="3"/>
  <c r="EC117" i="3"/>
  <c r="EB117" i="3"/>
  <c r="EA117" i="3"/>
  <c r="DZ117" i="3"/>
  <c r="EL116" i="3"/>
  <c r="EK116" i="3"/>
  <c r="EJ116" i="3"/>
  <c r="EI116" i="3"/>
  <c r="EH116" i="3"/>
  <c r="EG116" i="3"/>
  <c r="EF116" i="3"/>
  <c r="ED116" i="3"/>
  <c r="EC116" i="3"/>
  <c r="EB116" i="3"/>
  <c r="EA116" i="3"/>
  <c r="DZ116" i="3"/>
  <c r="EL115" i="3"/>
  <c r="EK115" i="3"/>
  <c r="EJ115" i="3"/>
  <c r="EI115" i="3"/>
  <c r="EH115" i="3"/>
  <c r="EG115" i="3"/>
  <c r="EF115" i="3"/>
  <c r="EE115" i="3"/>
  <c r="EC115" i="3"/>
  <c r="EB115" i="3"/>
  <c r="EA115" i="3"/>
  <c r="DZ115" i="3"/>
  <c r="EL114" i="3"/>
  <c r="EK114" i="3"/>
  <c r="EJ114" i="3"/>
  <c r="EI114" i="3"/>
  <c r="EH114" i="3"/>
  <c r="EG114" i="3"/>
  <c r="EF114" i="3"/>
  <c r="EE114" i="3"/>
  <c r="ED114" i="3"/>
  <c r="EB114" i="3"/>
  <c r="EA114" i="3"/>
  <c r="DZ114" i="3"/>
  <c r="EL113" i="3"/>
  <c r="EK113" i="3"/>
  <c r="EJ113" i="3"/>
  <c r="EI113" i="3"/>
  <c r="EH113" i="3"/>
  <c r="EG113" i="3"/>
  <c r="EF113" i="3"/>
  <c r="EE113" i="3"/>
  <c r="ED113" i="3"/>
  <c r="EC113" i="3"/>
  <c r="EA113" i="3"/>
  <c r="DZ113" i="3"/>
  <c r="EL112" i="3"/>
  <c r="EK112" i="3"/>
  <c r="EJ112" i="3"/>
  <c r="EI112" i="3"/>
  <c r="EH112" i="3"/>
  <c r="EG112" i="3"/>
  <c r="EF112" i="3"/>
  <c r="EE112" i="3"/>
  <c r="ED112" i="3"/>
  <c r="EC112" i="3"/>
  <c r="EB112" i="3"/>
  <c r="DZ112" i="3"/>
  <c r="GF111" i="3"/>
  <c r="FZ111" i="3"/>
  <c r="FY111" i="3"/>
  <c r="FW111" i="3"/>
  <c r="FT111" i="3"/>
  <c r="FP111" i="3"/>
  <c r="FM111" i="3"/>
  <c r="FF111" i="3"/>
  <c r="EO111" i="3"/>
  <c r="EM111" i="3"/>
  <c r="EL111" i="3"/>
  <c r="EK111" i="3"/>
  <c r="EJ111" i="3"/>
  <c r="EI111" i="3"/>
  <c r="EH111" i="3"/>
  <c r="EG111" i="3"/>
  <c r="EF111" i="3"/>
  <c r="EE111" i="3"/>
  <c r="ED111" i="3"/>
  <c r="EC111" i="3"/>
  <c r="EB111" i="3"/>
  <c r="EA111" i="3"/>
  <c r="DV110" i="3"/>
  <c r="DU110" i="3"/>
  <c r="DT110" i="3"/>
  <c r="DS110" i="3"/>
  <c r="DR110" i="3"/>
  <c r="DQ110" i="3"/>
  <c r="DP110" i="3"/>
  <c r="DO110" i="3"/>
  <c r="DN110" i="3"/>
  <c r="DM110" i="3"/>
  <c r="DL110" i="3"/>
  <c r="DK110" i="3"/>
  <c r="DJ110" i="3"/>
  <c r="DI110" i="3"/>
  <c r="DH110" i="3"/>
  <c r="DG110" i="3"/>
  <c r="DF110" i="3"/>
  <c r="DE110" i="3"/>
  <c r="DD110" i="3"/>
  <c r="DC110" i="3"/>
  <c r="DB110" i="3"/>
  <c r="DA110" i="3"/>
  <c r="CZ110" i="3"/>
  <c r="CY110" i="3"/>
  <c r="CX110" i="3"/>
  <c r="CW110" i="3"/>
  <c r="CV110" i="3"/>
  <c r="CU110" i="3"/>
  <c r="CT110" i="3"/>
  <c r="CS110" i="3"/>
  <c r="CR110" i="3"/>
  <c r="CQ110" i="3"/>
  <c r="CP110" i="3"/>
  <c r="CO110" i="3"/>
  <c r="CN110" i="3"/>
  <c r="CM110" i="3"/>
  <c r="CL110" i="3"/>
  <c r="CK110" i="3"/>
  <c r="CJ110" i="3"/>
  <c r="CI110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J110" i="3"/>
  <c r="BJ125" i="3" s="1"/>
  <c r="BI110" i="3"/>
  <c r="BI124" i="3" s="1"/>
  <c r="BH110" i="3"/>
  <c r="BH153" i="3" s="1"/>
  <c r="BG110" i="3"/>
  <c r="BG142" i="3" s="1"/>
  <c r="BF110" i="3"/>
  <c r="BF122" i="3" s="1"/>
  <c r="BE110" i="3"/>
  <c r="BE123" i="3" s="1"/>
  <c r="BD110" i="3"/>
  <c r="BD141" i="3" s="1"/>
  <c r="BC110" i="3"/>
  <c r="BC152" i="3" s="1"/>
  <c r="BB110" i="3"/>
  <c r="BB119" i="3" s="1"/>
  <c r="BA110" i="3"/>
  <c r="BA149" i="3" s="1"/>
  <c r="AZ110" i="3"/>
  <c r="AZ153" i="3" s="1"/>
  <c r="AY110" i="3"/>
  <c r="AY155" i="3" s="1"/>
  <c r="AX110" i="3"/>
  <c r="AX138" i="3" s="1"/>
  <c r="AW110" i="3"/>
  <c r="AW130" i="3" s="1"/>
  <c r="AV110" i="3"/>
  <c r="AV143" i="3" s="1"/>
  <c r="AU110" i="3"/>
  <c r="AT110" i="3"/>
  <c r="AT118" i="3" s="1"/>
  <c r="AS110" i="3"/>
  <c r="AS111" i="3" s="1"/>
  <c r="AR110" i="3"/>
  <c r="AR143" i="3" s="1"/>
  <c r="AQ110" i="3"/>
  <c r="AQ142" i="3" s="1"/>
  <c r="AP110" i="3"/>
  <c r="AP128" i="3" s="1"/>
  <c r="AO110" i="3"/>
  <c r="AN110" i="3"/>
  <c r="AN115" i="3" s="1"/>
  <c r="AM110" i="3"/>
  <c r="AM152" i="3" s="1"/>
  <c r="AL110" i="3"/>
  <c r="AL116" i="3" s="1"/>
  <c r="AK110" i="3"/>
  <c r="AK152" i="3" s="1"/>
  <c r="AJ110" i="3"/>
  <c r="AJ153" i="3" s="1"/>
  <c r="AI110" i="3"/>
  <c r="AI142" i="3" s="1"/>
  <c r="AH110" i="3"/>
  <c r="AG110" i="3"/>
  <c r="AG143" i="3" s="1"/>
  <c r="AF110" i="3"/>
  <c r="AF143" i="3" s="1"/>
  <c r="AE110" i="3"/>
  <c r="AE150" i="3" s="1"/>
  <c r="AD110" i="3"/>
  <c r="AD139" i="3" s="1"/>
  <c r="AC110" i="3"/>
  <c r="AC131" i="3" s="1"/>
  <c r="AB110" i="3"/>
  <c r="AB121" i="3" s="1"/>
  <c r="AA110" i="3"/>
  <c r="AA142" i="3" s="1"/>
  <c r="Z110" i="3"/>
  <c r="Z122" i="3" s="1"/>
  <c r="Y110" i="3"/>
  <c r="Y147" i="3" s="1"/>
  <c r="X110" i="3"/>
  <c r="X143" i="3" s="1"/>
  <c r="W110" i="3"/>
  <c r="V110" i="3"/>
  <c r="V119" i="3" s="1"/>
  <c r="U110" i="3"/>
  <c r="U113" i="3" s="1"/>
  <c r="T110" i="3"/>
  <c r="T153" i="3" s="1"/>
  <c r="S110" i="3"/>
  <c r="S155" i="3" s="1"/>
  <c r="R110" i="3"/>
  <c r="R113" i="3" s="1"/>
  <c r="Q110" i="3"/>
  <c r="Q128" i="3" s="1"/>
  <c r="P110" i="3"/>
  <c r="P115" i="3" s="1"/>
  <c r="O110" i="3"/>
  <c r="O150" i="3" s="1"/>
  <c r="N110" i="3"/>
  <c r="N133" i="3" s="1"/>
  <c r="M110" i="3"/>
  <c r="M131" i="3" s="1"/>
  <c r="L110" i="3"/>
  <c r="L143" i="3" s="1"/>
  <c r="K110" i="3"/>
  <c r="K142" i="3" s="1"/>
  <c r="J110" i="3"/>
  <c r="J128" i="3" s="1"/>
  <c r="I110" i="3"/>
  <c r="I112" i="3" s="1"/>
  <c r="H110" i="3"/>
  <c r="G110" i="3"/>
  <c r="G152" i="3" s="1"/>
  <c r="F110" i="3"/>
  <c r="E110" i="3"/>
  <c r="D110" i="3"/>
  <c r="D153" i="3" s="1"/>
  <c r="C110" i="3"/>
  <c r="C142" i="3" s="1"/>
  <c r="B110" i="3"/>
  <c r="BJ58" i="3"/>
  <c r="BI58" i="3"/>
  <c r="BH58" i="3"/>
  <c r="BG58" i="3"/>
  <c r="BF58" i="3"/>
  <c r="BF88" i="3" s="1"/>
  <c r="BE58" i="3"/>
  <c r="BD58" i="3"/>
  <c r="BC58" i="3"/>
  <c r="BB58" i="3"/>
  <c r="BA58" i="3"/>
  <c r="AZ58" i="3"/>
  <c r="AY58" i="3"/>
  <c r="AX58" i="3"/>
  <c r="AW58" i="3"/>
  <c r="AV58" i="3"/>
  <c r="AU58" i="3"/>
  <c r="AT58" i="3"/>
  <c r="AT103" i="3" s="1"/>
  <c r="AS58" i="3"/>
  <c r="AS102" i="3" s="1"/>
  <c r="AR58" i="3"/>
  <c r="AR101" i="3" s="1"/>
  <c r="AQ58" i="3"/>
  <c r="AQ100" i="3" s="1"/>
  <c r="AP58" i="3"/>
  <c r="AP99" i="3" s="1"/>
  <c r="AO58" i="3"/>
  <c r="AO98" i="3" s="1"/>
  <c r="AN58" i="3"/>
  <c r="AN97" i="3" s="1"/>
  <c r="AM58" i="3"/>
  <c r="AM96" i="3" s="1"/>
  <c r="AL58" i="3"/>
  <c r="AL95" i="3" s="1"/>
  <c r="AK58" i="3"/>
  <c r="AK94" i="3" s="1"/>
  <c r="AJ58" i="3"/>
  <c r="AJ93" i="3" s="1"/>
  <c r="AI58" i="3"/>
  <c r="AI92" i="3" s="1"/>
  <c r="AH58" i="3"/>
  <c r="AH91" i="3" s="1"/>
  <c r="AG58" i="3"/>
  <c r="AG90" i="3" s="1"/>
  <c r="AF58" i="3"/>
  <c r="AF89" i="3" s="1"/>
  <c r="AE58" i="3"/>
  <c r="AE88" i="3" s="1"/>
  <c r="AD58" i="3"/>
  <c r="AD87" i="3" s="1"/>
  <c r="AC58" i="3"/>
  <c r="AC86" i="3" s="1"/>
  <c r="AB58" i="3"/>
  <c r="AB85" i="3" s="1"/>
  <c r="AA58" i="3"/>
  <c r="AA84" i="3" s="1"/>
  <c r="Z58" i="3"/>
  <c r="Z83" i="3" s="1"/>
  <c r="Y58" i="3"/>
  <c r="Y82" i="3" s="1"/>
  <c r="X58" i="3"/>
  <c r="X81" i="3" s="1"/>
  <c r="W58" i="3"/>
  <c r="W80" i="3" s="1"/>
  <c r="V58" i="3"/>
  <c r="V79" i="3" s="1"/>
  <c r="U58" i="3"/>
  <c r="U78" i="3" s="1"/>
  <c r="T58" i="3"/>
  <c r="T77" i="3" s="1"/>
  <c r="S58" i="3"/>
  <c r="S76" i="3" s="1"/>
  <c r="R58" i="3"/>
  <c r="R75" i="3" s="1"/>
  <c r="Q58" i="3"/>
  <c r="Q74" i="3" s="1"/>
  <c r="P58" i="3"/>
  <c r="P73" i="3" s="1"/>
  <c r="O58" i="3"/>
  <c r="O72" i="3" s="1"/>
  <c r="N58" i="3"/>
  <c r="N71" i="3" s="1"/>
  <c r="M58" i="3"/>
  <c r="M70" i="3" s="1"/>
  <c r="L58" i="3"/>
  <c r="L69" i="3" s="1"/>
  <c r="K58" i="3"/>
  <c r="K68" i="3" s="1"/>
  <c r="J58" i="3"/>
  <c r="J67" i="3" s="1"/>
  <c r="I58" i="3"/>
  <c r="I66" i="3" s="1"/>
  <c r="H58" i="3"/>
  <c r="H65" i="3" s="1"/>
  <c r="G58" i="3"/>
  <c r="G64" i="3" s="1"/>
  <c r="F58" i="3"/>
  <c r="F63" i="3" s="1"/>
  <c r="E58" i="3"/>
  <c r="E62" i="3" s="1"/>
  <c r="D58" i="3"/>
  <c r="D61" i="3" s="1"/>
  <c r="C58" i="3"/>
  <c r="C60" i="3" s="1"/>
  <c r="B58" i="3"/>
  <c r="B59" i="3" s="1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Q48" i="3" s="1"/>
  <c r="AP6" i="3"/>
  <c r="AP47" i="3" s="1"/>
  <c r="AO6" i="3"/>
  <c r="AO46" i="3" s="1"/>
  <c r="AN6" i="3"/>
  <c r="AN45" i="3" s="1"/>
  <c r="AM6" i="3"/>
  <c r="AM44" i="3" s="1"/>
  <c r="AL6" i="3"/>
  <c r="AL43" i="3" s="1"/>
  <c r="AK6" i="3"/>
  <c r="AJ6" i="3"/>
  <c r="AI6" i="3"/>
  <c r="AH6" i="3"/>
  <c r="AH39" i="3" s="1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S24" i="3" s="1"/>
  <c r="R6" i="3"/>
  <c r="R23" i="3" s="1"/>
  <c r="Q6" i="3"/>
  <c r="Q22" i="3" s="1"/>
  <c r="P6" i="3"/>
  <c r="O6" i="3"/>
  <c r="N6" i="3"/>
  <c r="N19" i="3" s="1"/>
  <c r="M6" i="3"/>
  <c r="M18" i="3" s="1"/>
  <c r="L6" i="3"/>
  <c r="L17" i="3" s="1"/>
  <c r="K6" i="3"/>
  <c r="K16" i="3" s="1"/>
  <c r="J6" i="3"/>
  <c r="J15" i="3" s="1"/>
  <c r="I6" i="3"/>
  <c r="I14" i="3" s="1"/>
  <c r="H6" i="3"/>
  <c r="H13" i="3" s="1"/>
  <c r="G6" i="3"/>
  <c r="G12" i="3" s="1"/>
  <c r="F6" i="3"/>
  <c r="F11" i="3" s="1"/>
  <c r="E6" i="3"/>
  <c r="E10" i="3" s="1"/>
  <c r="D6" i="3"/>
  <c r="D9" i="3" s="1"/>
  <c r="C6" i="3"/>
  <c r="C8" i="3" s="1"/>
  <c r="B6" i="3"/>
  <c r="B7" i="3" s="1"/>
  <c r="B187" i="2"/>
  <c r="B141" i="1" s="1"/>
  <c r="E160" i="2"/>
  <c r="E114" i="1" s="1"/>
  <c r="B160" i="2"/>
  <c r="B114" i="1" s="1"/>
  <c r="GW151" i="2"/>
  <c r="FV149" i="2"/>
  <c r="FU149" i="2"/>
  <c r="DW149" i="2"/>
  <c r="DV149" i="2"/>
  <c r="DU149" i="2"/>
  <c r="DT149" i="2"/>
  <c r="DS149" i="2"/>
  <c r="DR149" i="2"/>
  <c r="DQ149" i="2"/>
  <c r="DP149" i="2"/>
  <c r="DO149" i="2"/>
  <c r="DN149" i="2"/>
  <c r="DM149" i="2"/>
  <c r="DL149" i="2"/>
  <c r="DK149" i="2"/>
  <c r="DJ149" i="2"/>
  <c r="DI149" i="2"/>
  <c r="DH149" i="2"/>
  <c r="DF149" i="2"/>
  <c r="DE149" i="2"/>
  <c r="DD149" i="2"/>
  <c r="DC149" i="2"/>
  <c r="DB149" i="2"/>
  <c r="DA149" i="2"/>
  <c r="CZ149" i="2"/>
  <c r="AM258" i="3" s="1"/>
  <c r="CY149" i="2"/>
  <c r="CX149" i="2"/>
  <c r="CW149" i="2"/>
  <c r="CV149" i="2"/>
  <c r="CU149" i="2"/>
  <c r="CT149" i="2"/>
  <c r="CS149" i="2"/>
  <c r="CR149" i="2"/>
  <c r="CQ149" i="2"/>
  <c r="CP149" i="2"/>
  <c r="CO149" i="2"/>
  <c r="CN149" i="2"/>
  <c r="CM149" i="2"/>
  <c r="CL149" i="2"/>
  <c r="CK149" i="2"/>
  <c r="CJ149" i="2"/>
  <c r="W258" i="3" s="1"/>
  <c r="CI149" i="2"/>
  <c r="CH149" i="2"/>
  <c r="CG149" i="2"/>
  <c r="CF149" i="2"/>
  <c r="CE149" i="2"/>
  <c r="CD149" i="2"/>
  <c r="CC149" i="2"/>
  <c r="CB149" i="2"/>
  <c r="CA149" i="2"/>
  <c r="BZ149" i="2"/>
  <c r="BY149" i="2"/>
  <c r="BX149" i="2"/>
  <c r="BW149" i="2"/>
  <c r="BV149" i="2"/>
  <c r="BU149" i="2"/>
  <c r="BT149" i="2"/>
  <c r="G258" i="3" s="1"/>
  <c r="BS149" i="2"/>
  <c r="BR149" i="2"/>
  <c r="BQ149" i="2"/>
  <c r="BP149" i="2"/>
  <c r="BO149" i="2"/>
  <c r="FV148" i="2"/>
  <c r="FU148" i="2"/>
  <c r="DW148" i="2"/>
  <c r="DV148" i="2"/>
  <c r="DU148" i="2"/>
  <c r="DT148" i="2"/>
  <c r="DS148" i="2"/>
  <c r="DR148" i="2"/>
  <c r="DQ148" i="2"/>
  <c r="DP148" i="2"/>
  <c r="DO148" i="2"/>
  <c r="DN148" i="2"/>
  <c r="DM148" i="2"/>
  <c r="DL148" i="2"/>
  <c r="DK148" i="2"/>
  <c r="DJ148" i="2"/>
  <c r="DI148" i="2"/>
  <c r="DH148" i="2"/>
  <c r="DG148" i="2"/>
  <c r="DE148" i="2"/>
  <c r="DD148" i="2"/>
  <c r="DC148" i="2"/>
  <c r="DB148" i="2"/>
  <c r="DA148" i="2"/>
  <c r="CZ148" i="2"/>
  <c r="AM257" i="3" s="1"/>
  <c r="CY148" i="2"/>
  <c r="CX148" i="2"/>
  <c r="CW148" i="2"/>
  <c r="CV148" i="2"/>
  <c r="CU148" i="2"/>
  <c r="CT148" i="2"/>
  <c r="CS148" i="2"/>
  <c r="CR148" i="2"/>
  <c r="CQ148" i="2"/>
  <c r="CP148" i="2"/>
  <c r="CO148" i="2"/>
  <c r="CN148" i="2"/>
  <c r="CM148" i="2"/>
  <c r="CL148" i="2"/>
  <c r="CK148" i="2"/>
  <c r="CJ148" i="2"/>
  <c r="CI148" i="2"/>
  <c r="CH148" i="2"/>
  <c r="CG148" i="2"/>
  <c r="CF148" i="2"/>
  <c r="CE148" i="2"/>
  <c r="CD148" i="2"/>
  <c r="CC148" i="2"/>
  <c r="CB148" i="2"/>
  <c r="CA148" i="2"/>
  <c r="BZ148" i="2"/>
  <c r="BY148" i="2"/>
  <c r="BX148" i="2"/>
  <c r="BW148" i="2"/>
  <c r="BV148" i="2"/>
  <c r="BU148" i="2"/>
  <c r="BT148" i="2"/>
  <c r="BS148" i="2"/>
  <c r="BR148" i="2"/>
  <c r="BQ148" i="2"/>
  <c r="BP148" i="2"/>
  <c r="BO148" i="2"/>
  <c r="FV147" i="2"/>
  <c r="FU147" i="2"/>
  <c r="FV146" i="2"/>
  <c r="FU146" i="2"/>
  <c r="FV145" i="2"/>
  <c r="FU145" i="2"/>
  <c r="BB145" i="2"/>
  <c r="FV144" i="2"/>
  <c r="FU144" i="2"/>
  <c r="GI143" i="2"/>
  <c r="GH143" i="2"/>
  <c r="GG143" i="2"/>
  <c r="GF143" i="2"/>
  <c r="GE143" i="2"/>
  <c r="GD143" i="2"/>
  <c r="GC143" i="2"/>
  <c r="GB143" i="2"/>
  <c r="GA143" i="2"/>
  <c r="FZ143" i="2"/>
  <c r="FY143" i="2"/>
  <c r="FX143" i="2"/>
  <c r="FW143" i="2"/>
  <c r="FV143" i="2"/>
  <c r="FU143" i="2"/>
  <c r="FT143" i="2"/>
  <c r="FS143" i="2"/>
  <c r="FR143" i="2"/>
  <c r="FQ143" i="2"/>
  <c r="FP143" i="2"/>
  <c r="FO143" i="2"/>
  <c r="FN143" i="2"/>
  <c r="FL143" i="2"/>
  <c r="FK143" i="2"/>
  <c r="FJ143" i="2"/>
  <c r="FI143" i="2"/>
  <c r="FH143" i="2"/>
  <c r="FG143" i="2"/>
  <c r="FF143" i="2"/>
  <c r="FE143" i="2"/>
  <c r="FD143" i="2"/>
  <c r="FC143" i="2"/>
  <c r="FB143" i="2"/>
  <c r="FA143" i="2"/>
  <c r="EZ143" i="2"/>
  <c r="EY143" i="2"/>
  <c r="EX143" i="2"/>
  <c r="EW143" i="2"/>
  <c r="EV143" i="2"/>
  <c r="EU143" i="2"/>
  <c r="ET143" i="2"/>
  <c r="ES143" i="2"/>
  <c r="ER143" i="2"/>
  <c r="EQ143" i="2"/>
  <c r="EP143" i="2"/>
  <c r="EO143" i="2"/>
  <c r="EN143" i="2"/>
  <c r="EM143" i="2"/>
  <c r="EL143" i="2"/>
  <c r="EK143" i="2"/>
  <c r="EJ143" i="2"/>
  <c r="EI143" i="2"/>
  <c r="EH143" i="2"/>
  <c r="EG143" i="2"/>
  <c r="EF143" i="2"/>
  <c r="EE143" i="2"/>
  <c r="ED143" i="2"/>
  <c r="EC143" i="2"/>
  <c r="EB143" i="2"/>
  <c r="EA143" i="2"/>
  <c r="DW143" i="2"/>
  <c r="DV143" i="2"/>
  <c r="DU143" i="2"/>
  <c r="DT143" i="2"/>
  <c r="DS143" i="2"/>
  <c r="DR143" i="2"/>
  <c r="DQ143" i="2"/>
  <c r="DP143" i="2"/>
  <c r="DO143" i="2"/>
  <c r="DN143" i="2"/>
  <c r="DM143" i="2"/>
  <c r="DL143" i="2"/>
  <c r="DK143" i="2"/>
  <c r="DJ143" i="2"/>
  <c r="DI143" i="2"/>
  <c r="DH143" i="2"/>
  <c r="DG143" i="2"/>
  <c r="DF143" i="2"/>
  <c r="DE143" i="2"/>
  <c r="DD143" i="2"/>
  <c r="DC143" i="2"/>
  <c r="DB143" i="2"/>
  <c r="CZ143" i="2"/>
  <c r="CY143" i="2"/>
  <c r="CX143" i="2"/>
  <c r="CW143" i="2"/>
  <c r="CV143" i="2"/>
  <c r="CU143" i="2"/>
  <c r="CT143" i="2"/>
  <c r="CS143" i="2"/>
  <c r="CR143" i="2"/>
  <c r="CQ143" i="2"/>
  <c r="CP143" i="2"/>
  <c r="CO143" i="2"/>
  <c r="CN143" i="2"/>
  <c r="CM143" i="2"/>
  <c r="CL143" i="2"/>
  <c r="CK143" i="2"/>
  <c r="CJ143" i="2"/>
  <c r="CI143" i="2"/>
  <c r="CH143" i="2"/>
  <c r="CG143" i="2"/>
  <c r="CF143" i="2"/>
  <c r="CE143" i="2"/>
  <c r="CD143" i="2"/>
  <c r="CC143" i="2"/>
  <c r="CB143" i="2"/>
  <c r="CA143" i="2"/>
  <c r="BZ143" i="2"/>
  <c r="BY143" i="2"/>
  <c r="BX143" i="2"/>
  <c r="BW143" i="2"/>
  <c r="BV143" i="2"/>
  <c r="BU143" i="2"/>
  <c r="BT143" i="2"/>
  <c r="BS143" i="2"/>
  <c r="BR143" i="2"/>
  <c r="BQ143" i="2"/>
  <c r="BP143" i="2"/>
  <c r="BO143" i="2"/>
  <c r="FV142" i="2"/>
  <c r="FU142" i="2"/>
  <c r="FV141" i="2"/>
  <c r="FU141" i="2"/>
  <c r="FV140" i="2"/>
  <c r="FU140" i="2"/>
  <c r="GI139" i="2"/>
  <c r="GH139" i="2"/>
  <c r="GG139" i="2"/>
  <c r="GF139" i="2"/>
  <c r="GE139" i="2"/>
  <c r="GD139" i="2"/>
  <c r="GC139" i="2"/>
  <c r="GB139" i="2"/>
  <c r="GA139" i="2"/>
  <c r="FZ139" i="2"/>
  <c r="FY139" i="2"/>
  <c r="FX139" i="2"/>
  <c r="FW139" i="2"/>
  <c r="FV139" i="2"/>
  <c r="FU139" i="2"/>
  <c r="FT139" i="2"/>
  <c r="FS139" i="2"/>
  <c r="FR139" i="2"/>
  <c r="FQ139" i="2"/>
  <c r="FP139" i="2"/>
  <c r="FO139" i="2"/>
  <c r="FN139" i="2"/>
  <c r="FM139" i="2"/>
  <c r="FL139" i="2"/>
  <c r="FK139" i="2"/>
  <c r="FJ139" i="2"/>
  <c r="FH139" i="2"/>
  <c r="FG139" i="2"/>
  <c r="FF139" i="2"/>
  <c r="FE139" i="2"/>
  <c r="FD139" i="2"/>
  <c r="FC139" i="2"/>
  <c r="FB139" i="2"/>
  <c r="FA139" i="2"/>
  <c r="EZ139" i="2"/>
  <c r="EY139" i="2"/>
  <c r="EX139" i="2"/>
  <c r="EW139" i="2"/>
  <c r="EV139" i="2"/>
  <c r="EU139" i="2"/>
  <c r="ET139" i="2"/>
  <c r="ES139" i="2"/>
  <c r="ER139" i="2"/>
  <c r="EQ139" i="2"/>
  <c r="EP139" i="2"/>
  <c r="EO139" i="2"/>
  <c r="EN139" i="2"/>
  <c r="EM139" i="2"/>
  <c r="EL139" i="2"/>
  <c r="EK139" i="2"/>
  <c r="EJ139" i="2"/>
  <c r="EI139" i="2"/>
  <c r="EH139" i="2"/>
  <c r="EG139" i="2"/>
  <c r="EF139" i="2"/>
  <c r="EE139" i="2"/>
  <c r="ED139" i="2"/>
  <c r="EC139" i="2"/>
  <c r="EB139" i="2"/>
  <c r="EA139" i="2"/>
  <c r="DW139" i="2"/>
  <c r="DV139" i="2"/>
  <c r="DU139" i="2"/>
  <c r="DT139" i="2"/>
  <c r="DS139" i="2"/>
  <c r="DR139" i="2"/>
  <c r="DQ139" i="2"/>
  <c r="DP139" i="2"/>
  <c r="DO139" i="2"/>
  <c r="DN139" i="2"/>
  <c r="DM139" i="2"/>
  <c r="DL139" i="2"/>
  <c r="DK139" i="2"/>
  <c r="DJ139" i="2"/>
  <c r="DI139" i="2"/>
  <c r="DH139" i="2"/>
  <c r="DG139" i="2"/>
  <c r="DF139" i="2"/>
  <c r="DE139" i="2"/>
  <c r="DD139" i="2"/>
  <c r="DC139" i="2"/>
  <c r="DB139" i="2"/>
  <c r="DA139" i="2"/>
  <c r="CZ139" i="2"/>
  <c r="CY139" i="2"/>
  <c r="CX139" i="2"/>
  <c r="CV139" i="2"/>
  <c r="CU139" i="2"/>
  <c r="CT139" i="2"/>
  <c r="CS139" i="2"/>
  <c r="CR139" i="2"/>
  <c r="CQ139" i="2"/>
  <c r="CP139" i="2"/>
  <c r="CO139" i="2"/>
  <c r="CN139" i="2"/>
  <c r="CM139" i="2"/>
  <c r="CL139" i="2"/>
  <c r="CK139" i="2"/>
  <c r="CJ139" i="2"/>
  <c r="CI139" i="2"/>
  <c r="CH139" i="2"/>
  <c r="CG139" i="2"/>
  <c r="CF139" i="2"/>
  <c r="CE139" i="2"/>
  <c r="CD139" i="2"/>
  <c r="CC139" i="2"/>
  <c r="P248" i="3" s="1"/>
  <c r="CB139" i="2"/>
  <c r="CA139" i="2"/>
  <c r="BZ139" i="2"/>
  <c r="BY139" i="2"/>
  <c r="BX139" i="2"/>
  <c r="BW139" i="2"/>
  <c r="BV139" i="2"/>
  <c r="BU139" i="2"/>
  <c r="BT139" i="2"/>
  <c r="BS139" i="2"/>
  <c r="BR139" i="2"/>
  <c r="BQ139" i="2"/>
  <c r="BP139" i="2"/>
  <c r="BO139" i="2"/>
  <c r="FV138" i="2"/>
  <c r="FU138" i="2"/>
  <c r="GI137" i="2"/>
  <c r="GH137" i="2"/>
  <c r="GG137" i="2"/>
  <c r="GF137" i="2"/>
  <c r="GE137" i="2"/>
  <c r="GD137" i="2"/>
  <c r="GC137" i="2"/>
  <c r="GB137" i="2"/>
  <c r="GA137" i="2"/>
  <c r="FZ137" i="2"/>
  <c r="FY137" i="2"/>
  <c r="FX137" i="2"/>
  <c r="FW137" i="2"/>
  <c r="FV137" i="2"/>
  <c r="FU137" i="2"/>
  <c r="FT137" i="2"/>
  <c r="FS137" i="2"/>
  <c r="FR137" i="2"/>
  <c r="FQ137" i="2"/>
  <c r="FP137" i="2"/>
  <c r="FO137" i="2"/>
  <c r="FN137" i="2"/>
  <c r="FM137" i="2"/>
  <c r="FL137" i="2"/>
  <c r="FK137" i="2"/>
  <c r="FJ137" i="2"/>
  <c r="FI137" i="2"/>
  <c r="FH137" i="2"/>
  <c r="FF137" i="2"/>
  <c r="FE137" i="2"/>
  <c r="FD137" i="2"/>
  <c r="FC137" i="2"/>
  <c r="FB137" i="2"/>
  <c r="FA137" i="2"/>
  <c r="EZ137" i="2"/>
  <c r="EY137" i="2"/>
  <c r="EX137" i="2"/>
  <c r="EW137" i="2"/>
  <c r="EV137" i="2"/>
  <c r="EU137" i="2"/>
  <c r="ET137" i="2"/>
  <c r="ES137" i="2"/>
  <c r="ER137" i="2"/>
  <c r="EQ137" i="2"/>
  <c r="EP137" i="2"/>
  <c r="EO137" i="2"/>
  <c r="EN137" i="2"/>
  <c r="EM137" i="2"/>
  <c r="EL137" i="2"/>
  <c r="EK137" i="2"/>
  <c r="EJ137" i="2"/>
  <c r="EI137" i="2"/>
  <c r="EH137" i="2"/>
  <c r="EG137" i="2"/>
  <c r="EF137" i="2"/>
  <c r="EE137" i="2"/>
  <c r="ED137" i="2"/>
  <c r="EC137" i="2"/>
  <c r="EB137" i="2"/>
  <c r="EA137" i="2"/>
  <c r="DW137" i="2"/>
  <c r="DV137" i="2"/>
  <c r="DU137" i="2"/>
  <c r="DT137" i="2"/>
  <c r="DS137" i="2"/>
  <c r="DR137" i="2"/>
  <c r="DQ137" i="2"/>
  <c r="DP137" i="2"/>
  <c r="DO137" i="2"/>
  <c r="DN137" i="2"/>
  <c r="DM137" i="2"/>
  <c r="DL137" i="2"/>
  <c r="DK137" i="2"/>
  <c r="DJ137" i="2"/>
  <c r="DI137" i="2"/>
  <c r="DH137" i="2"/>
  <c r="AU246" i="3" s="1"/>
  <c r="DG137" i="2"/>
  <c r="DF137" i="2"/>
  <c r="DE137" i="2"/>
  <c r="DD137" i="2"/>
  <c r="DC137" i="2"/>
  <c r="DB137" i="2"/>
  <c r="DA137" i="2"/>
  <c r="CZ137" i="2"/>
  <c r="CY137" i="2"/>
  <c r="CX137" i="2"/>
  <c r="CW137" i="2"/>
  <c r="CV137" i="2"/>
  <c r="CT137" i="2"/>
  <c r="CS137" i="2"/>
  <c r="CR137" i="2"/>
  <c r="CQ137" i="2"/>
  <c r="CP137" i="2"/>
  <c r="CO137" i="2"/>
  <c r="CN137" i="2"/>
  <c r="CM137" i="2"/>
  <c r="CL137" i="2"/>
  <c r="CK137" i="2"/>
  <c r="CJ137" i="2"/>
  <c r="CI137" i="2"/>
  <c r="CH137" i="2"/>
  <c r="CG137" i="2"/>
  <c r="CF137" i="2"/>
  <c r="CE137" i="2"/>
  <c r="CD137" i="2"/>
  <c r="CC137" i="2"/>
  <c r="CB137" i="2"/>
  <c r="CA137" i="2"/>
  <c r="BZ137" i="2"/>
  <c r="BY137" i="2"/>
  <c r="BX137" i="2"/>
  <c r="BW137" i="2"/>
  <c r="BV137" i="2"/>
  <c r="BU137" i="2"/>
  <c r="BT137" i="2"/>
  <c r="BS137" i="2"/>
  <c r="BR137" i="2"/>
  <c r="BQ137" i="2"/>
  <c r="BP137" i="2"/>
  <c r="BO137" i="2"/>
  <c r="GI136" i="2"/>
  <c r="GH136" i="2"/>
  <c r="GG136" i="2"/>
  <c r="GF136" i="2"/>
  <c r="GE136" i="2"/>
  <c r="GD136" i="2"/>
  <c r="GC136" i="2"/>
  <c r="GB136" i="2"/>
  <c r="GA136" i="2"/>
  <c r="FZ136" i="2"/>
  <c r="FY136" i="2"/>
  <c r="FX136" i="2"/>
  <c r="FW136" i="2"/>
  <c r="FV136" i="2"/>
  <c r="FU136" i="2"/>
  <c r="FT136" i="2"/>
  <c r="FS136" i="2"/>
  <c r="FR136" i="2"/>
  <c r="FQ136" i="2"/>
  <c r="FP136" i="2"/>
  <c r="FO136" i="2"/>
  <c r="FN136" i="2"/>
  <c r="FM136" i="2"/>
  <c r="FL136" i="2"/>
  <c r="FK136" i="2"/>
  <c r="FJ136" i="2"/>
  <c r="FI136" i="2"/>
  <c r="FH136" i="2"/>
  <c r="FG136" i="2"/>
  <c r="FE136" i="2"/>
  <c r="FD136" i="2"/>
  <c r="FC136" i="2"/>
  <c r="FB136" i="2"/>
  <c r="FA136" i="2"/>
  <c r="EZ136" i="2"/>
  <c r="EY136" i="2"/>
  <c r="EX136" i="2"/>
  <c r="EW136" i="2"/>
  <c r="EV136" i="2"/>
  <c r="EU136" i="2"/>
  <c r="ET136" i="2"/>
  <c r="ES136" i="2"/>
  <c r="ER136" i="2"/>
  <c r="EQ136" i="2"/>
  <c r="EP136" i="2"/>
  <c r="EO136" i="2"/>
  <c r="EN136" i="2"/>
  <c r="EM136" i="2"/>
  <c r="EL136" i="2"/>
  <c r="EK136" i="2"/>
  <c r="EJ136" i="2"/>
  <c r="EI136" i="2"/>
  <c r="EH136" i="2"/>
  <c r="EG136" i="2"/>
  <c r="EF136" i="2"/>
  <c r="EE136" i="2"/>
  <c r="ED136" i="2"/>
  <c r="EC136" i="2"/>
  <c r="EB136" i="2"/>
  <c r="EA136" i="2"/>
  <c r="DW136" i="2"/>
  <c r="DV136" i="2"/>
  <c r="DU136" i="2"/>
  <c r="DT136" i="2"/>
  <c r="DS136" i="2"/>
  <c r="DR136" i="2"/>
  <c r="DQ136" i="2"/>
  <c r="DP136" i="2"/>
  <c r="DO136" i="2"/>
  <c r="DN136" i="2"/>
  <c r="DM136" i="2"/>
  <c r="DL136" i="2"/>
  <c r="DK136" i="2"/>
  <c r="DJ136" i="2"/>
  <c r="DI136" i="2"/>
  <c r="DH136" i="2"/>
  <c r="DG136" i="2"/>
  <c r="DF136" i="2"/>
  <c r="DE136" i="2"/>
  <c r="DD136" i="2"/>
  <c r="DC136" i="2"/>
  <c r="DB136" i="2"/>
  <c r="DA136" i="2"/>
  <c r="CZ136" i="2"/>
  <c r="CY136" i="2"/>
  <c r="CX136" i="2"/>
  <c r="CW136" i="2"/>
  <c r="CV136" i="2"/>
  <c r="CU136" i="2"/>
  <c r="CS136" i="2"/>
  <c r="CR136" i="2"/>
  <c r="CQ136" i="2"/>
  <c r="CP136" i="2"/>
  <c r="CO136" i="2"/>
  <c r="CN136" i="2"/>
  <c r="CM136" i="2"/>
  <c r="CL136" i="2"/>
  <c r="CK136" i="2"/>
  <c r="CJ136" i="2"/>
  <c r="CI136" i="2"/>
  <c r="CH136" i="2"/>
  <c r="CG136" i="2"/>
  <c r="CF136" i="2"/>
  <c r="CE136" i="2"/>
  <c r="CD136" i="2"/>
  <c r="CC136" i="2"/>
  <c r="CB136" i="2"/>
  <c r="CA136" i="2"/>
  <c r="BZ136" i="2"/>
  <c r="BY136" i="2"/>
  <c r="BX136" i="2"/>
  <c r="BW136" i="2"/>
  <c r="BV136" i="2"/>
  <c r="BU136" i="2"/>
  <c r="BT136" i="2"/>
  <c r="BS136" i="2"/>
  <c r="BR136" i="2"/>
  <c r="BQ136" i="2"/>
  <c r="BP136" i="2"/>
  <c r="BO136" i="2"/>
  <c r="GI135" i="2"/>
  <c r="GH135" i="2"/>
  <c r="GG135" i="2"/>
  <c r="GF135" i="2"/>
  <c r="GE135" i="2"/>
  <c r="GD135" i="2"/>
  <c r="GC135" i="2"/>
  <c r="GB135" i="2"/>
  <c r="GA135" i="2"/>
  <c r="FZ135" i="2"/>
  <c r="FY135" i="2"/>
  <c r="FX135" i="2"/>
  <c r="FW135" i="2"/>
  <c r="FV135" i="2"/>
  <c r="FU135" i="2"/>
  <c r="FT135" i="2"/>
  <c r="FS135" i="2"/>
  <c r="FR135" i="2"/>
  <c r="FQ135" i="2"/>
  <c r="FP135" i="2"/>
  <c r="FO135" i="2"/>
  <c r="FN135" i="2"/>
  <c r="FM135" i="2"/>
  <c r="FL135" i="2"/>
  <c r="FK135" i="2"/>
  <c r="FJ135" i="2"/>
  <c r="FI135" i="2"/>
  <c r="FH135" i="2"/>
  <c r="FG135" i="2"/>
  <c r="FF135" i="2"/>
  <c r="FD135" i="2"/>
  <c r="FC135" i="2"/>
  <c r="FB135" i="2"/>
  <c r="FA135" i="2"/>
  <c r="EZ135" i="2"/>
  <c r="EY135" i="2"/>
  <c r="EX135" i="2"/>
  <c r="EW135" i="2"/>
  <c r="EV135" i="2"/>
  <c r="EU135" i="2"/>
  <c r="ET135" i="2"/>
  <c r="ES135" i="2"/>
  <c r="ER135" i="2"/>
  <c r="EQ135" i="2"/>
  <c r="EP135" i="2"/>
  <c r="EO135" i="2"/>
  <c r="EN135" i="2"/>
  <c r="EM135" i="2"/>
  <c r="EL135" i="2"/>
  <c r="EK135" i="2"/>
  <c r="EJ135" i="2"/>
  <c r="EI135" i="2"/>
  <c r="EH135" i="2"/>
  <c r="EG135" i="2"/>
  <c r="EF135" i="2"/>
  <c r="EE135" i="2"/>
  <c r="ED135" i="2"/>
  <c r="EC135" i="2"/>
  <c r="EB135" i="2"/>
  <c r="EA135" i="2"/>
  <c r="DW135" i="2"/>
  <c r="DV135" i="2"/>
  <c r="DU135" i="2"/>
  <c r="DT135" i="2"/>
  <c r="DS135" i="2"/>
  <c r="DR135" i="2"/>
  <c r="DQ135" i="2"/>
  <c r="DP135" i="2"/>
  <c r="DO135" i="2"/>
  <c r="DN135" i="2"/>
  <c r="DM135" i="2"/>
  <c r="DL135" i="2"/>
  <c r="DK135" i="2"/>
  <c r="DJ135" i="2"/>
  <c r="DI135" i="2"/>
  <c r="DH135" i="2"/>
  <c r="DG135" i="2"/>
  <c r="DF135" i="2"/>
  <c r="DE135" i="2"/>
  <c r="DD135" i="2"/>
  <c r="DC135" i="2"/>
  <c r="DB135" i="2"/>
  <c r="DA135" i="2"/>
  <c r="CZ135" i="2"/>
  <c r="CY135" i="2"/>
  <c r="CX135" i="2"/>
  <c r="CW135" i="2"/>
  <c r="CV135" i="2"/>
  <c r="CU135" i="2"/>
  <c r="CT135" i="2"/>
  <c r="CR135" i="2"/>
  <c r="CQ135" i="2"/>
  <c r="CP135" i="2"/>
  <c r="CO135" i="2"/>
  <c r="CN135" i="2"/>
  <c r="CM135" i="2"/>
  <c r="CL135" i="2"/>
  <c r="CK135" i="2"/>
  <c r="CJ135" i="2"/>
  <c r="CI135" i="2"/>
  <c r="CH135" i="2"/>
  <c r="CG135" i="2"/>
  <c r="CF135" i="2"/>
  <c r="CE135" i="2"/>
  <c r="CD135" i="2"/>
  <c r="CC135" i="2"/>
  <c r="CB135" i="2"/>
  <c r="CA135" i="2"/>
  <c r="BZ135" i="2"/>
  <c r="BY135" i="2"/>
  <c r="BX135" i="2"/>
  <c r="BW135" i="2"/>
  <c r="BV135" i="2"/>
  <c r="BU135" i="2"/>
  <c r="BT135" i="2"/>
  <c r="BS135" i="2"/>
  <c r="BR135" i="2"/>
  <c r="BQ135" i="2"/>
  <c r="BP135" i="2"/>
  <c r="BO135" i="2"/>
  <c r="GI134" i="2"/>
  <c r="GH134" i="2"/>
  <c r="GG134" i="2"/>
  <c r="GF134" i="2"/>
  <c r="GE134" i="2"/>
  <c r="GD134" i="2"/>
  <c r="GC134" i="2"/>
  <c r="GB134" i="2"/>
  <c r="GA134" i="2"/>
  <c r="FZ134" i="2"/>
  <c r="FY134" i="2"/>
  <c r="FX134" i="2"/>
  <c r="FW134" i="2"/>
  <c r="FV134" i="2"/>
  <c r="FU134" i="2"/>
  <c r="FT134" i="2"/>
  <c r="FS134" i="2"/>
  <c r="FR134" i="2"/>
  <c r="FQ134" i="2"/>
  <c r="FP134" i="2"/>
  <c r="FO134" i="2"/>
  <c r="FN134" i="2"/>
  <c r="FM134" i="2"/>
  <c r="FL134" i="2"/>
  <c r="FK134" i="2"/>
  <c r="FJ134" i="2"/>
  <c r="FI134" i="2"/>
  <c r="FH134" i="2"/>
  <c r="FG134" i="2"/>
  <c r="FF134" i="2"/>
  <c r="FE134" i="2"/>
  <c r="FC134" i="2"/>
  <c r="FB134" i="2"/>
  <c r="FA134" i="2"/>
  <c r="EZ134" i="2"/>
  <c r="EY134" i="2"/>
  <c r="EX134" i="2"/>
  <c r="EW134" i="2"/>
  <c r="EV134" i="2"/>
  <c r="EU134" i="2"/>
  <c r="ET134" i="2"/>
  <c r="ES134" i="2"/>
  <c r="ER134" i="2"/>
  <c r="EQ134" i="2"/>
  <c r="EP134" i="2"/>
  <c r="EO134" i="2"/>
  <c r="EN134" i="2"/>
  <c r="EM134" i="2"/>
  <c r="EL134" i="2"/>
  <c r="EK134" i="2"/>
  <c r="EJ134" i="2"/>
  <c r="EI134" i="2"/>
  <c r="EH134" i="2"/>
  <c r="EG134" i="2"/>
  <c r="EF134" i="2"/>
  <c r="EE134" i="2"/>
  <c r="ED134" i="2"/>
  <c r="EC134" i="2"/>
  <c r="EB134" i="2"/>
  <c r="EA134" i="2"/>
  <c r="DW134" i="2"/>
  <c r="DV134" i="2"/>
  <c r="DU134" i="2"/>
  <c r="DT134" i="2"/>
  <c r="DS134" i="2"/>
  <c r="DR134" i="2"/>
  <c r="DQ134" i="2"/>
  <c r="DP134" i="2"/>
  <c r="DO134" i="2"/>
  <c r="DN134" i="2"/>
  <c r="DM134" i="2"/>
  <c r="DL134" i="2"/>
  <c r="DK134" i="2"/>
  <c r="DJ134" i="2"/>
  <c r="DI134" i="2"/>
  <c r="DH134" i="2"/>
  <c r="DG134" i="2"/>
  <c r="DF134" i="2"/>
  <c r="DE134" i="2"/>
  <c r="DD134" i="2"/>
  <c r="DC134" i="2"/>
  <c r="DB134" i="2"/>
  <c r="DA134" i="2"/>
  <c r="CZ134" i="2"/>
  <c r="CY134" i="2"/>
  <c r="CX134" i="2"/>
  <c r="CW134" i="2"/>
  <c r="CV134" i="2"/>
  <c r="CU134" i="2"/>
  <c r="CT134" i="2"/>
  <c r="AG243" i="3" s="1"/>
  <c r="CS134" i="2"/>
  <c r="CQ134" i="2"/>
  <c r="CP134" i="2"/>
  <c r="CO134" i="2"/>
  <c r="CN134" i="2"/>
  <c r="CM134" i="2"/>
  <c r="CL134" i="2"/>
  <c r="CK134" i="2"/>
  <c r="CJ134" i="2"/>
  <c r="CI134" i="2"/>
  <c r="CH134" i="2"/>
  <c r="CG134" i="2"/>
  <c r="CF134" i="2"/>
  <c r="CE134" i="2"/>
  <c r="CD134" i="2"/>
  <c r="CC134" i="2"/>
  <c r="CB134" i="2"/>
  <c r="CA134" i="2"/>
  <c r="BZ134" i="2"/>
  <c r="BY134" i="2"/>
  <c r="BX134" i="2"/>
  <c r="BW134" i="2"/>
  <c r="BV134" i="2"/>
  <c r="BU134" i="2"/>
  <c r="BT134" i="2"/>
  <c r="BS134" i="2"/>
  <c r="BR134" i="2"/>
  <c r="BQ134" i="2"/>
  <c r="BP134" i="2"/>
  <c r="BO134" i="2"/>
  <c r="FV133" i="2"/>
  <c r="FU133" i="2"/>
  <c r="FV132" i="2"/>
  <c r="FU132" i="2"/>
  <c r="GI131" i="2"/>
  <c r="GH131" i="2"/>
  <c r="GG131" i="2"/>
  <c r="GF131" i="2"/>
  <c r="GE131" i="2"/>
  <c r="GD131" i="2"/>
  <c r="GC131" i="2"/>
  <c r="GB131" i="2"/>
  <c r="GA131" i="2"/>
  <c r="FZ131" i="2"/>
  <c r="FY131" i="2"/>
  <c r="FX131" i="2"/>
  <c r="FW131" i="2"/>
  <c r="FV131" i="2"/>
  <c r="FU131" i="2"/>
  <c r="FT131" i="2"/>
  <c r="FS131" i="2"/>
  <c r="FR131" i="2"/>
  <c r="FQ131" i="2"/>
  <c r="FP131" i="2"/>
  <c r="FO131" i="2"/>
  <c r="FN131" i="2"/>
  <c r="FM131" i="2"/>
  <c r="FL131" i="2"/>
  <c r="FK131" i="2"/>
  <c r="FJ131" i="2"/>
  <c r="FI131" i="2"/>
  <c r="FH131" i="2"/>
  <c r="FG131" i="2"/>
  <c r="FF131" i="2"/>
  <c r="FE131" i="2"/>
  <c r="FD131" i="2"/>
  <c r="FC131" i="2"/>
  <c r="FB131" i="2"/>
  <c r="EZ131" i="2"/>
  <c r="EY131" i="2"/>
  <c r="EX131" i="2"/>
  <c r="EW131" i="2"/>
  <c r="EV131" i="2"/>
  <c r="EU131" i="2"/>
  <c r="ET131" i="2"/>
  <c r="ES131" i="2"/>
  <c r="ER131" i="2"/>
  <c r="EQ131" i="2"/>
  <c r="EP131" i="2"/>
  <c r="EO131" i="2"/>
  <c r="EN131" i="2"/>
  <c r="EM131" i="2"/>
  <c r="EL131" i="2"/>
  <c r="EK131" i="2"/>
  <c r="EJ131" i="2"/>
  <c r="EI131" i="2"/>
  <c r="EH131" i="2"/>
  <c r="EG131" i="2"/>
  <c r="EF131" i="2"/>
  <c r="EE131" i="2"/>
  <c r="ED131" i="2"/>
  <c r="EC131" i="2"/>
  <c r="EB131" i="2"/>
  <c r="EA131" i="2"/>
  <c r="DW131" i="2"/>
  <c r="DV131" i="2"/>
  <c r="DU131" i="2"/>
  <c r="DT131" i="2"/>
  <c r="DS131" i="2"/>
  <c r="DR131" i="2"/>
  <c r="DQ131" i="2"/>
  <c r="DP131" i="2"/>
  <c r="DO131" i="2"/>
  <c r="DN131" i="2"/>
  <c r="DM131" i="2"/>
  <c r="DL131" i="2"/>
  <c r="DK131" i="2"/>
  <c r="DJ131" i="2"/>
  <c r="DI131" i="2"/>
  <c r="DH131" i="2"/>
  <c r="DG131" i="2"/>
  <c r="DF131" i="2"/>
  <c r="DE131" i="2"/>
  <c r="DD131" i="2"/>
  <c r="DC131" i="2"/>
  <c r="DB131" i="2"/>
  <c r="DA131" i="2"/>
  <c r="CZ131" i="2"/>
  <c r="CY131" i="2"/>
  <c r="CX131" i="2"/>
  <c r="CW131" i="2"/>
  <c r="CV131" i="2"/>
  <c r="CU131" i="2"/>
  <c r="CT131" i="2"/>
  <c r="CS131" i="2"/>
  <c r="CR131" i="2"/>
  <c r="CQ131" i="2"/>
  <c r="CP131" i="2"/>
  <c r="CN131" i="2"/>
  <c r="CM131" i="2"/>
  <c r="CL131" i="2"/>
  <c r="CK131" i="2"/>
  <c r="CJ131" i="2"/>
  <c r="CI131" i="2"/>
  <c r="CH131" i="2"/>
  <c r="CG131" i="2"/>
  <c r="CF131" i="2"/>
  <c r="CE131" i="2"/>
  <c r="CD131" i="2"/>
  <c r="CC131" i="2"/>
  <c r="CB131" i="2"/>
  <c r="CA131" i="2"/>
  <c r="BZ131" i="2"/>
  <c r="BY131" i="2"/>
  <c r="BX131" i="2"/>
  <c r="BW131" i="2"/>
  <c r="BV131" i="2"/>
  <c r="BU131" i="2"/>
  <c r="BT131" i="2"/>
  <c r="BS131" i="2"/>
  <c r="BR131" i="2"/>
  <c r="BQ131" i="2"/>
  <c r="BP131" i="2"/>
  <c r="BO131" i="2"/>
  <c r="GI130" i="2"/>
  <c r="GH130" i="2"/>
  <c r="GG130" i="2"/>
  <c r="GF130" i="2"/>
  <c r="GE130" i="2"/>
  <c r="GD130" i="2"/>
  <c r="GC130" i="2"/>
  <c r="GB130" i="2"/>
  <c r="GA130" i="2"/>
  <c r="FZ130" i="2"/>
  <c r="FY130" i="2"/>
  <c r="FX130" i="2"/>
  <c r="FW130" i="2"/>
  <c r="FV130" i="2"/>
  <c r="FU130" i="2"/>
  <c r="FT130" i="2"/>
  <c r="FS130" i="2"/>
  <c r="FR130" i="2"/>
  <c r="FQ130" i="2"/>
  <c r="FP130" i="2"/>
  <c r="FO130" i="2"/>
  <c r="FN130" i="2"/>
  <c r="FM130" i="2"/>
  <c r="FL130" i="2"/>
  <c r="FK130" i="2"/>
  <c r="FJ130" i="2"/>
  <c r="FI130" i="2"/>
  <c r="FH130" i="2"/>
  <c r="FG130" i="2"/>
  <c r="FF130" i="2"/>
  <c r="FE130" i="2"/>
  <c r="FD130" i="2"/>
  <c r="FC130" i="2"/>
  <c r="FB130" i="2"/>
  <c r="FA130" i="2"/>
  <c r="EY130" i="2"/>
  <c r="EX130" i="2"/>
  <c r="EW130" i="2"/>
  <c r="EV130" i="2"/>
  <c r="EU130" i="2"/>
  <c r="ET130" i="2"/>
  <c r="ES130" i="2"/>
  <c r="ER130" i="2"/>
  <c r="EQ130" i="2"/>
  <c r="EP130" i="2"/>
  <c r="EO130" i="2"/>
  <c r="EN130" i="2"/>
  <c r="EM130" i="2"/>
  <c r="EL130" i="2"/>
  <c r="EK130" i="2"/>
  <c r="EJ130" i="2"/>
  <c r="EI130" i="2"/>
  <c r="EH130" i="2"/>
  <c r="EG130" i="2"/>
  <c r="EF130" i="2"/>
  <c r="EE130" i="2"/>
  <c r="ED130" i="2"/>
  <c r="EC130" i="2"/>
  <c r="EB130" i="2"/>
  <c r="EA130" i="2"/>
  <c r="DW130" i="2"/>
  <c r="DV130" i="2"/>
  <c r="DU130" i="2"/>
  <c r="DT130" i="2"/>
  <c r="DS130" i="2"/>
  <c r="DR130" i="2"/>
  <c r="DQ130" i="2"/>
  <c r="DP130" i="2"/>
  <c r="DO130" i="2"/>
  <c r="DN130" i="2"/>
  <c r="DM130" i="2"/>
  <c r="DL130" i="2"/>
  <c r="DK130" i="2"/>
  <c r="DI130" i="2"/>
  <c r="DH130" i="2"/>
  <c r="DG130" i="2"/>
  <c r="DF130" i="2"/>
  <c r="DE130" i="2"/>
  <c r="DD130" i="2"/>
  <c r="DC130" i="2"/>
  <c r="DB130" i="2"/>
  <c r="DA130" i="2"/>
  <c r="CZ130" i="2"/>
  <c r="CY130" i="2"/>
  <c r="CX130" i="2"/>
  <c r="CW130" i="2"/>
  <c r="CV130" i="2"/>
  <c r="CU130" i="2"/>
  <c r="CT130" i="2"/>
  <c r="CS130" i="2"/>
  <c r="CR130" i="2"/>
  <c r="CQ130" i="2"/>
  <c r="CP130" i="2"/>
  <c r="CO130" i="2"/>
  <c r="CM130" i="2"/>
  <c r="CL130" i="2"/>
  <c r="CK130" i="2"/>
  <c r="CJ130" i="2"/>
  <c r="CI130" i="2"/>
  <c r="CH130" i="2"/>
  <c r="CG130" i="2"/>
  <c r="CF130" i="2"/>
  <c r="CE130" i="2"/>
  <c r="CD130" i="2"/>
  <c r="CC130" i="2"/>
  <c r="CB130" i="2"/>
  <c r="CA130" i="2"/>
  <c r="BZ130" i="2"/>
  <c r="BY130" i="2"/>
  <c r="BX130" i="2"/>
  <c r="BW130" i="2"/>
  <c r="BV130" i="2"/>
  <c r="BU130" i="2"/>
  <c r="BT130" i="2"/>
  <c r="BS130" i="2"/>
  <c r="BR130" i="2"/>
  <c r="BQ130" i="2"/>
  <c r="BP130" i="2"/>
  <c r="BO130" i="2"/>
  <c r="GI129" i="2"/>
  <c r="GH129" i="2"/>
  <c r="GG129" i="2"/>
  <c r="GF129" i="2"/>
  <c r="GE129" i="2"/>
  <c r="GD129" i="2"/>
  <c r="GC129" i="2"/>
  <c r="GB129" i="2"/>
  <c r="GA129" i="2"/>
  <c r="FZ129" i="2"/>
  <c r="FY129" i="2"/>
  <c r="FX129" i="2"/>
  <c r="FW129" i="2"/>
  <c r="FV129" i="2"/>
  <c r="FU129" i="2"/>
  <c r="FT129" i="2"/>
  <c r="FS129" i="2"/>
  <c r="FR129" i="2"/>
  <c r="FQ129" i="2"/>
  <c r="FP129" i="2"/>
  <c r="FO129" i="2"/>
  <c r="FN129" i="2"/>
  <c r="FM129" i="2"/>
  <c r="FL129" i="2"/>
  <c r="FK129" i="2"/>
  <c r="FJ129" i="2"/>
  <c r="FI129" i="2"/>
  <c r="FH129" i="2"/>
  <c r="FG129" i="2"/>
  <c r="FF129" i="2"/>
  <c r="FE129" i="2"/>
  <c r="FD129" i="2"/>
  <c r="FC129" i="2"/>
  <c r="FB129" i="2"/>
  <c r="FA129" i="2"/>
  <c r="EZ129" i="2"/>
  <c r="EX129" i="2"/>
  <c r="EW129" i="2"/>
  <c r="EV129" i="2"/>
  <c r="EU129" i="2"/>
  <c r="ET129" i="2"/>
  <c r="ES129" i="2"/>
  <c r="ER129" i="2"/>
  <c r="EQ129" i="2"/>
  <c r="EP129" i="2"/>
  <c r="EO129" i="2"/>
  <c r="EN129" i="2"/>
  <c r="EM129" i="2"/>
  <c r="EL129" i="2"/>
  <c r="EK129" i="2"/>
  <c r="EJ129" i="2"/>
  <c r="EI129" i="2"/>
  <c r="EH129" i="2"/>
  <c r="EG129" i="2"/>
  <c r="EF129" i="2"/>
  <c r="EE129" i="2"/>
  <c r="ED129" i="2"/>
  <c r="EC129" i="2"/>
  <c r="EB129" i="2"/>
  <c r="EA129" i="2"/>
  <c r="DW129" i="2"/>
  <c r="DV129" i="2"/>
  <c r="DU129" i="2"/>
  <c r="DT129" i="2"/>
  <c r="DS129" i="2"/>
  <c r="DR129" i="2"/>
  <c r="DQ129" i="2"/>
  <c r="DP129" i="2"/>
  <c r="DO129" i="2"/>
  <c r="DN129" i="2"/>
  <c r="DM129" i="2"/>
  <c r="DL129" i="2"/>
  <c r="DK129" i="2"/>
  <c r="DJ129" i="2"/>
  <c r="DI129" i="2"/>
  <c r="DH129" i="2"/>
  <c r="DG129" i="2"/>
  <c r="DF129" i="2"/>
  <c r="DE129" i="2"/>
  <c r="DD129" i="2"/>
  <c r="DC129" i="2"/>
  <c r="DB129" i="2"/>
  <c r="DA129" i="2"/>
  <c r="CZ129" i="2"/>
  <c r="CY129" i="2"/>
  <c r="CX129" i="2"/>
  <c r="CW129" i="2"/>
  <c r="CV129" i="2"/>
  <c r="CU129" i="2"/>
  <c r="CT129" i="2"/>
  <c r="CS129" i="2"/>
  <c r="CR129" i="2"/>
  <c r="CQ129" i="2"/>
  <c r="CP129" i="2"/>
  <c r="CO129" i="2"/>
  <c r="CN129" i="2"/>
  <c r="CL129" i="2"/>
  <c r="CK129" i="2"/>
  <c r="CJ129" i="2"/>
  <c r="CI129" i="2"/>
  <c r="CH129" i="2"/>
  <c r="CG129" i="2"/>
  <c r="CF129" i="2"/>
  <c r="CE129" i="2"/>
  <c r="CD129" i="2"/>
  <c r="CC129" i="2"/>
  <c r="CB129" i="2"/>
  <c r="CA129" i="2"/>
  <c r="BZ129" i="2"/>
  <c r="BY129" i="2"/>
  <c r="BX129" i="2"/>
  <c r="BW129" i="2"/>
  <c r="BV129" i="2"/>
  <c r="BU129" i="2"/>
  <c r="BT129" i="2"/>
  <c r="BS129" i="2"/>
  <c r="BR129" i="2"/>
  <c r="BQ129" i="2"/>
  <c r="BP129" i="2"/>
  <c r="BO129" i="2"/>
  <c r="GI128" i="2"/>
  <c r="GH128" i="2"/>
  <c r="GG128" i="2"/>
  <c r="GF128" i="2"/>
  <c r="GE128" i="2"/>
  <c r="GD128" i="2"/>
  <c r="GC128" i="2"/>
  <c r="GB128" i="2"/>
  <c r="GA128" i="2"/>
  <c r="FZ128" i="2"/>
  <c r="FY128" i="2"/>
  <c r="FX128" i="2"/>
  <c r="FW128" i="2"/>
  <c r="FV128" i="2"/>
  <c r="FU128" i="2"/>
  <c r="FT128" i="2"/>
  <c r="FS128" i="2"/>
  <c r="FR128" i="2"/>
  <c r="FQ128" i="2"/>
  <c r="FP128" i="2"/>
  <c r="FO128" i="2"/>
  <c r="FN128" i="2"/>
  <c r="FM128" i="2"/>
  <c r="FL128" i="2"/>
  <c r="FK128" i="2"/>
  <c r="FJ128" i="2"/>
  <c r="FI128" i="2"/>
  <c r="FH128" i="2"/>
  <c r="FG128" i="2"/>
  <c r="FF128" i="2"/>
  <c r="FE128" i="2"/>
  <c r="FD128" i="2"/>
  <c r="FC128" i="2"/>
  <c r="FB128" i="2"/>
  <c r="FA128" i="2"/>
  <c r="EZ128" i="2"/>
  <c r="EY128" i="2"/>
  <c r="EW128" i="2"/>
  <c r="EV128" i="2"/>
  <c r="EU128" i="2"/>
  <c r="ET128" i="2"/>
  <c r="ES128" i="2"/>
  <c r="ER128" i="2"/>
  <c r="EQ128" i="2"/>
  <c r="EP128" i="2"/>
  <c r="EO128" i="2"/>
  <c r="EN128" i="2"/>
  <c r="EM128" i="2"/>
  <c r="EL128" i="2"/>
  <c r="EK128" i="2"/>
  <c r="EJ128" i="2"/>
  <c r="EI128" i="2"/>
  <c r="EH128" i="2"/>
  <c r="EG128" i="2"/>
  <c r="EF128" i="2"/>
  <c r="EE128" i="2"/>
  <c r="ED128" i="2"/>
  <c r="EC128" i="2"/>
  <c r="EB128" i="2"/>
  <c r="EA128" i="2"/>
  <c r="DW128" i="2"/>
  <c r="DV128" i="2"/>
  <c r="DU128" i="2"/>
  <c r="DT128" i="2"/>
  <c r="DS128" i="2"/>
  <c r="DR128" i="2"/>
  <c r="DQ128" i="2"/>
  <c r="DP128" i="2"/>
  <c r="DO128" i="2"/>
  <c r="DN128" i="2"/>
  <c r="DM128" i="2"/>
  <c r="DL128" i="2"/>
  <c r="DK128" i="2"/>
  <c r="DJ128" i="2"/>
  <c r="DI128" i="2"/>
  <c r="DH128" i="2"/>
  <c r="DG128" i="2"/>
  <c r="DF128" i="2"/>
  <c r="DE128" i="2"/>
  <c r="DD128" i="2"/>
  <c r="DC128" i="2"/>
  <c r="DB128" i="2"/>
  <c r="DA128" i="2"/>
  <c r="CZ128" i="2"/>
  <c r="CY128" i="2"/>
  <c r="CX128" i="2"/>
  <c r="CW128" i="2"/>
  <c r="CV128" i="2"/>
  <c r="CU128" i="2"/>
  <c r="CT128" i="2"/>
  <c r="CS128" i="2"/>
  <c r="CR128" i="2"/>
  <c r="CQ128" i="2"/>
  <c r="CP128" i="2"/>
  <c r="CO128" i="2"/>
  <c r="CN128" i="2"/>
  <c r="CM128" i="2"/>
  <c r="CK128" i="2"/>
  <c r="CJ128" i="2"/>
  <c r="CI128" i="2"/>
  <c r="CH128" i="2"/>
  <c r="CG128" i="2"/>
  <c r="CF128" i="2"/>
  <c r="CE128" i="2"/>
  <c r="CD128" i="2"/>
  <c r="CC128" i="2"/>
  <c r="CB128" i="2"/>
  <c r="CA128" i="2"/>
  <c r="BZ128" i="2"/>
  <c r="BY128" i="2"/>
  <c r="BX128" i="2"/>
  <c r="BW128" i="2"/>
  <c r="BV128" i="2"/>
  <c r="BU128" i="2"/>
  <c r="BT128" i="2"/>
  <c r="BS128" i="2"/>
  <c r="BR128" i="2"/>
  <c r="BQ128" i="2"/>
  <c r="BP128" i="2"/>
  <c r="BO128" i="2"/>
  <c r="GI127" i="2"/>
  <c r="GH127" i="2"/>
  <c r="GG127" i="2"/>
  <c r="GF127" i="2"/>
  <c r="GE127" i="2"/>
  <c r="GD127" i="2"/>
  <c r="GC127" i="2"/>
  <c r="GB127" i="2"/>
  <c r="GA127" i="2"/>
  <c r="FZ127" i="2"/>
  <c r="FY127" i="2"/>
  <c r="FX127" i="2"/>
  <c r="FW127" i="2"/>
  <c r="FV127" i="2"/>
  <c r="FU127" i="2"/>
  <c r="FT127" i="2"/>
  <c r="FS127" i="2"/>
  <c r="FR127" i="2"/>
  <c r="FQ127" i="2"/>
  <c r="FP127" i="2"/>
  <c r="FO127" i="2"/>
  <c r="FN127" i="2"/>
  <c r="FM127" i="2"/>
  <c r="FL127" i="2"/>
  <c r="FK127" i="2"/>
  <c r="FJ127" i="2"/>
  <c r="FI127" i="2"/>
  <c r="FH127" i="2"/>
  <c r="FG127" i="2"/>
  <c r="FF127" i="2"/>
  <c r="FE127" i="2"/>
  <c r="FD127" i="2"/>
  <c r="FC127" i="2"/>
  <c r="FB127" i="2"/>
  <c r="FA127" i="2"/>
  <c r="EZ127" i="2"/>
  <c r="EY127" i="2"/>
  <c r="EX127" i="2"/>
  <c r="EV127" i="2"/>
  <c r="EU127" i="2"/>
  <c r="ET127" i="2"/>
  <c r="ES127" i="2"/>
  <c r="ER127" i="2"/>
  <c r="EQ127" i="2"/>
  <c r="EP127" i="2"/>
  <c r="EO127" i="2"/>
  <c r="EN127" i="2"/>
  <c r="EM127" i="2"/>
  <c r="EL127" i="2"/>
  <c r="EK127" i="2"/>
  <c r="EJ127" i="2"/>
  <c r="EI127" i="2"/>
  <c r="EH127" i="2"/>
  <c r="EG127" i="2"/>
  <c r="EF127" i="2"/>
  <c r="EE127" i="2"/>
  <c r="ED127" i="2"/>
  <c r="EC127" i="2"/>
  <c r="EB127" i="2"/>
  <c r="EA127" i="2"/>
  <c r="DW127" i="2"/>
  <c r="DV127" i="2"/>
  <c r="DU127" i="2"/>
  <c r="BH236" i="3" s="1"/>
  <c r="DT127" i="2"/>
  <c r="DS127" i="2"/>
  <c r="DR127" i="2"/>
  <c r="DQ127" i="2"/>
  <c r="DP127" i="2"/>
  <c r="DO127" i="2"/>
  <c r="DN127" i="2"/>
  <c r="DM127" i="2"/>
  <c r="DL127" i="2"/>
  <c r="DK127" i="2"/>
  <c r="DJ127" i="2"/>
  <c r="DI127" i="2"/>
  <c r="DH127" i="2"/>
  <c r="DG127" i="2"/>
  <c r="DF127" i="2"/>
  <c r="DE127" i="2"/>
  <c r="DD127" i="2"/>
  <c r="DC127" i="2"/>
  <c r="DB127" i="2"/>
  <c r="DA127" i="2"/>
  <c r="CZ127" i="2"/>
  <c r="CY127" i="2"/>
  <c r="CX127" i="2"/>
  <c r="CW127" i="2"/>
  <c r="CV127" i="2"/>
  <c r="CU127" i="2"/>
  <c r="CT127" i="2"/>
  <c r="CS127" i="2"/>
  <c r="CR127" i="2"/>
  <c r="CQ127" i="2"/>
  <c r="CP127" i="2"/>
  <c r="CO127" i="2"/>
  <c r="CN127" i="2"/>
  <c r="CM127" i="2"/>
  <c r="CL127" i="2"/>
  <c r="CJ127" i="2"/>
  <c r="CI127" i="2"/>
  <c r="CH127" i="2"/>
  <c r="CG127" i="2"/>
  <c r="CF127" i="2"/>
  <c r="CE127" i="2"/>
  <c r="CD127" i="2"/>
  <c r="CC127" i="2"/>
  <c r="CB127" i="2"/>
  <c r="CA127" i="2"/>
  <c r="BZ127" i="2"/>
  <c r="BY127" i="2"/>
  <c r="BX127" i="2"/>
  <c r="BW127" i="2"/>
  <c r="BV127" i="2"/>
  <c r="BU127" i="2"/>
  <c r="BT127" i="2"/>
  <c r="BS127" i="2"/>
  <c r="BR127" i="2"/>
  <c r="BQ127" i="2"/>
  <c r="BP127" i="2"/>
  <c r="BO127" i="2"/>
  <c r="FV126" i="2"/>
  <c r="FU126" i="2"/>
  <c r="GI125" i="2"/>
  <c r="GH125" i="2"/>
  <c r="GG125" i="2"/>
  <c r="GF125" i="2"/>
  <c r="GE125" i="2"/>
  <c r="GD125" i="2"/>
  <c r="GC125" i="2"/>
  <c r="GB125" i="2"/>
  <c r="GA125" i="2"/>
  <c r="FZ125" i="2"/>
  <c r="FY125" i="2"/>
  <c r="FX125" i="2"/>
  <c r="FW125" i="2"/>
  <c r="FV125" i="2"/>
  <c r="FU125" i="2"/>
  <c r="FT125" i="2"/>
  <c r="FS125" i="2"/>
  <c r="FR125" i="2"/>
  <c r="FQ125" i="2"/>
  <c r="FP125" i="2"/>
  <c r="FO125" i="2"/>
  <c r="FN125" i="2"/>
  <c r="FM125" i="2"/>
  <c r="FL125" i="2"/>
  <c r="FK125" i="2"/>
  <c r="FJ125" i="2"/>
  <c r="FI125" i="2"/>
  <c r="FH125" i="2"/>
  <c r="FG125" i="2"/>
  <c r="FF125" i="2"/>
  <c r="FE125" i="2"/>
  <c r="FD125" i="2"/>
  <c r="FC125" i="2"/>
  <c r="FB125" i="2"/>
  <c r="FA125" i="2"/>
  <c r="EZ125" i="2"/>
  <c r="EY125" i="2"/>
  <c r="EX125" i="2"/>
  <c r="EW125" i="2"/>
  <c r="EV125" i="2"/>
  <c r="ET125" i="2"/>
  <c r="ES125" i="2"/>
  <c r="ER125" i="2"/>
  <c r="EQ125" i="2"/>
  <c r="EP125" i="2"/>
  <c r="EO125" i="2"/>
  <c r="EN125" i="2"/>
  <c r="EM125" i="2"/>
  <c r="EL125" i="2"/>
  <c r="EK125" i="2"/>
  <c r="EJ125" i="2"/>
  <c r="EI125" i="2"/>
  <c r="EH125" i="2"/>
  <c r="EG125" i="2"/>
  <c r="EF125" i="2"/>
  <c r="EE125" i="2"/>
  <c r="ED125" i="2"/>
  <c r="EC125" i="2"/>
  <c r="EB125" i="2"/>
  <c r="EA125" i="2"/>
  <c r="DW125" i="2"/>
  <c r="DV125" i="2"/>
  <c r="DU125" i="2"/>
  <c r="DT125" i="2"/>
  <c r="DS125" i="2"/>
  <c r="DR125" i="2"/>
  <c r="DQ125" i="2"/>
  <c r="DP125" i="2"/>
  <c r="DO125" i="2"/>
  <c r="DN125" i="2"/>
  <c r="DM125" i="2"/>
  <c r="DL125" i="2"/>
  <c r="DK125" i="2"/>
  <c r="DJ125" i="2"/>
  <c r="DI125" i="2"/>
  <c r="DH125" i="2"/>
  <c r="DG125" i="2"/>
  <c r="DF125" i="2"/>
  <c r="DE125" i="2"/>
  <c r="DD125" i="2"/>
  <c r="DC125" i="2"/>
  <c r="DB125" i="2"/>
  <c r="DA125" i="2"/>
  <c r="CZ125" i="2"/>
  <c r="CY125" i="2"/>
  <c r="CX125" i="2"/>
  <c r="CW125" i="2"/>
  <c r="CV125" i="2"/>
  <c r="CU125" i="2"/>
  <c r="CT125" i="2"/>
  <c r="CS125" i="2"/>
  <c r="CR125" i="2"/>
  <c r="CQ125" i="2"/>
  <c r="CP125" i="2"/>
  <c r="CO125" i="2"/>
  <c r="CN125" i="2"/>
  <c r="CM125" i="2"/>
  <c r="CL125" i="2"/>
  <c r="CK125" i="2"/>
  <c r="CJ125" i="2"/>
  <c r="CH125" i="2"/>
  <c r="CG125" i="2"/>
  <c r="CF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GI124" i="2"/>
  <c r="GH124" i="2"/>
  <c r="GG124" i="2"/>
  <c r="GF124" i="2"/>
  <c r="GE124" i="2"/>
  <c r="GD124" i="2"/>
  <c r="GC124" i="2"/>
  <c r="GB124" i="2"/>
  <c r="GA124" i="2"/>
  <c r="FZ124" i="2"/>
  <c r="FY124" i="2"/>
  <c r="FX124" i="2"/>
  <c r="FW124" i="2"/>
  <c r="FV124" i="2"/>
  <c r="FU124" i="2"/>
  <c r="FT124" i="2"/>
  <c r="FS124" i="2"/>
  <c r="FR124" i="2"/>
  <c r="FQ124" i="2"/>
  <c r="FP124" i="2"/>
  <c r="FO124" i="2"/>
  <c r="FN124" i="2"/>
  <c r="FM124" i="2"/>
  <c r="FL124" i="2"/>
  <c r="FK124" i="2"/>
  <c r="FJ124" i="2"/>
  <c r="FI124" i="2"/>
  <c r="FH124" i="2"/>
  <c r="FG124" i="2"/>
  <c r="FF124" i="2"/>
  <c r="FE124" i="2"/>
  <c r="FD124" i="2"/>
  <c r="FC124" i="2"/>
  <c r="FB124" i="2"/>
  <c r="FA124" i="2"/>
  <c r="EZ124" i="2"/>
  <c r="EY124" i="2"/>
  <c r="EX124" i="2"/>
  <c r="EW124" i="2"/>
  <c r="EV124" i="2"/>
  <c r="EU124" i="2"/>
  <c r="ES124" i="2"/>
  <c r="ER124" i="2"/>
  <c r="EQ124" i="2"/>
  <c r="EP124" i="2"/>
  <c r="EO124" i="2"/>
  <c r="EN124" i="2"/>
  <c r="EM124" i="2"/>
  <c r="EL124" i="2"/>
  <c r="EK124" i="2"/>
  <c r="EJ124" i="2"/>
  <c r="EI124" i="2"/>
  <c r="EH124" i="2"/>
  <c r="EG124" i="2"/>
  <c r="EF124" i="2"/>
  <c r="EE124" i="2"/>
  <c r="ED124" i="2"/>
  <c r="EC124" i="2"/>
  <c r="EB124" i="2"/>
  <c r="EA124" i="2"/>
  <c r="DW124" i="2"/>
  <c r="DV124" i="2"/>
  <c r="DU124" i="2"/>
  <c r="DT124" i="2"/>
  <c r="DS124" i="2"/>
  <c r="DR124" i="2"/>
  <c r="DQ124" i="2"/>
  <c r="DP124" i="2"/>
  <c r="DO124" i="2"/>
  <c r="DN124" i="2"/>
  <c r="DM124" i="2"/>
  <c r="DL124" i="2"/>
  <c r="DK124" i="2"/>
  <c r="DJ124" i="2"/>
  <c r="DI124" i="2"/>
  <c r="DH124" i="2"/>
  <c r="DG124" i="2"/>
  <c r="DF124" i="2"/>
  <c r="DE124" i="2"/>
  <c r="DD124" i="2"/>
  <c r="DC124" i="2"/>
  <c r="DB124" i="2"/>
  <c r="DA124" i="2"/>
  <c r="CZ124" i="2"/>
  <c r="CY124" i="2"/>
  <c r="CX124" i="2"/>
  <c r="CW124" i="2"/>
  <c r="CV124" i="2"/>
  <c r="CU124" i="2"/>
  <c r="CT124" i="2"/>
  <c r="CS124" i="2"/>
  <c r="CR124" i="2"/>
  <c r="CQ124" i="2"/>
  <c r="CP124" i="2"/>
  <c r="CO124" i="2"/>
  <c r="CN124" i="2"/>
  <c r="CM124" i="2"/>
  <c r="CL124" i="2"/>
  <c r="CK124" i="2"/>
  <c r="CJ124" i="2"/>
  <c r="CI124" i="2"/>
  <c r="CG124" i="2"/>
  <c r="CF124" i="2"/>
  <c r="CE124" i="2"/>
  <c r="CD124" i="2"/>
  <c r="CC124" i="2"/>
  <c r="CB124" i="2"/>
  <c r="CA124" i="2"/>
  <c r="BZ124" i="2"/>
  <c r="BY124" i="2"/>
  <c r="BX124" i="2"/>
  <c r="BW124" i="2"/>
  <c r="BV124" i="2"/>
  <c r="BU124" i="2"/>
  <c r="BT124" i="2"/>
  <c r="BS124" i="2"/>
  <c r="BR124" i="2"/>
  <c r="BQ124" i="2"/>
  <c r="BP124" i="2"/>
  <c r="BO124" i="2"/>
  <c r="GI123" i="2"/>
  <c r="GH123" i="2"/>
  <c r="GG123" i="2"/>
  <c r="GF123" i="2"/>
  <c r="GE123" i="2"/>
  <c r="GD123" i="2"/>
  <c r="GC123" i="2"/>
  <c r="GB123" i="2"/>
  <c r="GA123" i="2"/>
  <c r="FZ123" i="2"/>
  <c r="FY123" i="2"/>
  <c r="FX123" i="2"/>
  <c r="FW123" i="2"/>
  <c r="FV123" i="2"/>
  <c r="FU123" i="2"/>
  <c r="FT123" i="2"/>
  <c r="FS123" i="2"/>
  <c r="FR123" i="2"/>
  <c r="FQ123" i="2"/>
  <c r="FP123" i="2"/>
  <c r="FO123" i="2"/>
  <c r="FN123" i="2"/>
  <c r="FM123" i="2"/>
  <c r="FL123" i="2"/>
  <c r="FK123" i="2"/>
  <c r="FJ123" i="2"/>
  <c r="FI123" i="2"/>
  <c r="FH123" i="2"/>
  <c r="FG123" i="2"/>
  <c r="FF123" i="2"/>
  <c r="FE123" i="2"/>
  <c r="FD123" i="2"/>
  <c r="FC123" i="2"/>
  <c r="FB123" i="2"/>
  <c r="FA123" i="2"/>
  <c r="EZ123" i="2"/>
  <c r="EY123" i="2"/>
  <c r="EX123" i="2"/>
  <c r="EW123" i="2"/>
  <c r="EV123" i="2"/>
  <c r="EU123" i="2"/>
  <c r="ET123" i="2"/>
  <c r="ER123" i="2"/>
  <c r="EQ123" i="2"/>
  <c r="EP123" i="2"/>
  <c r="EO123" i="2"/>
  <c r="EN123" i="2"/>
  <c r="EM123" i="2"/>
  <c r="EL123" i="2"/>
  <c r="EK123" i="2"/>
  <c r="EJ123" i="2"/>
  <c r="EI123" i="2"/>
  <c r="EH123" i="2"/>
  <c r="EG123" i="2"/>
  <c r="EF123" i="2"/>
  <c r="EE123" i="2"/>
  <c r="ED123" i="2"/>
  <c r="EC123" i="2"/>
  <c r="EB123" i="2"/>
  <c r="EA123" i="2"/>
  <c r="DW123" i="2"/>
  <c r="DV123" i="2"/>
  <c r="DU123" i="2"/>
  <c r="DT123" i="2"/>
  <c r="DS123" i="2"/>
  <c r="DR123" i="2"/>
  <c r="DQ123" i="2"/>
  <c r="DP123" i="2"/>
  <c r="DO123" i="2"/>
  <c r="DN123" i="2"/>
  <c r="DM123" i="2"/>
  <c r="DL123" i="2"/>
  <c r="DK123" i="2"/>
  <c r="DJ123" i="2"/>
  <c r="DI123" i="2"/>
  <c r="DH123" i="2"/>
  <c r="DG123" i="2"/>
  <c r="DF123" i="2"/>
  <c r="DE123" i="2"/>
  <c r="DD123" i="2"/>
  <c r="DC123" i="2"/>
  <c r="DB123" i="2"/>
  <c r="DA123" i="2"/>
  <c r="CZ123" i="2"/>
  <c r="CY123" i="2"/>
  <c r="CX123" i="2"/>
  <c r="CW123" i="2"/>
  <c r="CV123" i="2"/>
  <c r="CU123" i="2"/>
  <c r="CT123" i="2"/>
  <c r="CS123" i="2"/>
  <c r="CR123" i="2"/>
  <c r="CQ123" i="2"/>
  <c r="CP123" i="2"/>
  <c r="CO123" i="2"/>
  <c r="CN123" i="2"/>
  <c r="CM123" i="2"/>
  <c r="CL123" i="2"/>
  <c r="CK123" i="2"/>
  <c r="CJ123" i="2"/>
  <c r="CI123" i="2"/>
  <c r="CH123" i="2"/>
  <c r="CF123" i="2"/>
  <c r="CE123" i="2"/>
  <c r="CD123" i="2"/>
  <c r="CC123" i="2"/>
  <c r="CB123" i="2"/>
  <c r="CA123" i="2"/>
  <c r="BZ123" i="2"/>
  <c r="BY123" i="2"/>
  <c r="BX123" i="2"/>
  <c r="BW123" i="2"/>
  <c r="BV123" i="2"/>
  <c r="BU123" i="2"/>
  <c r="BT123" i="2"/>
  <c r="BS123" i="2"/>
  <c r="BR123" i="2"/>
  <c r="BQ123" i="2"/>
  <c r="BP123" i="2"/>
  <c r="BO123" i="2"/>
  <c r="FV122" i="2"/>
  <c r="FU122" i="2"/>
  <c r="FV121" i="2"/>
  <c r="FU121" i="2"/>
  <c r="FV120" i="2"/>
  <c r="FU120" i="2"/>
  <c r="FV119" i="2"/>
  <c r="FU119" i="2"/>
  <c r="DW119" i="2"/>
  <c r="DV119" i="2"/>
  <c r="DU119" i="2"/>
  <c r="DT119" i="2"/>
  <c r="DS119" i="2"/>
  <c r="DR119" i="2"/>
  <c r="DQ119" i="2"/>
  <c r="DP119" i="2"/>
  <c r="DO119" i="2"/>
  <c r="DN119" i="2"/>
  <c r="DM119" i="2"/>
  <c r="DL119" i="2"/>
  <c r="DK119" i="2"/>
  <c r="DJ119" i="2"/>
  <c r="DI119" i="2"/>
  <c r="DH119" i="2"/>
  <c r="DG119" i="2"/>
  <c r="DF119" i="2"/>
  <c r="DE119" i="2"/>
  <c r="DD119" i="2"/>
  <c r="DC119" i="2"/>
  <c r="DB119" i="2"/>
  <c r="DA119" i="2"/>
  <c r="CZ119" i="2"/>
  <c r="CY119" i="2"/>
  <c r="CX119" i="2"/>
  <c r="CW119" i="2"/>
  <c r="CV119" i="2"/>
  <c r="CU119" i="2"/>
  <c r="CT119" i="2"/>
  <c r="CS119" i="2"/>
  <c r="CR119" i="2"/>
  <c r="CQ119" i="2"/>
  <c r="CP119" i="2"/>
  <c r="CO119" i="2"/>
  <c r="CN119" i="2"/>
  <c r="CM119" i="2"/>
  <c r="CL119" i="2"/>
  <c r="CK119" i="2"/>
  <c r="CJ119" i="2"/>
  <c r="CI119" i="2"/>
  <c r="CH119" i="2"/>
  <c r="CG119" i="2"/>
  <c r="CF119" i="2"/>
  <c r="CE119" i="2"/>
  <c r="CD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FV118" i="2"/>
  <c r="FU118" i="2"/>
  <c r="DW118" i="2"/>
  <c r="DV118" i="2"/>
  <c r="DU118" i="2"/>
  <c r="DT118" i="2"/>
  <c r="DS118" i="2"/>
  <c r="DR118" i="2"/>
  <c r="DQ118" i="2"/>
  <c r="DP118" i="2"/>
  <c r="DO118" i="2"/>
  <c r="DN118" i="2"/>
  <c r="DM118" i="2"/>
  <c r="DL118" i="2"/>
  <c r="DK118" i="2"/>
  <c r="DJ118" i="2"/>
  <c r="DI118" i="2"/>
  <c r="DH118" i="2"/>
  <c r="DG118" i="2"/>
  <c r="DF118" i="2"/>
  <c r="DE118" i="2"/>
  <c r="DD118" i="2"/>
  <c r="DC118" i="2"/>
  <c r="DB118" i="2"/>
  <c r="DA118" i="2"/>
  <c r="CZ118" i="2"/>
  <c r="CY118" i="2"/>
  <c r="CX118" i="2"/>
  <c r="CW118" i="2"/>
  <c r="CV118" i="2"/>
  <c r="CU118" i="2"/>
  <c r="CT118" i="2"/>
  <c r="CS118" i="2"/>
  <c r="CR118" i="2"/>
  <c r="CQ118" i="2"/>
  <c r="CP118" i="2"/>
  <c r="CO118" i="2"/>
  <c r="CN118" i="2"/>
  <c r="CM118" i="2"/>
  <c r="CL118" i="2"/>
  <c r="CK118" i="2"/>
  <c r="CJ118" i="2"/>
  <c r="CI118" i="2"/>
  <c r="CH118" i="2"/>
  <c r="CG118" i="2"/>
  <c r="CF118" i="2"/>
  <c r="CE118" i="2"/>
  <c r="CD118" i="2"/>
  <c r="CC118" i="2"/>
  <c r="CA118" i="2"/>
  <c r="BZ118" i="2"/>
  <c r="BY118" i="2"/>
  <c r="BX118" i="2"/>
  <c r="BW118" i="2"/>
  <c r="BV118" i="2"/>
  <c r="BU118" i="2"/>
  <c r="BT118" i="2"/>
  <c r="BS118" i="2"/>
  <c r="BR118" i="2"/>
  <c r="BQ118" i="2"/>
  <c r="BP118" i="2"/>
  <c r="BO118" i="2"/>
  <c r="FV117" i="2"/>
  <c r="FU117" i="2"/>
  <c r="DW117" i="2"/>
  <c r="DV117" i="2"/>
  <c r="DU117" i="2"/>
  <c r="DT117" i="2"/>
  <c r="DS117" i="2"/>
  <c r="DR117" i="2"/>
  <c r="DQ117" i="2"/>
  <c r="DP117" i="2"/>
  <c r="DO117" i="2"/>
  <c r="DN117" i="2"/>
  <c r="DM117" i="2"/>
  <c r="DL117" i="2"/>
  <c r="DK117" i="2"/>
  <c r="DJ117" i="2"/>
  <c r="DI117" i="2"/>
  <c r="DH117" i="2"/>
  <c r="DG117" i="2"/>
  <c r="DF117" i="2"/>
  <c r="DE117" i="2"/>
  <c r="DD117" i="2"/>
  <c r="DC117" i="2"/>
  <c r="DB117" i="2"/>
  <c r="DA117" i="2"/>
  <c r="CZ117" i="2"/>
  <c r="CY117" i="2"/>
  <c r="CX117" i="2"/>
  <c r="CW117" i="2"/>
  <c r="CV117" i="2"/>
  <c r="CU117" i="2"/>
  <c r="CT117" i="2"/>
  <c r="CS117" i="2"/>
  <c r="CR117" i="2"/>
  <c r="CQ117" i="2"/>
  <c r="CP117" i="2"/>
  <c r="CO117" i="2"/>
  <c r="CN117" i="2"/>
  <c r="CM117" i="2"/>
  <c r="CL117" i="2"/>
  <c r="CK117" i="2"/>
  <c r="CJ117" i="2"/>
  <c r="CI117" i="2"/>
  <c r="CH117" i="2"/>
  <c r="CG117" i="2"/>
  <c r="CF117" i="2"/>
  <c r="CE117" i="2"/>
  <c r="CD117" i="2"/>
  <c r="CC117" i="2"/>
  <c r="CB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FV116" i="2"/>
  <c r="FU116" i="2"/>
  <c r="FV115" i="2"/>
  <c r="FU115" i="2"/>
  <c r="DW115" i="2"/>
  <c r="DV115" i="2"/>
  <c r="DU115" i="2"/>
  <c r="DT115" i="2"/>
  <c r="DS115" i="2"/>
  <c r="DR115" i="2"/>
  <c r="DQ115" i="2"/>
  <c r="DP115" i="2"/>
  <c r="DO115" i="2"/>
  <c r="DN115" i="2"/>
  <c r="DM115" i="2"/>
  <c r="DL115" i="2"/>
  <c r="DK115" i="2"/>
  <c r="DJ115" i="2"/>
  <c r="DI115" i="2"/>
  <c r="DH115" i="2"/>
  <c r="DG115" i="2"/>
  <c r="DF115" i="2"/>
  <c r="DE115" i="2"/>
  <c r="DD115" i="2"/>
  <c r="DC115" i="2"/>
  <c r="DB115" i="2"/>
  <c r="DA115" i="2"/>
  <c r="CZ115" i="2"/>
  <c r="CY115" i="2"/>
  <c r="CX115" i="2"/>
  <c r="CW115" i="2"/>
  <c r="CV115" i="2"/>
  <c r="CU115" i="2"/>
  <c r="CT115" i="2"/>
  <c r="CS115" i="2"/>
  <c r="CR115" i="2"/>
  <c r="CQ115" i="2"/>
  <c r="CP115" i="2"/>
  <c r="CO115" i="2"/>
  <c r="CN115" i="2"/>
  <c r="CM115" i="2"/>
  <c r="CL115" i="2"/>
  <c r="CK115" i="2"/>
  <c r="CJ115" i="2"/>
  <c r="CI115" i="2"/>
  <c r="CH115" i="2"/>
  <c r="CG115" i="2"/>
  <c r="CF115" i="2"/>
  <c r="CE115" i="2"/>
  <c r="CD115" i="2"/>
  <c r="CC115" i="2"/>
  <c r="CB115" i="2"/>
  <c r="CA115" i="2"/>
  <c r="BZ115" i="2"/>
  <c r="BX115" i="2"/>
  <c r="BW115" i="2"/>
  <c r="BV115" i="2"/>
  <c r="BU115" i="2"/>
  <c r="BT115" i="2"/>
  <c r="BS115" i="2"/>
  <c r="BR115" i="2"/>
  <c r="BQ115" i="2"/>
  <c r="BP115" i="2"/>
  <c r="BO115" i="2"/>
  <c r="FV114" i="2"/>
  <c r="FU114" i="2"/>
  <c r="GI113" i="2"/>
  <c r="GH113" i="2"/>
  <c r="GG113" i="2"/>
  <c r="GF113" i="2"/>
  <c r="GE113" i="2"/>
  <c r="GD113" i="2"/>
  <c r="GC113" i="2"/>
  <c r="GB113" i="2"/>
  <c r="GA113" i="2"/>
  <c r="FZ113" i="2"/>
  <c r="FY113" i="2"/>
  <c r="FX113" i="2"/>
  <c r="FW113" i="2"/>
  <c r="FV113" i="2"/>
  <c r="FU113" i="2"/>
  <c r="FT113" i="2"/>
  <c r="FS113" i="2"/>
  <c r="FR113" i="2"/>
  <c r="FQ113" i="2"/>
  <c r="FP113" i="2"/>
  <c r="FO113" i="2"/>
  <c r="FN113" i="2"/>
  <c r="FM113" i="2"/>
  <c r="FL113" i="2"/>
  <c r="FK113" i="2"/>
  <c r="FJ113" i="2"/>
  <c r="FI113" i="2"/>
  <c r="FH113" i="2"/>
  <c r="FG113" i="2"/>
  <c r="FF113" i="2"/>
  <c r="FE113" i="2"/>
  <c r="FD113" i="2"/>
  <c r="FC113" i="2"/>
  <c r="FB113" i="2"/>
  <c r="FA113" i="2"/>
  <c r="EZ113" i="2"/>
  <c r="EY113" i="2"/>
  <c r="EX113" i="2"/>
  <c r="EW113" i="2"/>
  <c r="EV113" i="2"/>
  <c r="EU113" i="2"/>
  <c r="ET113" i="2"/>
  <c r="ES113" i="2"/>
  <c r="ER113" i="2"/>
  <c r="EQ113" i="2"/>
  <c r="EP113" i="2"/>
  <c r="EO113" i="2"/>
  <c r="EN113" i="2"/>
  <c r="EM113" i="2"/>
  <c r="EL113" i="2"/>
  <c r="EK113" i="2"/>
  <c r="EJ113" i="2"/>
  <c r="EH113" i="2"/>
  <c r="EG113" i="2"/>
  <c r="EF113" i="2"/>
  <c r="EE113" i="2"/>
  <c r="ED113" i="2"/>
  <c r="EC113" i="2"/>
  <c r="EB113" i="2"/>
  <c r="EA113" i="2"/>
  <c r="DW113" i="2"/>
  <c r="DV113" i="2"/>
  <c r="DU113" i="2"/>
  <c r="DT113" i="2"/>
  <c r="DS113" i="2"/>
  <c r="DR113" i="2"/>
  <c r="DQ113" i="2"/>
  <c r="DP113" i="2"/>
  <c r="DO113" i="2"/>
  <c r="DN113" i="2"/>
  <c r="DM113" i="2"/>
  <c r="DL113" i="2"/>
  <c r="DK113" i="2"/>
  <c r="DJ113" i="2"/>
  <c r="DI113" i="2"/>
  <c r="DH113" i="2"/>
  <c r="DG113" i="2"/>
  <c r="DF113" i="2"/>
  <c r="DE113" i="2"/>
  <c r="DD113" i="2"/>
  <c r="DC113" i="2"/>
  <c r="DB113" i="2"/>
  <c r="DA113" i="2"/>
  <c r="CZ113" i="2"/>
  <c r="CY113" i="2"/>
  <c r="CX113" i="2"/>
  <c r="CW113" i="2"/>
  <c r="CV113" i="2"/>
  <c r="CU113" i="2"/>
  <c r="CT113" i="2"/>
  <c r="CS113" i="2"/>
  <c r="CR113" i="2"/>
  <c r="CQ113" i="2"/>
  <c r="CP113" i="2"/>
  <c r="CO113" i="2"/>
  <c r="CN113" i="2"/>
  <c r="CM113" i="2"/>
  <c r="CL113" i="2"/>
  <c r="CK113" i="2"/>
  <c r="CJ113" i="2"/>
  <c r="CI113" i="2"/>
  <c r="CH113" i="2"/>
  <c r="CG113" i="2"/>
  <c r="CF113" i="2"/>
  <c r="CE113" i="2"/>
  <c r="CD113" i="2"/>
  <c r="CC113" i="2"/>
  <c r="CB113" i="2"/>
  <c r="CA113" i="2"/>
  <c r="BZ113" i="2"/>
  <c r="BY113" i="2"/>
  <c r="BX113" i="2"/>
  <c r="BV113" i="2"/>
  <c r="BU113" i="2"/>
  <c r="BT113" i="2"/>
  <c r="BS113" i="2"/>
  <c r="BR113" i="2"/>
  <c r="BQ113" i="2"/>
  <c r="BP113" i="2"/>
  <c r="BO113" i="2"/>
  <c r="FV112" i="2"/>
  <c r="FU112" i="2"/>
  <c r="FV111" i="2"/>
  <c r="FU111" i="2"/>
  <c r="GI110" i="2"/>
  <c r="GH110" i="2"/>
  <c r="GG110" i="2"/>
  <c r="GF110" i="2"/>
  <c r="GE110" i="2"/>
  <c r="GD110" i="2"/>
  <c r="GC110" i="2"/>
  <c r="GB110" i="2"/>
  <c r="GA110" i="2"/>
  <c r="FZ110" i="2"/>
  <c r="FY110" i="2"/>
  <c r="FX110" i="2"/>
  <c r="FW110" i="2"/>
  <c r="FV110" i="2"/>
  <c r="FU110" i="2"/>
  <c r="FT110" i="2"/>
  <c r="FS110" i="2"/>
  <c r="FR110" i="2"/>
  <c r="FQ110" i="2"/>
  <c r="FP110" i="2"/>
  <c r="FO110" i="2"/>
  <c r="FN110" i="2"/>
  <c r="FM110" i="2"/>
  <c r="FL110" i="2"/>
  <c r="FK110" i="2"/>
  <c r="FJ110" i="2"/>
  <c r="FI110" i="2"/>
  <c r="FH110" i="2"/>
  <c r="FG110" i="2"/>
  <c r="FF110" i="2"/>
  <c r="FE110" i="2"/>
  <c r="FD110" i="2"/>
  <c r="FC110" i="2"/>
  <c r="FB110" i="2"/>
  <c r="FA110" i="2"/>
  <c r="EZ110" i="2"/>
  <c r="EY110" i="2"/>
  <c r="EX110" i="2"/>
  <c r="EW110" i="2"/>
  <c r="EV110" i="2"/>
  <c r="EU110" i="2"/>
  <c r="ET110" i="2"/>
  <c r="ES110" i="2"/>
  <c r="ER110" i="2"/>
  <c r="EQ110" i="2"/>
  <c r="EP110" i="2"/>
  <c r="EO110" i="2"/>
  <c r="EN110" i="2"/>
  <c r="EM110" i="2"/>
  <c r="EL110" i="2"/>
  <c r="EK110" i="2"/>
  <c r="EJ110" i="2"/>
  <c r="EI110" i="2"/>
  <c r="EH110" i="2"/>
  <c r="EG110" i="2"/>
  <c r="EE110" i="2"/>
  <c r="ED110" i="2"/>
  <c r="EC110" i="2"/>
  <c r="EB110" i="2"/>
  <c r="EA110" i="2"/>
  <c r="DW110" i="2"/>
  <c r="DV110" i="2"/>
  <c r="DU110" i="2"/>
  <c r="DT110" i="2"/>
  <c r="DS110" i="2"/>
  <c r="DR110" i="2"/>
  <c r="DQ110" i="2"/>
  <c r="DP110" i="2"/>
  <c r="DO110" i="2"/>
  <c r="DN110" i="2"/>
  <c r="DM110" i="2"/>
  <c r="DL110" i="2"/>
  <c r="DK110" i="2"/>
  <c r="DJ110" i="2"/>
  <c r="DI110" i="2"/>
  <c r="DH110" i="2"/>
  <c r="DG110" i="2"/>
  <c r="DF110" i="2"/>
  <c r="DE110" i="2"/>
  <c r="DD110" i="2"/>
  <c r="DC110" i="2"/>
  <c r="DB110" i="2"/>
  <c r="DA110" i="2"/>
  <c r="CZ110" i="2"/>
  <c r="CY110" i="2"/>
  <c r="CX110" i="2"/>
  <c r="CW110" i="2"/>
  <c r="CV110" i="2"/>
  <c r="CU110" i="2"/>
  <c r="CT110" i="2"/>
  <c r="CS110" i="2"/>
  <c r="CR110" i="2"/>
  <c r="CQ110" i="2"/>
  <c r="CP110" i="2"/>
  <c r="CO110" i="2"/>
  <c r="CN110" i="2"/>
  <c r="CM110" i="2"/>
  <c r="CL110" i="2"/>
  <c r="CK110" i="2"/>
  <c r="CJ110" i="2"/>
  <c r="CI110" i="2"/>
  <c r="CH110" i="2"/>
  <c r="CG110" i="2"/>
  <c r="CF110" i="2"/>
  <c r="CE110" i="2"/>
  <c r="CD110" i="2"/>
  <c r="CC110" i="2"/>
  <c r="CB110" i="2"/>
  <c r="CA110" i="2"/>
  <c r="BZ110" i="2"/>
  <c r="BY110" i="2"/>
  <c r="BX110" i="2"/>
  <c r="BW110" i="2"/>
  <c r="BV110" i="2"/>
  <c r="BU110" i="2"/>
  <c r="BS110" i="2"/>
  <c r="BR110" i="2"/>
  <c r="BQ110" i="2"/>
  <c r="BP110" i="2"/>
  <c r="BO110" i="2"/>
  <c r="GI109" i="2"/>
  <c r="GH109" i="2"/>
  <c r="GG109" i="2"/>
  <c r="GF109" i="2"/>
  <c r="GE109" i="2"/>
  <c r="GD109" i="2"/>
  <c r="GC109" i="2"/>
  <c r="GB109" i="2"/>
  <c r="GA109" i="2"/>
  <c r="FZ109" i="2"/>
  <c r="FY109" i="2"/>
  <c r="FX109" i="2"/>
  <c r="FW109" i="2"/>
  <c r="FV109" i="2"/>
  <c r="FU109" i="2"/>
  <c r="FT109" i="2"/>
  <c r="FS109" i="2"/>
  <c r="FR109" i="2"/>
  <c r="FQ109" i="2"/>
  <c r="FP109" i="2"/>
  <c r="FO109" i="2"/>
  <c r="FN109" i="2"/>
  <c r="FM109" i="2"/>
  <c r="FL109" i="2"/>
  <c r="FK109" i="2"/>
  <c r="FJ109" i="2"/>
  <c r="FI109" i="2"/>
  <c r="FH109" i="2"/>
  <c r="FG109" i="2"/>
  <c r="FF109" i="2"/>
  <c r="FE109" i="2"/>
  <c r="FD109" i="2"/>
  <c r="FC109" i="2"/>
  <c r="FB109" i="2"/>
  <c r="FA109" i="2"/>
  <c r="EZ109" i="2"/>
  <c r="EY109" i="2"/>
  <c r="EX109" i="2"/>
  <c r="EW109" i="2"/>
  <c r="EV109" i="2"/>
  <c r="EU109" i="2"/>
  <c r="ET109" i="2"/>
  <c r="ES109" i="2"/>
  <c r="ER109" i="2"/>
  <c r="EQ109" i="2"/>
  <c r="EP109" i="2"/>
  <c r="EO109" i="2"/>
  <c r="EN109" i="2"/>
  <c r="EM109" i="2"/>
  <c r="EL109" i="2"/>
  <c r="EK109" i="2"/>
  <c r="EJ109" i="2"/>
  <c r="EI109" i="2"/>
  <c r="EH109" i="2"/>
  <c r="EG109" i="2"/>
  <c r="EF109" i="2"/>
  <c r="ED109" i="2"/>
  <c r="EC109" i="2"/>
  <c r="EB109" i="2"/>
  <c r="EA109" i="2"/>
  <c r="DW109" i="2"/>
  <c r="DV109" i="2"/>
  <c r="DU109" i="2"/>
  <c r="DT109" i="2"/>
  <c r="DS109" i="2"/>
  <c r="DR109" i="2"/>
  <c r="DQ109" i="2"/>
  <c r="DP109" i="2"/>
  <c r="DO109" i="2"/>
  <c r="DN109" i="2"/>
  <c r="DM109" i="2"/>
  <c r="DL109" i="2"/>
  <c r="DK109" i="2"/>
  <c r="DJ109" i="2"/>
  <c r="DI109" i="2"/>
  <c r="DH109" i="2"/>
  <c r="DG109" i="2"/>
  <c r="DF109" i="2"/>
  <c r="DE109" i="2"/>
  <c r="DD109" i="2"/>
  <c r="DC109" i="2"/>
  <c r="DB109" i="2"/>
  <c r="DA109" i="2"/>
  <c r="CZ109" i="2"/>
  <c r="CY109" i="2"/>
  <c r="CX109" i="2"/>
  <c r="CW109" i="2"/>
  <c r="CV109" i="2"/>
  <c r="CU109" i="2"/>
  <c r="CT109" i="2"/>
  <c r="CS109" i="2"/>
  <c r="CR109" i="2"/>
  <c r="CQ109" i="2"/>
  <c r="CP109" i="2"/>
  <c r="CO109" i="2"/>
  <c r="CN109" i="2"/>
  <c r="CM109" i="2"/>
  <c r="CL109" i="2"/>
  <c r="CK109" i="2"/>
  <c r="CJ109" i="2"/>
  <c r="CI109" i="2"/>
  <c r="CH109" i="2"/>
  <c r="CG109" i="2"/>
  <c r="CF109" i="2"/>
  <c r="CE109" i="2"/>
  <c r="CD109" i="2"/>
  <c r="CC109" i="2"/>
  <c r="CB109" i="2"/>
  <c r="CA109" i="2"/>
  <c r="BZ109" i="2"/>
  <c r="BY109" i="2"/>
  <c r="BX109" i="2"/>
  <c r="BW109" i="2"/>
  <c r="BV109" i="2"/>
  <c r="BU109" i="2"/>
  <c r="BT109" i="2"/>
  <c r="BR109" i="2"/>
  <c r="BQ109" i="2"/>
  <c r="BP109" i="2"/>
  <c r="BO109" i="2"/>
  <c r="FV108" i="2"/>
  <c r="FU108" i="2"/>
  <c r="GI107" i="2"/>
  <c r="GH107" i="2"/>
  <c r="GG107" i="2"/>
  <c r="GF107" i="2"/>
  <c r="GE107" i="2"/>
  <c r="BF264" i="1" s="1"/>
  <c r="GD107" i="2"/>
  <c r="GC107" i="2"/>
  <c r="GB107" i="2"/>
  <c r="GA107" i="2"/>
  <c r="BB264" i="1" s="1"/>
  <c r="FZ107" i="2"/>
  <c r="FY107" i="2"/>
  <c r="FX107" i="2"/>
  <c r="FW107" i="2"/>
  <c r="AX264" i="1" s="1"/>
  <c r="FV107" i="2"/>
  <c r="FU107" i="2"/>
  <c r="FT107" i="2"/>
  <c r="FS107" i="2"/>
  <c r="AT264" i="1" s="1"/>
  <c r="FR107" i="2"/>
  <c r="FQ107" i="2"/>
  <c r="FP107" i="2"/>
  <c r="FO107" i="2"/>
  <c r="AP264" i="1" s="1"/>
  <c r="FN107" i="2"/>
  <c r="FM107" i="2"/>
  <c r="FL107" i="2"/>
  <c r="FK107" i="2"/>
  <c r="AL264" i="1" s="1"/>
  <c r="FJ107" i="2"/>
  <c r="FI107" i="2"/>
  <c r="FH107" i="2"/>
  <c r="FG107" i="2"/>
  <c r="AH264" i="1" s="1"/>
  <c r="FF107" i="2"/>
  <c r="FE107" i="2"/>
  <c r="FD107" i="2"/>
  <c r="FC107" i="2"/>
  <c r="AD264" i="1" s="1"/>
  <c r="FB107" i="2"/>
  <c r="FA107" i="2"/>
  <c r="EZ107" i="2"/>
  <c r="EY107" i="2"/>
  <c r="Z264" i="1" s="1"/>
  <c r="EX107" i="2"/>
  <c r="EW107" i="2"/>
  <c r="EV107" i="2"/>
  <c r="EU107" i="2"/>
  <c r="V264" i="1" s="1"/>
  <c r="ET107" i="2"/>
  <c r="ES107" i="2"/>
  <c r="ER107" i="2"/>
  <c r="EQ107" i="2"/>
  <c r="R264" i="1" s="1"/>
  <c r="EP107" i="2"/>
  <c r="EO107" i="2"/>
  <c r="EN107" i="2"/>
  <c r="EM107" i="2"/>
  <c r="N264" i="1" s="1"/>
  <c r="EL107" i="2"/>
  <c r="EK107" i="2"/>
  <c r="EJ107" i="2"/>
  <c r="EI107" i="2"/>
  <c r="J264" i="1" s="1"/>
  <c r="EH107" i="2"/>
  <c r="EG107" i="2"/>
  <c r="EF107" i="2"/>
  <c r="EE107" i="2"/>
  <c r="F264" i="1" s="1"/>
  <c r="ED107" i="2"/>
  <c r="EB107" i="2"/>
  <c r="EA107" i="2"/>
  <c r="DW107" i="2"/>
  <c r="DV107" i="2"/>
  <c r="DU107" i="2"/>
  <c r="DT107" i="2"/>
  <c r="DS107" i="2"/>
  <c r="DR107" i="2"/>
  <c r="DQ107" i="2"/>
  <c r="DP107" i="2"/>
  <c r="DO107" i="2"/>
  <c r="DN107" i="2"/>
  <c r="DM107" i="2"/>
  <c r="DL107" i="2"/>
  <c r="DK107" i="2"/>
  <c r="DJ107" i="2"/>
  <c r="DI107" i="2"/>
  <c r="DH107" i="2"/>
  <c r="DG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S107" i="2"/>
  <c r="CR107" i="2"/>
  <c r="CQ107" i="2"/>
  <c r="CP107" i="2"/>
  <c r="CO107" i="2"/>
  <c r="CN107" i="2"/>
  <c r="CM107" i="2"/>
  <c r="CL107" i="2"/>
  <c r="CK107" i="2"/>
  <c r="CJ107" i="2"/>
  <c r="CI107" i="2"/>
  <c r="CH107" i="2"/>
  <c r="CG107" i="2"/>
  <c r="CF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P107" i="2"/>
  <c r="BO107" i="2"/>
  <c r="FV106" i="2"/>
  <c r="FU106" i="2"/>
  <c r="BQ106" i="2"/>
  <c r="FV105" i="2"/>
  <c r="FU105" i="2"/>
  <c r="BQ105" i="2"/>
  <c r="AO95" i="2"/>
  <c r="AO99" i="1" s="1"/>
  <c r="AM92" i="2"/>
  <c r="AM96" i="1" s="1"/>
  <c r="AL92" i="2"/>
  <c r="AL96" i="1" s="1"/>
  <c r="AN91" i="2"/>
  <c r="AN95" i="1" s="1"/>
  <c r="AL91" i="2"/>
  <c r="AL95" i="1" s="1"/>
  <c r="DP89" i="2"/>
  <c r="DO89" i="2"/>
  <c r="DH89" i="2"/>
  <c r="BE89" i="2"/>
  <c r="BE93" i="1" s="1"/>
  <c r="BD89" i="2"/>
  <c r="BD93" i="1" s="1"/>
  <c r="AW89" i="2"/>
  <c r="AW93" i="1" s="1"/>
  <c r="AJ89" i="2"/>
  <c r="AJ93" i="1" s="1"/>
  <c r="DO88" i="2"/>
  <c r="BD88" i="2"/>
  <c r="BD92" i="1" s="1"/>
  <c r="AI88" i="2"/>
  <c r="AI92" i="1" s="1"/>
  <c r="DP87" i="2"/>
  <c r="DO87" i="2"/>
  <c r="BE87" i="2"/>
  <c r="BE91" i="1" s="1"/>
  <c r="BD87" i="2"/>
  <c r="BD91" i="1" s="1"/>
  <c r="DP86" i="2"/>
  <c r="DO86" i="2"/>
  <c r="DH86" i="2"/>
  <c r="BE86" i="2"/>
  <c r="BE90" i="1" s="1"/>
  <c r="BD86" i="2"/>
  <c r="BD90" i="1" s="1"/>
  <c r="AW86" i="2"/>
  <c r="AW90" i="1" s="1"/>
  <c r="DI85" i="2"/>
  <c r="DH85" i="2"/>
  <c r="BF85" i="2"/>
  <c r="BF89" i="1" s="1"/>
  <c r="BB85" i="2"/>
  <c r="BB89" i="1" s="1"/>
  <c r="AX85" i="2"/>
  <c r="AX89" i="1" s="1"/>
  <c r="AW85" i="2"/>
  <c r="AW89" i="1" s="1"/>
  <c r="AV85" i="2"/>
  <c r="AV89" i="1" s="1"/>
  <c r="AE85" i="2"/>
  <c r="AE89" i="1" s="1"/>
  <c r="AD85" i="2"/>
  <c r="AD89" i="1" s="1"/>
  <c r="AC85" i="2"/>
  <c r="AC89" i="1" s="1"/>
  <c r="AA85" i="2"/>
  <c r="AA89" i="1" s="1"/>
  <c r="Z85" i="2"/>
  <c r="Z89" i="1" s="1"/>
  <c r="Y85" i="2"/>
  <c r="Y89" i="1" s="1"/>
  <c r="V85" i="2"/>
  <c r="V89" i="1" s="1"/>
  <c r="U85" i="2"/>
  <c r="U89" i="1" s="1"/>
  <c r="T85" i="2"/>
  <c r="T89" i="1" s="1"/>
  <c r="S85" i="2"/>
  <c r="S89" i="1" s="1"/>
  <c r="Q85" i="2"/>
  <c r="Q89" i="1" s="1"/>
  <c r="BF84" i="2"/>
  <c r="BF88" i="1" s="1"/>
  <c r="BB84" i="2"/>
  <c r="BB88" i="1" s="1"/>
  <c r="AX84" i="2"/>
  <c r="AX88" i="1" s="1"/>
  <c r="AW84" i="2"/>
  <c r="AW88" i="1" s="1"/>
  <c r="AE84" i="2"/>
  <c r="AE88" i="1" s="1"/>
  <c r="AD84" i="2"/>
  <c r="AD88" i="1" s="1"/>
  <c r="AC84" i="2"/>
  <c r="AC88" i="1" s="1"/>
  <c r="AB84" i="2"/>
  <c r="AB88" i="1" s="1"/>
  <c r="AA84" i="2"/>
  <c r="AA88" i="1" s="1"/>
  <c r="Z84" i="2"/>
  <c r="Z88" i="1" s="1"/>
  <c r="Y84" i="2"/>
  <c r="Y88" i="1" s="1"/>
  <c r="V84" i="2"/>
  <c r="V88" i="1" s="1"/>
  <c r="U84" i="2"/>
  <c r="U88" i="1" s="1"/>
  <c r="T84" i="2"/>
  <c r="T88" i="1" s="1"/>
  <c r="S84" i="2"/>
  <c r="S88" i="1" s="1"/>
  <c r="Q84" i="2"/>
  <c r="Q88" i="1" s="1"/>
  <c r="BB83" i="2"/>
  <c r="BB87" i="1" s="1"/>
  <c r="AX83" i="2"/>
  <c r="AX87" i="1" s="1"/>
  <c r="AW83" i="2"/>
  <c r="AW87" i="1" s="1"/>
  <c r="AV83" i="2"/>
  <c r="AV87" i="1" s="1"/>
  <c r="AC83" i="2"/>
  <c r="AC87" i="1" s="1"/>
  <c r="AA83" i="2"/>
  <c r="AA87" i="1" s="1"/>
  <c r="Z83" i="2"/>
  <c r="Z87" i="1" s="1"/>
  <c r="Y83" i="2"/>
  <c r="Y87" i="1" s="1"/>
  <c r="W83" i="2"/>
  <c r="W87" i="1" s="1"/>
  <c r="V83" i="2"/>
  <c r="V87" i="1" s="1"/>
  <c r="U83" i="2"/>
  <c r="U87" i="1" s="1"/>
  <c r="T83" i="2"/>
  <c r="T87" i="1" s="1"/>
  <c r="S83" i="2"/>
  <c r="S87" i="1" s="1"/>
  <c r="Q83" i="2"/>
  <c r="Q87" i="1" s="1"/>
  <c r="DI82" i="2"/>
  <c r="DH82" i="2"/>
  <c r="BF82" i="2"/>
  <c r="BF86" i="1" s="1"/>
  <c r="AX82" i="2"/>
  <c r="AX86" i="1" s="1"/>
  <c r="AW82" i="2"/>
  <c r="AW86" i="1" s="1"/>
  <c r="AV82" i="2"/>
  <c r="AV86" i="1" s="1"/>
  <c r="AC82" i="2"/>
  <c r="AC86" i="1" s="1"/>
  <c r="AB82" i="2"/>
  <c r="AB86" i="1" s="1"/>
  <c r="AA82" i="2"/>
  <c r="AA86" i="1" s="1"/>
  <c r="Z82" i="2"/>
  <c r="Z86" i="1" s="1"/>
  <c r="Y82" i="2"/>
  <c r="Y86" i="1" s="1"/>
  <c r="X82" i="2"/>
  <c r="X86" i="1" s="1"/>
  <c r="W82" i="2"/>
  <c r="W86" i="1" s="1"/>
  <c r="V82" i="2"/>
  <c r="V86" i="1" s="1"/>
  <c r="U82" i="2"/>
  <c r="U86" i="1" s="1"/>
  <c r="T82" i="2"/>
  <c r="T86" i="1" s="1"/>
  <c r="S82" i="2"/>
  <c r="S86" i="1" s="1"/>
  <c r="Q82" i="2"/>
  <c r="Q86" i="1" s="1"/>
  <c r="DR81" i="2"/>
  <c r="BG81" i="2"/>
  <c r="BG85" i="1" s="1"/>
  <c r="BF81" i="2"/>
  <c r="BF85" i="1" s="1"/>
  <c r="BB81" i="2"/>
  <c r="BB85" i="1" s="1"/>
  <c r="AA81" i="2"/>
  <c r="AA85" i="1" s="1"/>
  <c r="Z81" i="2"/>
  <c r="Z85" i="1" s="1"/>
  <c r="Y81" i="2"/>
  <c r="Y85" i="1" s="1"/>
  <c r="X81" i="2"/>
  <c r="X85" i="1" s="1"/>
  <c r="W81" i="2"/>
  <c r="W85" i="1" s="1"/>
  <c r="T81" i="2"/>
  <c r="T85" i="1" s="1"/>
  <c r="S81" i="2"/>
  <c r="S85" i="1" s="1"/>
  <c r="Q81" i="2"/>
  <c r="Q85" i="1" s="1"/>
  <c r="BF80" i="2"/>
  <c r="BF84" i="1" s="1"/>
  <c r="BB80" i="2"/>
  <c r="BB84" i="1" s="1"/>
  <c r="AA80" i="2"/>
  <c r="AA84" i="1" s="1"/>
  <c r="Z80" i="2"/>
  <c r="Z84" i="1" s="1"/>
  <c r="Y80" i="2"/>
  <c r="Y84" i="1" s="1"/>
  <c r="X80" i="2"/>
  <c r="X84" i="1" s="1"/>
  <c r="W80" i="2"/>
  <c r="W84" i="1" s="1"/>
  <c r="U80" i="2"/>
  <c r="U84" i="1" s="1"/>
  <c r="T80" i="2"/>
  <c r="T84" i="1" s="1"/>
  <c r="S80" i="2"/>
  <c r="S84" i="1" s="1"/>
  <c r="Q80" i="2"/>
  <c r="Q84" i="1" s="1"/>
  <c r="DO79" i="2"/>
  <c r="DH79" i="2"/>
  <c r="BD79" i="2"/>
  <c r="BD83" i="1" s="1"/>
  <c r="BB79" i="2"/>
  <c r="BB83" i="1" s="1"/>
  <c r="AW79" i="2"/>
  <c r="AW83" i="1" s="1"/>
  <c r="AV79" i="2"/>
  <c r="AV83" i="1" s="1"/>
  <c r="Y79" i="2"/>
  <c r="Y83" i="1" s="1"/>
  <c r="X79" i="2"/>
  <c r="X83" i="1" s="1"/>
  <c r="W79" i="2"/>
  <c r="W83" i="1" s="1"/>
  <c r="V79" i="2"/>
  <c r="V83" i="1" s="1"/>
  <c r="U79" i="2"/>
  <c r="U83" i="1" s="1"/>
  <c r="T79" i="2"/>
  <c r="T83" i="1" s="1"/>
  <c r="S79" i="2"/>
  <c r="S83" i="1" s="1"/>
  <c r="Q79" i="2"/>
  <c r="Q83" i="1" s="1"/>
  <c r="DO78" i="2"/>
  <c r="DI78" i="2"/>
  <c r="DH78" i="2"/>
  <c r="BD78" i="2"/>
  <c r="BD82" i="1" s="1"/>
  <c r="BB78" i="2"/>
  <c r="BB82" i="1" s="1"/>
  <c r="AX78" i="2"/>
  <c r="AX82" i="1" s="1"/>
  <c r="AW78" i="2"/>
  <c r="AW82" i="1" s="1"/>
  <c r="AV78" i="2"/>
  <c r="AV82" i="1" s="1"/>
  <c r="Y78" i="2"/>
  <c r="Y82" i="1" s="1"/>
  <c r="X78" i="2"/>
  <c r="X82" i="1" s="1"/>
  <c r="W78" i="2"/>
  <c r="W82" i="1" s="1"/>
  <c r="V78" i="2"/>
  <c r="V82" i="1" s="1"/>
  <c r="U78" i="2"/>
  <c r="U82" i="1" s="1"/>
  <c r="T78" i="2"/>
  <c r="T82" i="1" s="1"/>
  <c r="S78" i="2"/>
  <c r="S82" i="1" s="1"/>
  <c r="Q78" i="2"/>
  <c r="Q82" i="1" s="1"/>
  <c r="DR77" i="2"/>
  <c r="DI77" i="2"/>
  <c r="DH77" i="2"/>
  <c r="BG77" i="2"/>
  <c r="BG81" i="1" s="1"/>
  <c r="BF77" i="2"/>
  <c r="BF81" i="1" s="1"/>
  <c r="BB77" i="2"/>
  <c r="BB81" i="1" s="1"/>
  <c r="AX77" i="2"/>
  <c r="AX81" i="1" s="1"/>
  <c r="AW77" i="2"/>
  <c r="AW81" i="1" s="1"/>
  <c r="AV77" i="2"/>
  <c r="AV81" i="1" s="1"/>
  <c r="U77" i="2"/>
  <c r="U81" i="1" s="1"/>
  <c r="S77" i="2"/>
  <c r="S81" i="1" s="1"/>
  <c r="Q77" i="2"/>
  <c r="Q81" i="1" s="1"/>
  <c r="DR76" i="2"/>
  <c r="DI76" i="2"/>
  <c r="DH76" i="2"/>
  <c r="BG76" i="2"/>
  <c r="BG80" i="1" s="1"/>
  <c r="BF76" i="2"/>
  <c r="BF80" i="1" s="1"/>
  <c r="AX76" i="2"/>
  <c r="AX80" i="1" s="1"/>
  <c r="AW76" i="2"/>
  <c r="AW80" i="1" s="1"/>
  <c r="AV76" i="2"/>
  <c r="AV80" i="1" s="1"/>
  <c r="U76" i="2"/>
  <c r="U80" i="1" s="1"/>
  <c r="T76" i="2"/>
  <c r="T80" i="1" s="1"/>
  <c r="S76" i="2"/>
  <c r="S80" i="1" s="1"/>
  <c r="Q76" i="2"/>
  <c r="Q80" i="1" s="1"/>
  <c r="DR75" i="2"/>
  <c r="DI75" i="2"/>
  <c r="DH75" i="2"/>
  <c r="BG75" i="2"/>
  <c r="BG79" i="1" s="1"/>
  <c r="BF75" i="2"/>
  <c r="BF79" i="1" s="1"/>
  <c r="BB75" i="2"/>
  <c r="BB79" i="1" s="1"/>
  <c r="AX75" i="2"/>
  <c r="AX79" i="1" s="1"/>
  <c r="AW75" i="2"/>
  <c r="AW79" i="1" s="1"/>
  <c r="AV75" i="2"/>
  <c r="AV79" i="1" s="1"/>
  <c r="V75" i="2"/>
  <c r="V79" i="1" s="1"/>
  <c r="U75" i="2"/>
  <c r="U79" i="1" s="1"/>
  <c r="T75" i="2"/>
  <c r="T79" i="1" s="1"/>
  <c r="S75" i="2"/>
  <c r="S79" i="1" s="1"/>
  <c r="Q75" i="2"/>
  <c r="Q79" i="1" s="1"/>
  <c r="DI74" i="2"/>
  <c r="DH74" i="2"/>
  <c r="BB74" i="2"/>
  <c r="BB78" i="1" s="1"/>
  <c r="AX74" i="2"/>
  <c r="AX78" i="1" s="1"/>
  <c r="AW74" i="2"/>
  <c r="AW78" i="1" s="1"/>
  <c r="AV74" i="2"/>
  <c r="AV78" i="1" s="1"/>
  <c r="U74" i="2"/>
  <c r="U78" i="1" s="1"/>
  <c r="S74" i="2"/>
  <c r="S78" i="1" s="1"/>
  <c r="Q74" i="2"/>
  <c r="Q78" i="1" s="1"/>
  <c r="DR73" i="2"/>
  <c r="DO73" i="2"/>
  <c r="DI73" i="2"/>
  <c r="DH73" i="2"/>
  <c r="BG73" i="2"/>
  <c r="BG77" i="1" s="1"/>
  <c r="BF73" i="2"/>
  <c r="BF77" i="1" s="1"/>
  <c r="BD73" i="2"/>
  <c r="BD77" i="1" s="1"/>
  <c r="BB73" i="2"/>
  <c r="BB77" i="1" s="1"/>
  <c r="AX73" i="2"/>
  <c r="AX77" i="1" s="1"/>
  <c r="AW73" i="2"/>
  <c r="AW77" i="1" s="1"/>
  <c r="AV73" i="2"/>
  <c r="AV77" i="1" s="1"/>
  <c r="S73" i="2"/>
  <c r="S77" i="1" s="1"/>
  <c r="Q73" i="2"/>
  <c r="Q77" i="1" s="1"/>
  <c r="DR72" i="2"/>
  <c r="DO72" i="2"/>
  <c r="DI72" i="2"/>
  <c r="BG72" i="2"/>
  <c r="BG76" i="1" s="1"/>
  <c r="BF72" i="2"/>
  <c r="BF76" i="1" s="1"/>
  <c r="BD72" i="2"/>
  <c r="BD76" i="1" s="1"/>
  <c r="BB72" i="2"/>
  <c r="BB76" i="1" s="1"/>
  <c r="AX72" i="2"/>
  <c r="AX76" i="1" s="1"/>
  <c r="AV72" i="2"/>
  <c r="AV76" i="1" s="1"/>
  <c r="Q72" i="2"/>
  <c r="Q76" i="1" s="1"/>
  <c r="DR71" i="2"/>
  <c r="DI71" i="2"/>
  <c r="BG71" i="2"/>
  <c r="BG75" i="1" s="1"/>
  <c r="BF71" i="2"/>
  <c r="BF75" i="1" s="1"/>
  <c r="BB71" i="2"/>
  <c r="BB75" i="1" s="1"/>
  <c r="AX71" i="2"/>
  <c r="AX75" i="1" s="1"/>
  <c r="AV71" i="2"/>
  <c r="AV75" i="1" s="1"/>
  <c r="R71" i="2"/>
  <c r="R75" i="1" s="1"/>
  <c r="Q70" i="2"/>
  <c r="Q74" i="1" s="1"/>
  <c r="DR69" i="2"/>
  <c r="BG69" i="2"/>
  <c r="BG73" i="1" s="1"/>
  <c r="BF69" i="2"/>
  <c r="BF73" i="1" s="1"/>
  <c r="BB69" i="2"/>
  <c r="BB73" i="1" s="1"/>
  <c r="AV69" i="2"/>
  <c r="AV73" i="1" s="1"/>
  <c r="K65" i="2"/>
  <c r="K69" i="1" s="1"/>
  <c r="J65" i="2"/>
  <c r="J69" i="1" s="1"/>
  <c r="I65" i="2"/>
  <c r="I69" i="1" s="1"/>
  <c r="G65" i="2"/>
  <c r="G69" i="1" s="1"/>
  <c r="F65" i="2"/>
  <c r="F69" i="1" s="1"/>
  <c r="E65" i="2"/>
  <c r="E69" i="1" s="1"/>
  <c r="D65" i="2"/>
  <c r="D69" i="1" s="1"/>
  <c r="C65" i="2"/>
  <c r="C69" i="1" s="1"/>
  <c r="B65" i="2"/>
  <c r="B69" i="1" s="1"/>
  <c r="BT64" i="2"/>
  <c r="BQ64" i="2"/>
  <c r="BP64" i="2"/>
  <c r="BO64" i="2"/>
  <c r="BN64" i="2"/>
  <c r="BM64" i="2"/>
  <c r="I64" i="2"/>
  <c r="I68" i="1" s="1"/>
  <c r="F64" i="2"/>
  <c r="F68" i="1" s="1"/>
  <c r="E64" i="2"/>
  <c r="E68" i="1" s="1"/>
  <c r="D64" i="2"/>
  <c r="D68" i="1" s="1"/>
  <c r="C64" i="2"/>
  <c r="C68" i="1" s="1"/>
  <c r="B64" i="2"/>
  <c r="B68" i="1" s="1"/>
  <c r="J63" i="2"/>
  <c r="J67" i="1" s="1"/>
  <c r="I63" i="2"/>
  <c r="I67" i="1" s="1"/>
  <c r="H63" i="2"/>
  <c r="H67" i="1" s="1"/>
  <c r="G63" i="2"/>
  <c r="G67" i="1" s="1"/>
  <c r="F63" i="2"/>
  <c r="F67" i="1" s="1"/>
  <c r="E63" i="2"/>
  <c r="E67" i="1" s="1"/>
  <c r="D63" i="2"/>
  <c r="D67" i="1" s="1"/>
  <c r="C63" i="2"/>
  <c r="C67" i="1" s="1"/>
  <c r="B63" i="2"/>
  <c r="B67" i="1" s="1"/>
  <c r="H62" i="2"/>
  <c r="H66" i="1" s="1"/>
  <c r="G62" i="2"/>
  <c r="G66" i="1" s="1"/>
  <c r="F62" i="2"/>
  <c r="F66" i="1" s="1"/>
  <c r="E62" i="2"/>
  <c r="E66" i="1" s="1"/>
  <c r="D62" i="2"/>
  <c r="D66" i="1" s="1"/>
  <c r="C62" i="2"/>
  <c r="C66" i="1" s="1"/>
  <c r="B62" i="2"/>
  <c r="B66" i="1" s="1"/>
  <c r="H61" i="2"/>
  <c r="H65" i="1" s="1"/>
  <c r="G61" i="2"/>
  <c r="G65" i="1" s="1"/>
  <c r="F61" i="2"/>
  <c r="F65" i="1" s="1"/>
  <c r="B61" i="2"/>
  <c r="B65" i="1" s="1"/>
  <c r="G60" i="2"/>
  <c r="G64" i="1" s="1"/>
  <c r="F60" i="2"/>
  <c r="F64" i="1" s="1"/>
  <c r="D60" i="2"/>
  <c r="D64" i="1" s="1"/>
  <c r="C60" i="2"/>
  <c r="C64" i="1" s="1"/>
  <c r="B60" i="2"/>
  <c r="B64" i="1" s="1"/>
  <c r="F59" i="2"/>
  <c r="F63" i="1" s="1"/>
  <c r="E59" i="2"/>
  <c r="E63" i="1" s="1"/>
  <c r="B59" i="2"/>
  <c r="B63" i="1" s="1"/>
  <c r="D58" i="2"/>
  <c r="D62" i="1" s="1"/>
  <c r="D57" i="2"/>
  <c r="D61" i="1" s="1"/>
  <c r="B57" i="2"/>
  <c r="B61" i="1" s="1"/>
  <c r="C56" i="2"/>
  <c r="C60" i="1" s="1"/>
  <c r="B56" i="2"/>
  <c r="B60" i="1" s="1"/>
  <c r="B55" i="2"/>
  <c r="B59" i="1" s="1"/>
  <c r="F12" i="2"/>
  <c r="F15" i="1" s="1"/>
  <c r="C7" i="2"/>
  <c r="C10" i="1" s="1"/>
  <c r="AW262" i="1" l="1"/>
  <c r="AW160" i="1"/>
  <c r="AW266" i="3"/>
  <c r="B213" i="1"/>
  <c r="B162" i="1"/>
  <c r="G213" i="1"/>
  <c r="G162" i="1"/>
  <c r="K213" i="1"/>
  <c r="K162" i="1"/>
  <c r="O213" i="1"/>
  <c r="O162" i="1"/>
  <c r="S213" i="1"/>
  <c r="S162" i="1"/>
  <c r="W213" i="1"/>
  <c r="W162" i="1"/>
  <c r="AA213" i="1"/>
  <c r="AA162" i="1"/>
  <c r="AE213" i="1"/>
  <c r="AE162" i="1"/>
  <c r="AI213" i="1"/>
  <c r="AI162" i="1"/>
  <c r="AM213" i="1"/>
  <c r="AM162" i="1"/>
  <c r="AQ213" i="1"/>
  <c r="AQ162" i="1"/>
  <c r="AU213" i="1"/>
  <c r="AU162" i="1"/>
  <c r="AY213" i="1"/>
  <c r="AY162" i="1"/>
  <c r="BC213" i="1"/>
  <c r="BC162" i="1"/>
  <c r="BG213" i="1"/>
  <c r="BG162" i="1"/>
  <c r="B268" i="3"/>
  <c r="G264" i="1"/>
  <c r="G268" i="3"/>
  <c r="K264" i="1"/>
  <c r="K268" i="3"/>
  <c r="O264" i="1"/>
  <c r="O268" i="3"/>
  <c r="S264" i="1"/>
  <c r="S268" i="3"/>
  <c r="W264" i="1"/>
  <c r="W268" i="3"/>
  <c r="AE264" i="1"/>
  <c r="AE268" i="3"/>
  <c r="AM264" i="1"/>
  <c r="AM268" i="3"/>
  <c r="AQ264" i="1"/>
  <c r="AQ268" i="3"/>
  <c r="AU264" i="1"/>
  <c r="AU268" i="3"/>
  <c r="AY264" i="1"/>
  <c r="AY268" i="3"/>
  <c r="BC264" i="1"/>
  <c r="BC268" i="3"/>
  <c r="BG264" i="1"/>
  <c r="BG268" i="3"/>
  <c r="AV265" i="1"/>
  <c r="AV163" i="1"/>
  <c r="AV269" i="3"/>
  <c r="D215" i="1"/>
  <c r="D164" i="1"/>
  <c r="I215" i="1"/>
  <c r="I164" i="1"/>
  <c r="M215" i="1"/>
  <c r="M164" i="1"/>
  <c r="Q215" i="1"/>
  <c r="Q164" i="1"/>
  <c r="U215" i="1"/>
  <c r="U164" i="1"/>
  <c r="Y215" i="1"/>
  <c r="Y164" i="1"/>
  <c r="AC215" i="1"/>
  <c r="AC164" i="1"/>
  <c r="AG215" i="1"/>
  <c r="AG164" i="1"/>
  <c r="AK215" i="1"/>
  <c r="AK164" i="1"/>
  <c r="AO215" i="1"/>
  <c r="AO164" i="1"/>
  <c r="AS215" i="1"/>
  <c r="AS164" i="1"/>
  <c r="AW215" i="1"/>
  <c r="AW164" i="1"/>
  <c r="BA215" i="1"/>
  <c r="BA164" i="1"/>
  <c r="BE215" i="1"/>
  <c r="BE164" i="1"/>
  <c r="BI215" i="1"/>
  <c r="BI164" i="1"/>
  <c r="D266" i="1"/>
  <c r="D270" i="3"/>
  <c r="I266" i="1"/>
  <c r="I270" i="3"/>
  <c r="M266" i="1"/>
  <c r="M270" i="3"/>
  <c r="Q266" i="1"/>
  <c r="Q270" i="3"/>
  <c r="U266" i="1"/>
  <c r="U270" i="3"/>
  <c r="Y266" i="1"/>
  <c r="Y270" i="3"/>
  <c r="AC266" i="1"/>
  <c r="AC270" i="3"/>
  <c r="AG266" i="1"/>
  <c r="AG270" i="3"/>
  <c r="AK266" i="1"/>
  <c r="AK270" i="3"/>
  <c r="AO266" i="1"/>
  <c r="AO270" i="3"/>
  <c r="AS266" i="1"/>
  <c r="AS270" i="3"/>
  <c r="AW266" i="1"/>
  <c r="AW270" i="3"/>
  <c r="BA266" i="1"/>
  <c r="BA270" i="3"/>
  <c r="BE266" i="1"/>
  <c r="BE270" i="3"/>
  <c r="D216" i="1"/>
  <c r="D165" i="1"/>
  <c r="M216" i="1"/>
  <c r="M165" i="1"/>
  <c r="Q216" i="1"/>
  <c r="Q165" i="1"/>
  <c r="U216" i="1"/>
  <c r="U165" i="1"/>
  <c r="Y216" i="1"/>
  <c r="Y165" i="1"/>
  <c r="AC216" i="1"/>
  <c r="AC165" i="1"/>
  <c r="AG216" i="1"/>
  <c r="AG165" i="1"/>
  <c r="AK216" i="1"/>
  <c r="AK165" i="1"/>
  <c r="AO216" i="1"/>
  <c r="AO165" i="1"/>
  <c r="AS216" i="1"/>
  <c r="AS165" i="1"/>
  <c r="AW216" i="1"/>
  <c r="AW165" i="1"/>
  <c r="BA216" i="1"/>
  <c r="BA165" i="1"/>
  <c r="BE216" i="1"/>
  <c r="BE165" i="1"/>
  <c r="BI216" i="1"/>
  <c r="BI165" i="1"/>
  <c r="D267" i="1"/>
  <c r="D271" i="3"/>
  <c r="I267" i="1"/>
  <c r="I271" i="3"/>
  <c r="M267" i="1"/>
  <c r="M271" i="3"/>
  <c r="Q267" i="1"/>
  <c r="Q271" i="3"/>
  <c r="U267" i="1"/>
  <c r="U271" i="3"/>
  <c r="Y267" i="1"/>
  <c r="Y271" i="3"/>
  <c r="AC267" i="1"/>
  <c r="AC271" i="3"/>
  <c r="AG267" i="1"/>
  <c r="AG271" i="3"/>
  <c r="AK267" i="1"/>
  <c r="AK271" i="3"/>
  <c r="AO267" i="1"/>
  <c r="AO271" i="3"/>
  <c r="AS267" i="1"/>
  <c r="AS271" i="3"/>
  <c r="AW267" i="1"/>
  <c r="AW271" i="3"/>
  <c r="BA267" i="1"/>
  <c r="BA271" i="3"/>
  <c r="BE267" i="1"/>
  <c r="BE271" i="3"/>
  <c r="BI267" i="1"/>
  <c r="BI271" i="3"/>
  <c r="D219" i="1"/>
  <c r="D168" i="1"/>
  <c r="M219" i="1"/>
  <c r="M168" i="1"/>
  <c r="Q219" i="1"/>
  <c r="Q168" i="1"/>
  <c r="U219" i="1"/>
  <c r="U168" i="1"/>
  <c r="Y219" i="1"/>
  <c r="Y168" i="1"/>
  <c r="AC219" i="1"/>
  <c r="AC168" i="1"/>
  <c r="AG219" i="1"/>
  <c r="AG168" i="1"/>
  <c r="AK219" i="1"/>
  <c r="AK168" i="1"/>
  <c r="AO219" i="1"/>
  <c r="AO168" i="1"/>
  <c r="AS219" i="1"/>
  <c r="AS168" i="1"/>
  <c r="AW219" i="1"/>
  <c r="AW168" i="1"/>
  <c r="BA219" i="1"/>
  <c r="BA168" i="1"/>
  <c r="BE219" i="1"/>
  <c r="BE168" i="1"/>
  <c r="BI219" i="1"/>
  <c r="BI168" i="1"/>
  <c r="D274" i="3"/>
  <c r="H274" i="3"/>
  <c r="M270" i="1"/>
  <c r="M274" i="3"/>
  <c r="Q270" i="1"/>
  <c r="Q274" i="3"/>
  <c r="U270" i="1"/>
  <c r="U274" i="3"/>
  <c r="Y270" i="1"/>
  <c r="Y274" i="3"/>
  <c r="AC270" i="1"/>
  <c r="AC274" i="3"/>
  <c r="AG270" i="1"/>
  <c r="AG274" i="3"/>
  <c r="AK270" i="1"/>
  <c r="AK274" i="3"/>
  <c r="AO270" i="1"/>
  <c r="AO274" i="3"/>
  <c r="AS270" i="1"/>
  <c r="AS274" i="3"/>
  <c r="AW274" i="3"/>
  <c r="BA270" i="1"/>
  <c r="BA274" i="3"/>
  <c r="BI270" i="1"/>
  <c r="BI274" i="3"/>
  <c r="B221" i="1"/>
  <c r="B170" i="1"/>
  <c r="J221" i="1"/>
  <c r="J170" i="1"/>
  <c r="O221" i="1"/>
  <c r="O170" i="1"/>
  <c r="S221" i="1"/>
  <c r="S170" i="1"/>
  <c r="W221" i="1"/>
  <c r="W170" i="1"/>
  <c r="AA221" i="1"/>
  <c r="AA170" i="1"/>
  <c r="AE221" i="1"/>
  <c r="AE170" i="1"/>
  <c r="AI221" i="1"/>
  <c r="AI170" i="1"/>
  <c r="AM221" i="1"/>
  <c r="AM170" i="1"/>
  <c r="AQ221" i="1"/>
  <c r="AQ170" i="1"/>
  <c r="AU221" i="1"/>
  <c r="AU170" i="1"/>
  <c r="AY221" i="1"/>
  <c r="AY170" i="1"/>
  <c r="BC221" i="1"/>
  <c r="BC170" i="1"/>
  <c r="BG221" i="1"/>
  <c r="BG170" i="1"/>
  <c r="AV272" i="1"/>
  <c r="AV276" i="3"/>
  <c r="B223" i="1"/>
  <c r="B172" i="1"/>
  <c r="F223" i="1"/>
  <c r="F172" i="1"/>
  <c r="J223" i="1"/>
  <c r="J172" i="1"/>
  <c r="O223" i="1"/>
  <c r="O172" i="1"/>
  <c r="S223" i="1"/>
  <c r="S172" i="1"/>
  <c r="W223" i="1"/>
  <c r="W172" i="1"/>
  <c r="AA223" i="1"/>
  <c r="AA172" i="1"/>
  <c r="AE223" i="1"/>
  <c r="AE172" i="1"/>
  <c r="AI223" i="1"/>
  <c r="AI172" i="1"/>
  <c r="AM223" i="1"/>
  <c r="AM172" i="1"/>
  <c r="AQ223" i="1"/>
  <c r="AQ172" i="1"/>
  <c r="AU223" i="1"/>
  <c r="AU172" i="1"/>
  <c r="BC223" i="1"/>
  <c r="BC172" i="1"/>
  <c r="AV274" i="1"/>
  <c r="AV278" i="3"/>
  <c r="D224" i="1"/>
  <c r="D173" i="1"/>
  <c r="H224" i="1"/>
  <c r="H173" i="1"/>
  <c r="L224" i="1"/>
  <c r="L173" i="1"/>
  <c r="Q224" i="1"/>
  <c r="Q173" i="1"/>
  <c r="U224" i="1"/>
  <c r="U173" i="1"/>
  <c r="Y224" i="1"/>
  <c r="Y173" i="1"/>
  <c r="AC224" i="1"/>
  <c r="AC173" i="1"/>
  <c r="AG224" i="1"/>
  <c r="AG173" i="1"/>
  <c r="AK224" i="1"/>
  <c r="AK173" i="1"/>
  <c r="AO224" i="1"/>
  <c r="AO173" i="1"/>
  <c r="AS224" i="1"/>
  <c r="AS173" i="1"/>
  <c r="AW224" i="1"/>
  <c r="AW173" i="1"/>
  <c r="BA224" i="1"/>
  <c r="BA173" i="1"/>
  <c r="BE224" i="1"/>
  <c r="BE173" i="1"/>
  <c r="BI224" i="1"/>
  <c r="BI173" i="1"/>
  <c r="B225" i="1"/>
  <c r="B174" i="1"/>
  <c r="F225" i="1"/>
  <c r="F174" i="1"/>
  <c r="J225" i="1"/>
  <c r="J174" i="1"/>
  <c r="N225" i="1"/>
  <c r="N174" i="1"/>
  <c r="S225" i="1"/>
  <c r="S174" i="1"/>
  <c r="W225" i="1"/>
  <c r="W174" i="1"/>
  <c r="AE225" i="1"/>
  <c r="AE174" i="1"/>
  <c r="AM225" i="1"/>
  <c r="AM174" i="1"/>
  <c r="AQ225" i="1"/>
  <c r="AQ174" i="1"/>
  <c r="AU225" i="1"/>
  <c r="AU174" i="1"/>
  <c r="AY225" i="1"/>
  <c r="AY174" i="1"/>
  <c r="BC225" i="1"/>
  <c r="BC174" i="1"/>
  <c r="BG225" i="1"/>
  <c r="BG174" i="1"/>
  <c r="AV276" i="1"/>
  <c r="AV280" i="3"/>
  <c r="AV278" i="1"/>
  <c r="AV176" i="1"/>
  <c r="AV282" i="3"/>
  <c r="B229" i="1"/>
  <c r="B178" i="1"/>
  <c r="F229" i="1"/>
  <c r="F178" i="1"/>
  <c r="J229" i="1"/>
  <c r="J178" i="1"/>
  <c r="N229" i="1"/>
  <c r="N178" i="1"/>
  <c r="R229" i="1"/>
  <c r="R178" i="1"/>
  <c r="W229" i="1"/>
  <c r="W178" i="1"/>
  <c r="AA229" i="1"/>
  <c r="AA178" i="1"/>
  <c r="AE229" i="1"/>
  <c r="AE178" i="1"/>
  <c r="AI229" i="1"/>
  <c r="AI178" i="1"/>
  <c r="AM229" i="1"/>
  <c r="AM178" i="1"/>
  <c r="AQ229" i="1"/>
  <c r="AQ178" i="1"/>
  <c r="AU229" i="1"/>
  <c r="AU178" i="1"/>
  <c r="AY229" i="1"/>
  <c r="AY178" i="1"/>
  <c r="BC229" i="1"/>
  <c r="BC178" i="1"/>
  <c r="BG229" i="1"/>
  <c r="BG178" i="1"/>
  <c r="F280" i="1"/>
  <c r="F284" i="3"/>
  <c r="N280" i="1"/>
  <c r="N284" i="3"/>
  <c r="R280" i="1"/>
  <c r="R284" i="3"/>
  <c r="W280" i="1"/>
  <c r="W284" i="3"/>
  <c r="AA280" i="1"/>
  <c r="AA284" i="3"/>
  <c r="AE280" i="1"/>
  <c r="AE284" i="3"/>
  <c r="AI280" i="1"/>
  <c r="AI284" i="3"/>
  <c r="AM280" i="1"/>
  <c r="AM284" i="3"/>
  <c r="AQ280" i="1"/>
  <c r="AQ284" i="3"/>
  <c r="AU280" i="1"/>
  <c r="AU284" i="3"/>
  <c r="AY280" i="1"/>
  <c r="AY284" i="3"/>
  <c r="BC280" i="1"/>
  <c r="BC284" i="3"/>
  <c r="BG280" i="1"/>
  <c r="BG284" i="3"/>
  <c r="B230" i="1"/>
  <c r="B179" i="1"/>
  <c r="F230" i="1"/>
  <c r="F179" i="1"/>
  <c r="J230" i="1"/>
  <c r="J179" i="1"/>
  <c r="N230" i="1"/>
  <c r="N179" i="1"/>
  <c r="R230" i="1"/>
  <c r="R179" i="1"/>
  <c r="W230" i="1"/>
  <c r="W179" i="1"/>
  <c r="AA230" i="1"/>
  <c r="AA179" i="1"/>
  <c r="AE230" i="1"/>
  <c r="AE179" i="1"/>
  <c r="AI230" i="1"/>
  <c r="AI179" i="1"/>
  <c r="AM230" i="1"/>
  <c r="AM179" i="1"/>
  <c r="AQ230" i="1"/>
  <c r="AQ179" i="1"/>
  <c r="AY230" i="1"/>
  <c r="AY179" i="1"/>
  <c r="BC230" i="1"/>
  <c r="BC179" i="1"/>
  <c r="BG230" i="1"/>
  <c r="BG179" i="1"/>
  <c r="B285" i="3"/>
  <c r="F285" i="3"/>
  <c r="J285" i="3"/>
  <c r="N285" i="3"/>
  <c r="R285" i="3"/>
  <c r="W281" i="1"/>
  <c r="W285" i="3"/>
  <c r="AA281" i="1"/>
  <c r="AA285" i="3"/>
  <c r="AE281" i="1"/>
  <c r="AE285" i="3"/>
  <c r="AI281" i="1"/>
  <c r="AI285" i="3"/>
  <c r="AM281" i="1"/>
  <c r="AM285" i="3"/>
  <c r="AQ281" i="1"/>
  <c r="AQ285" i="3"/>
  <c r="AU281" i="1"/>
  <c r="AU285" i="3"/>
  <c r="AY281" i="1"/>
  <c r="AY285" i="3"/>
  <c r="BC281" i="1"/>
  <c r="BC285" i="3"/>
  <c r="BG281" i="1"/>
  <c r="BG285" i="3"/>
  <c r="B231" i="1"/>
  <c r="B180" i="1"/>
  <c r="F231" i="1"/>
  <c r="F180" i="1"/>
  <c r="J231" i="1"/>
  <c r="J180" i="1"/>
  <c r="N231" i="1"/>
  <c r="N180" i="1"/>
  <c r="R231" i="1"/>
  <c r="R180" i="1"/>
  <c r="W231" i="1"/>
  <c r="W180" i="1"/>
  <c r="AA231" i="1"/>
  <c r="AA180" i="1"/>
  <c r="AE231" i="1"/>
  <c r="AE180" i="1"/>
  <c r="AI231" i="1"/>
  <c r="AI180" i="1"/>
  <c r="AM231" i="1"/>
  <c r="AM180" i="1"/>
  <c r="AQ231" i="1"/>
  <c r="AQ180" i="1"/>
  <c r="AU231" i="1"/>
  <c r="AU180" i="1"/>
  <c r="AY231" i="1"/>
  <c r="AY180" i="1"/>
  <c r="BC231" i="1"/>
  <c r="BC180" i="1"/>
  <c r="BG231" i="1"/>
  <c r="BG180" i="1"/>
  <c r="B282" i="1"/>
  <c r="B286" i="3"/>
  <c r="J282" i="1"/>
  <c r="J286" i="3"/>
  <c r="N282" i="1"/>
  <c r="N286" i="3"/>
  <c r="R282" i="1"/>
  <c r="R286" i="3"/>
  <c r="W282" i="1"/>
  <c r="W286" i="3"/>
  <c r="AA282" i="1"/>
  <c r="AA286" i="3"/>
  <c r="AE282" i="1"/>
  <c r="AE286" i="3"/>
  <c r="AM282" i="1"/>
  <c r="AM286" i="3"/>
  <c r="AQ282" i="1"/>
  <c r="AQ286" i="3"/>
  <c r="AU282" i="1"/>
  <c r="AU286" i="3"/>
  <c r="AY282" i="1"/>
  <c r="AY286" i="3"/>
  <c r="BC282" i="1"/>
  <c r="BC286" i="3"/>
  <c r="BG282" i="1"/>
  <c r="BG286" i="3"/>
  <c r="AV283" i="1"/>
  <c r="AV181" i="1"/>
  <c r="AV287" i="3"/>
  <c r="D233" i="1"/>
  <c r="D182" i="1"/>
  <c r="H233" i="1"/>
  <c r="H182" i="1"/>
  <c r="L233" i="1"/>
  <c r="L182" i="1"/>
  <c r="P233" i="1"/>
  <c r="P182" i="1"/>
  <c r="T233" i="1"/>
  <c r="T182" i="1"/>
  <c r="Y233" i="1"/>
  <c r="Y182" i="1"/>
  <c r="AC233" i="1"/>
  <c r="AC182" i="1"/>
  <c r="AG233" i="1"/>
  <c r="AG182" i="1"/>
  <c r="AK233" i="1"/>
  <c r="AK182" i="1"/>
  <c r="AO233" i="1"/>
  <c r="AO182" i="1"/>
  <c r="AS233" i="1"/>
  <c r="AS182" i="1"/>
  <c r="AW233" i="1"/>
  <c r="AW182" i="1"/>
  <c r="BA233" i="1"/>
  <c r="BA182" i="1"/>
  <c r="BE233" i="1"/>
  <c r="BE182" i="1"/>
  <c r="BI233" i="1"/>
  <c r="BI182" i="1"/>
  <c r="D284" i="1"/>
  <c r="D288" i="3"/>
  <c r="H284" i="1"/>
  <c r="H288" i="3"/>
  <c r="L284" i="1"/>
  <c r="L288" i="3"/>
  <c r="P284" i="1"/>
  <c r="P288" i="3"/>
  <c r="T284" i="1"/>
  <c r="T288" i="3"/>
  <c r="Y284" i="1"/>
  <c r="Y288" i="3"/>
  <c r="AC284" i="1"/>
  <c r="AC288" i="3"/>
  <c r="AG284" i="1"/>
  <c r="AG288" i="3"/>
  <c r="AK284" i="1"/>
  <c r="AK288" i="3"/>
  <c r="AO284" i="1"/>
  <c r="AO288" i="3"/>
  <c r="AS284" i="1"/>
  <c r="AS288" i="3"/>
  <c r="AW284" i="1"/>
  <c r="AW288" i="3"/>
  <c r="BA284" i="1"/>
  <c r="BA288" i="3"/>
  <c r="BE284" i="1"/>
  <c r="BE288" i="3"/>
  <c r="BI284" i="1"/>
  <c r="BI288" i="3"/>
  <c r="D234" i="1"/>
  <c r="D183" i="1"/>
  <c r="H234" i="1"/>
  <c r="H183" i="1"/>
  <c r="L234" i="1"/>
  <c r="L183" i="1"/>
  <c r="P234" i="1"/>
  <c r="P183" i="1"/>
  <c r="T234" i="1"/>
  <c r="T183" i="1"/>
  <c r="X234" i="1"/>
  <c r="X183" i="1"/>
  <c r="AC234" i="1"/>
  <c r="AC183" i="1"/>
  <c r="AK234" i="1"/>
  <c r="AK183" i="1"/>
  <c r="AO234" i="1"/>
  <c r="AO183" i="1"/>
  <c r="AS234" i="1"/>
  <c r="AS183" i="1"/>
  <c r="AW234" i="1"/>
  <c r="AW183" i="1"/>
  <c r="BA234" i="1"/>
  <c r="BA183" i="1"/>
  <c r="BE234" i="1"/>
  <c r="BE183" i="1"/>
  <c r="BI234" i="1"/>
  <c r="BI183" i="1"/>
  <c r="D289" i="3"/>
  <c r="H289" i="3"/>
  <c r="L289" i="3"/>
  <c r="P289" i="3"/>
  <c r="T285" i="1"/>
  <c r="T289" i="3"/>
  <c r="X285" i="1"/>
  <c r="X289" i="3"/>
  <c r="AC285" i="1"/>
  <c r="AC289" i="3"/>
  <c r="AG285" i="1"/>
  <c r="AG289" i="3"/>
  <c r="AK285" i="1"/>
  <c r="AK289" i="3"/>
  <c r="AO285" i="1"/>
  <c r="AO289" i="3"/>
  <c r="AS285" i="1"/>
  <c r="AS289" i="3"/>
  <c r="AW285" i="1"/>
  <c r="AW289" i="3"/>
  <c r="BA285" i="1"/>
  <c r="BA289" i="3"/>
  <c r="BE285" i="1"/>
  <c r="BE289" i="3"/>
  <c r="BI285" i="1"/>
  <c r="BI289" i="3"/>
  <c r="D235" i="1"/>
  <c r="D184" i="1"/>
  <c r="H235" i="1"/>
  <c r="H184" i="1"/>
  <c r="L235" i="1"/>
  <c r="L184" i="1"/>
  <c r="P235" i="1"/>
  <c r="P184" i="1"/>
  <c r="T235" i="1"/>
  <c r="T184" i="1"/>
  <c r="X235" i="1"/>
  <c r="X184" i="1"/>
  <c r="AC235" i="1"/>
  <c r="AC184" i="1"/>
  <c r="AG235" i="1"/>
  <c r="AG184" i="1"/>
  <c r="AK235" i="1"/>
  <c r="AK184" i="1"/>
  <c r="AO235" i="1"/>
  <c r="AO184" i="1"/>
  <c r="AS235" i="1"/>
  <c r="AS184" i="1"/>
  <c r="AW235" i="1"/>
  <c r="AW184" i="1"/>
  <c r="BA235" i="1"/>
  <c r="BA184" i="1"/>
  <c r="BE235" i="1"/>
  <c r="BE184" i="1"/>
  <c r="D286" i="1"/>
  <c r="D290" i="3"/>
  <c r="H286" i="1"/>
  <c r="H290" i="3"/>
  <c r="L286" i="1"/>
  <c r="L290" i="3"/>
  <c r="P286" i="1"/>
  <c r="P290" i="3"/>
  <c r="T286" i="1"/>
  <c r="T290" i="3"/>
  <c r="X286" i="1"/>
  <c r="X290" i="3"/>
  <c r="AC286" i="1"/>
  <c r="AC290" i="3"/>
  <c r="AG286" i="1"/>
  <c r="AG290" i="3"/>
  <c r="AK286" i="1"/>
  <c r="AK290" i="3"/>
  <c r="AO286" i="1"/>
  <c r="AO290" i="3"/>
  <c r="AS286" i="1"/>
  <c r="AS290" i="3"/>
  <c r="AW286" i="1"/>
  <c r="AW290" i="3"/>
  <c r="BA286" i="1"/>
  <c r="BA290" i="3"/>
  <c r="BE286" i="1"/>
  <c r="BE290" i="3"/>
  <c r="BI286" i="1"/>
  <c r="BI290" i="3"/>
  <c r="D236" i="1"/>
  <c r="D185" i="1"/>
  <c r="H236" i="1"/>
  <c r="H185" i="1"/>
  <c r="L236" i="1"/>
  <c r="L185" i="1"/>
  <c r="P236" i="1"/>
  <c r="P185" i="1"/>
  <c r="T236" i="1"/>
  <c r="T185" i="1"/>
  <c r="X236" i="1"/>
  <c r="X185" i="1"/>
  <c r="AC236" i="1"/>
  <c r="AC185" i="1"/>
  <c r="AG236" i="1"/>
  <c r="AG185" i="1"/>
  <c r="AK236" i="1"/>
  <c r="AK185" i="1"/>
  <c r="AO236" i="1"/>
  <c r="AO185" i="1"/>
  <c r="AS236" i="1"/>
  <c r="AS185" i="1"/>
  <c r="AX236" i="1"/>
  <c r="AX185" i="1"/>
  <c r="BB236" i="1"/>
  <c r="BB185" i="1"/>
  <c r="BF236" i="1"/>
  <c r="BF185" i="1"/>
  <c r="BJ236" i="1"/>
  <c r="BJ185" i="1"/>
  <c r="E287" i="1"/>
  <c r="E291" i="3"/>
  <c r="I287" i="1"/>
  <c r="I291" i="3"/>
  <c r="M287" i="1"/>
  <c r="M291" i="3"/>
  <c r="Q287" i="1"/>
  <c r="Q291" i="3"/>
  <c r="U287" i="1"/>
  <c r="U291" i="3"/>
  <c r="Y287" i="1"/>
  <c r="Y291" i="3"/>
  <c r="AD287" i="1"/>
  <c r="AD291" i="3"/>
  <c r="AH287" i="1"/>
  <c r="AH291" i="3"/>
  <c r="AL287" i="1"/>
  <c r="AL291" i="3"/>
  <c r="AP287" i="1"/>
  <c r="AP291" i="3"/>
  <c r="AT287" i="1"/>
  <c r="AT291" i="3"/>
  <c r="AX287" i="1"/>
  <c r="AX291" i="3"/>
  <c r="BF287" i="1"/>
  <c r="BF291" i="3"/>
  <c r="BJ287" i="1"/>
  <c r="BJ291" i="3"/>
  <c r="E237" i="1"/>
  <c r="E186" i="1"/>
  <c r="I237" i="1"/>
  <c r="I186" i="1"/>
  <c r="M237" i="1"/>
  <c r="M186" i="1"/>
  <c r="Q237" i="1"/>
  <c r="Q186" i="1"/>
  <c r="U237" i="1"/>
  <c r="U186" i="1"/>
  <c r="Y237" i="1"/>
  <c r="Y186" i="1"/>
  <c r="AD237" i="1"/>
  <c r="AD186" i="1"/>
  <c r="AH237" i="1"/>
  <c r="AH186" i="1"/>
  <c r="AL237" i="1"/>
  <c r="AL186" i="1"/>
  <c r="AP237" i="1"/>
  <c r="AP186" i="1"/>
  <c r="AT237" i="1"/>
  <c r="AT186" i="1"/>
  <c r="AX237" i="1"/>
  <c r="AX186" i="1"/>
  <c r="BB237" i="1"/>
  <c r="BB186" i="1"/>
  <c r="BF237" i="1"/>
  <c r="BF186" i="1"/>
  <c r="BJ237" i="1"/>
  <c r="BJ186" i="1"/>
  <c r="E288" i="1"/>
  <c r="E292" i="3"/>
  <c r="I288" i="1"/>
  <c r="I292" i="3"/>
  <c r="M288" i="1"/>
  <c r="M292" i="3"/>
  <c r="Q288" i="1"/>
  <c r="Q292" i="3"/>
  <c r="U288" i="1"/>
  <c r="U292" i="3"/>
  <c r="Y288" i="1"/>
  <c r="Y292" i="3"/>
  <c r="AD288" i="1"/>
  <c r="AD292" i="3"/>
  <c r="AH288" i="1"/>
  <c r="AH292" i="3"/>
  <c r="AL288" i="1"/>
  <c r="AL292" i="3"/>
  <c r="AP288" i="1"/>
  <c r="AP292" i="3"/>
  <c r="AT288" i="1"/>
  <c r="AT292" i="3"/>
  <c r="AX288" i="1"/>
  <c r="AX292" i="3"/>
  <c r="BB288" i="1"/>
  <c r="BB292" i="3"/>
  <c r="BF288" i="1"/>
  <c r="BF292" i="3"/>
  <c r="BJ288" i="1"/>
  <c r="BJ292" i="3"/>
  <c r="AW290" i="1"/>
  <c r="AW188" i="1"/>
  <c r="AW294" i="3"/>
  <c r="E240" i="1"/>
  <c r="E189" i="1"/>
  <c r="I240" i="1"/>
  <c r="I189" i="1"/>
  <c r="M240" i="1"/>
  <c r="M189" i="1"/>
  <c r="Q240" i="1"/>
  <c r="Q189" i="1"/>
  <c r="U240" i="1"/>
  <c r="U189" i="1"/>
  <c r="Y240" i="1"/>
  <c r="Y189" i="1"/>
  <c r="AC240" i="1"/>
  <c r="AC189" i="1"/>
  <c r="AH240" i="1"/>
  <c r="AH189" i="1"/>
  <c r="AL240" i="1"/>
  <c r="AL189" i="1"/>
  <c r="AP240" i="1"/>
  <c r="AP189" i="1"/>
  <c r="AT240" i="1"/>
  <c r="AT189" i="1"/>
  <c r="BB240" i="1"/>
  <c r="BB189" i="1"/>
  <c r="BF240" i="1"/>
  <c r="BF189" i="1"/>
  <c r="BJ240" i="1"/>
  <c r="BJ189" i="1"/>
  <c r="E291" i="1"/>
  <c r="E295" i="3"/>
  <c r="I291" i="1"/>
  <c r="I295" i="3"/>
  <c r="M291" i="1"/>
  <c r="M295" i="3"/>
  <c r="Q291" i="1"/>
  <c r="Q295" i="3"/>
  <c r="U291" i="1"/>
  <c r="U295" i="3"/>
  <c r="Y291" i="1"/>
  <c r="Y295" i="3"/>
  <c r="AC291" i="1"/>
  <c r="AC295" i="3"/>
  <c r="AH291" i="1"/>
  <c r="AH295" i="3"/>
  <c r="AL291" i="1"/>
  <c r="AL295" i="3"/>
  <c r="AP291" i="1"/>
  <c r="AP295" i="3"/>
  <c r="AT291" i="1"/>
  <c r="AT295" i="3"/>
  <c r="AX291" i="1"/>
  <c r="AX295" i="3"/>
  <c r="BB291" i="1"/>
  <c r="BB295" i="3"/>
  <c r="BF291" i="1"/>
  <c r="BF295" i="3"/>
  <c r="BJ291" i="1"/>
  <c r="BJ295" i="3"/>
  <c r="E241" i="1"/>
  <c r="E190" i="1"/>
  <c r="I241" i="1"/>
  <c r="I190" i="1"/>
  <c r="M241" i="1"/>
  <c r="M190" i="1"/>
  <c r="Q241" i="1"/>
  <c r="Q190" i="1"/>
  <c r="U241" i="1"/>
  <c r="U190" i="1"/>
  <c r="Y241" i="1"/>
  <c r="Y190" i="1"/>
  <c r="AC241" i="1"/>
  <c r="AC190" i="1"/>
  <c r="AH241" i="1"/>
  <c r="AH190" i="1"/>
  <c r="AL241" i="1"/>
  <c r="AL190" i="1"/>
  <c r="AP241" i="1"/>
  <c r="AP190" i="1"/>
  <c r="AT241" i="1"/>
  <c r="AT190" i="1"/>
  <c r="AX241" i="1"/>
  <c r="AX190" i="1"/>
  <c r="BB241" i="1"/>
  <c r="BB190" i="1"/>
  <c r="BF241" i="1"/>
  <c r="BF190" i="1"/>
  <c r="BJ241" i="1"/>
  <c r="BJ190" i="1"/>
  <c r="E292" i="1"/>
  <c r="E296" i="3"/>
  <c r="I292" i="1"/>
  <c r="I296" i="3"/>
  <c r="M292" i="1"/>
  <c r="M296" i="3"/>
  <c r="Q292" i="1"/>
  <c r="Q296" i="3"/>
  <c r="U292" i="1"/>
  <c r="U296" i="3"/>
  <c r="Y292" i="1"/>
  <c r="Y296" i="3"/>
  <c r="AC292" i="1"/>
  <c r="AC296" i="3"/>
  <c r="AH292" i="1"/>
  <c r="AH296" i="3"/>
  <c r="AL292" i="1"/>
  <c r="AL296" i="3"/>
  <c r="AP292" i="1"/>
  <c r="AP296" i="3"/>
  <c r="AX292" i="1"/>
  <c r="AX296" i="3"/>
  <c r="BB292" i="1"/>
  <c r="BB296" i="3"/>
  <c r="BF292" i="1"/>
  <c r="BF296" i="3"/>
  <c r="BJ292" i="1"/>
  <c r="BJ296" i="3"/>
  <c r="E242" i="1"/>
  <c r="E191" i="1"/>
  <c r="I242" i="1"/>
  <c r="I191" i="1"/>
  <c r="M242" i="1"/>
  <c r="M191" i="1"/>
  <c r="Q242" i="1"/>
  <c r="Q191" i="1"/>
  <c r="U242" i="1"/>
  <c r="U191" i="1"/>
  <c r="Y242" i="1"/>
  <c r="Y191" i="1"/>
  <c r="AC242" i="1"/>
  <c r="AC191" i="1"/>
  <c r="AH242" i="1"/>
  <c r="AH191" i="1"/>
  <c r="AL242" i="1"/>
  <c r="AL191" i="1"/>
  <c r="AP242" i="1"/>
  <c r="AP191" i="1"/>
  <c r="AT242" i="1"/>
  <c r="AT191" i="1"/>
  <c r="AX242" i="1"/>
  <c r="AX191" i="1"/>
  <c r="BB242" i="1"/>
  <c r="BB191" i="1"/>
  <c r="BF242" i="1"/>
  <c r="BF191" i="1"/>
  <c r="BJ242" i="1"/>
  <c r="BJ191" i="1"/>
  <c r="E293" i="1"/>
  <c r="E297" i="3"/>
  <c r="I293" i="1"/>
  <c r="I297" i="3"/>
  <c r="M293" i="1"/>
  <c r="M297" i="3"/>
  <c r="Q293" i="1"/>
  <c r="Q297" i="3"/>
  <c r="U293" i="1"/>
  <c r="U297" i="3"/>
  <c r="Y293" i="1"/>
  <c r="Y297" i="3"/>
  <c r="AC293" i="1"/>
  <c r="AC297" i="3"/>
  <c r="AH293" i="1"/>
  <c r="AH297" i="3"/>
  <c r="AL293" i="1"/>
  <c r="AL297" i="3"/>
  <c r="AP293" i="1"/>
  <c r="AP297" i="3"/>
  <c r="AT293" i="1"/>
  <c r="AT297" i="3"/>
  <c r="AX293" i="1"/>
  <c r="AX297" i="3"/>
  <c r="BB293" i="1"/>
  <c r="BB297" i="3"/>
  <c r="BF293" i="1"/>
  <c r="BF297" i="3"/>
  <c r="BJ293" i="1"/>
  <c r="BJ297" i="3"/>
  <c r="E243" i="1"/>
  <c r="E192" i="1"/>
  <c r="I243" i="1"/>
  <c r="I192" i="1"/>
  <c r="M243" i="1"/>
  <c r="M192" i="1"/>
  <c r="Q243" i="1"/>
  <c r="Q192" i="1"/>
  <c r="U243" i="1"/>
  <c r="U192" i="1"/>
  <c r="Y243" i="1"/>
  <c r="Y192" i="1"/>
  <c r="AC243" i="1"/>
  <c r="AC192" i="1"/>
  <c r="AG243" i="1"/>
  <c r="AG192" i="1"/>
  <c r="AL243" i="1"/>
  <c r="AL192" i="1"/>
  <c r="AP243" i="1"/>
  <c r="AP192" i="1"/>
  <c r="AT243" i="1"/>
  <c r="AT192" i="1"/>
  <c r="AX243" i="1"/>
  <c r="AX192" i="1"/>
  <c r="BF243" i="1"/>
  <c r="BF192" i="1"/>
  <c r="BJ243" i="1"/>
  <c r="BJ192" i="1"/>
  <c r="E294" i="1"/>
  <c r="E298" i="3"/>
  <c r="I294" i="1"/>
  <c r="I298" i="3"/>
  <c r="M294" i="1"/>
  <c r="M298" i="3"/>
  <c r="Q294" i="1"/>
  <c r="Q298" i="3"/>
  <c r="U294" i="1"/>
  <c r="U298" i="3"/>
  <c r="Y294" i="1"/>
  <c r="Y298" i="3"/>
  <c r="AC294" i="1"/>
  <c r="AC298" i="3"/>
  <c r="AG294" i="1"/>
  <c r="AG298" i="3"/>
  <c r="AL294" i="1"/>
  <c r="AL298" i="3"/>
  <c r="AP294" i="1"/>
  <c r="AP298" i="3"/>
  <c r="AT294" i="1"/>
  <c r="AT298" i="3"/>
  <c r="AX294" i="1"/>
  <c r="AX298" i="3"/>
  <c r="BB294" i="1"/>
  <c r="BB298" i="3"/>
  <c r="BF294" i="1"/>
  <c r="BF298" i="3"/>
  <c r="BJ294" i="1"/>
  <c r="BJ298" i="3"/>
  <c r="C245" i="1"/>
  <c r="C194" i="1"/>
  <c r="G245" i="1"/>
  <c r="G194" i="1"/>
  <c r="K245" i="1"/>
  <c r="K194" i="1"/>
  <c r="O245" i="1"/>
  <c r="O194" i="1"/>
  <c r="S245" i="1"/>
  <c r="S194" i="1"/>
  <c r="W245" i="1"/>
  <c r="W194" i="1"/>
  <c r="AA245" i="1"/>
  <c r="AA194" i="1"/>
  <c r="AE245" i="1"/>
  <c r="AE194" i="1"/>
  <c r="AI245" i="1"/>
  <c r="AI194" i="1"/>
  <c r="AN245" i="1"/>
  <c r="AN194" i="1"/>
  <c r="AR245" i="1"/>
  <c r="AR194" i="1"/>
  <c r="AV245" i="1"/>
  <c r="AV194" i="1"/>
  <c r="AZ245" i="1"/>
  <c r="AZ194" i="1"/>
  <c r="BD245" i="1"/>
  <c r="BD194" i="1"/>
  <c r="BH245" i="1"/>
  <c r="BH194" i="1"/>
  <c r="C296" i="1"/>
  <c r="C300" i="3"/>
  <c r="G296" i="1"/>
  <c r="G300" i="3"/>
  <c r="K296" i="1"/>
  <c r="K300" i="3"/>
  <c r="O296" i="1"/>
  <c r="O300" i="3"/>
  <c r="S296" i="1"/>
  <c r="S300" i="3"/>
  <c r="W296" i="1"/>
  <c r="W300" i="3"/>
  <c r="AA296" i="1"/>
  <c r="AA300" i="3"/>
  <c r="AE296" i="1"/>
  <c r="AE300" i="3"/>
  <c r="AI296" i="1"/>
  <c r="AI300" i="3"/>
  <c r="AN296" i="1"/>
  <c r="AN300" i="3"/>
  <c r="AR296" i="1"/>
  <c r="AR300" i="3"/>
  <c r="AV296" i="1"/>
  <c r="AV300" i="3"/>
  <c r="BD296" i="1"/>
  <c r="BD300" i="3"/>
  <c r="BH296" i="1"/>
  <c r="BH300" i="3"/>
  <c r="AW297" i="1"/>
  <c r="AW195" i="1"/>
  <c r="AW301" i="3"/>
  <c r="AW299" i="1"/>
  <c r="AW197" i="1"/>
  <c r="AW303" i="3"/>
  <c r="E249" i="1"/>
  <c r="E198" i="1"/>
  <c r="I249" i="1"/>
  <c r="I198" i="1"/>
  <c r="M249" i="1"/>
  <c r="M198" i="1"/>
  <c r="Q249" i="1"/>
  <c r="Q198" i="1"/>
  <c r="U249" i="1"/>
  <c r="U198" i="1"/>
  <c r="Y249" i="1"/>
  <c r="Y198" i="1"/>
  <c r="AC249" i="1"/>
  <c r="AC198" i="1"/>
  <c r="AG249" i="1"/>
  <c r="AG198" i="1"/>
  <c r="AK249" i="1"/>
  <c r="AK198" i="1"/>
  <c r="AP249" i="1"/>
  <c r="AP198" i="1"/>
  <c r="AT249" i="1"/>
  <c r="AT198" i="1"/>
  <c r="AX249" i="1"/>
  <c r="AX198" i="1"/>
  <c r="BB249" i="1"/>
  <c r="BB198" i="1"/>
  <c r="BF249" i="1"/>
  <c r="BF198" i="1"/>
  <c r="BJ249" i="1"/>
  <c r="BJ198" i="1"/>
  <c r="E304" i="3"/>
  <c r="I304" i="3"/>
  <c r="M304" i="3"/>
  <c r="Q304" i="3"/>
  <c r="U304" i="3"/>
  <c r="Y304" i="3"/>
  <c r="AC304" i="3"/>
  <c r="AG304" i="3"/>
  <c r="AK304" i="3"/>
  <c r="AP300" i="1"/>
  <c r="AP304" i="3"/>
  <c r="AX300" i="1"/>
  <c r="AX304" i="3"/>
  <c r="BB300" i="1"/>
  <c r="BB304" i="3"/>
  <c r="BF300" i="1"/>
  <c r="BF304" i="3"/>
  <c r="BJ300" i="1"/>
  <c r="BJ304" i="3"/>
  <c r="AV302" i="1"/>
  <c r="AV200" i="1"/>
  <c r="AV306" i="3"/>
  <c r="AV304" i="1"/>
  <c r="AV202" i="1"/>
  <c r="AV308" i="3"/>
  <c r="D254" i="1"/>
  <c r="D203" i="1"/>
  <c r="H254" i="1"/>
  <c r="H203" i="1"/>
  <c r="L254" i="1"/>
  <c r="L203" i="1"/>
  <c r="P254" i="1"/>
  <c r="P203" i="1"/>
  <c r="T254" i="1"/>
  <c r="T203" i="1"/>
  <c r="X254" i="1"/>
  <c r="X203" i="1"/>
  <c r="AB254" i="1"/>
  <c r="AB203" i="1"/>
  <c r="AF254" i="1"/>
  <c r="AF203" i="1"/>
  <c r="AJ254" i="1"/>
  <c r="AJ203" i="1"/>
  <c r="AN254" i="1"/>
  <c r="AN203" i="1"/>
  <c r="AR254" i="1"/>
  <c r="AR203" i="1"/>
  <c r="AW254" i="1"/>
  <c r="AW203" i="1"/>
  <c r="BA254" i="1"/>
  <c r="BA203" i="1"/>
  <c r="BE254" i="1"/>
  <c r="BE203" i="1"/>
  <c r="BI254" i="1"/>
  <c r="BI203" i="1"/>
  <c r="F255" i="1"/>
  <c r="F204" i="1"/>
  <c r="J255" i="1"/>
  <c r="J204" i="1"/>
  <c r="N255" i="1"/>
  <c r="N204" i="1"/>
  <c r="R255" i="1"/>
  <c r="R204" i="1"/>
  <c r="V255" i="1"/>
  <c r="V204" i="1"/>
  <c r="Z255" i="1"/>
  <c r="Z204" i="1"/>
  <c r="AD255" i="1"/>
  <c r="AD204" i="1"/>
  <c r="AH255" i="1"/>
  <c r="AH204" i="1"/>
  <c r="AL255" i="1"/>
  <c r="AL204" i="1"/>
  <c r="AP255" i="1"/>
  <c r="AP204" i="1"/>
  <c r="AU255" i="1"/>
  <c r="AU204" i="1"/>
  <c r="AY255" i="1"/>
  <c r="AY204" i="1"/>
  <c r="BC255" i="1"/>
  <c r="BC204" i="1"/>
  <c r="BG255" i="1"/>
  <c r="BG204" i="1"/>
  <c r="AV306" i="1"/>
  <c r="AV310" i="3"/>
  <c r="D211" i="1"/>
  <c r="D160" i="1"/>
  <c r="AV263" i="1"/>
  <c r="AV161" i="1"/>
  <c r="AV267" i="3"/>
  <c r="E213" i="1"/>
  <c r="E162" i="1"/>
  <c r="I213" i="1"/>
  <c r="I162" i="1"/>
  <c r="M213" i="1"/>
  <c r="M162" i="1"/>
  <c r="Q213" i="1"/>
  <c r="Q162" i="1"/>
  <c r="U213" i="1"/>
  <c r="U162" i="1"/>
  <c r="Y213" i="1"/>
  <c r="Y162" i="1"/>
  <c r="AC213" i="1"/>
  <c r="AC162" i="1"/>
  <c r="AG213" i="1"/>
  <c r="AG162" i="1"/>
  <c r="AK213" i="1"/>
  <c r="AK162" i="1"/>
  <c r="AO213" i="1"/>
  <c r="AO162" i="1"/>
  <c r="AS213" i="1"/>
  <c r="AS162" i="1"/>
  <c r="AW213" i="1"/>
  <c r="AW162" i="1"/>
  <c r="BA213" i="1"/>
  <c r="BA162" i="1"/>
  <c r="BE213" i="1"/>
  <c r="BE162" i="1"/>
  <c r="BI213" i="1"/>
  <c r="BI162" i="1"/>
  <c r="E264" i="1"/>
  <c r="E268" i="3"/>
  <c r="I264" i="1"/>
  <c r="I268" i="3"/>
  <c r="M264" i="1"/>
  <c r="M268" i="3"/>
  <c r="Q264" i="1"/>
  <c r="Q268" i="3"/>
  <c r="U264" i="1"/>
  <c r="U268" i="3"/>
  <c r="Y264" i="1"/>
  <c r="Y268" i="3"/>
  <c r="AC264" i="1"/>
  <c r="AC268" i="3"/>
  <c r="AG264" i="1"/>
  <c r="AG268" i="3"/>
  <c r="AK264" i="1"/>
  <c r="AK268" i="3"/>
  <c r="AO264" i="1"/>
  <c r="AO268" i="3"/>
  <c r="AS264" i="1"/>
  <c r="AS268" i="3"/>
  <c r="AW264" i="1"/>
  <c r="AW268" i="3"/>
  <c r="BA264" i="1"/>
  <c r="BA268" i="3"/>
  <c r="BE264" i="1"/>
  <c r="BE268" i="3"/>
  <c r="BI264" i="1"/>
  <c r="BI268" i="3"/>
  <c r="B215" i="1"/>
  <c r="B164" i="1"/>
  <c r="G215" i="1"/>
  <c r="G164" i="1"/>
  <c r="K215" i="1"/>
  <c r="K164" i="1"/>
  <c r="O215" i="1"/>
  <c r="O164" i="1"/>
  <c r="S215" i="1"/>
  <c r="S164" i="1"/>
  <c r="W215" i="1"/>
  <c r="W164" i="1"/>
  <c r="AA215" i="1"/>
  <c r="AA164" i="1"/>
  <c r="AE215" i="1"/>
  <c r="AE164" i="1"/>
  <c r="AI215" i="1"/>
  <c r="AI164" i="1"/>
  <c r="AM215" i="1"/>
  <c r="AM164" i="1"/>
  <c r="AQ215" i="1"/>
  <c r="AQ164" i="1"/>
  <c r="AU215" i="1"/>
  <c r="AU164" i="1"/>
  <c r="AY215" i="1"/>
  <c r="AY164" i="1"/>
  <c r="BC215" i="1"/>
  <c r="BC164" i="1"/>
  <c r="BG215" i="1"/>
  <c r="BG164" i="1"/>
  <c r="B266" i="1"/>
  <c r="B270" i="3"/>
  <c r="G266" i="1"/>
  <c r="G270" i="3"/>
  <c r="K266" i="1"/>
  <c r="K270" i="3"/>
  <c r="O266" i="1"/>
  <c r="O270" i="3"/>
  <c r="S266" i="1"/>
  <c r="S270" i="3"/>
  <c r="W266" i="1"/>
  <c r="W270" i="3"/>
  <c r="AA266" i="1"/>
  <c r="AA270" i="3"/>
  <c r="AE266" i="1"/>
  <c r="AE270" i="3"/>
  <c r="AI266" i="1"/>
  <c r="AI270" i="3"/>
  <c r="AM266" i="1"/>
  <c r="AM270" i="3"/>
  <c r="AQ266" i="1"/>
  <c r="AQ270" i="3"/>
  <c r="AU266" i="1"/>
  <c r="AU270" i="3"/>
  <c r="AY266" i="1"/>
  <c r="AY270" i="3"/>
  <c r="BC266" i="1"/>
  <c r="BC270" i="3"/>
  <c r="BG266" i="1"/>
  <c r="BG270" i="3"/>
  <c r="B216" i="1"/>
  <c r="B165" i="1"/>
  <c r="F216" i="1"/>
  <c r="F165" i="1"/>
  <c r="K216" i="1"/>
  <c r="K165" i="1"/>
  <c r="O216" i="1"/>
  <c r="O165" i="1"/>
  <c r="S216" i="1"/>
  <c r="S165" i="1"/>
  <c r="W216" i="1"/>
  <c r="W165" i="1"/>
  <c r="AA216" i="1"/>
  <c r="AA165" i="1"/>
  <c r="AE216" i="1"/>
  <c r="AE165" i="1"/>
  <c r="AI216" i="1"/>
  <c r="AI165" i="1"/>
  <c r="AM216" i="1"/>
  <c r="AM165" i="1"/>
  <c r="AQ216" i="1"/>
  <c r="AQ165" i="1"/>
  <c r="AU216" i="1"/>
  <c r="AU165" i="1"/>
  <c r="AY216" i="1"/>
  <c r="AY165" i="1"/>
  <c r="BC216" i="1"/>
  <c r="BC165" i="1"/>
  <c r="BG216" i="1"/>
  <c r="BG165" i="1"/>
  <c r="B267" i="1"/>
  <c r="B271" i="3"/>
  <c r="F267" i="1"/>
  <c r="F271" i="3"/>
  <c r="K267" i="1"/>
  <c r="K271" i="3"/>
  <c r="O267" i="1"/>
  <c r="O271" i="3"/>
  <c r="S267" i="1"/>
  <c r="S271" i="3"/>
  <c r="W267" i="1"/>
  <c r="W271" i="3"/>
  <c r="AA267" i="1"/>
  <c r="AA271" i="3"/>
  <c r="AE267" i="1"/>
  <c r="AE271" i="3"/>
  <c r="AI267" i="1"/>
  <c r="AI271" i="3"/>
  <c r="AM267" i="1"/>
  <c r="AM271" i="3"/>
  <c r="AQ267" i="1"/>
  <c r="AQ271" i="3"/>
  <c r="AU267" i="1"/>
  <c r="AU271" i="3"/>
  <c r="AY267" i="1"/>
  <c r="AY271" i="3"/>
  <c r="BC267" i="1"/>
  <c r="BC271" i="3"/>
  <c r="BG267" i="1"/>
  <c r="BG271" i="3"/>
  <c r="AV268" i="1"/>
  <c r="AV166" i="1"/>
  <c r="AV272" i="3"/>
  <c r="B219" i="1"/>
  <c r="B168" i="1"/>
  <c r="F219" i="1"/>
  <c r="F168" i="1"/>
  <c r="K219" i="1"/>
  <c r="K168" i="1"/>
  <c r="O219" i="1"/>
  <c r="O168" i="1"/>
  <c r="S219" i="1"/>
  <c r="S168" i="1"/>
  <c r="W219" i="1"/>
  <c r="W168" i="1"/>
  <c r="AA219" i="1"/>
  <c r="AA168" i="1"/>
  <c r="AE219" i="1"/>
  <c r="AE168" i="1"/>
  <c r="AI219" i="1"/>
  <c r="AI168" i="1"/>
  <c r="AM219" i="1"/>
  <c r="AM168" i="1"/>
  <c r="AQ219" i="1"/>
  <c r="AQ168" i="1"/>
  <c r="AU219" i="1"/>
  <c r="AU168" i="1"/>
  <c r="AY219" i="1"/>
  <c r="AY168" i="1"/>
  <c r="BC219" i="1"/>
  <c r="BC168" i="1"/>
  <c r="BG219" i="1"/>
  <c r="BG168" i="1"/>
  <c r="B270" i="1"/>
  <c r="B274" i="3"/>
  <c r="F270" i="1"/>
  <c r="F274" i="3"/>
  <c r="K270" i="1"/>
  <c r="K274" i="3"/>
  <c r="O270" i="1"/>
  <c r="O274" i="3"/>
  <c r="S270" i="1"/>
  <c r="S274" i="3"/>
  <c r="W270" i="1"/>
  <c r="W274" i="3"/>
  <c r="AA270" i="1"/>
  <c r="AA274" i="3"/>
  <c r="AE270" i="1"/>
  <c r="AE274" i="3"/>
  <c r="AI270" i="1"/>
  <c r="AI274" i="3"/>
  <c r="AM270" i="1"/>
  <c r="AM274" i="3"/>
  <c r="AQ270" i="1"/>
  <c r="AQ274" i="3"/>
  <c r="AU270" i="1"/>
  <c r="AU274" i="3"/>
  <c r="AY270" i="1"/>
  <c r="AY274" i="3"/>
  <c r="BC270" i="1"/>
  <c r="BC274" i="3"/>
  <c r="BG270" i="1"/>
  <c r="BG274" i="3"/>
  <c r="AV271" i="1"/>
  <c r="AV169" i="1"/>
  <c r="AV275" i="3"/>
  <c r="D221" i="1"/>
  <c r="D170" i="1"/>
  <c r="H221" i="1"/>
  <c r="H170" i="1"/>
  <c r="M221" i="1"/>
  <c r="M170" i="1"/>
  <c r="Q221" i="1"/>
  <c r="Q170" i="1"/>
  <c r="U221" i="1"/>
  <c r="U170" i="1"/>
  <c r="Y221" i="1"/>
  <c r="Y170" i="1"/>
  <c r="AC221" i="1"/>
  <c r="AC170" i="1"/>
  <c r="AG221" i="1"/>
  <c r="AG170" i="1"/>
  <c r="AK221" i="1"/>
  <c r="AK170" i="1"/>
  <c r="AO221" i="1"/>
  <c r="AO170" i="1"/>
  <c r="AS221" i="1"/>
  <c r="AS170" i="1"/>
  <c r="AW221" i="1"/>
  <c r="AW170" i="1"/>
  <c r="BA221" i="1"/>
  <c r="BA170" i="1"/>
  <c r="BE221" i="1"/>
  <c r="BE170" i="1"/>
  <c r="BI221" i="1"/>
  <c r="BI170" i="1"/>
  <c r="AV273" i="1"/>
  <c r="AV171" i="1"/>
  <c r="AV277" i="3"/>
  <c r="D223" i="1"/>
  <c r="D172" i="1"/>
  <c r="H223" i="1"/>
  <c r="H172" i="1"/>
  <c r="L223" i="1"/>
  <c r="L172" i="1"/>
  <c r="Q223" i="1"/>
  <c r="Q172" i="1"/>
  <c r="U223" i="1"/>
  <c r="U172" i="1"/>
  <c r="Y223" i="1"/>
  <c r="Y172" i="1"/>
  <c r="AC223" i="1"/>
  <c r="AC172" i="1"/>
  <c r="AG223" i="1"/>
  <c r="AG172" i="1"/>
  <c r="AK223" i="1"/>
  <c r="AK172" i="1"/>
  <c r="AO223" i="1"/>
  <c r="AO172" i="1"/>
  <c r="AS223" i="1"/>
  <c r="AS172" i="1"/>
  <c r="AW223" i="1"/>
  <c r="AW172" i="1"/>
  <c r="BA223" i="1"/>
  <c r="BA172" i="1"/>
  <c r="BE223" i="1"/>
  <c r="BE172" i="1"/>
  <c r="BI223" i="1"/>
  <c r="BI172" i="1"/>
  <c r="B224" i="1"/>
  <c r="B173" i="1"/>
  <c r="F224" i="1"/>
  <c r="F173" i="1"/>
  <c r="J224" i="1"/>
  <c r="J173" i="1"/>
  <c r="N224" i="1"/>
  <c r="N173" i="1"/>
  <c r="S224" i="1"/>
  <c r="S173" i="1"/>
  <c r="W224" i="1"/>
  <c r="W173" i="1"/>
  <c r="AA224" i="1"/>
  <c r="AA173" i="1"/>
  <c r="AE224" i="1"/>
  <c r="AE173" i="1"/>
  <c r="AI224" i="1"/>
  <c r="AI173" i="1"/>
  <c r="AM224" i="1"/>
  <c r="AM173" i="1"/>
  <c r="AQ224" i="1"/>
  <c r="AQ173" i="1"/>
  <c r="AU224" i="1"/>
  <c r="AU173" i="1"/>
  <c r="AY224" i="1"/>
  <c r="AY173" i="1"/>
  <c r="BC224" i="1"/>
  <c r="BC173" i="1"/>
  <c r="BG224" i="1"/>
  <c r="BG173" i="1"/>
  <c r="AV275" i="1"/>
  <c r="AV279" i="3"/>
  <c r="D225" i="1"/>
  <c r="D174" i="1"/>
  <c r="H225" i="1"/>
  <c r="H174" i="1"/>
  <c r="L225" i="1"/>
  <c r="L174" i="1"/>
  <c r="Q225" i="1"/>
  <c r="Q174" i="1"/>
  <c r="U225" i="1"/>
  <c r="U174" i="1"/>
  <c r="Y225" i="1"/>
  <c r="Y174" i="1"/>
  <c r="AC225" i="1"/>
  <c r="AC174" i="1"/>
  <c r="AG225" i="1"/>
  <c r="AG174" i="1"/>
  <c r="AK225" i="1"/>
  <c r="AK174" i="1"/>
  <c r="AO225" i="1"/>
  <c r="AO174" i="1"/>
  <c r="AS225" i="1"/>
  <c r="AS174" i="1"/>
  <c r="AW225" i="1"/>
  <c r="AW174" i="1"/>
  <c r="BA225" i="1"/>
  <c r="BA174" i="1"/>
  <c r="BE225" i="1"/>
  <c r="BE174" i="1"/>
  <c r="BI225" i="1"/>
  <c r="BI174" i="1"/>
  <c r="AV277" i="1"/>
  <c r="AV175" i="1"/>
  <c r="AV281" i="3"/>
  <c r="AV279" i="1"/>
  <c r="AV177" i="1"/>
  <c r="AV283" i="3"/>
  <c r="D229" i="1"/>
  <c r="D178" i="1"/>
  <c r="H229" i="1"/>
  <c r="H178" i="1"/>
  <c r="L229" i="1"/>
  <c r="L178" i="1"/>
  <c r="P229" i="1"/>
  <c r="P178" i="1"/>
  <c r="U229" i="1"/>
  <c r="U178" i="1"/>
  <c r="Y229" i="1"/>
  <c r="Y178" i="1"/>
  <c r="AC229" i="1"/>
  <c r="AC178" i="1"/>
  <c r="AG229" i="1"/>
  <c r="AG178" i="1"/>
  <c r="AK229" i="1"/>
  <c r="AK178" i="1"/>
  <c r="AO229" i="1"/>
  <c r="AO178" i="1"/>
  <c r="AS229" i="1"/>
  <c r="AS178" i="1"/>
  <c r="AW229" i="1"/>
  <c r="AW178" i="1"/>
  <c r="BA229" i="1"/>
  <c r="BA178" i="1"/>
  <c r="BE229" i="1"/>
  <c r="BE178" i="1"/>
  <c r="BI229" i="1"/>
  <c r="BI178" i="1"/>
  <c r="D280" i="1"/>
  <c r="D284" i="3"/>
  <c r="H280" i="1"/>
  <c r="H284" i="3"/>
  <c r="L280" i="1"/>
  <c r="L284" i="3"/>
  <c r="P280" i="1"/>
  <c r="P284" i="3"/>
  <c r="U280" i="1"/>
  <c r="U284" i="3"/>
  <c r="Y280" i="1"/>
  <c r="Y284" i="3"/>
  <c r="AC280" i="1"/>
  <c r="AC284" i="3"/>
  <c r="AG280" i="1"/>
  <c r="AG284" i="3"/>
  <c r="AK280" i="1"/>
  <c r="AK284" i="3"/>
  <c r="AO280" i="1"/>
  <c r="AO284" i="3"/>
  <c r="AS280" i="1"/>
  <c r="AS284" i="3"/>
  <c r="AW280" i="1"/>
  <c r="AW284" i="3"/>
  <c r="BA280" i="1"/>
  <c r="BA284" i="3"/>
  <c r="BE280" i="1"/>
  <c r="BE284" i="3"/>
  <c r="BI280" i="1"/>
  <c r="BI284" i="3"/>
  <c r="D230" i="1"/>
  <c r="D179" i="1"/>
  <c r="H230" i="1"/>
  <c r="H179" i="1"/>
  <c r="L230" i="1"/>
  <c r="L179" i="1"/>
  <c r="P230" i="1"/>
  <c r="P179" i="1"/>
  <c r="T230" i="1"/>
  <c r="T179" i="1"/>
  <c r="Y230" i="1"/>
  <c r="Y179" i="1"/>
  <c r="AC230" i="1"/>
  <c r="AC179" i="1"/>
  <c r="AG230" i="1"/>
  <c r="AG179" i="1"/>
  <c r="AK230" i="1"/>
  <c r="AK179" i="1"/>
  <c r="AO230" i="1"/>
  <c r="AO179" i="1"/>
  <c r="AS230" i="1"/>
  <c r="AS179" i="1"/>
  <c r="AW230" i="1"/>
  <c r="AW179" i="1"/>
  <c r="BA230" i="1"/>
  <c r="BA179" i="1"/>
  <c r="BE230" i="1"/>
  <c r="BE179" i="1"/>
  <c r="BI230" i="1"/>
  <c r="BI179" i="1"/>
  <c r="D281" i="1"/>
  <c r="D285" i="3"/>
  <c r="H281" i="1"/>
  <c r="H285" i="3"/>
  <c r="L281" i="1"/>
  <c r="L285" i="3"/>
  <c r="P281" i="1"/>
  <c r="P285" i="3"/>
  <c r="T281" i="1"/>
  <c r="T285" i="3"/>
  <c r="Y281" i="1"/>
  <c r="Y285" i="3"/>
  <c r="AC281" i="1"/>
  <c r="AC285" i="3"/>
  <c r="AG281" i="1"/>
  <c r="AG285" i="3"/>
  <c r="AK281" i="1"/>
  <c r="AK285" i="3"/>
  <c r="AO281" i="1"/>
  <c r="AO285" i="3"/>
  <c r="AS281" i="1"/>
  <c r="AS285" i="3"/>
  <c r="AW281" i="1"/>
  <c r="AW285" i="3"/>
  <c r="BA281" i="1"/>
  <c r="BA285" i="3"/>
  <c r="BE281" i="1"/>
  <c r="BE285" i="3"/>
  <c r="BI281" i="1"/>
  <c r="BI285" i="3"/>
  <c r="D231" i="1"/>
  <c r="D180" i="1"/>
  <c r="H231" i="1"/>
  <c r="H180" i="1"/>
  <c r="L231" i="1"/>
  <c r="L180" i="1"/>
  <c r="P231" i="1"/>
  <c r="P180" i="1"/>
  <c r="T231" i="1"/>
  <c r="T180" i="1"/>
  <c r="Y231" i="1"/>
  <c r="Y180" i="1"/>
  <c r="AC231" i="1"/>
  <c r="AC180" i="1"/>
  <c r="AG231" i="1"/>
  <c r="AG180" i="1"/>
  <c r="AK231" i="1"/>
  <c r="AK180" i="1"/>
  <c r="AO231" i="1"/>
  <c r="AO180" i="1"/>
  <c r="AS231" i="1"/>
  <c r="AS180" i="1"/>
  <c r="AW231" i="1"/>
  <c r="AW180" i="1"/>
  <c r="BA231" i="1"/>
  <c r="BA180" i="1"/>
  <c r="BE231" i="1"/>
  <c r="BE180" i="1"/>
  <c r="BI231" i="1"/>
  <c r="BI180" i="1"/>
  <c r="D286" i="3"/>
  <c r="H286" i="3"/>
  <c r="L286" i="3"/>
  <c r="P286" i="3"/>
  <c r="T286" i="3"/>
  <c r="Y282" i="1"/>
  <c r="Y286" i="3"/>
  <c r="AC282" i="1"/>
  <c r="AC286" i="3"/>
  <c r="AG282" i="1"/>
  <c r="AG286" i="3"/>
  <c r="AK282" i="1"/>
  <c r="AK286" i="3"/>
  <c r="AO282" i="1"/>
  <c r="AO286" i="3"/>
  <c r="AS282" i="1"/>
  <c r="AS286" i="3"/>
  <c r="AW286" i="3"/>
  <c r="BA282" i="1"/>
  <c r="BA286" i="3"/>
  <c r="BE282" i="1"/>
  <c r="BE286" i="3"/>
  <c r="BI282" i="1"/>
  <c r="BI286" i="3"/>
  <c r="B233" i="1"/>
  <c r="B182" i="1"/>
  <c r="F233" i="1"/>
  <c r="F182" i="1"/>
  <c r="J233" i="1"/>
  <c r="J182" i="1"/>
  <c r="N233" i="1"/>
  <c r="N182" i="1"/>
  <c r="R233" i="1"/>
  <c r="R182" i="1"/>
  <c r="V233" i="1"/>
  <c r="V182" i="1"/>
  <c r="AA233" i="1"/>
  <c r="AA182" i="1"/>
  <c r="AE233" i="1"/>
  <c r="AE182" i="1"/>
  <c r="AI233" i="1"/>
  <c r="AI182" i="1"/>
  <c r="AM233" i="1"/>
  <c r="AM182" i="1"/>
  <c r="AQ233" i="1"/>
  <c r="AQ182" i="1"/>
  <c r="AU233" i="1"/>
  <c r="AU182" i="1"/>
  <c r="AY233" i="1"/>
  <c r="AY182" i="1"/>
  <c r="BC233" i="1"/>
  <c r="BC182" i="1"/>
  <c r="BG233" i="1"/>
  <c r="BG182" i="1"/>
  <c r="B284" i="1"/>
  <c r="B288" i="3"/>
  <c r="F284" i="1"/>
  <c r="F288" i="3"/>
  <c r="J284" i="1"/>
  <c r="J288" i="3"/>
  <c r="N284" i="1"/>
  <c r="N288" i="3"/>
  <c r="R284" i="1"/>
  <c r="R288" i="3"/>
  <c r="V284" i="1"/>
  <c r="V288" i="3"/>
  <c r="AA284" i="1"/>
  <c r="AA288" i="3"/>
  <c r="AE284" i="1"/>
  <c r="AE288" i="3"/>
  <c r="AI284" i="1"/>
  <c r="AI288" i="3"/>
  <c r="AM284" i="1"/>
  <c r="AM288" i="3"/>
  <c r="AQ284" i="1"/>
  <c r="AQ288" i="3"/>
  <c r="AU284" i="1"/>
  <c r="AU288" i="3"/>
  <c r="AY284" i="1"/>
  <c r="AY288" i="3"/>
  <c r="BC284" i="1"/>
  <c r="BC288" i="3"/>
  <c r="BG284" i="1"/>
  <c r="BG288" i="3"/>
  <c r="B234" i="1"/>
  <c r="B183" i="1"/>
  <c r="F234" i="1"/>
  <c r="F183" i="1"/>
  <c r="J234" i="1"/>
  <c r="J183" i="1"/>
  <c r="N234" i="1"/>
  <c r="N183" i="1"/>
  <c r="R234" i="1"/>
  <c r="R183" i="1"/>
  <c r="V234" i="1"/>
  <c r="V183" i="1"/>
  <c r="AA234" i="1"/>
  <c r="AA183" i="1"/>
  <c r="AE234" i="1"/>
  <c r="AE183" i="1"/>
  <c r="AI234" i="1"/>
  <c r="AI183" i="1"/>
  <c r="AM234" i="1"/>
  <c r="AM183" i="1"/>
  <c r="AQ234" i="1"/>
  <c r="AQ183" i="1"/>
  <c r="AU234" i="1"/>
  <c r="AU183" i="1"/>
  <c r="AY234" i="1"/>
  <c r="AY183" i="1"/>
  <c r="BC234" i="1"/>
  <c r="BC183" i="1"/>
  <c r="BG234" i="1"/>
  <c r="BG183" i="1"/>
  <c r="B285" i="1"/>
  <c r="B289" i="3"/>
  <c r="F285" i="1"/>
  <c r="F289" i="3"/>
  <c r="J285" i="1"/>
  <c r="J289" i="3"/>
  <c r="N285" i="1"/>
  <c r="N289" i="3"/>
  <c r="R285" i="1"/>
  <c r="R289" i="3"/>
  <c r="V289" i="3"/>
  <c r="AA285" i="1"/>
  <c r="AA289" i="3"/>
  <c r="AE285" i="1"/>
  <c r="AE289" i="3"/>
  <c r="AI285" i="1"/>
  <c r="AI289" i="3"/>
  <c r="AM285" i="1"/>
  <c r="AM289" i="3"/>
  <c r="AQ285" i="1"/>
  <c r="AQ289" i="3"/>
  <c r="AU285" i="1"/>
  <c r="AU289" i="3"/>
  <c r="AY285" i="1"/>
  <c r="AY289" i="3"/>
  <c r="BC285" i="1"/>
  <c r="BC289" i="3"/>
  <c r="BG285" i="1"/>
  <c r="BG289" i="3"/>
  <c r="B235" i="1"/>
  <c r="B184" i="1"/>
  <c r="F235" i="1"/>
  <c r="F184" i="1"/>
  <c r="J235" i="1"/>
  <c r="J184" i="1"/>
  <c r="N235" i="1"/>
  <c r="N184" i="1"/>
  <c r="R235" i="1"/>
  <c r="R184" i="1"/>
  <c r="V235" i="1"/>
  <c r="V184" i="1"/>
  <c r="AA235" i="1"/>
  <c r="AA184" i="1"/>
  <c r="AE235" i="1"/>
  <c r="AE184" i="1"/>
  <c r="AI235" i="1"/>
  <c r="AI184" i="1"/>
  <c r="AM235" i="1"/>
  <c r="AM184" i="1"/>
  <c r="AQ235" i="1"/>
  <c r="AQ184" i="1"/>
  <c r="AU235" i="1"/>
  <c r="AU184" i="1"/>
  <c r="AY235" i="1"/>
  <c r="AY184" i="1"/>
  <c r="BC235" i="1"/>
  <c r="BC184" i="1"/>
  <c r="BG235" i="1"/>
  <c r="BG184" i="1"/>
  <c r="B286" i="1"/>
  <c r="B290" i="3"/>
  <c r="F286" i="1"/>
  <c r="F290" i="3"/>
  <c r="J286" i="1"/>
  <c r="J290" i="3"/>
  <c r="N286" i="1"/>
  <c r="N290" i="3"/>
  <c r="R286" i="1"/>
  <c r="R290" i="3"/>
  <c r="V286" i="1"/>
  <c r="V290" i="3"/>
  <c r="AA286" i="1"/>
  <c r="AA290" i="3"/>
  <c r="AE286" i="1"/>
  <c r="AE290" i="3"/>
  <c r="AI286" i="1"/>
  <c r="AI290" i="3"/>
  <c r="AM286" i="1"/>
  <c r="AM290" i="3"/>
  <c r="AQ286" i="1"/>
  <c r="AQ290" i="3"/>
  <c r="AU286" i="1"/>
  <c r="AU290" i="3"/>
  <c r="AY286" i="1"/>
  <c r="AY290" i="3"/>
  <c r="BC286" i="1"/>
  <c r="BC290" i="3"/>
  <c r="BG286" i="1"/>
  <c r="BG290" i="3"/>
  <c r="B236" i="1"/>
  <c r="B185" i="1"/>
  <c r="F236" i="1"/>
  <c r="F185" i="1"/>
  <c r="J236" i="1"/>
  <c r="J185" i="1"/>
  <c r="N236" i="1"/>
  <c r="N185" i="1"/>
  <c r="R236" i="1"/>
  <c r="R185" i="1"/>
  <c r="V236" i="1"/>
  <c r="V185" i="1"/>
  <c r="Z236" i="1"/>
  <c r="Z185" i="1"/>
  <c r="AE236" i="1"/>
  <c r="AE185" i="1"/>
  <c r="AI236" i="1"/>
  <c r="AI185" i="1"/>
  <c r="AM236" i="1"/>
  <c r="AM185" i="1"/>
  <c r="AQ236" i="1"/>
  <c r="AQ185" i="1"/>
  <c r="AU236" i="1"/>
  <c r="AU185" i="1"/>
  <c r="AZ236" i="1"/>
  <c r="AZ185" i="1"/>
  <c r="BD236" i="1"/>
  <c r="BD185" i="1"/>
  <c r="BH236" i="1"/>
  <c r="BH185" i="1"/>
  <c r="C287" i="1"/>
  <c r="C291" i="3"/>
  <c r="G287" i="1"/>
  <c r="G291" i="3"/>
  <c r="K287" i="1"/>
  <c r="K291" i="3"/>
  <c r="O287" i="1"/>
  <c r="O291" i="3"/>
  <c r="S287" i="1"/>
  <c r="S291" i="3"/>
  <c r="W287" i="1"/>
  <c r="W291" i="3"/>
  <c r="AB287" i="1"/>
  <c r="AB291" i="3"/>
  <c r="AF287" i="1"/>
  <c r="AF291" i="3"/>
  <c r="AJ287" i="1"/>
  <c r="AJ291" i="3"/>
  <c r="AN287" i="1"/>
  <c r="AN291" i="3"/>
  <c r="AR287" i="1"/>
  <c r="AR291" i="3"/>
  <c r="AV287" i="1"/>
  <c r="AV291" i="3"/>
  <c r="AZ287" i="1"/>
  <c r="AZ291" i="3"/>
  <c r="BD287" i="1"/>
  <c r="BD291" i="3"/>
  <c r="BH287" i="1"/>
  <c r="BH291" i="3"/>
  <c r="C237" i="1"/>
  <c r="C186" i="1"/>
  <c r="G237" i="1"/>
  <c r="G186" i="1"/>
  <c r="K237" i="1"/>
  <c r="K186" i="1"/>
  <c r="O237" i="1"/>
  <c r="O186" i="1"/>
  <c r="S237" i="1"/>
  <c r="S186" i="1"/>
  <c r="W237" i="1"/>
  <c r="W186" i="1"/>
  <c r="AA237" i="1"/>
  <c r="AA186" i="1"/>
  <c r="AF237" i="1"/>
  <c r="AF186" i="1"/>
  <c r="AJ237" i="1"/>
  <c r="AJ186" i="1"/>
  <c r="AN237" i="1"/>
  <c r="AN186" i="1"/>
  <c r="AR237" i="1"/>
  <c r="AR186" i="1"/>
  <c r="AV237" i="1"/>
  <c r="AV186" i="1"/>
  <c r="AZ237" i="1"/>
  <c r="AZ186" i="1"/>
  <c r="BD237" i="1"/>
  <c r="BD186" i="1"/>
  <c r="BH237" i="1"/>
  <c r="BH186" i="1"/>
  <c r="C288" i="1"/>
  <c r="C292" i="3"/>
  <c r="G288" i="1"/>
  <c r="G292" i="3"/>
  <c r="K288" i="1"/>
  <c r="K292" i="3"/>
  <c r="O288" i="1"/>
  <c r="O292" i="3"/>
  <c r="S288" i="1"/>
  <c r="S292" i="3"/>
  <c r="W288" i="1"/>
  <c r="W292" i="3"/>
  <c r="AA288" i="1"/>
  <c r="AA292" i="3"/>
  <c r="AF288" i="1"/>
  <c r="AF292" i="3"/>
  <c r="AJ288" i="1"/>
  <c r="AJ292" i="3"/>
  <c r="AN288" i="1"/>
  <c r="AN292" i="3"/>
  <c r="AR288" i="1"/>
  <c r="AR292" i="3"/>
  <c r="AV288" i="1"/>
  <c r="AV292" i="3"/>
  <c r="AZ288" i="1"/>
  <c r="AZ292" i="3"/>
  <c r="BD288" i="1"/>
  <c r="BD292" i="3"/>
  <c r="BH288" i="1"/>
  <c r="BH292" i="3"/>
  <c r="AW289" i="1"/>
  <c r="AW187" i="1"/>
  <c r="AW293" i="3"/>
  <c r="C240" i="1"/>
  <c r="C189" i="1"/>
  <c r="G240" i="1"/>
  <c r="G189" i="1"/>
  <c r="K240" i="1"/>
  <c r="K189" i="1"/>
  <c r="O240" i="1"/>
  <c r="O189" i="1"/>
  <c r="S240" i="1"/>
  <c r="S189" i="1"/>
  <c r="W240" i="1"/>
  <c r="W189" i="1"/>
  <c r="AA240" i="1"/>
  <c r="AA189" i="1"/>
  <c r="AF240" i="1"/>
  <c r="AF189" i="1"/>
  <c r="AJ240" i="1"/>
  <c r="AJ189" i="1"/>
  <c r="AN240" i="1"/>
  <c r="AN189" i="1"/>
  <c r="AR240" i="1"/>
  <c r="AR189" i="1"/>
  <c r="AV240" i="1"/>
  <c r="AV189" i="1"/>
  <c r="AZ240" i="1"/>
  <c r="AZ189" i="1"/>
  <c r="BD240" i="1"/>
  <c r="BD189" i="1"/>
  <c r="BH240" i="1"/>
  <c r="BH189" i="1"/>
  <c r="C291" i="1"/>
  <c r="C295" i="3"/>
  <c r="G291" i="1"/>
  <c r="G295" i="3"/>
  <c r="K291" i="1"/>
  <c r="K295" i="3"/>
  <c r="O291" i="1"/>
  <c r="O295" i="3"/>
  <c r="S291" i="1"/>
  <c r="S295" i="3"/>
  <c r="W291" i="1"/>
  <c r="W295" i="3"/>
  <c r="AA291" i="1"/>
  <c r="AA295" i="3"/>
  <c r="AF291" i="1"/>
  <c r="AF295" i="3"/>
  <c r="AJ291" i="1"/>
  <c r="AJ295" i="3"/>
  <c r="AN291" i="1"/>
  <c r="AN295" i="3"/>
  <c r="AR291" i="1"/>
  <c r="AR295" i="3"/>
  <c r="AV291" i="1"/>
  <c r="AV295" i="3"/>
  <c r="AZ291" i="1"/>
  <c r="AZ295" i="3"/>
  <c r="BD291" i="1"/>
  <c r="BD295" i="3"/>
  <c r="BH291" i="1"/>
  <c r="BH295" i="3"/>
  <c r="C241" i="1"/>
  <c r="C190" i="1"/>
  <c r="G241" i="1"/>
  <c r="G190" i="1"/>
  <c r="K241" i="1"/>
  <c r="K190" i="1"/>
  <c r="O241" i="1"/>
  <c r="O190" i="1"/>
  <c r="S241" i="1"/>
  <c r="S190" i="1"/>
  <c r="W241" i="1"/>
  <c r="W190" i="1"/>
  <c r="AA241" i="1"/>
  <c r="AA190" i="1"/>
  <c r="AE241" i="1"/>
  <c r="AE190" i="1"/>
  <c r="AJ241" i="1"/>
  <c r="AJ190" i="1"/>
  <c r="AN241" i="1"/>
  <c r="AN190" i="1"/>
  <c r="AR241" i="1"/>
  <c r="AR190" i="1"/>
  <c r="AV241" i="1"/>
  <c r="AV190" i="1"/>
  <c r="AZ241" i="1"/>
  <c r="AZ190" i="1"/>
  <c r="BD241" i="1"/>
  <c r="BD190" i="1"/>
  <c r="BH241" i="1"/>
  <c r="BH190" i="1"/>
  <c r="C296" i="3"/>
  <c r="G296" i="3"/>
  <c r="K296" i="3"/>
  <c r="O296" i="3"/>
  <c r="S296" i="3"/>
  <c r="W292" i="1"/>
  <c r="W296" i="3"/>
  <c r="AA292" i="1"/>
  <c r="AA296" i="3"/>
  <c r="AE292" i="1"/>
  <c r="AE296" i="3"/>
  <c r="AJ292" i="1"/>
  <c r="AJ296" i="3"/>
  <c r="AN292" i="1"/>
  <c r="AN296" i="3"/>
  <c r="AR292" i="1"/>
  <c r="AR296" i="3"/>
  <c r="AV292" i="1"/>
  <c r="AV296" i="3"/>
  <c r="AZ292" i="1"/>
  <c r="AZ296" i="3"/>
  <c r="BD292" i="1"/>
  <c r="BD296" i="3"/>
  <c r="BH292" i="1"/>
  <c r="BH296" i="3"/>
  <c r="C242" i="1"/>
  <c r="C191" i="1"/>
  <c r="G242" i="1"/>
  <c r="G191" i="1"/>
  <c r="K242" i="1"/>
  <c r="K191" i="1"/>
  <c r="O242" i="1"/>
  <c r="O191" i="1"/>
  <c r="S242" i="1"/>
  <c r="S191" i="1"/>
  <c r="W242" i="1"/>
  <c r="W191" i="1"/>
  <c r="AA242" i="1"/>
  <c r="AA191" i="1"/>
  <c r="AE242" i="1"/>
  <c r="AE191" i="1"/>
  <c r="AJ242" i="1"/>
  <c r="AJ191" i="1"/>
  <c r="AN242" i="1"/>
  <c r="AN191" i="1"/>
  <c r="AR242" i="1"/>
  <c r="AR191" i="1"/>
  <c r="AV242" i="1"/>
  <c r="AV191" i="1"/>
  <c r="AZ242" i="1"/>
  <c r="AZ191" i="1"/>
  <c r="BD242" i="1"/>
  <c r="BD191" i="1"/>
  <c r="BH242" i="1"/>
  <c r="BH191" i="1"/>
  <c r="C293" i="1"/>
  <c r="C297" i="3"/>
  <c r="G293" i="1"/>
  <c r="G297" i="3"/>
  <c r="K293" i="1"/>
  <c r="K297" i="3"/>
  <c r="O293" i="1"/>
  <c r="O297" i="3"/>
  <c r="S293" i="1"/>
  <c r="S297" i="3"/>
  <c r="W293" i="1"/>
  <c r="W297" i="3"/>
  <c r="AA293" i="1"/>
  <c r="AA297" i="3"/>
  <c r="AE293" i="1"/>
  <c r="AE297" i="3"/>
  <c r="AJ293" i="1"/>
  <c r="AJ297" i="3"/>
  <c r="AN293" i="1"/>
  <c r="AN297" i="3"/>
  <c r="AR293" i="1"/>
  <c r="AR297" i="3"/>
  <c r="AV293" i="1"/>
  <c r="AV297" i="3"/>
  <c r="AZ293" i="1"/>
  <c r="AZ297" i="3"/>
  <c r="BD293" i="1"/>
  <c r="BD297" i="3"/>
  <c r="BH293" i="1"/>
  <c r="BH297" i="3"/>
  <c r="C243" i="1"/>
  <c r="C192" i="1"/>
  <c r="G243" i="1"/>
  <c r="G192" i="1"/>
  <c r="K243" i="1"/>
  <c r="K192" i="1"/>
  <c r="O243" i="1"/>
  <c r="O192" i="1"/>
  <c r="S243" i="1"/>
  <c r="S192" i="1"/>
  <c r="W243" i="1"/>
  <c r="W192" i="1"/>
  <c r="AA243" i="1"/>
  <c r="AA192" i="1"/>
  <c r="AE243" i="1"/>
  <c r="AE192" i="1"/>
  <c r="AJ243" i="1"/>
  <c r="AJ192" i="1"/>
  <c r="AN243" i="1"/>
  <c r="AN192" i="1"/>
  <c r="AR243" i="1"/>
  <c r="AR192" i="1"/>
  <c r="AV243" i="1"/>
  <c r="AV192" i="1"/>
  <c r="AZ243" i="1"/>
  <c r="AZ192" i="1"/>
  <c r="BD243" i="1"/>
  <c r="BD192" i="1"/>
  <c r="BH243" i="1"/>
  <c r="BH192" i="1"/>
  <c r="C294" i="1"/>
  <c r="C298" i="3"/>
  <c r="G294" i="1"/>
  <c r="G298" i="3"/>
  <c r="K294" i="1"/>
  <c r="K298" i="3"/>
  <c r="O294" i="1"/>
  <c r="O298" i="3"/>
  <c r="S294" i="1"/>
  <c r="S298" i="3"/>
  <c r="W294" i="1"/>
  <c r="W298" i="3"/>
  <c r="AA294" i="1"/>
  <c r="AA298" i="3"/>
  <c r="AE294" i="1"/>
  <c r="AE298" i="3"/>
  <c r="AJ294" i="1"/>
  <c r="AJ298" i="3"/>
  <c r="AN294" i="1"/>
  <c r="AN298" i="3"/>
  <c r="AR294" i="1"/>
  <c r="AR298" i="3"/>
  <c r="AV294" i="1"/>
  <c r="AV298" i="3"/>
  <c r="AZ294" i="1"/>
  <c r="AZ298" i="3"/>
  <c r="BD294" i="1"/>
  <c r="BD298" i="3"/>
  <c r="BH294" i="1"/>
  <c r="BH298" i="3"/>
  <c r="AW295" i="1"/>
  <c r="AW193" i="1"/>
  <c r="AW299" i="3"/>
  <c r="E245" i="1"/>
  <c r="E194" i="1"/>
  <c r="I245" i="1"/>
  <c r="I194" i="1"/>
  <c r="M245" i="1"/>
  <c r="M194" i="1"/>
  <c r="Q245" i="1"/>
  <c r="Q194" i="1"/>
  <c r="U245" i="1"/>
  <c r="U194" i="1"/>
  <c r="Y245" i="1"/>
  <c r="Y194" i="1"/>
  <c r="AC245" i="1"/>
  <c r="AC194" i="1"/>
  <c r="AG245" i="1"/>
  <c r="AG194" i="1"/>
  <c r="AL245" i="1"/>
  <c r="AL194" i="1"/>
  <c r="AP245" i="1"/>
  <c r="AP194" i="1"/>
  <c r="AT245" i="1"/>
  <c r="AT194" i="1"/>
  <c r="AX245" i="1"/>
  <c r="AX194" i="1"/>
  <c r="BB245" i="1"/>
  <c r="BB194" i="1"/>
  <c r="BF245" i="1"/>
  <c r="BF194" i="1"/>
  <c r="BJ245" i="1"/>
  <c r="BJ194" i="1"/>
  <c r="E296" i="1"/>
  <c r="E300" i="3"/>
  <c r="I296" i="1"/>
  <c r="I300" i="3"/>
  <c r="M296" i="1"/>
  <c r="M300" i="3"/>
  <c r="Q296" i="1"/>
  <c r="Q300" i="3"/>
  <c r="U296" i="1"/>
  <c r="U300" i="3"/>
  <c r="Y296" i="1"/>
  <c r="Y300" i="3"/>
  <c r="AC296" i="1"/>
  <c r="AC300" i="3"/>
  <c r="AG296" i="1"/>
  <c r="AG300" i="3"/>
  <c r="AL296" i="1"/>
  <c r="AL300" i="3"/>
  <c r="AP296" i="1"/>
  <c r="AP300" i="3"/>
  <c r="AT296" i="1"/>
  <c r="AT300" i="3"/>
  <c r="AX296" i="1"/>
  <c r="AX300" i="3"/>
  <c r="BB296" i="1"/>
  <c r="BB300" i="3"/>
  <c r="BF296" i="1"/>
  <c r="BF300" i="3"/>
  <c r="BJ296" i="1"/>
  <c r="BJ300" i="3"/>
  <c r="AW298" i="1"/>
  <c r="AW196" i="1"/>
  <c r="AW302" i="3"/>
  <c r="C249" i="1"/>
  <c r="C198" i="1"/>
  <c r="G249" i="1"/>
  <c r="G198" i="1"/>
  <c r="K249" i="1"/>
  <c r="K198" i="1"/>
  <c r="O249" i="1"/>
  <c r="O198" i="1"/>
  <c r="S249" i="1"/>
  <c r="S198" i="1"/>
  <c r="W249" i="1"/>
  <c r="W198" i="1"/>
  <c r="AA249" i="1"/>
  <c r="AA198" i="1"/>
  <c r="AE249" i="1"/>
  <c r="AE198" i="1"/>
  <c r="AI249" i="1"/>
  <c r="AI198" i="1"/>
  <c r="AM249" i="1"/>
  <c r="AM198" i="1"/>
  <c r="AR249" i="1"/>
  <c r="AR198" i="1"/>
  <c r="AV249" i="1"/>
  <c r="AV198" i="1"/>
  <c r="AZ249" i="1"/>
  <c r="AZ198" i="1"/>
  <c r="BD249" i="1"/>
  <c r="BD198" i="1"/>
  <c r="BH249" i="1"/>
  <c r="BH198" i="1"/>
  <c r="C300" i="1"/>
  <c r="C304" i="3"/>
  <c r="G300" i="1"/>
  <c r="G304" i="3"/>
  <c r="K300" i="1"/>
  <c r="K304" i="3"/>
  <c r="O300" i="1"/>
  <c r="O304" i="3"/>
  <c r="S300" i="1"/>
  <c r="S304" i="3"/>
  <c r="W300" i="1"/>
  <c r="W304" i="3"/>
  <c r="AA300" i="1"/>
  <c r="AA304" i="3"/>
  <c r="AE300" i="1"/>
  <c r="AE304" i="3"/>
  <c r="AI300" i="1"/>
  <c r="AI304" i="3"/>
  <c r="AM300" i="1"/>
  <c r="AM304" i="3"/>
  <c r="AR300" i="1"/>
  <c r="AR304" i="3"/>
  <c r="AV300" i="1"/>
  <c r="AV304" i="3"/>
  <c r="AZ300" i="1"/>
  <c r="AZ304" i="3"/>
  <c r="BD300" i="1"/>
  <c r="BD304" i="3"/>
  <c r="BH300" i="1"/>
  <c r="BH304" i="3"/>
  <c r="AW301" i="1"/>
  <c r="AW199" i="1"/>
  <c r="AW305" i="3"/>
  <c r="AV303" i="1"/>
  <c r="AV201" i="1"/>
  <c r="AV307" i="3"/>
  <c r="B254" i="1"/>
  <c r="B203" i="1"/>
  <c r="F254" i="1"/>
  <c r="F203" i="1"/>
  <c r="J254" i="1"/>
  <c r="J203" i="1"/>
  <c r="N254" i="1"/>
  <c r="N203" i="1"/>
  <c r="R254" i="1"/>
  <c r="R203" i="1"/>
  <c r="V254" i="1"/>
  <c r="V203" i="1"/>
  <c r="Z254" i="1"/>
  <c r="Z203" i="1"/>
  <c r="AD254" i="1"/>
  <c r="AD203" i="1"/>
  <c r="AH254" i="1"/>
  <c r="AH203" i="1"/>
  <c r="AL254" i="1"/>
  <c r="AL203" i="1"/>
  <c r="AP254" i="1"/>
  <c r="AP203" i="1"/>
  <c r="AU254" i="1"/>
  <c r="AU203" i="1"/>
  <c r="AY254" i="1"/>
  <c r="AY203" i="1"/>
  <c r="BC254" i="1"/>
  <c r="BC203" i="1"/>
  <c r="BG254" i="1"/>
  <c r="BG203" i="1"/>
  <c r="AV305" i="1"/>
  <c r="AV309" i="3"/>
  <c r="D255" i="1"/>
  <c r="D204" i="1"/>
  <c r="H255" i="1"/>
  <c r="H204" i="1"/>
  <c r="L255" i="1"/>
  <c r="L204" i="1"/>
  <c r="P255" i="1"/>
  <c r="P204" i="1"/>
  <c r="T255" i="1"/>
  <c r="T204" i="1"/>
  <c r="X255" i="1"/>
  <c r="X204" i="1"/>
  <c r="AB255" i="1"/>
  <c r="AB204" i="1"/>
  <c r="AF255" i="1"/>
  <c r="AF204" i="1"/>
  <c r="AJ255" i="1"/>
  <c r="AJ204" i="1"/>
  <c r="AN255" i="1"/>
  <c r="AN204" i="1"/>
  <c r="AR255" i="1"/>
  <c r="AR204" i="1"/>
  <c r="AW255" i="1"/>
  <c r="AW204" i="1"/>
  <c r="BA255" i="1"/>
  <c r="BA204" i="1"/>
  <c r="BE255" i="1"/>
  <c r="BE204" i="1"/>
  <c r="BI255" i="1"/>
  <c r="BI204" i="1"/>
  <c r="BE92" i="3"/>
  <c r="H115" i="3"/>
  <c r="R111" i="3"/>
  <c r="AF115" i="3"/>
  <c r="E240" i="3"/>
  <c r="I236" i="3"/>
  <c r="U239" i="3"/>
  <c r="AG238" i="3"/>
  <c r="AK245" i="3"/>
  <c r="AW240" i="3"/>
  <c r="BA245" i="3"/>
  <c r="D214" i="3"/>
  <c r="L214" i="3"/>
  <c r="AV214" i="3"/>
  <c r="BH214" i="3"/>
  <c r="T229" i="3"/>
  <c r="X229" i="3"/>
  <c r="AB229" i="3"/>
  <c r="AF229" i="3"/>
  <c r="BG229" i="3"/>
  <c r="W232" i="3"/>
  <c r="AA232" i="3"/>
  <c r="AE232" i="3"/>
  <c r="S233" i="3"/>
  <c r="BG233" i="3"/>
  <c r="S236" i="3"/>
  <c r="W236" i="3"/>
  <c r="BG236" i="3"/>
  <c r="U238" i="3"/>
  <c r="AE239" i="3"/>
  <c r="S240" i="3"/>
  <c r="W240" i="3"/>
  <c r="AA240" i="3"/>
  <c r="BG240" i="3"/>
  <c r="BG243" i="3"/>
  <c r="AG244" i="3"/>
  <c r="AK246" i="3"/>
  <c r="AK248" i="3"/>
  <c r="BC248" i="3"/>
  <c r="AU249" i="3"/>
  <c r="BC252" i="3"/>
  <c r="D310" i="3"/>
  <c r="D309" i="3"/>
  <c r="D308" i="3"/>
  <c r="D307" i="3"/>
  <c r="D306" i="3"/>
  <c r="D305" i="3"/>
  <c r="D302" i="3"/>
  <c r="D301" i="3"/>
  <c r="D299" i="3"/>
  <c r="D294" i="3"/>
  <c r="D293" i="3"/>
  <c r="D287" i="3"/>
  <c r="D283" i="3"/>
  <c r="D282" i="3"/>
  <c r="D281" i="3"/>
  <c r="D280" i="3"/>
  <c r="D279" i="3"/>
  <c r="D303" i="3"/>
  <c r="T310" i="3"/>
  <c r="T309" i="3"/>
  <c r="T308" i="3"/>
  <c r="T307" i="3"/>
  <c r="T306" i="3"/>
  <c r="T305" i="3"/>
  <c r="T267" i="3"/>
  <c r="T266" i="3"/>
  <c r="T299" i="3"/>
  <c r="T280" i="3"/>
  <c r="T279" i="3"/>
  <c r="T278" i="3"/>
  <c r="T277" i="3"/>
  <c r="T276" i="3"/>
  <c r="T275" i="3"/>
  <c r="T273" i="3"/>
  <c r="T272" i="3"/>
  <c r="T269" i="3"/>
  <c r="T303" i="3"/>
  <c r="T302" i="3"/>
  <c r="T301" i="3"/>
  <c r="X310" i="3"/>
  <c r="X309" i="3"/>
  <c r="X308" i="3"/>
  <c r="X307" i="3"/>
  <c r="X306" i="3"/>
  <c r="X305" i="3"/>
  <c r="X303" i="3"/>
  <c r="X302" i="3"/>
  <c r="X301" i="3"/>
  <c r="X267" i="3"/>
  <c r="X266" i="3"/>
  <c r="X299" i="3"/>
  <c r="X280" i="3"/>
  <c r="X279" i="3"/>
  <c r="X278" i="3"/>
  <c r="X277" i="3"/>
  <c r="X276" i="3"/>
  <c r="X275" i="3"/>
  <c r="X273" i="3"/>
  <c r="X272" i="3"/>
  <c r="X269" i="3"/>
  <c r="AB310" i="3"/>
  <c r="AB309" i="3"/>
  <c r="AB308" i="3"/>
  <c r="AB307" i="3"/>
  <c r="AB306" i="3"/>
  <c r="AB305" i="3"/>
  <c r="AB303" i="3"/>
  <c r="AB302" i="3"/>
  <c r="AB301" i="3"/>
  <c r="AB267" i="3"/>
  <c r="AB266" i="3"/>
  <c r="AB299" i="3"/>
  <c r="AB280" i="3"/>
  <c r="AB279" i="3"/>
  <c r="AB278" i="3"/>
  <c r="AB277" i="3"/>
  <c r="AB276" i="3"/>
  <c r="AB275" i="3"/>
  <c r="AB273" i="3"/>
  <c r="AB272" i="3"/>
  <c r="AB269" i="3"/>
  <c r="AF310" i="3"/>
  <c r="AF309" i="3"/>
  <c r="AF308" i="3"/>
  <c r="AF307" i="3"/>
  <c r="AF306" i="3"/>
  <c r="AF305" i="3"/>
  <c r="AF303" i="3"/>
  <c r="AF302" i="3"/>
  <c r="AF299" i="3"/>
  <c r="AF280" i="3"/>
  <c r="AF279" i="3"/>
  <c r="AF278" i="3"/>
  <c r="AF277" i="3"/>
  <c r="AF276" i="3"/>
  <c r="AF275" i="3"/>
  <c r="AF273" i="3"/>
  <c r="AF272" i="3"/>
  <c r="AF269" i="3"/>
  <c r="AF301" i="3"/>
  <c r="AF267" i="3"/>
  <c r="AF266" i="3"/>
  <c r="AJ310" i="3"/>
  <c r="AJ309" i="3"/>
  <c r="AJ308" i="3"/>
  <c r="AJ307" i="3"/>
  <c r="AJ306" i="3"/>
  <c r="AJ305" i="3"/>
  <c r="AJ267" i="3"/>
  <c r="AJ266" i="3"/>
  <c r="AJ294" i="3"/>
  <c r="AJ293" i="3"/>
  <c r="AJ287" i="3"/>
  <c r="AJ283" i="3"/>
  <c r="AJ282" i="3"/>
  <c r="AJ281" i="3"/>
  <c r="AJ280" i="3"/>
  <c r="AJ279" i="3"/>
  <c r="AJ278" i="3"/>
  <c r="AJ277" i="3"/>
  <c r="AJ276" i="3"/>
  <c r="AJ275" i="3"/>
  <c r="AJ273" i="3"/>
  <c r="AJ272" i="3"/>
  <c r="AJ269" i="3"/>
  <c r="AN310" i="3"/>
  <c r="AN309" i="3"/>
  <c r="AN308" i="3"/>
  <c r="AN307" i="3"/>
  <c r="AN306" i="3"/>
  <c r="AN305" i="3"/>
  <c r="AN294" i="3"/>
  <c r="AN293" i="3"/>
  <c r="AN287" i="3"/>
  <c r="AN283" i="3"/>
  <c r="AN282" i="3"/>
  <c r="AN281" i="3"/>
  <c r="AN280" i="3"/>
  <c r="AN279" i="3"/>
  <c r="AN278" i="3"/>
  <c r="AN277" i="3"/>
  <c r="AN276" i="3"/>
  <c r="AN275" i="3"/>
  <c r="AN273" i="3"/>
  <c r="AN272" i="3"/>
  <c r="AN269" i="3"/>
  <c r="AN267" i="3"/>
  <c r="AN266" i="3"/>
  <c r="AZ310" i="3"/>
  <c r="AZ309" i="3"/>
  <c r="AZ308" i="3"/>
  <c r="AZ307" i="3"/>
  <c r="AZ306" i="3"/>
  <c r="AZ305" i="3"/>
  <c r="AZ303" i="3"/>
  <c r="AZ302" i="3"/>
  <c r="AZ299" i="3"/>
  <c r="AZ294" i="3"/>
  <c r="AZ293" i="3"/>
  <c r="AZ287" i="3"/>
  <c r="AZ283" i="3"/>
  <c r="AZ282" i="3"/>
  <c r="AZ281" i="3"/>
  <c r="AZ280" i="3"/>
  <c r="AZ279" i="3"/>
  <c r="AZ278" i="3"/>
  <c r="AZ277" i="3"/>
  <c r="AZ276" i="3"/>
  <c r="AZ275" i="3"/>
  <c r="AZ273" i="3"/>
  <c r="AZ272" i="3"/>
  <c r="AZ269" i="3"/>
  <c r="AZ301" i="3"/>
  <c r="AZ267" i="3"/>
  <c r="AZ266" i="3"/>
  <c r="BD310" i="3"/>
  <c r="BD309" i="3"/>
  <c r="BD308" i="3"/>
  <c r="BD307" i="3"/>
  <c r="BD306" i="3"/>
  <c r="BD305" i="3"/>
  <c r="BD299" i="3"/>
  <c r="BD294" i="3"/>
  <c r="BD293" i="3"/>
  <c r="BD287" i="3"/>
  <c r="BD283" i="3"/>
  <c r="BD282" i="3"/>
  <c r="BD281" i="3"/>
  <c r="BD280" i="3"/>
  <c r="BD279" i="3"/>
  <c r="BD278" i="3"/>
  <c r="BD277" i="3"/>
  <c r="BD276" i="3"/>
  <c r="BD275" i="3"/>
  <c r="BD273" i="3"/>
  <c r="BD272" i="3"/>
  <c r="BD269" i="3"/>
  <c r="D269" i="3"/>
  <c r="D272" i="3"/>
  <c r="D273" i="3"/>
  <c r="D275" i="3"/>
  <c r="D276" i="3"/>
  <c r="D277" i="3"/>
  <c r="D278" i="3"/>
  <c r="AA281" i="3"/>
  <c r="AE281" i="3"/>
  <c r="BF281" i="3"/>
  <c r="T282" i="3"/>
  <c r="X282" i="3"/>
  <c r="AB282" i="3"/>
  <c r="AF282" i="3"/>
  <c r="U283" i="3"/>
  <c r="Y283" i="3"/>
  <c r="AG283" i="3"/>
  <c r="T287" i="3"/>
  <c r="Y287" i="3"/>
  <c r="AG287" i="3"/>
  <c r="AA293" i="3"/>
  <c r="AF293" i="3"/>
  <c r="T294" i="3"/>
  <c r="X294" i="3"/>
  <c r="AB294" i="3"/>
  <c r="AG294" i="3"/>
  <c r="AJ299" i="3"/>
  <c r="AN299" i="3"/>
  <c r="AH301" i="3"/>
  <c r="BD302" i="3"/>
  <c r="AJ303" i="3"/>
  <c r="AM252" i="3"/>
  <c r="AA266" i="3"/>
  <c r="AU267" i="3"/>
  <c r="N268" i="3"/>
  <c r="AD268" i="3"/>
  <c r="AT268" i="3"/>
  <c r="AI264" i="1"/>
  <c r="AI268" i="3"/>
  <c r="I216" i="1"/>
  <c r="I165" i="1"/>
  <c r="H219" i="1"/>
  <c r="H168" i="1"/>
  <c r="F221" i="1"/>
  <c r="F170" i="1"/>
  <c r="BG223" i="1"/>
  <c r="BG172" i="1"/>
  <c r="AI225" i="1"/>
  <c r="AI174" i="1"/>
  <c r="J280" i="1"/>
  <c r="J284" i="3"/>
  <c r="F282" i="1"/>
  <c r="F286" i="3"/>
  <c r="AV262" i="1"/>
  <c r="AV160" i="1"/>
  <c r="AV266" i="3"/>
  <c r="AW263" i="1"/>
  <c r="AW161" i="1"/>
  <c r="AW267" i="3"/>
  <c r="F213" i="1"/>
  <c r="F162" i="1"/>
  <c r="J213" i="1"/>
  <c r="J162" i="1"/>
  <c r="N213" i="1"/>
  <c r="N162" i="1"/>
  <c r="R213" i="1"/>
  <c r="R162" i="1"/>
  <c r="V213" i="1"/>
  <c r="V162" i="1"/>
  <c r="Z213" i="1"/>
  <c r="Z162" i="1"/>
  <c r="AD213" i="1"/>
  <c r="AD162" i="1"/>
  <c r="AH213" i="1"/>
  <c r="AH162" i="1"/>
  <c r="AL213" i="1"/>
  <c r="AL162" i="1"/>
  <c r="AP213" i="1"/>
  <c r="AP162" i="1"/>
  <c r="AT213" i="1"/>
  <c r="AT162" i="1"/>
  <c r="AX213" i="1"/>
  <c r="AX162" i="1"/>
  <c r="BB213" i="1"/>
  <c r="BB162" i="1"/>
  <c r="BF213" i="1"/>
  <c r="BF162" i="1"/>
  <c r="BJ213" i="1"/>
  <c r="BJ162" i="1"/>
  <c r="BJ264" i="1"/>
  <c r="BJ268" i="3"/>
  <c r="C215" i="1"/>
  <c r="C164" i="1"/>
  <c r="H215" i="1"/>
  <c r="H164" i="1"/>
  <c r="L215" i="1"/>
  <c r="L164" i="1"/>
  <c r="P215" i="1"/>
  <c r="P164" i="1"/>
  <c r="T215" i="1"/>
  <c r="T164" i="1"/>
  <c r="X215" i="1"/>
  <c r="X164" i="1"/>
  <c r="AB215" i="1"/>
  <c r="AB164" i="1"/>
  <c r="AF215" i="1"/>
  <c r="AF164" i="1"/>
  <c r="AJ215" i="1"/>
  <c r="AJ164" i="1"/>
  <c r="AN215" i="1"/>
  <c r="AN164" i="1"/>
  <c r="AR215" i="1"/>
  <c r="AR164" i="1"/>
  <c r="AV215" i="1"/>
  <c r="AV164" i="1"/>
  <c r="AZ215" i="1"/>
  <c r="AZ164" i="1"/>
  <c r="BD215" i="1"/>
  <c r="BD164" i="1"/>
  <c r="BH215" i="1"/>
  <c r="BH164" i="1"/>
  <c r="C270" i="3"/>
  <c r="H266" i="1"/>
  <c r="H270" i="3"/>
  <c r="L266" i="1"/>
  <c r="L270" i="3"/>
  <c r="P266" i="1"/>
  <c r="P270" i="3"/>
  <c r="T266" i="1"/>
  <c r="T270" i="3"/>
  <c r="X266" i="1"/>
  <c r="X270" i="3"/>
  <c r="AB266" i="1"/>
  <c r="AB270" i="3"/>
  <c r="AF266" i="1"/>
  <c r="AF270" i="3"/>
  <c r="AJ266" i="1"/>
  <c r="AJ270" i="3"/>
  <c r="AN266" i="1"/>
  <c r="AN270" i="3"/>
  <c r="AR266" i="1"/>
  <c r="AR270" i="3"/>
  <c r="AV270" i="3"/>
  <c r="AZ266" i="1"/>
  <c r="AZ270" i="3"/>
  <c r="BD266" i="1"/>
  <c r="BD270" i="3"/>
  <c r="BH266" i="1"/>
  <c r="BH270" i="3"/>
  <c r="C216" i="1"/>
  <c r="C165" i="1"/>
  <c r="H216" i="1"/>
  <c r="H165" i="1"/>
  <c r="L216" i="1"/>
  <c r="L165" i="1"/>
  <c r="P216" i="1"/>
  <c r="P165" i="1"/>
  <c r="T216" i="1"/>
  <c r="T165" i="1"/>
  <c r="X216" i="1"/>
  <c r="X165" i="1"/>
  <c r="AB216" i="1"/>
  <c r="AB165" i="1"/>
  <c r="AF216" i="1"/>
  <c r="AF165" i="1"/>
  <c r="AJ216" i="1"/>
  <c r="AJ165" i="1"/>
  <c r="AN216" i="1"/>
  <c r="AN165" i="1"/>
  <c r="AR216" i="1"/>
  <c r="AR165" i="1"/>
  <c r="AV216" i="1"/>
  <c r="AV165" i="1"/>
  <c r="AZ216" i="1"/>
  <c r="AZ165" i="1"/>
  <c r="BD216" i="1"/>
  <c r="BD165" i="1"/>
  <c r="BH216" i="1"/>
  <c r="BH165" i="1"/>
  <c r="C267" i="1"/>
  <c r="C271" i="3"/>
  <c r="H267" i="1"/>
  <c r="H271" i="3"/>
  <c r="L267" i="1"/>
  <c r="L271" i="3"/>
  <c r="P267" i="1"/>
  <c r="P271" i="3"/>
  <c r="T267" i="1"/>
  <c r="T271" i="3"/>
  <c r="X267" i="1"/>
  <c r="X271" i="3"/>
  <c r="AB267" i="1"/>
  <c r="AB271" i="3"/>
  <c r="AF267" i="1"/>
  <c r="AF271" i="3"/>
  <c r="AJ267" i="1"/>
  <c r="AJ271" i="3"/>
  <c r="AN267" i="1"/>
  <c r="AN271" i="3"/>
  <c r="AR267" i="1"/>
  <c r="AR271" i="3"/>
  <c r="AV271" i="3"/>
  <c r="AZ267" i="1"/>
  <c r="AZ271" i="3"/>
  <c r="BD267" i="1"/>
  <c r="BD271" i="3"/>
  <c r="BH267" i="1"/>
  <c r="BH271" i="3"/>
  <c r="AW268" i="1"/>
  <c r="AW166" i="1"/>
  <c r="AW272" i="3"/>
  <c r="C219" i="1"/>
  <c r="C168" i="1"/>
  <c r="G219" i="1"/>
  <c r="G168" i="1"/>
  <c r="L219" i="1"/>
  <c r="L168" i="1"/>
  <c r="P219" i="1"/>
  <c r="P168" i="1"/>
  <c r="T219" i="1"/>
  <c r="T168" i="1"/>
  <c r="X219" i="1"/>
  <c r="X168" i="1"/>
  <c r="AB219" i="1"/>
  <c r="AB168" i="1"/>
  <c r="AF219" i="1"/>
  <c r="AF168" i="1"/>
  <c r="AJ219" i="1"/>
  <c r="AJ168" i="1"/>
  <c r="AN219" i="1"/>
  <c r="AN168" i="1"/>
  <c r="AR219" i="1"/>
  <c r="AR168" i="1"/>
  <c r="AV219" i="1"/>
  <c r="AV168" i="1"/>
  <c r="AZ219" i="1"/>
  <c r="AZ168" i="1"/>
  <c r="BD219" i="1"/>
  <c r="BD168" i="1"/>
  <c r="BH219" i="1"/>
  <c r="BH168" i="1"/>
  <c r="C270" i="1"/>
  <c r="C274" i="3"/>
  <c r="G270" i="1"/>
  <c r="G274" i="3"/>
  <c r="L270" i="1"/>
  <c r="L274" i="3"/>
  <c r="P270" i="1"/>
  <c r="P274" i="3"/>
  <c r="T270" i="1"/>
  <c r="T274" i="3"/>
  <c r="X270" i="1"/>
  <c r="X274" i="3"/>
  <c r="AB270" i="1"/>
  <c r="AB274" i="3"/>
  <c r="AF270" i="1"/>
  <c r="AF274" i="3"/>
  <c r="AJ270" i="1"/>
  <c r="AJ274" i="3"/>
  <c r="AN270" i="1"/>
  <c r="AN274" i="3"/>
  <c r="AR270" i="1"/>
  <c r="AR274" i="3"/>
  <c r="AV270" i="1"/>
  <c r="AV274" i="3"/>
  <c r="AZ270" i="1"/>
  <c r="AZ274" i="3"/>
  <c r="BD270" i="1"/>
  <c r="BD274" i="3"/>
  <c r="BH270" i="1"/>
  <c r="BH274" i="3"/>
  <c r="AW271" i="1"/>
  <c r="AW169" i="1"/>
  <c r="AW275" i="3"/>
  <c r="E221" i="1"/>
  <c r="E170" i="1"/>
  <c r="I221" i="1"/>
  <c r="I170" i="1"/>
  <c r="N221" i="1"/>
  <c r="N170" i="1"/>
  <c r="R221" i="1"/>
  <c r="R170" i="1"/>
  <c r="V221" i="1"/>
  <c r="V170" i="1"/>
  <c r="Z221" i="1"/>
  <c r="Z170" i="1"/>
  <c r="AD221" i="1"/>
  <c r="AD170" i="1"/>
  <c r="AH221" i="1"/>
  <c r="AH170" i="1"/>
  <c r="AL221" i="1"/>
  <c r="AL170" i="1"/>
  <c r="AP221" i="1"/>
  <c r="AP170" i="1"/>
  <c r="AT221" i="1"/>
  <c r="AT170" i="1"/>
  <c r="AX221" i="1"/>
  <c r="AX170" i="1"/>
  <c r="BB221" i="1"/>
  <c r="BB170" i="1"/>
  <c r="BF221" i="1"/>
  <c r="BF170" i="1"/>
  <c r="BJ221" i="1"/>
  <c r="BJ170" i="1"/>
  <c r="AW273" i="1"/>
  <c r="AW171" i="1"/>
  <c r="AW277" i="3"/>
  <c r="E223" i="1"/>
  <c r="E172" i="1"/>
  <c r="I223" i="1"/>
  <c r="I172" i="1"/>
  <c r="M223" i="1"/>
  <c r="M172" i="1"/>
  <c r="R223" i="1"/>
  <c r="R172" i="1"/>
  <c r="V223" i="1"/>
  <c r="V172" i="1"/>
  <c r="Z223" i="1"/>
  <c r="Z172" i="1"/>
  <c r="AD223" i="1"/>
  <c r="AD172" i="1"/>
  <c r="AH223" i="1"/>
  <c r="AH172" i="1"/>
  <c r="AL223" i="1"/>
  <c r="AL172" i="1"/>
  <c r="AP223" i="1"/>
  <c r="AP172" i="1"/>
  <c r="AT223" i="1"/>
  <c r="AT172" i="1"/>
  <c r="AX223" i="1"/>
  <c r="AX172" i="1"/>
  <c r="BB223" i="1"/>
  <c r="BB172" i="1"/>
  <c r="BF223" i="1"/>
  <c r="BF172" i="1"/>
  <c r="BJ223" i="1"/>
  <c r="BJ172" i="1"/>
  <c r="C224" i="1"/>
  <c r="C173" i="1"/>
  <c r="G224" i="1"/>
  <c r="G173" i="1"/>
  <c r="K224" i="1"/>
  <c r="K173" i="1"/>
  <c r="P224" i="1"/>
  <c r="P173" i="1"/>
  <c r="T224" i="1"/>
  <c r="T173" i="1"/>
  <c r="X224" i="1"/>
  <c r="X173" i="1"/>
  <c r="AB224" i="1"/>
  <c r="AB173" i="1"/>
  <c r="AF224" i="1"/>
  <c r="AF173" i="1"/>
  <c r="AJ224" i="1"/>
  <c r="AJ173" i="1"/>
  <c r="AN224" i="1"/>
  <c r="AN173" i="1"/>
  <c r="AR224" i="1"/>
  <c r="AR173" i="1"/>
  <c r="AV224" i="1"/>
  <c r="AV173" i="1"/>
  <c r="AZ224" i="1"/>
  <c r="AZ173" i="1"/>
  <c r="BD224" i="1"/>
  <c r="BD173" i="1"/>
  <c r="BH224" i="1"/>
  <c r="BH173" i="1"/>
  <c r="AW275" i="1"/>
  <c r="AW279" i="3"/>
  <c r="E225" i="1"/>
  <c r="E174" i="1"/>
  <c r="I225" i="1"/>
  <c r="I174" i="1"/>
  <c r="M225" i="1"/>
  <c r="M174" i="1"/>
  <c r="R225" i="1"/>
  <c r="R174" i="1"/>
  <c r="V225" i="1"/>
  <c r="V174" i="1"/>
  <c r="Z225" i="1"/>
  <c r="Z174" i="1"/>
  <c r="AD225" i="1"/>
  <c r="AD174" i="1"/>
  <c r="AH225" i="1"/>
  <c r="AH174" i="1"/>
  <c r="AL225" i="1"/>
  <c r="AL174" i="1"/>
  <c r="AP225" i="1"/>
  <c r="AP174" i="1"/>
  <c r="AT225" i="1"/>
  <c r="AT174" i="1"/>
  <c r="AX225" i="1"/>
  <c r="AX174" i="1"/>
  <c r="BB225" i="1"/>
  <c r="BB174" i="1"/>
  <c r="BF225" i="1"/>
  <c r="BF174" i="1"/>
  <c r="BJ225" i="1"/>
  <c r="BJ174" i="1"/>
  <c r="AW277" i="1"/>
  <c r="AW175" i="1"/>
  <c r="AW281" i="3"/>
  <c r="AW279" i="1"/>
  <c r="AW177" i="1"/>
  <c r="AW283" i="3"/>
  <c r="E229" i="1"/>
  <c r="E178" i="1"/>
  <c r="I229" i="1"/>
  <c r="I178" i="1"/>
  <c r="M229" i="1"/>
  <c r="M178" i="1"/>
  <c r="Q229" i="1"/>
  <c r="Q178" i="1"/>
  <c r="V229" i="1"/>
  <c r="V178" i="1"/>
  <c r="Z229" i="1"/>
  <c r="Z178" i="1"/>
  <c r="AD229" i="1"/>
  <c r="AD178" i="1"/>
  <c r="AH229" i="1"/>
  <c r="AH178" i="1"/>
  <c r="AL229" i="1"/>
  <c r="AL178" i="1"/>
  <c r="AP229" i="1"/>
  <c r="AP178" i="1"/>
  <c r="AT229" i="1"/>
  <c r="AT178" i="1"/>
  <c r="AX229" i="1"/>
  <c r="AX178" i="1"/>
  <c r="BB229" i="1"/>
  <c r="BB178" i="1"/>
  <c r="BF229" i="1"/>
  <c r="BF178" i="1"/>
  <c r="BJ229" i="1"/>
  <c r="BJ178" i="1"/>
  <c r="E280" i="1"/>
  <c r="E284" i="3"/>
  <c r="I280" i="1"/>
  <c r="I284" i="3"/>
  <c r="M280" i="1"/>
  <c r="M284" i="3"/>
  <c r="Q280" i="1"/>
  <c r="Q284" i="3"/>
  <c r="V280" i="1"/>
  <c r="V284" i="3"/>
  <c r="Z280" i="1"/>
  <c r="Z284" i="3"/>
  <c r="AD280" i="1"/>
  <c r="AD284" i="3"/>
  <c r="AH280" i="1"/>
  <c r="AH284" i="3"/>
  <c r="AL280" i="1"/>
  <c r="AL284" i="3"/>
  <c r="AP280" i="1"/>
  <c r="AP284" i="3"/>
  <c r="AT280" i="1"/>
  <c r="AT284" i="3"/>
  <c r="AX284" i="3"/>
  <c r="BB280" i="1"/>
  <c r="BB284" i="3"/>
  <c r="BF280" i="1"/>
  <c r="BF284" i="3"/>
  <c r="BJ280" i="1"/>
  <c r="BJ284" i="3"/>
  <c r="E230" i="1"/>
  <c r="E179" i="1"/>
  <c r="I230" i="1"/>
  <c r="I179" i="1"/>
  <c r="M230" i="1"/>
  <c r="M179" i="1"/>
  <c r="Q230" i="1"/>
  <c r="Q179" i="1"/>
  <c r="V230" i="1"/>
  <c r="V179" i="1"/>
  <c r="Z230" i="1"/>
  <c r="Z179" i="1"/>
  <c r="AD230" i="1"/>
  <c r="AD179" i="1"/>
  <c r="AH230" i="1"/>
  <c r="AH179" i="1"/>
  <c r="AL230" i="1"/>
  <c r="AL179" i="1"/>
  <c r="AP230" i="1"/>
  <c r="AP179" i="1"/>
  <c r="AT230" i="1"/>
  <c r="AT179" i="1"/>
  <c r="AX230" i="1"/>
  <c r="AX179" i="1"/>
  <c r="BB230" i="1"/>
  <c r="BB179" i="1"/>
  <c r="BF230" i="1"/>
  <c r="BF179" i="1"/>
  <c r="BJ230" i="1"/>
  <c r="BJ179" i="1"/>
  <c r="E281" i="1"/>
  <c r="E285" i="3"/>
  <c r="I281" i="1"/>
  <c r="I285" i="3"/>
  <c r="M281" i="1"/>
  <c r="M285" i="3"/>
  <c r="Q281" i="1"/>
  <c r="Q285" i="3"/>
  <c r="V281" i="1"/>
  <c r="V285" i="3"/>
  <c r="Z281" i="1"/>
  <c r="Z285" i="3"/>
  <c r="AD281" i="1"/>
  <c r="AD285" i="3"/>
  <c r="AH281" i="1"/>
  <c r="AH285" i="3"/>
  <c r="AL281" i="1"/>
  <c r="AL285" i="3"/>
  <c r="AP281" i="1"/>
  <c r="AP285" i="3"/>
  <c r="AT281" i="1"/>
  <c r="AT285" i="3"/>
  <c r="AX281" i="1"/>
  <c r="AX285" i="3"/>
  <c r="BB281" i="1"/>
  <c r="BB285" i="3"/>
  <c r="BF281" i="1"/>
  <c r="BF285" i="3"/>
  <c r="BJ281" i="1"/>
  <c r="BJ285" i="3"/>
  <c r="E231" i="1"/>
  <c r="E180" i="1"/>
  <c r="I231" i="1"/>
  <c r="I180" i="1"/>
  <c r="M231" i="1"/>
  <c r="M180" i="1"/>
  <c r="Q231" i="1"/>
  <c r="Q180" i="1"/>
  <c r="U231" i="1"/>
  <c r="U180" i="1"/>
  <c r="Z231" i="1"/>
  <c r="Z180" i="1"/>
  <c r="AD231" i="1"/>
  <c r="AD180" i="1"/>
  <c r="AH231" i="1"/>
  <c r="AH180" i="1"/>
  <c r="AL231" i="1"/>
  <c r="AL180" i="1"/>
  <c r="AP231" i="1"/>
  <c r="AP180" i="1"/>
  <c r="AT231" i="1"/>
  <c r="AT180" i="1"/>
  <c r="AX231" i="1"/>
  <c r="AX180" i="1"/>
  <c r="BB231" i="1"/>
  <c r="BB180" i="1"/>
  <c r="BF231" i="1"/>
  <c r="BF180" i="1"/>
  <c r="BJ231" i="1"/>
  <c r="BJ180" i="1"/>
  <c r="E282" i="1"/>
  <c r="E286" i="3"/>
  <c r="I282" i="1"/>
  <c r="I286" i="3"/>
  <c r="M282" i="1"/>
  <c r="M286" i="3"/>
  <c r="Q282" i="1"/>
  <c r="Q286" i="3"/>
  <c r="U282" i="1"/>
  <c r="U286" i="3"/>
  <c r="Z282" i="1"/>
  <c r="Z286" i="3"/>
  <c r="AD282" i="1"/>
  <c r="AD286" i="3"/>
  <c r="AH282" i="1"/>
  <c r="AH286" i="3"/>
  <c r="AL282" i="1"/>
  <c r="AL286" i="3"/>
  <c r="AP282" i="1"/>
  <c r="AP286" i="3"/>
  <c r="AT282" i="1"/>
  <c r="AT286" i="3"/>
  <c r="AX282" i="1"/>
  <c r="AX286" i="3"/>
  <c r="BB282" i="1"/>
  <c r="BB286" i="3"/>
  <c r="BF282" i="1"/>
  <c r="BF286" i="3"/>
  <c r="BJ282" i="1"/>
  <c r="BJ286" i="3"/>
  <c r="C233" i="1"/>
  <c r="C182" i="1"/>
  <c r="G233" i="1"/>
  <c r="G182" i="1"/>
  <c r="K233" i="1"/>
  <c r="K182" i="1"/>
  <c r="O233" i="1"/>
  <c r="O182" i="1"/>
  <c r="S233" i="1"/>
  <c r="S182" i="1"/>
  <c r="W233" i="1"/>
  <c r="W182" i="1"/>
  <c r="AB233" i="1"/>
  <c r="AB182" i="1"/>
  <c r="AF233" i="1"/>
  <c r="AF182" i="1"/>
  <c r="AJ233" i="1"/>
  <c r="AJ182" i="1"/>
  <c r="AN233" i="1"/>
  <c r="AN182" i="1"/>
  <c r="AR233" i="1"/>
  <c r="AR182" i="1"/>
  <c r="AV233" i="1"/>
  <c r="AV182" i="1"/>
  <c r="AZ233" i="1"/>
  <c r="AZ182" i="1"/>
  <c r="BD233" i="1"/>
  <c r="BD182" i="1"/>
  <c r="BH233" i="1"/>
  <c r="BH182" i="1"/>
  <c r="C284" i="1"/>
  <c r="C288" i="3"/>
  <c r="G284" i="1"/>
  <c r="G288" i="3"/>
  <c r="K284" i="1"/>
  <c r="K288" i="3"/>
  <c r="O284" i="1"/>
  <c r="O288" i="3"/>
  <c r="S284" i="1"/>
  <c r="S288" i="3"/>
  <c r="W284" i="1"/>
  <c r="W288" i="3"/>
  <c r="AB284" i="1"/>
  <c r="AB288" i="3"/>
  <c r="AF284" i="1"/>
  <c r="AF288" i="3"/>
  <c r="AJ284" i="1"/>
  <c r="AJ288" i="3"/>
  <c r="AN284" i="1"/>
  <c r="AN288" i="3"/>
  <c r="AR284" i="1"/>
  <c r="AR288" i="3"/>
  <c r="AV288" i="3"/>
  <c r="AZ284" i="1"/>
  <c r="AZ288" i="3"/>
  <c r="BD284" i="1"/>
  <c r="BD288" i="3"/>
  <c r="BH284" i="1"/>
  <c r="BH288" i="3"/>
  <c r="C234" i="1"/>
  <c r="C183" i="1"/>
  <c r="G234" i="1"/>
  <c r="G183" i="1"/>
  <c r="K234" i="1"/>
  <c r="K183" i="1"/>
  <c r="O234" i="1"/>
  <c r="O183" i="1"/>
  <c r="S234" i="1"/>
  <c r="S183" i="1"/>
  <c r="W234" i="1"/>
  <c r="W183" i="1"/>
  <c r="AB234" i="1"/>
  <c r="AB183" i="1"/>
  <c r="AF234" i="1"/>
  <c r="AF183" i="1"/>
  <c r="AJ234" i="1"/>
  <c r="AJ183" i="1"/>
  <c r="AN234" i="1"/>
  <c r="AN183" i="1"/>
  <c r="AR234" i="1"/>
  <c r="AR183" i="1"/>
  <c r="AV234" i="1"/>
  <c r="AV183" i="1"/>
  <c r="AZ234" i="1"/>
  <c r="AZ183" i="1"/>
  <c r="BD234" i="1"/>
  <c r="BD183" i="1"/>
  <c r="BH234" i="1"/>
  <c r="BH183" i="1"/>
  <c r="C285" i="1"/>
  <c r="C289" i="3"/>
  <c r="G285" i="1"/>
  <c r="G289" i="3"/>
  <c r="K285" i="1"/>
  <c r="K289" i="3"/>
  <c r="O285" i="1"/>
  <c r="O289" i="3"/>
  <c r="S285" i="1"/>
  <c r="S289" i="3"/>
  <c r="W285" i="1"/>
  <c r="W289" i="3"/>
  <c r="AB285" i="1"/>
  <c r="AB289" i="3"/>
  <c r="AF285" i="1"/>
  <c r="AF289" i="3"/>
  <c r="AJ285" i="1"/>
  <c r="AJ289" i="3"/>
  <c r="AN285" i="1"/>
  <c r="AN289" i="3"/>
  <c r="AR285" i="1"/>
  <c r="AR289" i="3"/>
  <c r="AV285" i="1"/>
  <c r="AV289" i="3"/>
  <c r="AZ285" i="1"/>
  <c r="AZ289" i="3"/>
  <c r="BD285" i="1"/>
  <c r="BD289" i="3"/>
  <c r="BH285" i="1"/>
  <c r="BH289" i="3"/>
  <c r="C235" i="1"/>
  <c r="C184" i="1"/>
  <c r="G235" i="1"/>
  <c r="G184" i="1"/>
  <c r="K235" i="1"/>
  <c r="K184" i="1"/>
  <c r="O235" i="1"/>
  <c r="O184" i="1"/>
  <c r="S235" i="1"/>
  <c r="S184" i="1"/>
  <c r="W235" i="1"/>
  <c r="W184" i="1"/>
  <c r="AB235" i="1"/>
  <c r="AB184" i="1"/>
  <c r="AF235" i="1"/>
  <c r="AF184" i="1"/>
  <c r="AJ235" i="1"/>
  <c r="AJ184" i="1"/>
  <c r="AN235" i="1"/>
  <c r="AN184" i="1"/>
  <c r="AR235" i="1"/>
  <c r="AR184" i="1"/>
  <c r="AV235" i="1"/>
  <c r="AV184" i="1"/>
  <c r="AZ235" i="1"/>
  <c r="AZ184" i="1"/>
  <c r="BD235" i="1"/>
  <c r="BD184" i="1"/>
  <c r="BH235" i="1"/>
  <c r="BH184" i="1"/>
  <c r="C286" i="1"/>
  <c r="C290" i="3"/>
  <c r="G286" i="1"/>
  <c r="G290" i="3"/>
  <c r="K286" i="1"/>
  <c r="K290" i="3"/>
  <c r="O286" i="1"/>
  <c r="O290" i="3"/>
  <c r="S286" i="1"/>
  <c r="S290" i="3"/>
  <c r="W286" i="1"/>
  <c r="W290" i="3"/>
  <c r="AB286" i="1"/>
  <c r="AB290" i="3"/>
  <c r="AF286" i="1"/>
  <c r="AF290" i="3"/>
  <c r="AJ286" i="1"/>
  <c r="AJ290" i="3"/>
  <c r="AN286" i="1"/>
  <c r="AN290" i="3"/>
  <c r="AR286" i="1"/>
  <c r="AR290" i="3"/>
  <c r="AV286" i="1"/>
  <c r="AV290" i="3"/>
  <c r="AZ286" i="1"/>
  <c r="AZ290" i="3"/>
  <c r="BD286" i="1"/>
  <c r="BD290" i="3"/>
  <c r="BH286" i="1"/>
  <c r="BH290" i="3"/>
  <c r="C236" i="1"/>
  <c r="C185" i="1"/>
  <c r="G236" i="1"/>
  <c r="G185" i="1"/>
  <c r="K236" i="1"/>
  <c r="K185" i="1"/>
  <c r="O236" i="1"/>
  <c r="O185" i="1"/>
  <c r="S236" i="1"/>
  <c r="S185" i="1"/>
  <c r="W236" i="1"/>
  <c r="W185" i="1"/>
  <c r="AB236" i="1"/>
  <c r="AB185" i="1"/>
  <c r="AF236" i="1"/>
  <c r="AF185" i="1"/>
  <c r="AJ236" i="1"/>
  <c r="AJ185" i="1"/>
  <c r="AN236" i="1"/>
  <c r="AN185" i="1"/>
  <c r="AR236" i="1"/>
  <c r="AR185" i="1"/>
  <c r="AV236" i="1"/>
  <c r="AV185" i="1"/>
  <c r="BA236" i="1"/>
  <c r="BA185" i="1"/>
  <c r="BE236" i="1"/>
  <c r="BE185" i="1"/>
  <c r="BI236" i="1"/>
  <c r="BI185" i="1"/>
  <c r="D287" i="1"/>
  <c r="D291" i="3"/>
  <c r="H287" i="1"/>
  <c r="H291" i="3"/>
  <c r="L287" i="1"/>
  <c r="L291" i="3"/>
  <c r="P287" i="1"/>
  <c r="P291" i="3"/>
  <c r="T287" i="1"/>
  <c r="T291" i="3"/>
  <c r="X287" i="1"/>
  <c r="X291" i="3"/>
  <c r="AC287" i="1"/>
  <c r="AC291" i="3"/>
  <c r="AG287" i="1"/>
  <c r="AG291" i="3"/>
  <c r="AK287" i="1"/>
  <c r="AK291" i="3"/>
  <c r="AO287" i="1"/>
  <c r="AO291" i="3"/>
  <c r="AS287" i="1"/>
  <c r="AS291" i="3"/>
  <c r="AW287" i="1"/>
  <c r="AW185" i="1"/>
  <c r="AW291" i="3"/>
  <c r="BA287" i="1"/>
  <c r="BA291" i="3"/>
  <c r="BE287" i="1"/>
  <c r="BE291" i="3"/>
  <c r="BI287" i="1"/>
  <c r="BI291" i="3"/>
  <c r="D237" i="1"/>
  <c r="D186" i="1"/>
  <c r="H237" i="1"/>
  <c r="H186" i="1"/>
  <c r="L237" i="1"/>
  <c r="L186" i="1"/>
  <c r="P237" i="1"/>
  <c r="P186" i="1"/>
  <c r="T237" i="1"/>
  <c r="T186" i="1"/>
  <c r="X237" i="1"/>
  <c r="X186" i="1"/>
  <c r="AC237" i="1"/>
  <c r="AC186" i="1"/>
  <c r="AG237" i="1"/>
  <c r="AG186" i="1"/>
  <c r="AK237" i="1"/>
  <c r="AK186" i="1"/>
  <c r="AO237" i="1"/>
  <c r="AO186" i="1"/>
  <c r="AS237" i="1"/>
  <c r="AS186" i="1"/>
  <c r="AW237" i="1"/>
  <c r="AW186" i="1"/>
  <c r="BA237" i="1"/>
  <c r="BA186" i="1"/>
  <c r="BE237" i="1"/>
  <c r="BE186" i="1"/>
  <c r="BI237" i="1"/>
  <c r="BI186" i="1"/>
  <c r="D288" i="1"/>
  <c r="D292" i="3"/>
  <c r="H288" i="1"/>
  <c r="H292" i="3"/>
  <c r="L288" i="1"/>
  <c r="L292" i="3"/>
  <c r="P288" i="1"/>
  <c r="P292" i="3"/>
  <c r="T288" i="1"/>
  <c r="T292" i="3"/>
  <c r="X288" i="1"/>
  <c r="X292" i="3"/>
  <c r="AC288" i="1"/>
  <c r="AC292" i="3"/>
  <c r="AG288" i="1"/>
  <c r="AG292" i="3"/>
  <c r="AK288" i="1"/>
  <c r="AK292" i="3"/>
  <c r="AO288" i="1"/>
  <c r="AO292" i="3"/>
  <c r="AS288" i="1"/>
  <c r="AS292" i="3"/>
  <c r="AW288" i="1"/>
  <c r="AW292" i="3"/>
  <c r="BA288" i="1"/>
  <c r="BA292" i="3"/>
  <c r="BE288" i="1"/>
  <c r="BE292" i="3"/>
  <c r="BI288" i="1"/>
  <c r="BI292" i="3"/>
  <c r="AV290" i="1"/>
  <c r="AV188" i="1"/>
  <c r="AV294" i="3"/>
  <c r="D240" i="1"/>
  <c r="D189" i="1"/>
  <c r="H240" i="1"/>
  <c r="H189" i="1"/>
  <c r="L240" i="1"/>
  <c r="L189" i="1"/>
  <c r="P240" i="1"/>
  <c r="P189" i="1"/>
  <c r="T240" i="1"/>
  <c r="T189" i="1"/>
  <c r="X240" i="1"/>
  <c r="X189" i="1"/>
  <c r="AB240" i="1"/>
  <c r="AB189" i="1"/>
  <c r="AG240" i="1"/>
  <c r="AG189" i="1"/>
  <c r="AK240" i="1"/>
  <c r="AK189" i="1"/>
  <c r="AO240" i="1"/>
  <c r="AO189" i="1"/>
  <c r="AS240" i="1"/>
  <c r="AS189" i="1"/>
  <c r="AW240" i="1"/>
  <c r="AW189" i="1"/>
  <c r="BA240" i="1"/>
  <c r="BA189" i="1"/>
  <c r="BE240" i="1"/>
  <c r="BE189" i="1"/>
  <c r="BI240" i="1"/>
  <c r="BI189" i="1"/>
  <c r="D291" i="1"/>
  <c r="D295" i="3"/>
  <c r="H291" i="1"/>
  <c r="H295" i="3"/>
  <c r="L291" i="1"/>
  <c r="L295" i="3"/>
  <c r="P291" i="1"/>
  <c r="P295" i="3"/>
  <c r="T291" i="1"/>
  <c r="T295" i="3"/>
  <c r="X291" i="1"/>
  <c r="X295" i="3"/>
  <c r="AB291" i="1"/>
  <c r="AB295" i="3"/>
  <c r="AG291" i="1"/>
  <c r="AG295" i="3"/>
  <c r="AK291" i="1"/>
  <c r="AK295" i="3"/>
  <c r="AO291" i="1"/>
  <c r="AO295" i="3"/>
  <c r="AS291" i="1"/>
  <c r="AS295" i="3"/>
  <c r="AW291" i="1"/>
  <c r="AW295" i="3"/>
  <c r="BA291" i="1"/>
  <c r="BA295" i="3"/>
  <c r="BE291" i="1"/>
  <c r="BE295" i="3"/>
  <c r="BI291" i="1"/>
  <c r="BI295" i="3"/>
  <c r="D241" i="1"/>
  <c r="D190" i="1"/>
  <c r="H241" i="1"/>
  <c r="H190" i="1"/>
  <c r="L241" i="1"/>
  <c r="L190" i="1"/>
  <c r="P241" i="1"/>
  <c r="P190" i="1"/>
  <c r="T241" i="1"/>
  <c r="T190" i="1"/>
  <c r="X241" i="1"/>
  <c r="X190" i="1"/>
  <c r="AB241" i="1"/>
  <c r="AB190" i="1"/>
  <c r="AG241" i="1"/>
  <c r="AG190" i="1"/>
  <c r="AK241" i="1"/>
  <c r="AK190" i="1"/>
  <c r="AO241" i="1"/>
  <c r="AO190" i="1"/>
  <c r="AS241" i="1"/>
  <c r="AS190" i="1"/>
  <c r="AW241" i="1"/>
  <c r="AW190" i="1"/>
  <c r="BA241" i="1"/>
  <c r="BA190" i="1"/>
  <c r="BE241" i="1"/>
  <c r="BE190" i="1"/>
  <c r="BI241" i="1"/>
  <c r="BI190" i="1"/>
  <c r="D292" i="1"/>
  <c r="D296" i="3"/>
  <c r="H292" i="1"/>
  <c r="H296" i="3"/>
  <c r="L292" i="1"/>
  <c r="L296" i="3"/>
  <c r="P292" i="1"/>
  <c r="P296" i="3"/>
  <c r="T292" i="1"/>
  <c r="T296" i="3"/>
  <c r="X292" i="1"/>
  <c r="X296" i="3"/>
  <c r="AB292" i="1"/>
  <c r="AB296" i="3"/>
  <c r="AG292" i="1"/>
  <c r="AG296" i="3"/>
  <c r="AK292" i="1"/>
  <c r="AK296" i="3"/>
  <c r="AO292" i="1"/>
  <c r="AO296" i="3"/>
  <c r="AS292" i="1"/>
  <c r="AS296" i="3"/>
  <c r="AW292" i="1"/>
  <c r="AW296" i="3"/>
  <c r="BA292" i="1"/>
  <c r="BA296" i="3"/>
  <c r="BE292" i="1"/>
  <c r="BE296" i="3"/>
  <c r="BI292" i="1"/>
  <c r="BI296" i="3"/>
  <c r="D242" i="1"/>
  <c r="D191" i="1"/>
  <c r="H242" i="1"/>
  <c r="H191" i="1"/>
  <c r="L242" i="1"/>
  <c r="L191" i="1"/>
  <c r="P242" i="1"/>
  <c r="P191" i="1"/>
  <c r="T242" i="1"/>
  <c r="T191" i="1"/>
  <c r="X242" i="1"/>
  <c r="X191" i="1"/>
  <c r="AB242" i="1"/>
  <c r="AB191" i="1"/>
  <c r="AF242" i="1"/>
  <c r="AF191" i="1"/>
  <c r="AK242" i="1"/>
  <c r="AK191" i="1"/>
  <c r="AO242" i="1"/>
  <c r="AO191" i="1"/>
  <c r="AS242" i="1"/>
  <c r="AS191" i="1"/>
  <c r="AW242" i="1"/>
  <c r="AW191" i="1"/>
  <c r="BA242" i="1"/>
  <c r="BA191" i="1"/>
  <c r="BE242" i="1"/>
  <c r="BE191" i="1"/>
  <c r="BI242" i="1"/>
  <c r="BI191" i="1"/>
  <c r="D293" i="1"/>
  <c r="D297" i="3"/>
  <c r="H293" i="1"/>
  <c r="H297" i="3"/>
  <c r="L293" i="1"/>
  <c r="L297" i="3"/>
  <c r="P293" i="1"/>
  <c r="P297" i="3"/>
  <c r="T293" i="1"/>
  <c r="T297" i="3"/>
  <c r="X293" i="1"/>
  <c r="X297" i="3"/>
  <c r="AB293" i="1"/>
  <c r="AB297" i="3"/>
  <c r="AF293" i="1"/>
  <c r="AF297" i="3"/>
  <c r="AK293" i="1"/>
  <c r="AK297" i="3"/>
  <c r="AO293" i="1"/>
  <c r="AO297" i="3"/>
  <c r="AS293" i="1"/>
  <c r="AS297" i="3"/>
  <c r="AW293" i="1"/>
  <c r="AW297" i="3"/>
  <c r="BA293" i="1"/>
  <c r="BA297" i="3"/>
  <c r="BE293" i="1"/>
  <c r="BE297" i="3"/>
  <c r="BI293" i="1"/>
  <c r="BI297" i="3"/>
  <c r="D243" i="1"/>
  <c r="D192" i="1"/>
  <c r="H243" i="1"/>
  <c r="H192" i="1"/>
  <c r="L243" i="1"/>
  <c r="L192" i="1"/>
  <c r="P243" i="1"/>
  <c r="P192" i="1"/>
  <c r="T243" i="1"/>
  <c r="T192" i="1"/>
  <c r="X243" i="1"/>
  <c r="X192" i="1"/>
  <c r="AB243" i="1"/>
  <c r="AB192" i="1"/>
  <c r="AF243" i="1"/>
  <c r="AF192" i="1"/>
  <c r="AK243" i="1"/>
  <c r="AK192" i="1"/>
  <c r="AO243" i="1"/>
  <c r="AO192" i="1"/>
  <c r="AS243" i="1"/>
  <c r="AS192" i="1"/>
  <c r="AW243" i="1"/>
  <c r="AW192" i="1"/>
  <c r="BA243" i="1"/>
  <c r="BA192" i="1"/>
  <c r="BE243" i="1"/>
  <c r="BE192" i="1"/>
  <c r="BI243" i="1"/>
  <c r="BI192" i="1"/>
  <c r="D294" i="1"/>
  <c r="D298" i="3"/>
  <c r="H294" i="1"/>
  <c r="H298" i="3"/>
  <c r="L294" i="1"/>
  <c r="L298" i="3"/>
  <c r="P294" i="1"/>
  <c r="P298" i="3"/>
  <c r="T294" i="1"/>
  <c r="T298" i="3"/>
  <c r="X294" i="1"/>
  <c r="X298" i="3"/>
  <c r="AB294" i="1"/>
  <c r="AB298" i="3"/>
  <c r="AF294" i="1"/>
  <c r="AF298" i="3"/>
  <c r="AK294" i="1"/>
  <c r="AK298" i="3"/>
  <c r="AO294" i="1"/>
  <c r="AO298" i="3"/>
  <c r="AS294" i="1"/>
  <c r="AS298" i="3"/>
  <c r="AW294" i="1"/>
  <c r="AW298" i="3"/>
  <c r="BA294" i="1"/>
  <c r="BA298" i="3"/>
  <c r="BE294" i="1"/>
  <c r="BE298" i="3"/>
  <c r="BI294" i="1"/>
  <c r="BI298" i="3"/>
  <c r="B245" i="1"/>
  <c r="B194" i="1"/>
  <c r="F245" i="1"/>
  <c r="F194" i="1"/>
  <c r="J245" i="1"/>
  <c r="J194" i="1"/>
  <c r="N245" i="1"/>
  <c r="N194" i="1"/>
  <c r="R245" i="1"/>
  <c r="R194" i="1"/>
  <c r="V245" i="1"/>
  <c r="V194" i="1"/>
  <c r="Z245" i="1"/>
  <c r="Z194" i="1"/>
  <c r="AD245" i="1"/>
  <c r="AD194" i="1"/>
  <c r="AH245" i="1"/>
  <c r="AH194" i="1"/>
  <c r="AM245" i="1"/>
  <c r="AM194" i="1"/>
  <c r="AQ245" i="1"/>
  <c r="AQ194" i="1"/>
  <c r="AU245" i="1"/>
  <c r="AU194" i="1"/>
  <c r="AY245" i="1"/>
  <c r="AY194" i="1"/>
  <c r="BC245" i="1"/>
  <c r="BC194" i="1"/>
  <c r="BG245" i="1"/>
  <c r="BG194" i="1"/>
  <c r="B296" i="1"/>
  <c r="B300" i="3"/>
  <c r="F296" i="1"/>
  <c r="F300" i="3"/>
  <c r="J296" i="1"/>
  <c r="J300" i="3"/>
  <c r="N296" i="1"/>
  <c r="N300" i="3"/>
  <c r="R296" i="1"/>
  <c r="R300" i="3"/>
  <c r="V296" i="1"/>
  <c r="V300" i="3"/>
  <c r="Z296" i="1"/>
  <c r="Z300" i="3"/>
  <c r="AD296" i="1"/>
  <c r="AD300" i="3"/>
  <c r="AH296" i="1"/>
  <c r="AH300" i="3"/>
  <c r="AM296" i="1"/>
  <c r="AM300" i="3"/>
  <c r="AQ296" i="1"/>
  <c r="AQ300" i="3"/>
  <c r="AU296" i="1"/>
  <c r="AU300" i="3"/>
  <c r="AY296" i="1"/>
  <c r="AY300" i="3"/>
  <c r="BC296" i="1"/>
  <c r="BC300" i="3"/>
  <c r="BG296" i="1"/>
  <c r="BG300" i="3"/>
  <c r="AV297" i="1"/>
  <c r="AV195" i="1"/>
  <c r="AV301" i="3"/>
  <c r="AV299" i="1"/>
  <c r="AV197" i="1"/>
  <c r="AV303" i="3"/>
  <c r="D249" i="1"/>
  <c r="D198" i="1"/>
  <c r="H249" i="1"/>
  <c r="H198" i="1"/>
  <c r="L249" i="1"/>
  <c r="L198" i="1"/>
  <c r="P249" i="1"/>
  <c r="P198" i="1"/>
  <c r="T249" i="1"/>
  <c r="T198" i="1"/>
  <c r="X249" i="1"/>
  <c r="X198" i="1"/>
  <c r="AB249" i="1"/>
  <c r="AB198" i="1"/>
  <c r="AF249" i="1"/>
  <c r="AF198" i="1"/>
  <c r="AJ249" i="1"/>
  <c r="AJ198" i="1"/>
  <c r="AO249" i="1"/>
  <c r="AO198" i="1"/>
  <c r="AS249" i="1"/>
  <c r="AS198" i="1"/>
  <c r="AW249" i="1"/>
  <c r="AW198" i="1"/>
  <c r="BA249" i="1"/>
  <c r="BA198" i="1"/>
  <c r="BE249" i="1"/>
  <c r="BE198" i="1"/>
  <c r="BI249" i="1"/>
  <c r="BI198" i="1"/>
  <c r="D300" i="1"/>
  <c r="D304" i="3"/>
  <c r="H300" i="1"/>
  <c r="H304" i="3"/>
  <c r="L300" i="1"/>
  <c r="L304" i="3"/>
  <c r="P300" i="1"/>
  <c r="P304" i="3"/>
  <c r="T300" i="1"/>
  <c r="T304" i="3"/>
  <c r="X300" i="1"/>
  <c r="X304" i="3"/>
  <c r="AB300" i="1"/>
  <c r="AB304" i="3"/>
  <c r="AF300" i="1"/>
  <c r="AF304" i="3"/>
  <c r="AJ300" i="1"/>
  <c r="AJ304" i="3"/>
  <c r="AO300" i="1"/>
  <c r="AO304" i="3"/>
  <c r="AS300" i="1"/>
  <c r="AS304" i="3"/>
  <c r="AW304" i="3"/>
  <c r="BA300" i="1"/>
  <c r="BA304" i="3"/>
  <c r="BE300" i="1"/>
  <c r="BE304" i="3"/>
  <c r="BI300" i="1"/>
  <c r="BI304" i="3"/>
  <c r="AW303" i="1"/>
  <c r="AW201" i="1"/>
  <c r="AW307" i="3"/>
  <c r="C254" i="1"/>
  <c r="C203" i="1"/>
  <c r="G254" i="1"/>
  <c r="G203" i="1"/>
  <c r="K254" i="1"/>
  <c r="K203" i="1"/>
  <c r="O254" i="1"/>
  <c r="O203" i="1"/>
  <c r="S254" i="1"/>
  <c r="S203" i="1"/>
  <c r="W254" i="1"/>
  <c r="W203" i="1"/>
  <c r="AA254" i="1"/>
  <c r="AA203" i="1"/>
  <c r="AE254" i="1"/>
  <c r="AE203" i="1"/>
  <c r="AI254" i="1"/>
  <c r="AI203" i="1"/>
  <c r="AM254" i="1"/>
  <c r="AM203" i="1"/>
  <c r="AQ254" i="1"/>
  <c r="AQ203" i="1"/>
  <c r="AV254" i="1"/>
  <c r="AV203" i="1"/>
  <c r="AZ254" i="1"/>
  <c r="AZ203" i="1"/>
  <c r="BD254" i="1"/>
  <c r="BD203" i="1"/>
  <c r="BH254" i="1"/>
  <c r="BH203" i="1"/>
  <c r="AW305" i="1"/>
  <c r="AW309" i="3"/>
  <c r="E255" i="1"/>
  <c r="E204" i="1"/>
  <c r="I255" i="1"/>
  <c r="I204" i="1"/>
  <c r="M255" i="1"/>
  <c r="M204" i="1"/>
  <c r="Q255" i="1"/>
  <c r="Q204" i="1"/>
  <c r="U255" i="1"/>
  <c r="U204" i="1"/>
  <c r="Y255" i="1"/>
  <c r="Y204" i="1"/>
  <c r="AC255" i="1"/>
  <c r="AC204" i="1"/>
  <c r="AG255" i="1"/>
  <c r="AG204" i="1"/>
  <c r="AK255" i="1"/>
  <c r="AK204" i="1"/>
  <c r="AO255" i="1"/>
  <c r="AO204" i="1"/>
  <c r="AS255" i="1"/>
  <c r="AS204" i="1"/>
  <c r="AX255" i="1"/>
  <c r="AX204" i="1"/>
  <c r="BB255" i="1"/>
  <c r="BB204" i="1"/>
  <c r="BF255" i="1"/>
  <c r="BF204" i="1"/>
  <c r="BJ255" i="1"/>
  <c r="BJ204" i="1"/>
  <c r="BB80" i="3"/>
  <c r="Z111" i="3"/>
  <c r="Z128" i="3"/>
  <c r="B258" i="3"/>
  <c r="AT234" i="3"/>
  <c r="G216" i="3"/>
  <c r="K216" i="3"/>
  <c r="B218" i="3"/>
  <c r="G218" i="3"/>
  <c r="K218" i="3"/>
  <c r="K219" i="3"/>
  <c r="B222" i="3"/>
  <c r="K222" i="3"/>
  <c r="B226" i="3"/>
  <c r="U229" i="3"/>
  <c r="Y229" i="3"/>
  <c r="AG229" i="3"/>
  <c r="AA231" i="3"/>
  <c r="AE231" i="3"/>
  <c r="S232" i="3"/>
  <c r="X232" i="3"/>
  <c r="AB232" i="3"/>
  <c r="AF232" i="3"/>
  <c r="BG232" i="3"/>
  <c r="T233" i="3"/>
  <c r="Y233" i="3"/>
  <c r="AC233" i="3"/>
  <c r="AG233" i="3"/>
  <c r="Q234" i="3"/>
  <c r="U234" i="3"/>
  <c r="AA235" i="3"/>
  <c r="AE235" i="3"/>
  <c r="BG235" i="3"/>
  <c r="T236" i="3"/>
  <c r="Y236" i="3"/>
  <c r="AC236" i="3"/>
  <c r="AG236" i="3"/>
  <c r="Q237" i="3"/>
  <c r="U237" i="3"/>
  <c r="AA238" i="3"/>
  <c r="AE238" i="3"/>
  <c r="S239" i="3"/>
  <c r="W239" i="3"/>
  <c r="AB239" i="3"/>
  <c r="AF239" i="3"/>
  <c r="AC240" i="3"/>
  <c r="U241" i="3"/>
  <c r="Y241" i="3"/>
  <c r="Q244" i="3"/>
  <c r="Y244" i="3"/>
  <c r="AC244" i="3"/>
  <c r="AS246" i="3"/>
  <c r="BE246" i="3"/>
  <c r="AS247" i="3"/>
  <c r="AS248" i="3"/>
  <c r="AW248" i="3"/>
  <c r="BD248" i="3"/>
  <c r="AJ249" i="3"/>
  <c r="AV249" i="3"/>
  <c r="AN250" i="3"/>
  <c r="AK252" i="3"/>
  <c r="AS252" i="3"/>
  <c r="AW252" i="3"/>
  <c r="BD252" i="3"/>
  <c r="AS256" i="3"/>
  <c r="BA257" i="3"/>
  <c r="U310" i="3"/>
  <c r="U309" i="3"/>
  <c r="U308" i="3"/>
  <c r="U307" i="3"/>
  <c r="U306" i="3"/>
  <c r="U305" i="3"/>
  <c r="U303" i="3"/>
  <c r="U299" i="3"/>
  <c r="U280" i="3"/>
  <c r="U279" i="3"/>
  <c r="U278" i="3"/>
  <c r="U277" i="3"/>
  <c r="U276" i="3"/>
  <c r="U275" i="3"/>
  <c r="U273" i="3"/>
  <c r="U272" i="3"/>
  <c r="U269" i="3"/>
  <c r="U302" i="3"/>
  <c r="U301" i="3"/>
  <c r="U267" i="3"/>
  <c r="U266" i="3"/>
  <c r="Y310" i="3"/>
  <c r="Y309" i="3"/>
  <c r="Y308" i="3"/>
  <c r="Y307" i="3"/>
  <c r="Y306" i="3"/>
  <c r="Y305" i="3"/>
  <c r="Y302" i="3"/>
  <c r="Y301" i="3"/>
  <c r="Y267" i="3"/>
  <c r="Y266" i="3"/>
  <c r="Y303" i="3"/>
  <c r="Y299" i="3"/>
  <c r="Y280" i="3"/>
  <c r="Y279" i="3"/>
  <c r="Y278" i="3"/>
  <c r="Y277" i="3"/>
  <c r="Y276" i="3"/>
  <c r="Y275" i="3"/>
  <c r="Y273" i="3"/>
  <c r="Y272" i="3"/>
  <c r="Y269" i="3"/>
  <c r="AG310" i="3"/>
  <c r="AG309" i="3"/>
  <c r="AG308" i="3"/>
  <c r="AG307" i="3"/>
  <c r="AG306" i="3"/>
  <c r="AG305" i="3"/>
  <c r="AG303" i="3"/>
  <c r="AG302" i="3"/>
  <c r="AG301" i="3"/>
  <c r="AG299" i="3"/>
  <c r="AG280" i="3"/>
  <c r="AG279" i="3"/>
  <c r="AG278" i="3"/>
  <c r="AG277" i="3"/>
  <c r="AG276" i="3"/>
  <c r="AG275" i="3"/>
  <c r="AG273" i="3"/>
  <c r="AG272" i="3"/>
  <c r="AG269" i="3"/>
  <c r="F267" i="3"/>
  <c r="J267" i="3"/>
  <c r="F269" i="3"/>
  <c r="J269" i="3"/>
  <c r="J272" i="3"/>
  <c r="J273" i="3"/>
  <c r="U282" i="3"/>
  <c r="Y282" i="3"/>
  <c r="AG282" i="3"/>
  <c r="V283" i="3"/>
  <c r="Z283" i="3"/>
  <c r="U287" i="3"/>
  <c r="Z287" i="3"/>
  <c r="BF287" i="3"/>
  <c r="T293" i="3"/>
  <c r="X293" i="3"/>
  <c r="AB293" i="3"/>
  <c r="AG293" i="3"/>
  <c r="U294" i="3"/>
  <c r="Y294" i="3"/>
  <c r="AN301" i="3"/>
  <c r="AU301" i="3"/>
  <c r="AH302" i="3"/>
  <c r="BD303" i="3"/>
  <c r="W257" i="3"/>
  <c r="W252" i="3"/>
  <c r="AG239" i="3"/>
  <c r="Y228" i="3"/>
  <c r="AG266" i="3"/>
  <c r="BD267" i="3"/>
  <c r="R268" i="3"/>
  <c r="AH268" i="3"/>
  <c r="AX268" i="3"/>
  <c r="V127" i="3"/>
  <c r="AD127" i="3"/>
  <c r="BB127" i="3"/>
  <c r="BF128" i="3"/>
  <c r="AD131" i="3"/>
  <c r="Z140" i="3"/>
  <c r="V237" i="3"/>
  <c r="U240" i="3"/>
  <c r="F310" i="3"/>
  <c r="F309" i="3"/>
  <c r="F308" i="3"/>
  <c r="F307" i="3"/>
  <c r="F306" i="3"/>
  <c r="F305" i="3"/>
  <c r="F303" i="3"/>
  <c r="F299" i="3"/>
  <c r="F294" i="3"/>
  <c r="F293" i="3"/>
  <c r="F287" i="3"/>
  <c r="F283" i="3"/>
  <c r="F282" i="3"/>
  <c r="F281" i="3"/>
  <c r="F280" i="3"/>
  <c r="F279" i="3"/>
  <c r="F302" i="3"/>
  <c r="F301" i="3"/>
  <c r="J310" i="3"/>
  <c r="J309" i="3"/>
  <c r="J308" i="3"/>
  <c r="J307" i="3"/>
  <c r="J306" i="3"/>
  <c r="J305" i="3"/>
  <c r="J303" i="3"/>
  <c r="J302" i="3"/>
  <c r="J301" i="3"/>
  <c r="J299" i="3"/>
  <c r="J294" i="3"/>
  <c r="J293" i="3"/>
  <c r="J287" i="3"/>
  <c r="J283" i="3"/>
  <c r="J282" i="3"/>
  <c r="J281" i="3"/>
  <c r="J280" i="3"/>
  <c r="J279" i="3"/>
  <c r="V310" i="3"/>
  <c r="V309" i="3"/>
  <c r="V308" i="3"/>
  <c r="V307" i="3"/>
  <c r="V306" i="3"/>
  <c r="V305" i="3"/>
  <c r="V303" i="3"/>
  <c r="V302" i="3"/>
  <c r="V301" i="3"/>
  <c r="V299" i="3"/>
  <c r="V280" i="3"/>
  <c r="V279" i="3"/>
  <c r="V278" i="3"/>
  <c r="V277" i="3"/>
  <c r="V276" i="3"/>
  <c r="V275" i="3"/>
  <c r="V273" i="3"/>
  <c r="V272" i="3"/>
  <c r="V269" i="3"/>
  <c r="Z310" i="3"/>
  <c r="Z309" i="3"/>
  <c r="Z308" i="3"/>
  <c r="Z307" i="3"/>
  <c r="Z306" i="3"/>
  <c r="Z305" i="3"/>
  <c r="Z303" i="3"/>
  <c r="Z299" i="3"/>
  <c r="Z280" i="3"/>
  <c r="Z279" i="3"/>
  <c r="Z278" i="3"/>
  <c r="Z277" i="3"/>
  <c r="Z276" i="3"/>
  <c r="Z275" i="3"/>
  <c r="Z273" i="3"/>
  <c r="Z272" i="3"/>
  <c r="Z269" i="3"/>
  <c r="Z302" i="3"/>
  <c r="Z301" i="3"/>
  <c r="Z267" i="3"/>
  <c r="Z266" i="3"/>
  <c r="AH310" i="3"/>
  <c r="AH309" i="3"/>
  <c r="AH308" i="3"/>
  <c r="AH307" i="3"/>
  <c r="AH306" i="3"/>
  <c r="AH305" i="3"/>
  <c r="AH267" i="3"/>
  <c r="AH294" i="3"/>
  <c r="AH293" i="3"/>
  <c r="AH287" i="3"/>
  <c r="AH283" i="3"/>
  <c r="AH282" i="3"/>
  <c r="AH281" i="3"/>
  <c r="AH280" i="3"/>
  <c r="AH279" i="3"/>
  <c r="AH278" i="3"/>
  <c r="AH277" i="3"/>
  <c r="AH276" i="3"/>
  <c r="AH275" i="3"/>
  <c r="AH273" i="3"/>
  <c r="AH272" i="3"/>
  <c r="AH269" i="3"/>
  <c r="BF310" i="3"/>
  <c r="BF309" i="3"/>
  <c r="BF308" i="3"/>
  <c r="BF307" i="3"/>
  <c r="BF306" i="3"/>
  <c r="BF305" i="3"/>
  <c r="BF303" i="3"/>
  <c r="BF302" i="3"/>
  <c r="BF301" i="3"/>
  <c r="BF267" i="3"/>
  <c r="BF266" i="3"/>
  <c r="BF299" i="3"/>
  <c r="BF280" i="3"/>
  <c r="BF279" i="3"/>
  <c r="BF278" i="3"/>
  <c r="BF277" i="3"/>
  <c r="BF276" i="3"/>
  <c r="BF275" i="3"/>
  <c r="BF273" i="3"/>
  <c r="BF272" i="3"/>
  <c r="BF269" i="3"/>
  <c r="AH266" i="3"/>
  <c r="F272" i="3"/>
  <c r="F273" i="3"/>
  <c r="F275" i="3"/>
  <c r="J275" i="3"/>
  <c r="F276" i="3"/>
  <c r="J276" i="3"/>
  <c r="F277" i="3"/>
  <c r="J277" i="3"/>
  <c r="F278" i="3"/>
  <c r="J278" i="3"/>
  <c r="V282" i="3"/>
  <c r="Z282" i="3"/>
  <c r="BF283" i="3"/>
  <c r="V287" i="3"/>
  <c r="U293" i="3"/>
  <c r="Y293" i="3"/>
  <c r="V294" i="3"/>
  <c r="Z294" i="3"/>
  <c r="BF294" i="3"/>
  <c r="AH303" i="3"/>
  <c r="G257" i="3"/>
  <c r="G252" i="3"/>
  <c r="I246" i="3"/>
  <c r="AW238" i="3"/>
  <c r="F268" i="3"/>
  <c r="V268" i="3"/>
  <c r="AL268" i="3"/>
  <c r="BB268" i="3"/>
  <c r="AA264" i="1"/>
  <c r="AA268" i="3"/>
  <c r="BI266" i="1"/>
  <c r="BI270" i="3"/>
  <c r="AV269" i="1"/>
  <c r="AV167" i="1"/>
  <c r="AV273" i="3"/>
  <c r="BE270" i="1"/>
  <c r="BE274" i="3"/>
  <c r="AY223" i="1"/>
  <c r="AY172" i="1"/>
  <c r="AA225" i="1"/>
  <c r="AA174" i="1"/>
  <c r="B280" i="1"/>
  <c r="B284" i="3"/>
  <c r="AU230" i="1"/>
  <c r="AU179" i="1"/>
  <c r="AI282" i="1"/>
  <c r="AI286" i="3"/>
  <c r="AG234" i="1"/>
  <c r="AG183" i="1"/>
  <c r="BI235" i="1"/>
  <c r="BI184" i="1"/>
  <c r="BB287" i="1"/>
  <c r="BB291" i="3"/>
  <c r="AX240" i="1"/>
  <c r="AX189" i="1"/>
  <c r="AT292" i="1"/>
  <c r="AT296" i="3"/>
  <c r="BB243" i="1"/>
  <c r="BB192" i="1"/>
  <c r="AZ296" i="1"/>
  <c r="AZ300" i="3"/>
  <c r="AT300" i="1"/>
  <c r="AT304" i="3"/>
  <c r="B255" i="1"/>
  <c r="B204" i="1"/>
  <c r="D212" i="1"/>
  <c r="D161" i="1"/>
  <c r="C213" i="1"/>
  <c r="C162" i="1"/>
  <c r="H213" i="1"/>
  <c r="H162" i="1"/>
  <c r="L213" i="1"/>
  <c r="L162" i="1"/>
  <c r="P213" i="1"/>
  <c r="P162" i="1"/>
  <c r="T213" i="1"/>
  <c r="T162" i="1"/>
  <c r="X213" i="1"/>
  <c r="X162" i="1"/>
  <c r="AB213" i="1"/>
  <c r="AB162" i="1"/>
  <c r="AF213" i="1"/>
  <c r="AF162" i="1"/>
  <c r="AJ213" i="1"/>
  <c r="AJ162" i="1"/>
  <c r="AN213" i="1"/>
  <c r="AN162" i="1"/>
  <c r="AR213" i="1"/>
  <c r="AR162" i="1"/>
  <c r="AV213" i="1"/>
  <c r="AV162" i="1"/>
  <c r="AZ213" i="1"/>
  <c r="AZ162" i="1"/>
  <c r="BD213" i="1"/>
  <c r="BD162" i="1"/>
  <c r="BH213" i="1"/>
  <c r="BH162" i="1"/>
  <c r="C264" i="1"/>
  <c r="C268" i="3"/>
  <c r="H264" i="1"/>
  <c r="H268" i="3"/>
  <c r="L264" i="1"/>
  <c r="L268" i="3"/>
  <c r="P264" i="1"/>
  <c r="P268" i="3"/>
  <c r="T264" i="1"/>
  <c r="T268" i="3"/>
  <c r="X264" i="1"/>
  <c r="X268" i="3"/>
  <c r="AB264" i="1"/>
  <c r="AB268" i="3"/>
  <c r="AF264" i="1"/>
  <c r="AF268" i="3"/>
  <c r="AJ264" i="1"/>
  <c r="AJ268" i="3"/>
  <c r="AN264" i="1"/>
  <c r="AN268" i="3"/>
  <c r="AR264" i="1"/>
  <c r="AR268" i="3"/>
  <c r="AV264" i="1"/>
  <c r="AV268" i="3"/>
  <c r="AZ264" i="1"/>
  <c r="AZ268" i="3"/>
  <c r="BD264" i="1"/>
  <c r="BD268" i="3"/>
  <c r="BH264" i="1"/>
  <c r="BH268" i="3"/>
  <c r="AW265" i="1"/>
  <c r="AW163" i="1"/>
  <c r="AW269" i="3"/>
  <c r="E215" i="1"/>
  <c r="E164" i="1"/>
  <c r="J215" i="1"/>
  <c r="J164" i="1"/>
  <c r="N215" i="1"/>
  <c r="N164" i="1"/>
  <c r="R215" i="1"/>
  <c r="R164" i="1"/>
  <c r="V215" i="1"/>
  <c r="V164" i="1"/>
  <c r="Z215" i="1"/>
  <c r="Z164" i="1"/>
  <c r="AD215" i="1"/>
  <c r="AD164" i="1"/>
  <c r="AH215" i="1"/>
  <c r="AH164" i="1"/>
  <c r="AL215" i="1"/>
  <c r="AL164" i="1"/>
  <c r="AP215" i="1"/>
  <c r="AP164" i="1"/>
  <c r="AT215" i="1"/>
  <c r="AT164" i="1"/>
  <c r="AX215" i="1"/>
  <c r="AX164" i="1"/>
  <c r="BB215" i="1"/>
  <c r="BB164" i="1"/>
  <c r="BF215" i="1"/>
  <c r="BF164" i="1"/>
  <c r="BJ215" i="1"/>
  <c r="BJ164" i="1"/>
  <c r="E266" i="1"/>
  <c r="E270" i="3"/>
  <c r="J266" i="1"/>
  <c r="J270" i="3"/>
  <c r="N266" i="1"/>
  <c r="N270" i="3"/>
  <c r="R266" i="1"/>
  <c r="R270" i="3"/>
  <c r="V266" i="1"/>
  <c r="V270" i="3"/>
  <c r="Z266" i="1"/>
  <c r="Z270" i="3"/>
  <c r="AD266" i="1"/>
  <c r="AD270" i="3"/>
  <c r="AH266" i="1"/>
  <c r="AH270" i="3"/>
  <c r="AL266" i="1"/>
  <c r="AL270" i="3"/>
  <c r="AP266" i="1"/>
  <c r="AP270" i="3"/>
  <c r="AT266" i="1"/>
  <c r="AT270" i="3"/>
  <c r="AX266" i="1"/>
  <c r="AX270" i="3"/>
  <c r="BB266" i="1"/>
  <c r="BB270" i="3"/>
  <c r="BF266" i="1"/>
  <c r="BF270" i="3"/>
  <c r="BJ266" i="1"/>
  <c r="BJ270" i="3"/>
  <c r="E216" i="1"/>
  <c r="E165" i="1"/>
  <c r="J216" i="1"/>
  <c r="J165" i="1"/>
  <c r="N216" i="1"/>
  <c r="N165" i="1"/>
  <c r="R216" i="1"/>
  <c r="R165" i="1"/>
  <c r="V216" i="1"/>
  <c r="V165" i="1"/>
  <c r="Z216" i="1"/>
  <c r="Z165" i="1"/>
  <c r="AD216" i="1"/>
  <c r="AD165" i="1"/>
  <c r="AH216" i="1"/>
  <c r="AH165" i="1"/>
  <c r="AL216" i="1"/>
  <c r="AL165" i="1"/>
  <c r="AP216" i="1"/>
  <c r="AP165" i="1"/>
  <c r="AT216" i="1"/>
  <c r="AT165" i="1"/>
  <c r="AX216" i="1"/>
  <c r="AX165" i="1"/>
  <c r="BB216" i="1"/>
  <c r="BB165" i="1"/>
  <c r="BF216" i="1"/>
  <c r="BF165" i="1"/>
  <c r="BJ216" i="1"/>
  <c r="BJ165" i="1"/>
  <c r="E267" i="1"/>
  <c r="E271" i="3"/>
  <c r="J267" i="1"/>
  <c r="J271" i="3"/>
  <c r="N267" i="1"/>
  <c r="N271" i="3"/>
  <c r="R267" i="1"/>
  <c r="R271" i="3"/>
  <c r="V267" i="1"/>
  <c r="V271" i="3"/>
  <c r="Z267" i="1"/>
  <c r="Z271" i="3"/>
  <c r="AD267" i="1"/>
  <c r="AD271" i="3"/>
  <c r="AH267" i="1"/>
  <c r="AH271" i="3"/>
  <c r="AL267" i="1"/>
  <c r="AL271" i="3"/>
  <c r="AP267" i="1"/>
  <c r="AP271" i="3"/>
  <c r="AT267" i="1"/>
  <c r="AT271" i="3"/>
  <c r="AX267" i="1"/>
  <c r="AX271" i="3"/>
  <c r="BB267" i="1"/>
  <c r="BB271" i="3"/>
  <c r="BF267" i="1"/>
  <c r="BF271" i="3"/>
  <c r="BJ267" i="1"/>
  <c r="BJ271" i="3"/>
  <c r="AW269" i="1"/>
  <c r="AW167" i="1"/>
  <c r="AW273" i="3"/>
  <c r="E219" i="1"/>
  <c r="E168" i="1"/>
  <c r="I219" i="1"/>
  <c r="I168" i="1"/>
  <c r="N219" i="1"/>
  <c r="N168" i="1"/>
  <c r="R219" i="1"/>
  <c r="R168" i="1"/>
  <c r="V219" i="1"/>
  <c r="V168" i="1"/>
  <c r="Z219" i="1"/>
  <c r="Z168" i="1"/>
  <c r="AD219" i="1"/>
  <c r="AD168" i="1"/>
  <c r="AH219" i="1"/>
  <c r="AH168" i="1"/>
  <c r="AL219" i="1"/>
  <c r="AL168" i="1"/>
  <c r="AP219" i="1"/>
  <c r="AP168" i="1"/>
  <c r="AT219" i="1"/>
  <c r="AT168" i="1"/>
  <c r="AX219" i="1"/>
  <c r="AX168" i="1"/>
  <c r="BB219" i="1"/>
  <c r="BB168" i="1"/>
  <c r="BF219" i="1"/>
  <c r="BF168" i="1"/>
  <c r="BJ219" i="1"/>
  <c r="BJ168" i="1"/>
  <c r="E270" i="1"/>
  <c r="E274" i="3"/>
  <c r="I270" i="1"/>
  <c r="I274" i="3"/>
  <c r="N270" i="1"/>
  <c r="N274" i="3"/>
  <c r="R270" i="1"/>
  <c r="R274" i="3"/>
  <c r="V270" i="1"/>
  <c r="V274" i="3"/>
  <c r="Z270" i="1"/>
  <c r="Z274" i="3"/>
  <c r="AD270" i="1"/>
  <c r="AD274" i="3"/>
  <c r="AH270" i="1"/>
  <c r="AH274" i="3"/>
  <c r="AL270" i="1"/>
  <c r="AL274" i="3"/>
  <c r="AP270" i="1"/>
  <c r="AP274" i="3"/>
  <c r="AT270" i="1"/>
  <c r="AT274" i="3"/>
  <c r="AX270" i="1"/>
  <c r="AX274" i="3"/>
  <c r="BB270" i="1"/>
  <c r="BB274" i="3"/>
  <c r="BF270" i="1"/>
  <c r="BF274" i="3"/>
  <c r="BJ270" i="1"/>
  <c r="BJ274" i="3"/>
  <c r="C221" i="1"/>
  <c r="C170" i="1"/>
  <c r="G221" i="1"/>
  <c r="G170" i="1"/>
  <c r="K221" i="1"/>
  <c r="K170" i="1"/>
  <c r="P221" i="1"/>
  <c r="P170" i="1"/>
  <c r="T221" i="1"/>
  <c r="T170" i="1"/>
  <c r="X221" i="1"/>
  <c r="X170" i="1"/>
  <c r="AB221" i="1"/>
  <c r="AB170" i="1"/>
  <c r="AF221" i="1"/>
  <c r="AF170" i="1"/>
  <c r="AJ221" i="1"/>
  <c r="AJ170" i="1"/>
  <c r="AN221" i="1"/>
  <c r="AN170" i="1"/>
  <c r="AR221" i="1"/>
  <c r="AR170" i="1"/>
  <c r="AV221" i="1"/>
  <c r="AV170" i="1"/>
  <c r="AZ221" i="1"/>
  <c r="AZ170" i="1"/>
  <c r="BD221" i="1"/>
  <c r="BD170" i="1"/>
  <c r="BH221" i="1"/>
  <c r="BH170" i="1"/>
  <c r="AW272" i="1"/>
  <c r="AW276" i="3"/>
  <c r="C223" i="1"/>
  <c r="C172" i="1"/>
  <c r="G223" i="1"/>
  <c r="G172" i="1"/>
  <c r="K223" i="1"/>
  <c r="K172" i="1"/>
  <c r="P223" i="1"/>
  <c r="P172" i="1"/>
  <c r="T223" i="1"/>
  <c r="T172" i="1"/>
  <c r="X223" i="1"/>
  <c r="X172" i="1"/>
  <c r="AB223" i="1"/>
  <c r="AB172" i="1"/>
  <c r="AF223" i="1"/>
  <c r="AF172" i="1"/>
  <c r="AJ223" i="1"/>
  <c r="AJ172" i="1"/>
  <c r="AN223" i="1"/>
  <c r="AN172" i="1"/>
  <c r="AR223" i="1"/>
  <c r="AR172" i="1"/>
  <c r="AV223" i="1"/>
  <c r="AV172" i="1"/>
  <c r="AZ223" i="1"/>
  <c r="AZ172" i="1"/>
  <c r="BD223" i="1"/>
  <c r="BD172" i="1"/>
  <c r="BH223" i="1"/>
  <c r="BH172" i="1"/>
  <c r="AW274" i="1"/>
  <c r="AW278" i="3"/>
  <c r="E224" i="1"/>
  <c r="E173" i="1"/>
  <c r="I224" i="1"/>
  <c r="I173" i="1"/>
  <c r="M224" i="1"/>
  <c r="M173" i="1"/>
  <c r="R224" i="1"/>
  <c r="R173" i="1"/>
  <c r="V224" i="1"/>
  <c r="V173" i="1"/>
  <c r="Z224" i="1"/>
  <c r="Z173" i="1"/>
  <c r="AD224" i="1"/>
  <c r="AD173" i="1"/>
  <c r="AH224" i="1"/>
  <c r="AH173" i="1"/>
  <c r="AL224" i="1"/>
  <c r="AL173" i="1"/>
  <c r="AP224" i="1"/>
  <c r="AP173" i="1"/>
  <c r="AT224" i="1"/>
  <c r="AT173" i="1"/>
  <c r="AX224" i="1"/>
  <c r="AX173" i="1"/>
  <c r="BB224" i="1"/>
  <c r="BB173" i="1"/>
  <c r="BF224" i="1"/>
  <c r="BF173" i="1"/>
  <c r="BJ224" i="1"/>
  <c r="BJ173" i="1"/>
  <c r="C225" i="1"/>
  <c r="C174" i="1"/>
  <c r="G225" i="1"/>
  <c r="G174" i="1"/>
  <c r="K225" i="1"/>
  <c r="K174" i="1"/>
  <c r="O225" i="1"/>
  <c r="O174" i="1"/>
  <c r="T225" i="1"/>
  <c r="T174" i="1"/>
  <c r="X225" i="1"/>
  <c r="X174" i="1"/>
  <c r="AB225" i="1"/>
  <c r="AB174" i="1"/>
  <c r="AF225" i="1"/>
  <c r="AF174" i="1"/>
  <c r="AJ225" i="1"/>
  <c r="AJ174" i="1"/>
  <c r="AN225" i="1"/>
  <c r="AN174" i="1"/>
  <c r="AR225" i="1"/>
  <c r="AR174" i="1"/>
  <c r="AV225" i="1"/>
  <c r="AV174" i="1"/>
  <c r="AZ225" i="1"/>
  <c r="AZ174" i="1"/>
  <c r="BD225" i="1"/>
  <c r="BD174" i="1"/>
  <c r="BH225" i="1"/>
  <c r="BH174" i="1"/>
  <c r="AW276" i="1"/>
  <c r="AW280" i="3"/>
  <c r="AW278" i="1"/>
  <c r="AW176" i="1"/>
  <c r="AW282" i="3"/>
  <c r="C229" i="1"/>
  <c r="C178" i="1"/>
  <c r="G229" i="1"/>
  <c r="G178" i="1"/>
  <c r="K229" i="1"/>
  <c r="K178" i="1"/>
  <c r="O229" i="1"/>
  <c r="O178" i="1"/>
  <c r="S229" i="1"/>
  <c r="S178" i="1"/>
  <c r="X229" i="1"/>
  <c r="X178" i="1"/>
  <c r="AB229" i="1"/>
  <c r="AB178" i="1"/>
  <c r="AF229" i="1"/>
  <c r="AF178" i="1"/>
  <c r="AJ229" i="1"/>
  <c r="AJ178" i="1"/>
  <c r="AN229" i="1"/>
  <c r="AN178" i="1"/>
  <c r="AR229" i="1"/>
  <c r="AR178" i="1"/>
  <c r="AV229" i="1"/>
  <c r="AV178" i="1"/>
  <c r="AZ229" i="1"/>
  <c r="AZ178" i="1"/>
  <c r="BD229" i="1"/>
  <c r="BD178" i="1"/>
  <c r="BH229" i="1"/>
  <c r="BH178" i="1"/>
  <c r="C280" i="1"/>
  <c r="C284" i="3"/>
  <c r="G280" i="1"/>
  <c r="G284" i="3"/>
  <c r="K280" i="1"/>
  <c r="K284" i="3"/>
  <c r="O280" i="1"/>
  <c r="O284" i="3"/>
  <c r="S280" i="1"/>
  <c r="S284" i="3"/>
  <c r="X280" i="1"/>
  <c r="X284" i="3"/>
  <c r="AB280" i="1"/>
  <c r="AB284" i="3"/>
  <c r="AF280" i="1"/>
  <c r="AF284" i="3"/>
  <c r="AJ280" i="1"/>
  <c r="AJ284" i="3"/>
  <c r="AN280" i="1"/>
  <c r="AN284" i="3"/>
  <c r="AR280" i="1"/>
  <c r="AR284" i="3"/>
  <c r="AV280" i="1"/>
  <c r="AV284" i="3"/>
  <c r="AZ280" i="1"/>
  <c r="AZ284" i="3"/>
  <c r="BD280" i="1"/>
  <c r="BD284" i="3"/>
  <c r="BH280" i="1"/>
  <c r="BH284" i="3"/>
  <c r="C230" i="1"/>
  <c r="C179" i="1"/>
  <c r="G230" i="1"/>
  <c r="G179" i="1"/>
  <c r="K230" i="1"/>
  <c r="K179" i="1"/>
  <c r="O230" i="1"/>
  <c r="O179" i="1"/>
  <c r="S230" i="1"/>
  <c r="S179" i="1"/>
  <c r="X230" i="1"/>
  <c r="X179" i="1"/>
  <c r="AB230" i="1"/>
  <c r="AB179" i="1"/>
  <c r="AF230" i="1"/>
  <c r="AF179" i="1"/>
  <c r="AJ230" i="1"/>
  <c r="AJ179" i="1"/>
  <c r="AN230" i="1"/>
  <c r="AN179" i="1"/>
  <c r="AR230" i="1"/>
  <c r="AR179" i="1"/>
  <c r="AV230" i="1"/>
  <c r="AV179" i="1"/>
  <c r="AZ230" i="1"/>
  <c r="AZ179" i="1"/>
  <c r="BD230" i="1"/>
  <c r="BD179" i="1"/>
  <c r="BH230" i="1"/>
  <c r="BH179" i="1"/>
  <c r="C285" i="3"/>
  <c r="G285" i="3"/>
  <c r="K285" i="3"/>
  <c r="O285" i="3"/>
  <c r="S285" i="3"/>
  <c r="X281" i="1"/>
  <c r="X285" i="3"/>
  <c r="AB281" i="1"/>
  <c r="AB285" i="3"/>
  <c r="AF281" i="1"/>
  <c r="AF285" i="3"/>
  <c r="AJ281" i="1"/>
  <c r="AJ285" i="3"/>
  <c r="AN281" i="1"/>
  <c r="AN285" i="3"/>
  <c r="AR281" i="1"/>
  <c r="AR285" i="3"/>
  <c r="AV285" i="3"/>
  <c r="AZ281" i="1"/>
  <c r="AZ285" i="3"/>
  <c r="BD281" i="1"/>
  <c r="BD285" i="3"/>
  <c r="BH281" i="1"/>
  <c r="BH285" i="3"/>
  <c r="C231" i="1"/>
  <c r="C180" i="1"/>
  <c r="G231" i="1"/>
  <c r="G180" i="1"/>
  <c r="K231" i="1"/>
  <c r="K180" i="1"/>
  <c r="O231" i="1"/>
  <c r="O180" i="1"/>
  <c r="S231" i="1"/>
  <c r="S180" i="1"/>
  <c r="X231" i="1"/>
  <c r="X180" i="1"/>
  <c r="AB231" i="1"/>
  <c r="AB180" i="1"/>
  <c r="AF231" i="1"/>
  <c r="AF180" i="1"/>
  <c r="AJ231" i="1"/>
  <c r="AJ180" i="1"/>
  <c r="AN231" i="1"/>
  <c r="AN180" i="1"/>
  <c r="AR231" i="1"/>
  <c r="AR180" i="1"/>
  <c r="AV231" i="1"/>
  <c r="AV180" i="1"/>
  <c r="AZ231" i="1"/>
  <c r="AZ180" i="1"/>
  <c r="BD231" i="1"/>
  <c r="BD180" i="1"/>
  <c r="BH231" i="1"/>
  <c r="BH180" i="1"/>
  <c r="C282" i="1"/>
  <c r="C286" i="3"/>
  <c r="G282" i="1"/>
  <c r="G286" i="3"/>
  <c r="K282" i="1"/>
  <c r="K286" i="3"/>
  <c r="O282" i="1"/>
  <c r="O286" i="3"/>
  <c r="S282" i="1"/>
  <c r="S286" i="3"/>
  <c r="X282" i="1"/>
  <c r="X286" i="3"/>
  <c r="AB282" i="1"/>
  <c r="AB286" i="3"/>
  <c r="AF282" i="1"/>
  <c r="AF286" i="3"/>
  <c r="AJ282" i="1"/>
  <c r="AJ286" i="3"/>
  <c r="AN282" i="1"/>
  <c r="AN286" i="3"/>
  <c r="AR282" i="1"/>
  <c r="AR286" i="3"/>
  <c r="AV282" i="1"/>
  <c r="AV286" i="3"/>
  <c r="AZ282" i="1"/>
  <c r="AZ286" i="3"/>
  <c r="BD282" i="1"/>
  <c r="BD286" i="3"/>
  <c r="BH282" i="1"/>
  <c r="BH286" i="3"/>
  <c r="AW283" i="1"/>
  <c r="AW181" i="1"/>
  <c r="AW287" i="3"/>
  <c r="E233" i="1"/>
  <c r="E182" i="1"/>
  <c r="I233" i="1"/>
  <c r="I182" i="1"/>
  <c r="M233" i="1"/>
  <c r="M182" i="1"/>
  <c r="Q233" i="1"/>
  <c r="Q182" i="1"/>
  <c r="U233" i="1"/>
  <c r="U182" i="1"/>
  <c r="Z233" i="1"/>
  <c r="Z182" i="1"/>
  <c r="AD233" i="1"/>
  <c r="AD182" i="1"/>
  <c r="AH233" i="1"/>
  <c r="AH182" i="1"/>
  <c r="AL233" i="1"/>
  <c r="AL182" i="1"/>
  <c r="AP233" i="1"/>
  <c r="AP182" i="1"/>
  <c r="AT233" i="1"/>
  <c r="AT182" i="1"/>
  <c r="AX233" i="1"/>
  <c r="AX182" i="1"/>
  <c r="BB233" i="1"/>
  <c r="BB182" i="1"/>
  <c r="BF233" i="1"/>
  <c r="BF182" i="1"/>
  <c r="BJ233" i="1"/>
  <c r="BJ182" i="1"/>
  <c r="E284" i="1"/>
  <c r="E288" i="3"/>
  <c r="I284" i="1"/>
  <c r="I288" i="3"/>
  <c r="M284" i="1"/>
  <c r="M288" i="3"/>
  <c r="Q284" i="1"/>
  <c r="Q288" i="3"/>
  <c r="U284" i="1"/>
  <c r="U288" i="3"/>
  <c r="Z284" i="1"/>
  <c r="Z288" i="3"/>
  <c r="AD284" i="1"/>
  <c r="AD288" i="3"/>
  <c r="AH284" i="1"/>
  <c r="AH288" i="3"/>
  <c r="AL284" i="1"/>
  <c r="AL288" i="3"/>
  <c r="AP284" i="1"/>
  <c r="AP288" i="3"/>
  <c r="AT284" i="1"/>
  <c r="AT288" i="3"/>
  <c r="AX284" i="1"/>
  <c r="AX288" i="3"/>
  <c r="BB284" i="1"/>
  <c r="BB288" i="3"/>
  <c r="BF284" i="1"/>
  <c r="BF288" i="3"/>
  <c r="BJ284" i="1"/>
  <c r="BJ288" i="3"/>
  <c r="E234" i="1"/>
  <c r="E183" i="1"/>
  <c r="I234" i="1"/>
  <c r="I183" i="1"/>
  <c r="M234" i="1"/>
  <c r="M183" i="1"/>
  <c r="Q234" i="1"/>
  <c r="Q183" i="1"/>
  <c r="U234" i="1"/>
  <c r="U183" i="1"/>
  <c r="Z234" i="1"/>
  <c r="Z183" i="1"/>
  <c r="AD234" i="1"/>
  <c r="AD183" i="1"/>
  <c r="AH234" i="1"/>
  <c r="AH183" i="1"/>
  <c r="AL234" i="1"/>
  <c r="AL183" i="1"/>
  <c r="AP234" i="1"/>
  <c r="AP183" i="1"/>
  <c r="AT234" i="1"/>
  <c r="AT183" i="1"/>
  <c r="AX234" i="1"/>
  <c r="AX183" i="1"/>
  <c r="BB234" i="1"/>
  <c r="BB183" i="1"/>
  <c r="BF234" i="1"/>
  <c r="BF183" i="1"/>
  <c r="BJ234" i="1"/>
  <c r="BJ183" i="1"/>
  <c r="E285" i="1"/>
  <c r="E289" i="3"/>
  <c r="I285" i="1"/>
  <c r="I289" i="3"/>
  <c r="M285" i="1"/>
  <c r="M289" i="3"/>
  <c r="Q285" i="1"/>
  <c r="Q289" i="3"/>
  <c r="U285" i="1"/>
  <c r="U289" i="3"/>
  <c r="Z285" i="1"/>
  <c r="Z289" i="3"/>
  <c r="AD285" i="1"/>
  <c r="AD289" i="3"/>
  <c r="AH285" i="1"/>
  <c r="AH289" i="3"/>
  <c r="AL285" i="1"/>
  <c r="AL289" i="3"/>
  <c r="AP285" i="1"/>
  <c r="AP289" i="3"/>
  <c r="AT285" i="1"/>
  <c r="AT289" i="3"/>
  <c r="AX285" i="1"/>
  <c r="AX289" i="3"/>
  <c r="BB285" i="1"/>
  <c r="BB289" i="3"/>
  <c r="BF285" i="1"/>
  <c r="BF289" i="3"/>
  <c r="BJ285" i="1"/>
  <c r="BJ289" i="3"/>
  <c r="E235" i="1"/>
  <c r="E184" i="1"/>
  <c r="I235" i="1"/>
  <c r="I184" i="1"/>
  <c r="M235" i="1"/>
  <c r="M184" i="1"/>
  <c r="Q235" i="1"/>
  <c r="Q184" i="1"/>
  <c r="U235" i="1"/>
  <c r="U184" i="1"/>
  <c r="Y235" i="1"/>
  <c r="Y184" i="1"/>
  <c r="AD235" i="1"/>
  <c r="AD184" i="1"/>
  <c r="AH235" i="1"/>
  <c r="AH184" i="1"/>
  <c r="AL235" i="1"/>
  <c r="AL184" i="1"/>
  <c r="AP235" i="1"/>
  <c r="AP184" i="1"/>
  <c r="AT235" i="1"/>
  <c r="AT184" i="1"/>
  <c r="AX235" i="1"/>
  <c r="AX184" i="1"/>
  <c r="BB235" i="1"/>
  <c r="BB184" i="1"/>
  <c r="BF235" i="1"/>
  <c r="BF184" i="1"/>
  <c r="BJ235" i="1"/>
  <c r="BJ184" i="1"/>
  <c r="E286" i="1"/>
  <c r="E290" i="3"/>
  <c r="I286" i="1"/>
  <c r="I290" i="3"/>
  <c r="M286" i="1"/>
  <c r="M290" i="3"/>
  <c r="Q286" i="1"/>
  <c r="Q290" i="3"/>
  <c r="U286" i="1"/>
  <c r="U290" i="3"/>
  <c r="Y286" i="1"/>
  <c r="Y290" i="3"/>
  <c r="AD286" i="1"/>
  <c r="AD290" i="3"/>
  <c r="AH286" i="1"/>
  <c r="AH290" i="3"/>
  <c r="AL286" i="1"/>
  <c r="AL290" i="3"/>
  <c r="AP286" i="1"/>
  <c r="AP290" i="3"/>
  <c r="AT286" i="1"/>
  <c r="AT290" i="3"/>
  <c r="AX286" i="1"/>
  <c r="AX290" i="3"/>
  <c r="BB286" i="1"/>
  <c r="BB290" i="3"/>
  <c r="BF286" i="1"/>
  <c r="BF290" i="3"/>
  <c r="BJ286" i="1"/>
  <c r="BJ290" i="3"/>
  <c r="E236" i="1"/>
  <c r="E185" i="1"/>
  <c r="I236" i="1"/>
  <c r="I185" i="1"/>
  <c r="M236" i="1"/>
  <c r="M185" i="1"/>
  <c r="Q236" i="1"/>
  <c r="Q185" i="1"/>
  <c r="U236" i="1"/>
  <c r="U185" i="1"/>
  <c r="Y236" i="1"/>
  <c r="Y185" i="1"/>
  <c r="AD236" i="1"/>
  <c r="AD185" i="1"/>
  <c r="AH236" i="1"/>
  <c r="AH185" i="1"/>
  <c r="AL236" i="1"/>
  <c r="AL185" i="1"/>
  <c r="AP236" i="1"/>
  <c r="AP185" i="1"/>
  <c r="AT236" i="1"/>
  <c r="AT185" i="1"/>
  <c r="AY236" i="1"/>
  <c r="AY185" i="1"/>
  <c r="BC236" i="1"/>
  <c r="BC185" i="1"/>
  <c r="BG236" i="1"/>
  <c r="BG185" i="1"/>
  <c r="B287" i="1"/>
  <c r="B291" i="3"/>
  <c r="F287" i="1"/>
  <c r="F291" i="3"/>
  <c r="J287" i="1"/>
  <c r="J291" i="3"/>
  <c r="N287" i="1"/>
  <c r="N291" i="3"/>
  <c r="R287" i="1"/>
  <c r="R291" i="3"/>
  <c r="V287" i="1"/>
  <c r="V291" i="3"/>
  <c r="Z287" i="1"/>
  <c r="Z291" i="3"/>
  <c r="AE287" i="1"/>
  <c r="AE291" i="3"/>
  <c r="AI287" i="1"/>
  <c r="AI291" i="3"/>
  <c r="AM287" i="1"/>
  <c r="AM291" i="3"/>
  <c r="AQ287" i="1"/>
  <c r="AQ291" i="3"/>
  <c r="AU291" i="3"/>
  <c r="AY287" i="1"/>
  <c r="AY291" i="3"/>
  <c r="BC287" i="1"/>
  <c r="BC291" i="3"/>
  <c r="BG287" i="1"/>
  <c r="BG291" i="3"/>
  <c r="B237" i="1"/>
  <c r="B186" i="1"/>
  <c r="F237" i="1"/>
  <c r="F186" i="1"/>
  <c r="J237" i="1"/>
  <c r="J186" i="1"/>
  <c r="N237" i="1"/>
  <c r="N186" i="1"/>
  <c r="R237" i="1"/>
  <c r="R186" i="1"/>
  <c r="V237" i="1"/>
  <c r="V186" i="1"/>
  <c r="Z237" i="1"/>
  <c r="Z186" i="1"/>
  <c r="AE237" i="1"/>
  <c r="AE186" i="1"/>
  <c r="AI237" i="1"/>
  <c r="AI186" i="1"/>
  <c r="AM237" i="1"/>
  <c r="AM186" i="1"/>
  <c r="AQ237" i="1"/>
  <c r="AQ186" i="1"/>
  <c r="AU237" i="1"/>
  <c r="AU186" i="1"/>
  <c r="AY237" i="1"/>
  <c r="AY186" i="1"/>
  <c r="BC237" i="1"/>
  <c r="BC186" i="1"/>
  <c r="BG237" i="1"/>
  <c r="BG186" i="1"/>
  <c r="B288" i="1"/>
  <c r="B292" i="3"/>
  <c r="F288" i="1"/>
  <c r="F292" i="3"/>
  <c r="J288" i="1"/>
  <c r="J292" i="3"/>
  <c r="N288" i="1"/>
  <c r="N292" i="3"/>
  <c r="R288" i="1"/>
  <c r="R292" i="3"/>
  <c r="V288" i="1"/>
  <c r="V292" i="3"/>
  <c r="Z288" i="1"/>
  <c r="Z292" i="3"/>
  <c r="AE288" i="1"/>
  <c r="AE292" i="3"/>
  <c r="AI288" i="1"/>
  <c r="AI292" i="3"/>
  <c r="AM288" i="1"/>
  <c r="AM292" i="3"/>
  <c r="AQ288" i="1"/>
  <c r="AQ292" i="3"/>
  <c r="AU288" i="1"/>
  <c r="AU292" i="3"/>
  <c r="AY288" i="1"/>
  <c r="AY292" i="3"/>
  <c r="BC288" i="1"/>
  <c r="BC292" i="3"/>
  <c r="BG288" i="1"/>
  <c r="BG292" i="3"/>
  <c r="AV289" i="1"/>
  <c r="AV187" i="1"/>
  <c r="AV293" i="3"/>
  <c r="B240" i="1"/>
  <c r="B189" i="1"/>
  <c r="F240" i="1"/>
  <c r="F189" i="1"/>
  <c r="J240" i="1"/>
  <c r="J189" i="1"/>
  <c r="N240" i="1"/>
  <c r="N189" i="1"/>
  <c r="R240" i="1"/>
  <c r="R189" i="1"/>
  <c r="V240" i="1"/>
  <c r="V189" i="1"/>
  <c r="Z240" i="1"/>
  <c r="Z189" i="1"/>
  <c r="AD240" i="1"/>
  <c r="AD189" i="1"/>
  <c r="AI240" i="1"/>
  <c r="AI189" i="1"/>
  <c r="AM240" i="1"/>
  <c r="AM189" i="1"/>
  <c r="AQ240" i="1"/>
  <c r="AQ189" i="1"/>
  <c r="AU240" i="1"/>
  <c r="AU189" i="1"/>
  <c r="AY240" i="1"/>
  <c r="AY189" i="1"/>
  <c r="BC240" i="1"/>
  <c r="BC189" i="1"/>
  <c r="BG240" i="1"/>
  <c r="BG189" i="1"/>
  <c r="B295" i="3"/>
  <c r="F291" i="1"/>
  <c r="F295" i="3"/>
  <c r="J295" i="3"/>
  <c r="N295" i="3"/>
  <c r="R295" i="3"/>
  <c r="V291" i="1"/>
  <c r="V295" i="3"/>
  <c r="Z291" i="1"/>
  <c r="Z295" i="3"/>
  <c r="AD291" i="1"/>
  <c r="AD295" i="3"/>
  <c r="AI291" i="1"/>
  <c r="AI295" i="3"/>
  <c r="AM291" i="1"/>
  <c r="AM295" i="3"/>
  <c r="AQ291" i="1"/>
  <c r="AQ295" i="3"/>
  <c r="AU291" i="1"/>
  <c r="AU295" i="3"/>
  <c r="AY291" i="1"/>
  <c r="AY295" i="3"/>
  <c r="BC291" i="1"/>
  <c r="BC295" i="3"/>
  <c r="BG291" i="1"/>
  <c r="BG295" i="3"/>
  <c r="B241" i="1"/>
  <c r="B190" i="1"/>
  <c r="F241" i="1"/>
  <c r="F190" i="1"/>
  <c r="J241" i="1"/>
  <c r="J190" i="1"/>
  <c r="N241" i="1"/>
  <c r="N190" i="1"/>
  <c r="R241" i="1"/>
  <c r="R190" i="1"/>
  <c r="V241" i="1"/>
  <c r="V190" i="1"/>
  <c r="Z241" i="1"/>
  <c r="Z190" i="1"/>
  <c r="AD241" i="1"/>
  <c r="AD190" i="1"/>
  <c r="AI241" i="1"/>
  <c r="AI190" i="1"/>
  <c r="AM241" i="1"/>
  <c r="AM190" i="1"/>
  <c r="AQ241" i="1"/>
  <c r="AQ190" i="1"/>
  <c r="AU241" i="1"/>
  <c r="AU190" i="1"/>
  <c r="AY241" i="1"/>
  <c r="AY190" i="1"/>
  <c r="BC241" i="1"/>
  <c r="BC190" i="1"/>
  <c r="BG241" i="1"/>
  <c r="BG190" i="1"/>
  <c r="B292" i="1"/>
  <c r="B296" i="3"/>
  <c r="F292" i="1"/>
  <c r="F296" i="3"/>
  <c r="J292" i="1"/>
  <c r="J296" i="3"/>
  <c r="N292" i="1"/>
  <c r="N296" i="3"/>
  <c r="R292" i="1"/>
  <c r="R296" i="3"/>
  <c r="V292" i="1"/>
  <c r="V296" i="3"/>
  <c r="Z292" i="1"/>
  <c r="Z296" i="3"/>
  <c r="AD292" i="1"/>
  <c r="AD296" i="3"/>
  <c r="AI292" i="1"/>
  <c r="AI296" i="3"/>
  <c r="AM292" i="1"/>
  <c r="AM296" i="3"/>
  <c r="AQ292" i="1"/>
  <c r="AQ296" i="3"/>
  <c r="AU292" i="1"/>
  <c r="AU296" i="3"/>
  <c r="AY292" i="1"/>
  <c r="AY296" i="3"/>
  <c r="BC292" i="1"/>
  <c r="BC296" i="3"/>
  <c r="BG292" i="1"/>
  <c r="BG296" i="3"/>
  <c r="B242" i="1"/>
  <c r="B191" i="1"/>
  <c r="F242" i="1"/>
  <c r="F191" i="1"/>
  <c r="J242" i="1"/>
  <c r="J191" i="1"/>
  <c r="N242" i="1"/>
  <c r="N191" i="1"/>
  <c r="R242" i="1"/>
  <c r="R191" i="1"/>
  <c r="V242" i="1"/>
  <c r="V191" i="1"/>
  <c r="Z242" i="1"/>
  <c r="Z191" i="1"/>
  <c r="AD242" i="1"/>
  <c r="AD191" i="1"/>
  <c r="AI242" i="1"/>
  <c r="AI191" i="1"/>
  <c r="AM242" i="1"/>
  <c r="AM191" i="1"/>
  <c r="AQ242" i="1"/>
  <c r="AQ191" i="1"/>
  <c r="AU242" i="1"/>
  <c r="AU191" i="1"/>
  <c r="AY242" i="1"/>
  <c r="AY191" i="1"/>
  <c r="BC242" i="1"/>
  <c r="BC191" i="1"/>
  <c r="BG242" i="1"/>
  <c r="BG191" i="1"/>
  <c r="B293" i="1"/>
  <c r="B297" i="3"/>
  <c r="F293" i="1"/>
  <c r="F297" i="3"/>
  <c r="J293" i="1"/>
  <c r="J297" i="3"/>
  <c r="N293" i="1"/>
  <c r="N297" i="3"/>
  <c r="R293" i="1"/>
  <c r="R297" i="3"/>
  <c r="V293" i="1"/>
  <c r="V297" i="3"/>
  <c r="Z293" i="1"/>
  <c r="Z297" i="3"/>
  <c r="AD293" i="1"/>
  <c r="AD297" i="3"/>
  <c r="AI293" i="1"/>
  <c r="AI297" i="3"/>
  <c r="AM293" i="1"/>
  <c r="AM297" i="3"/>
  <c r="AQ293" i="1"/>
  <c r="AQ297" i="3"/>
  <c r="AU293" i="1"/>
  <c r="AU297" i="3"/>
  <c r="AY293" i="1"/>
  <c r="AY297" i="3"/>
  <c r="BC293" i="1"/>
  <c r="BC297" i="3"/>
  <c r="BG293" i="1"/>
  <c r="BG297" i="3"/>
  <c r="B243" i="1"/>
  <c r="B192" i="1"/>
  <c r="F243" i="1"/>
  <c r="F192" i="1"/>
  <c r="J243" i="1"/>
  <c r="J192" i="1"/>
  <c r="N243" i="1"/>
  <c r="N192" i="1"/>
  <c r="R243" i="1"/>
  <c r="R192" i="1"/>
  <c r="V243" i="1"/>
  <c r="V192" i="1"/>
  <c r="Z243" i="1"/>
  <c r="Z192" i="1"/>
  <c r="AD243" i="1"/>
  <c r="AD192" i="1"/>
  <c r="AI243" i="1"/>
  <c r="AI192" i="1"/>
  <c r="AM243" i="1"/>
  <c r="AM192" i="1"/>
  <c r="AQ243" i="1"/>
  <c r="AQ192" i="1"/>
  <c r="AU243" i="1"/>
  <c r="AU192" i="1"/>
  <c r="AY243" i="1"/>
  <c r="AY192" i="1"/>
  <c r="BC243" i="1"/>
  <c r="BC192" i="1"/>
  <c r="BG243" i="1"/>
  <c r="BG192" i="1"/>
  <c r="B294" i="1"/>
  <c r="B298" i="3"/>
  <c r="F294" i="1"/>
  <c r="F298" i="3"/>
  <c r="J294" i="1"/>
  <c r="J298" i="3"/>
  <c r="N294" i="1"/>
  <c r="N298" i="3"/>
  <c r="R294" i="1"/>
  <c r="R298" i="3"/>
  <c r="V294" i="1"/>
  <c r="V298" i="3"/>
  <c r="Z294" i="1"/>
  <c r="Z298" i="3"/>
  <c r="AD294" i="1"/>
  <c r="AD298" i="3"/>
  <c r="AI294" i="1"/>
  <c r="AI298" i="3"/>
  <c r="AM294" i="1"/>
  <c r="AM298" i="3"/>
  <c r="AQ294" i="1"/>
  <c r="AQ298" i="3"/>
  <c r="AU294" i="1"/>
  <c r="AU298" i="3"/>
  <c r="AY294" i="1"/>
  <c r="AY298" i="3"/>
  <c r="BC294" i="1"/>
  <c r="BC298" i="3"/>
  <c r="BG294" i="1"/>
  <c r="BG298" i="3"/>
  <c r="AV295" i="1"/>
  <c r="AV193" i="1"/>
  <c r="AV299" i="3"/>
  <c r="D245" i="1"/>
  <c r="D194" i="1"/>
  <c r="H245" i="1"/>
  <c r="H194" i="1"/>
  <c r="L245" i="1"/>
  <c r="L194" i="1"/>
  <c r="P245" i="1"/>
  <c r="P194" i="1"/>
  <c r="T245" i="1"/>
  <c r="T194" i="1"/>
  <c r="X245" i="1"/>
  <c r="X194" i="1"/>
  <c r="AB245" i="1"/>
  <c r="AB194" i="1"/>
  <c r="AF245" i="1"/>
  <c r="AF194" i="1"/>
  <c r="AK245" i="1"/>
  <c r="AK194" i="1"/>
  <c r="AO245" i="1"/>
  <c r="AO194" i="1"/>
  <c r="AS245" i="1"/>
  <c r="AS194" i="1"/>
  <c r="AW245" i="1"/>
  <c r="AW194" i="1"/>
  <c r="BA245" i="1"/>
  <c r="BA194" i="1"/>
  <c r="BE245" i="1"/>
  <c r="BE194" i="1"/>
  <c r="BI245" i="1"/>
  <c r="BI194" i="1"/>
  <c r="D296" i="1"/>
  <c r="D300" i="3"/>
  <c r="H296" i="1"/>
  <c r="H300" i="3"/>
  <c r="L296" i="1"/>
  <c r="L300" i="3"/>
  <c r="P296" i="1"/>
  <c r="P300" i="3"/>
  <c r="T296" i="1"/>
  <c r="T300" i="3"/>
  <c r="X296" i="1"/>
  <c r="X300" i="3"/>
  <c r="AB296" i="1"/>
  <c r="AB300" i="3"/>
  <c r="AF296" i="1"/>
  <c r="AF300" i="3"/>
  <c r="AK296" i="1"/>
  <c r="AK300" i="3"/>
  <c r="AO296" i="1"/>
  <c r="AO300" i="3"/>
  <c r="AS296" i="1"/>
  <c r="AS300" i="3"/>
  <c r="AW296" i="1"/>
  <c r="AW300" i="3"/>
  <c r="BA296" i="1"/>
  <c r="BA300" i="3"/>
  <c r="BE296" i="1"/>
  <c r="BE300" i="3"/>
  <c r="BI296" i="1"/>
  <c r="BI300" i="3"/>
  <c r="AV298" i="1"/>
  <c r="AV196" i="1"/>
  <c r="AV302" i="3"/>
  <c r="B249" i="1"/>
  <c r="B198" i="1"/>
  <c r="F249" i="1"/>
  <c r="F198" i="1"/>
  <c r="J249" i="1"/>
  <c r="J198" i="1"/>
  <c r="N249" i="1"/>
  <c r="N198" i="1"/>
  <c r="R249" i="1"/>
  <c r="R198" i="1"/>
  <c r="V249" i="1"/>
  <c r="V198" i="1"/>
  <c r="Z249" i="1"/>
  <c r="Z198" i="1"/>
  <c r="AD249" i="1"/>
  <c r="AD198" i="1"/>
  <c r="AH249" i="1"/>
  <c r="AH198" i="1"/>
  <c r="AL249" i="1"/>
  <c r="AL198" i="1"/>
  <c r="AQ249" i="1"/>
  <c r="AQ198" i="1"/>
  <c r="AU249" i="1"/>
  <c r="AU198" i="1"/>
  <c r="AY249" i="1"/>
  <c r="AY198" i="1"/>
  <c r="BC249" i="1"/>
  <c r="BC198" i="1"/>
  <c r="BG249" i="1"/>
  <c r="BG198" i="1"/>
  <c r="B300" i="1"/>
  <c r="B304" i="3"/>
  <c r="F300" i="1"/>
  <c r="F304" i="3"/>
  <c r="J300" i="1"/>
  <c r="J304" i="3"/>
  <c r="N300" i="1"/>
  <c r="N304" i="3"/>
  <c r="R300" i="1"/>
  <c r="R304" i="3"/>
  <c r="V300" i="1"/>
  <c r="V304" i="3"/>
  <c r="Z300" i="1"/>
  <c r="Z304" i="3"/>
  <c r="AD300" i="1"/>
  <c r="AD304" i="3"/>
  <c r="AH300" i="1"/>
  <c r="AH304" i="3"/>
  <c r="AL300" i="1"/>
  <c r="AL304" i="3"/>
  <c r="AQ300" i="1"/>
  <c r="AQ304" i="3"/>
  <c r="AU300" i="1"/>
  <c r="AU304" i="3"/>
  <c r="AY300" i="1"/>
  <c r="AY304" i="3"/>
  <c r="BC300" i="1"/>
  <c r="BC304" i="3"/>
  <c r="BG300" i="1"/>
  <c r="BG304" i="3"/>
  <c r="AV301" i="1"/>
  <c r="AV199" i="1"/>
  <c r="AV305" i="3"/>
  <c r="AW302" i="1"/>
  <c r="AW200" i="1"/>
  <c r="AW306" i="3"/>
  <c r="AW304" i="1"/>
  <c r="AW202" i="1"/>
  <c r="AW308" i="3"/>
  <c r="E254" i="1"/>
  <c r="E203" i="1"/>
  <c r="I254" i="1"/>
  <c r="I203" i="1"/>
  <c r="M254" i="1"/>
  <c r="M203" i="1"/>
  <c r="Q254" i="1"/>
  <c r="Q203" i="1"/>
  <c r="U254" i="1"/>
  <c r="U203" i="1"/>
  <c r="Y254" i="1"/>
  <c r="Y203" i="1"/>
  <c r="AC254" i="1"/>
  <c r="AC203" i="1"/>
  <c r="AG254" i="1"/>
  <c r="AG203" i="1"/>
  <c r="AK254" i="1"/>
  <c r="AK203" i="1"/>
  <c r="AO254" i="1"/>
  <c r="AO203" i="1"/>
  <c r="AT254" i="1"/>
  <c r="AT203" i="1"/>
  <c r="AX254" i="1"/>
  <c r="AX203" i="1"/>
  <c r="BB254" i="1"/>
  <c r="BB203" i="1"/>
  <c r="BF254" i="1"/>
  <c r="BF203" i="1"/>
  <c r="BJ254" i="1"/>
  <c r="BJ203" i="1"/>
  <c r="C255" i="1"/>
  <c r="C204" i="1"/>
  <c r="G255" i="1"/>
  <c r="G204" i="1"/>
  <c r="K255" i="1"/>
  <c r="K204" i="1"/>
  <c r="O255" i="1"/>
  <c r="O204" i="1"/>
  <c r="S255" i="1"/>
  <c r="S204" i="1"/>
  <c r="W255" i="1"/>
  <c r="W204" i="1"/>
  <c r="AA255" i="1"/>
  <c r="AA204" i="1"/>
  <c r="AE255" i="1"/>
  <c r="AE204" i="1"/>
  <c r="AI255" i="1"/>
  <c r="AI204" i="1"/>
  <c r="AM255" i="1"/>
  <c r="AM204" i="1"/>
  <c r="AQ255" i="1"/>
  <c r="AQ204" i="1"/>
  <c r="AV255" i="1"/>
  <c r="AV204" i="1"/>
  <c r="AZ255" i="1"/>
  <c r="AZ204" i="1"/>
  <c r="BD255" i="1"/>
  <c r="BD204" i="1"/>
  <c r="BH255" i="1"/>
  <c r="BH204" i="1"/>
  <c r="AW306" i="1"/>
  <c r="AW310" i="3"/>
  <c r="AF248" i="3"/>
  <c r="G214" i="3"/>
  <c r="O214" i="3"/>
  <c r="G310" i="3"/>
  <c r="G309" i="3"/>
  <c r="G308" i="3"/>
  <c r="G307" i="3"/>
  <c r="G306" i="3"/>
  <c r="G305" i="3"/>
  <c r="G303" i="3"/>
  <c r="G302" i="3"/>
  <c r="G301" i="3"/>
  <c r="G299" i="3"/>
  <c r="G294" i="3"/>
  <c r="G293" i="3"/>
  <c r="G287" i="3"/>
  <c r="G283" i="3"/>
  <c r="G282" i="3"/>
  <c r="G281" i="3"/>
  <c r="G280" i="3"/>
  <c r="G279" i="3"/>
  <c r="AA310" i="3"/>
  <c r="AA309" i="3"/>
  <c r="AA308" i="3"/>
  <c r="AA307" i="3"/>
  <c r="AA306" i="3"/>
  <c r="AA305" i="3"/>
  <c r="AA303" i="3"/>
  <c r="AA302" i="3"/>
  <c r="AA301" i="3"/>
  <c r="AA299" i="3"/>
  <c r="AA280" i="3"/>
  <c r="AA279" i="3"/>
  <c r="AA278" i="3"/>
  <c r="AA277" i="3"/>
  <c r="AA276" i="3"/>
  <c r="AA275" i="3"/>
  <c r="AA273" i="3"/>
  <c r="AA272" i="3"/>
  <c r="AA269" i="3"/>
  <c r="AE310" i="3"/>
  <c r="AE309" i="3"/>
  <c r="AE308" i="3"/>
  <c r="AE307" i="3"/>
  <c r="AE306" i="3"/>
  <c r="AE305" i="3"/>
  <c r="AE303" i="3"/>
  <c r="AE267" i="3"/>
  <c r="AE266" i="3"/>
  <c r="AE299" i="3"/>
  <c r="AE280" i="3"/>
  <c r="AE279" i="3"/>
  <c r="AE278" i="3"/>
  <c r="AE277" i="3"/>
  <c r="AE276" i="3"/>
  <c r="AE275" i="3"/>
  <c r="AE273" i="3"/>
  <c r="AE272" i="3"/>
  <c r="AE269" i="3"/>
  <c r="AE302" i="3"/>
  <c r="AE301" i="3"/>
  <c r="AU310" i="3"/>
  <c r="AU309" i="3"/>
  <c r="AU308" i="3"/>
  <c r="AU307" i="3"/>
  <c r="AU306" i="3"/>
  <c r="AU305" i="3"/>
  <c r="AU299" i="3"/>
  <c r="AU294" i="3"/>
  <c r="AU293" i="3"/>
  <c r="AU287" i="3"/>
  <c r="AU283" i="3"/>
  <c r="AU282" i="3"/>
  <c r="AU281" i="3"/>
  <c r="AU280" i="3"/>
  <c r="AU279" i="3"/>
  <c r="AU278" i="3"/>
  <c r="AU277" i="3"/>
  <c r="AU276" i="3"/>
  <c r="AU275" i="3"/>
  <c r="AU273" i="3"/>
  <c r="AU272" i="3"/>
  <c r="AU269" i="3"/>
  <c r="F266" i="3"/>
  <c r="J266" i="3"/>
  <c r="D267" i="3"/>
  <c r="G272" i="3"/>
  <c r="G273" i="3"/>
  <c r="G275" i="3"/>
  <c r="G276" i="3"/>
  <c r="G277" i="3"/>
  <c r="G278" i="3"/>
  <c r="V281" i="3"/>
  <c r="Z281" i="3"/>
  <c r="AA282" i="3"/>
  <c r="AE282" i="3"/>
  <c r="BF282" i="3"/>
  <c r="T283" i="3"/>
  <c r="X283" i="3"/>
  <c r="AB283" i="3"/>
  <c r="AF283" i="3"/>
  <c r="X287" i="3"/>
  <c r="AB287" i="3"/>
  <c r="AF287" i="3"/>
  <c r="V293" i="3"/>
  <c r="Z293" i="3"/>
  <c r="AE293" i="3"/>
  <c r="BF293" i="3"/>
  <c r="AA294" i="3"/>
  <c r="AF294" i="3"/>
  <c r="AH299" i="3"/>
  <c r="BD301" i="3"/>
  <c r="AJ302" i="3"/>
  <c r="AN303" i="3"/>
  <c r="AU303" i="3"/>
  <c r="AY258" i="3"/>
  <c r="AY257" i="3"/>
  <c r="AY252" i="3"/>
  <c r="AY248" i="3"/>
  <c r="U245" i="3"/>
  <c r="BH237" i="3"/>
  <c r="V266" i="3"/>
  <c r="BD266" i="3"/>
  <c r="AG267" i="3"/>
  <c r="J268" i="3"/>
  <c r="Z268" i="3"/>
  <c r="AP268" i="3"/>
  <c r="BF268" i="3"/>
  <c r="FM145" i="4"/>
  <c r="AN302" i="1" s="1"/>
  <c r="FI145" i="4"/>
  <c r="AJ302" i="1" s="1"/>
  <c r="FE145" i="4"/>
  <c r="AF302" i="1" s="1"/>
  <c r="FA145" i="4"/>
  <c r="AB302" i="1" s="1"/>
  <c r="EW145" i="4"/>
  <c r="X302" i="1" s="1"/>
  <c r="ES145" i="4"/>
  <c r="T302" i="1" s="1"/>
  <c r="EC145" i="4"/>
  <c r="D302" i="1" s="1"/>
  <c r="FF142" i="4"/>
  <c r="AG299" i="1" s="1"/>
  <c r="EX142" i="4"/>
  <c r="Y299" i="1" s="1"/>
  <c r="ET142" i="4"/>
  <c r="U299" i="1" s="1"/>
  <c r="FF141" i="4"/>
  <c r="AG298" i="1" s="1"/>
  <c r="EX141" i="4"/>
  <c r="Y298" i="1" s="1"/>
  <c r="ET141" i="4"/>
  <c r="U298" i="1" s="1"/>
  <c r="ER135" i="4"/>
  <c r="S292" i="1" s="1"/>
  <c r="EN135" i="4"/>
  <c r="O292" i="1" s="1"/>
  <c r="EJ135" i="4"/>
  <c r="K292" i="1" s="1"/>
  <c r="EF135" i="4"/>
  <c r="G292" i="1" s="1"/>
  <c r="EB135" i="4"/>
  <c r="C292" i="1" s="1"/>
  <c r="EQ134" i="4"/>
  <c r="R291" i="1" s="1"/>
  <c r="EM134" i="4"/>
  <c r="N291" i="1" s="1"/>
  <c r="EI134" i="4"/>
  <c r="J291" i="1" s="1"/>
  <c r="EE134" i="4"/>
  <c r="EA134" i="4"/>
  <c r="B291" i="1" s="1"/>
  <c r="FT130" i="4"/>
  <c r="AU287" i="1" s="1"/>
  <c r="EO128" i="4"/>
  <c r="P285" i="1" s="1"/>
  <c r="EK128" i="4"/>
  <c r="L285" i="1" s="1"/>
  <c r="EG128" i="4"/>
  <c r="H285" i="1" s="1"/>
  <c r="EC128" i="4"/>
  <c r="D285" i="1" s="1"/>
  <c r="FU127" i="4"/>
  <c r="AV284" i="1" s="1"/>
  <c r="FV125" i="4"/>
  <c r="AW282" i="1" s="1"/>
  <c r="ES125" i="4"/>
  <c r="T282" i="1" s="1"/>
  <c r="EO125" i="4"/>
  <c r="P282" i="1" s="1"/>
  <c r="EK125" i="4"/>
  <c r="L282" i="1" s="1"/>
  <c r="EG125" i="4"/>
  <c r="H282" i="1" s="1"/>
  <c r="EC125" i="4"/>
  <c r="D282" i="1" s="1"/>
  <c r="FU124" i="4"/>
  <c r="AV281" i="1" s="1"/>
  <c r="ER124" i="4"/>
  <c r="S281" i="1" s="1"/>
  <c r="EN124" i="4"/>
  <c r="O281" i="1" s="1"/>
  <c r="EJ124" i="4"/>
  <c r="K281" i="1" s="1"/>
  <c r="EF124" i="4"/>
  <c r="G281" i="1" s="1"/>
  <c r="EB124" i="4"/>
  <c r="C281" i="1" s="1"/>
  <c r="FW123" i="4"/>
  <c r="AX280" i="1" s="1"/>
  <c r="FV113" i="4"/>
  <c r="AW270" i="1" s="1"/>
  <c r="EG113" i="4"/>
  <c r="H270" i="1" s="1"/>
  <c r="EC113" i="4"/>
  <c r="D270" i="1" s="1"/>
  <c r="FU110" i="4"/>
  <c r="AV267" i="1" s="1"/>
  <c r="FU109" i="4"/>
  <c r="AV266" i="1" s="1"/>
  <c r="EB109" i="4"/>
  <c r="C266" i="1" s="1"/>
  <c r="FD145" i="4"/>
  <c r="AE302" i="1" s="1"/>
  <c r="EZ145" i="4"/>
  <c r="AA302" i="1" s="1"/>
  <c r="EF145" i="4"/>
  <c r="G302" i="1" s="1"/>
  <c r="FD144" i="4"/>
  <c r="AE301" i="1" s="1"/>
  <c r="EZ144" i="4"/>
  <c r="AA301" i="1" s="1"/>
  <c r="EF144" i="4"/>
  <c r="G301" i="1" s="1"/>
  <c r="FJ143" i="4"/>
  <c r="AK300" i="1" s="1"/>
  <c r="FF143" i="4"/>
  <c r="AG300" i="1" s="1"/>
  <c r="FB143" i="4"/>
  <c r="AC300" i="1" s="1"/>
  <c r="EX143" i="4"/>
  <c r="Y300" i="1" s="1"/>
  <c r="ET143" i="4"/>
  <c r="U300" i="1" s="1"/>
  <c r="EP143" i="4"/>
  <c r="Q300" i="1" s="1"/>
  <c r="EL143" i="4"/>
  <c r="M300" i="1" s="1"/>
  <c r="EH143" i="4"/>
  <c r="I300" i="1" s="1"/>
  <c r="ED143" i="4"/>
  <c r="E300" i="1" s="1"/>
  <c r="FI140" i="4"/>
  <c r="AJ297" i="1" s="1"/>
  <c r="FE140" i="4"/>
  <c r="AF297" i="1" s="1"/>
  <c r="FA140" i="4"/>
  <c r="AB297" i="1" s="1"/>
  <c r="EW140" i="4"/>
  <c r="X297" i="1" s="1"/>
  <c r="ES140" i="4"/>
  <c r="T297" i="1" s="1"/>
  <c r="EC140" i="4"/>
  <c r="D297" i="1" s="1"/>
  <c r="EX133" i="4"/>
  <c r="Y290" i="1" s="1"/>
  <c r="EQ124" i="4"/>
  <c r="R281" i="1" s="1"/>
  <c r="EM124" i="4"/>
  <c r="N281" i="1" s="1"/>
  <c r="EI124" i="4"/>
  <c r="J281" i="1" s="1"/>
  <c r="EE124" i="4"/>
  <c r="F281" i="1" s="1"/>
  <c r="EA124" i="4"/>
  <c r="B281" i="1" s="1"/>
  <c r="EI121" i="4"/>
  <c r="J278" i="1" s="1"/>
  <c r="EE121" i="4"/>
  <c r="F278" i="1" s="1"/>
  <c r="FM149" i="4"/>
  <c r="AN306" i="1" s="1"/>
  <c r="FI149" i="4"/>
  <c r="AJ306" i="1" s="1"/>
  <c r="FE149" i="4"/>
  <c r="AF306" i="1" s="1"/>
  <c r="FA149" i="4"/>
  <c r="AB306" i="1" s="1"/>
  <c r="EW149" i="4"/>
  <c r="X306" i="1" s="1"/>
  <c r="ES149" i="4"/>
  <c r="T306" i="1" s="1"/>
  <c r="EC149" i="4"/>
  <c r="D306" i="1" s="1"/>
  <c r="FF148" i="4"/>
  <c r="AG305" i="1" s="1"/>
  <c r="EX148" i="4"/>
  <c r="Y305" i="1" s="1"/>
  <c r="ET148" i="4"/>
  <c r="U305" i="1" s="1"/>
  <c r="FD147" i="4"/>
  <c r="AE304" i="1" s="1"/>
  <c r="EZ147" i="4"/>
  <c r="AA304" i="1" s="1"/>
  <c r="EF147" i="4"/>
  <c r="G304" i="1" s="1"/>
  <c r="FV143" i="4"/>
  <c r="AW300" i="1" s="1"/>
  <c r="FD142" i="4"/>
  <c r="AE299" i="1" s="1"/>
  <c r="EZ142" i="4"/>
  <c r="AA299" i="1" s="1"/>
  <c r="EF142" i="4"/>
  <c r="G299" i="1" s="1"/>
  <c r="EX132" i="4"/>
  <c r="Y289" i="1" s="1"/>
  <c r="EU128" i="4"/>
  <c r="V285" i="1" s="1"/>
  <c r="EC119" i="4"/>
  <c r="D276" i="1" s="1"/>
  <c r="EE112" i="4"/>
  <c r="F269" i="1" s="1"/>
  <c r="EC111" i="4"/>
  <c r="D268" i="1" s="1"/>
  <c r="EC121" i="4"/>
  <c r="D278" i="1" s="1"/>
  <c r="EA107" i="4"/>
  <c r="B264" i="1" s="1"/>
  <c r="J227" i="3"/>
  <c r="J228" i="3"/>
  <c r="J230" i="3"/>
  <c r="J232" i="3"/>
  <c r="J236" i="3"/>
  <c r="J231" i="3"/>
  <c r="J234" i="3"/>
  <c r="J235" i="3"/>
  <c r="J239" i="3"/>
  <c r="J240" i="3"/>
  <c r="J241" i="3"/>
  <c r="J242" i="3"/>
  <c r="J243" i="3"/>
  <c r="J244" i="3"/>
  <c r="J245" i="3"/>
  <c r="J246" i="3"/>
  <c r="J247" i="3"/>
  <c r="J248" i="3"/>
  <c r="J233" i="3"/>
  <c r="J237" i="3"/>
  <c r="J229" i="3"/>
  <c r="J238" i="3"/>
  <c r="J249" i="3"/>
  <c r="J250" i="3"/>
  <c r="J251" i="3"/>
  <c r="J252" i="3"/>
  <c r="J253" i="3"/>
  <c r="J254" i="3"/>
  <c r="J255" i="3"/>
  <c r="J256" i="3"/>
  <c r="J257" i="3"/>
  <c r="J258" i="3"/>
  <c r="V214" i="3"/>
  <c r="V218" i="3"/>
  <c r="V219" i="3"/>
  <c r="V221" i="3"/>
  <c r="V222" i="3"/>
  <c r="V223" i="3"/>
  <c r="V224" i="3"/>
  <c r="V217" i="3"/>
  <c r="V220" i="3"/>
  <c r="V215" i="3"/>
  <c r="V216" i="3"/>
  <c r="V226" i="3"/>
  <c r="V227" i="3"/>
  <c r="V228" i="3"/>
  <c r="V22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AL218" i="3"/>
  <c r="AL219" i="3"/>
  <c r="AL222" i="3"/>
  <c r="AL224" i="3"/>
  <c r="AL226" i="3"/>
  <c r="AL227" i="3"/>
  <c r="AL228" i="3"/>
  <c r="AL216" i="3"/>
  <c r="AL233" i="3"/>
  <c r="AL238" i="3"/>
  <c r="AL239" i="3"/>
  <c r="AL240" i="3"/>
  <c r="AL243" i="3"/>
  <c r="AL244" i="3"/>
  <c r="AL245" i="3"/>
  <c r="AL232" i="3"/>
  <c r="AL234" i="3"/>
  <c r="AL236" i="3"/>
  <c r="AL257" i="3"/>
  <c r="AL258" i="3"/>
  <c r="AX218" i="3"/>
  <c r="AX219" i="3"/>
  <c r="AX222" i="3"/>
  <c r="AX216" i="3"/>
  <c r="AX224" i="3"/>
  <c r="AX227" i="3"/>
  <c r="AX226" i="3"/>
  <c r="AX232" i="3"/>
  <c r="AX234" i="3"/>
  <c r="AX233" i="3"/>
  <c r="AX237" i="3"/>
  <c r="AX238" i="3"/>
  <c r="AX239" i="3"/>
  <c r="AX240" i="3"/>
  <c r="AX243" i="3"/>
  <c r="AX244" i="3"/>
  <c r="AX245" i="3"/>
  <c r="AX228" i="3"/>
  <c r="AX236" i="3"/>
  <c r="AX257" i="3"/>
  <c r="AX258" i="3"/>
  <c r="BJ217" i="3"/>
  <c r="BJ215" i="3"/>
  <c r="BJ216" i="3"/>
  <c r="BJ220" i="3"/>
  <c r="BJ221" i="3"/>
  <c r="BJ222" i="3"/>
  <c r="BJ223" i="3"/>
  <c r="BJ214" i="3"/>
  <c r="BJ218" i="3"/>
  <c r="BJ226" i="3"/>
  <c r="BJ227" i="3"/>
  <c r="BJ219" i="3"/>
  <c r="BJ225" i="3"/>
  <c r="BJ224" i="3"/>
  <c r="BJ231" i="3"/>
  <c r="BJ235" i="3"/>
  <c r="BJ236" i="3"/>
  <c r="BJ228" i="3"/>
  <c r="BJ233" i="3"/>
  <c r="BJ229" i="3"/>
  <c r="BJ238" i="3"/>
  <c r="BJ239" i="3"/>
  <c r="BJ240" i="3"/>
  <c r="BJ241" i="3"/>
  <c r="BJ242" i="3"/>
  <c r="BJ243" i="3"/>
  <c r="BJ244" i="3"/>
  <c r="BJ245" i="3"/>
  <c r="BJ246" i="3"/>
  <c r="BJ247" i="3"/>
  <c r="BJ232" i="3"/>
  <c r="BJ234" i="3"/>
  <c r="BJ237" i="3"/>
  <c r="BJ230" i="3"/>
  <c r="BJ248" i="3"/>
  <c r="BJ249" i="3"/>
  <c r="BJ250" i="3"/>
  <c r="BJ251" i="3"/>
  <c r="BJ252" i="3"/>
  <c r="BJ253" i="3"/>
  <c r="BJ254" i="3"/>
  <c r="BJ255" i="3"/>
  <c r="BJ256" i="3"/>
  <c r="BJ257" i="3"/>
  <c r="BJ258" i="3"/>
  <c r="F222" i="3"/>
  <c r="F223" i="3"/>
  <c r="F224" i="3"/>
  <c r="F225" i="3"/>
  <c r="B227" i="3"/>
  <c r="Z230" i="3"/>
  <c r="BF231" i="3"/>
  <c r="BB234" i="3"/>
  <c r="Z237" i="3"/>
  <c r="R238" i="3"/>
  <c r="BF238" i="3"/>
  <c r="F113" i="3"/>
  <c r="F116" i="3"/>
  <c r="J117" i="3"/>
  <c r="N118" i="3"/>
  <c r="BB131" i="3"/>
  <c r="R132" i="3"/>
  <c r="AR201" i="3"/>
  <c r="AR203" i="3"/>
  <c r="C227" i="3"/>
  <c r="C228" i="3"/>
  <c r="C232" i="3"/>
  <c r="C233" i="3"/>
  <c r="C234" i="3"/>
  <c r="C236" i="3"/>
  <c r="C237" i="3"/>
  <c r="C238" i="3"/>
  <c r="C239" i="3"/>
  <c r="C240" i="3"/>
  <c r="C243" i="3"/>
  <c r="C244" i="3"/>
  <c r="C245" i="3"/>
  <c r="C246" i="3"/>
  <c r="C248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8" i="3"/>
  <c r="G247" i="3"/>
  <c r="K227" i="3"/>
  <c r="K228" i="3"/>
  <c r="K232" i="3"/>
  <c r="K233" i="3"/>
  <c r="K234" i="3"/>
  <c r="K236" i="3"/>
  <c r="K237" i="3"/>
  <c r="K238" i="3"/>
  <c r="K239" i="3"/>
  <c r="K240" i="3"/>
  <c r="K243" i="3"/>
  <c r="K244" i="3"/>
  <c r="K245" i="3"/>
  <c r="K246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S216" i="3"/>
  <c r="S218" i="3"/>
  <c r="S219" i="3"/>
  <c r="S222" i="3"/>
  <c r="S224" i="3"/>
  <c r="S226" i="3"/>
  <c r="S227" i="3"/>
  <c r="S228" i="3"/>
  <c r="S246" i="3"/>
  <c r="S248" i="3"/>
  <c r="W216" i="3"/>
  <c r="W218" i="3"/>
  <c r="W219" i="3"/>
  <c r="W222" i="3"/>
  <c r="W224" i="3"/>
  <c r="W226" i="3"/>
  <c r="W227" i="3"/>
  <c r="W228" i="3"/>
  <c r="W246" i="3"/>
  <c r="W248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46" i="3"/>
  <c r="AA247" i="3"/>
  <c r="AE214" i="3"/>
  <c r="AE215" i="3"/>
  <c r="AE216" i="3"/>
  <c r="AE217" i="3"/>
  <c r="AE218" i="3"/>
  <c r="AE219" i="3"/>
  <c r="AE220" i="3"/>
  <c r="AE221" i="3"/>
  <c r="AE222" i="3"/>
  <c r="AE223" i="3"/>
  <c r="AE224" i="3"/>
  <c r="AE225" i="3"/>
  <c r="AE226" i="3"/>
  <c r="AE227" i="3"/>
  <c r="AE228" i="3"/>
  <c r="AE246" i="3"/>
  <c r="AE247" i="3"/>
  <c r="AE248" i="3"/>
  <c r="AI216" i="3"/>
  <c r="AI218" i="3"/>
  <c r="AI219" i="3"/>
  <c r="AI222" i="3"/>
  <c r="AI224" i="3"/>
  <c r="AI226" i="3"/>
  <c r="AI227" i="3"/>
  <c r="AI228" i="3"/>
  <c r="AI232" i="3"/>
  <c r="AI233" i="3"/>
  <c r="AI234" i="3"/>
  <c r="AI236" i="3"/>
  <c r="AI237" i="3"/>
  <c r="AI238" i="3"/>
  <c r="AI239" i="3"/>
  <c r="AI240" i="3"/>
  <c r="AI243" i="3"/>
  <c r="AI244" i="3"/>
  <c r="AI245" i="3"/>
  <c r="AM216" i="3"/>
  <c r="AM218" i="3"/>
  <c r="AM219" i="3"/>
  <c r="AM222" i="3"/>
  <c r="AM224" i="3"/>
  <c r="AM226" i="3"/>
  <c r="AM227" i="3"/>
  <c r="AM228" i="3"/>
  <c r="AM232" i="3"/>
  <c r="AM233" i="3"/>
  <c r="AM234" i="3"/>
  <c r="AM236" i="3"/>
  <c r="AM237" i="3"/>
  <c r="AM238" i="3"/>
  <c r="AM239" i="3"/>
  <c r="AM240" i="3"/>
  <c r="AM243" i="3"/>
  <c r="AM244" i="3"/>
  <c r="AM245" i="3"/>
  <c r="AQ216" i="3"/>
  <c r="AQ218" i="3"/>
  <c r="AQ219" i="3"/>
  <c r="AQ222" i="3"/>
  <c r="AQ224" i="3"/>
  <c r="AQ226" i="3"/>
  <c r="AQ227" i="3"/>
  <c r="AQ228" i="3"/>
  <c r="AQ232" i="3"/>
  <c r="AQ233" i="3"/>
  <c r="AQ234" i="3"/>
  <c r="AQ236" i="3"/>
  <c r="AQ237" i="3"/>
  <c r="AQ238" i="3"/>
  <c r="AQ239" i="3"/>
  <c r="AQ240" i="3"/>
  <c r="AQ243" i="3"/>
  <c r="AQ244" i="3"/>
  <c r="AQ245" i="3"/>
  <c r="AQ246" i="3"/>
  <c r="AU214" i="3"/>
  <c r="AU215" i="3"/>
  <c r="AU216" i="3"/>
  <c r="AU217" i="3"/>
  <c r="AU218" i="3"/>
  <c r="AU219" i="3"/>
  <c r="AU220" i="3"/>
  <c r="AU221" i="3"/>
  <c r="AU222" i="3"/>
  <c r="AU223" i="3"/>
  <c r="AU224" i="3"/>
  <c r="AU225" i="3"/>
  <c r="AU226" i="3"/>
  <c r="AU227" i="3"/>
  <c r="AU228" i="3"/>
  <c r="AU229" i="3"/>
  <c r="AU230" i="3"/>
  <c r="AU231" i="3"/>
  <c r="AU232" i="3"/>
  <c r="AU233" i="3"/>
  <c r="AU234" i="3"/>
  <c r="AU235" i="3"/>
  <c r="AU236" i="3"/>
  <c r="AU237" i="3"/>
  <c r="AU238" i="3"/>
  <c r="AU239" i="3"/>
  <c r="AU240" i="3"/>
  <c r="AU241" i="3"/>
  <c r="AU242" i="3"/>
  <c r="AU243" i="3"/>
  <c r="AU244" i="3"/>
  <c r="AU245" i="3"/>
  <c r="AY216" i="3"/>
  <c r="AY218" i="3"/>
  <c r="AY219" i="3"/>
  <c r="AY222" i="3"/>
  <c r="AY224" i="3"/>
  <c r="AY226" i="3"/>
  <c r="AY227" i="3"/>
  <c r="AY228" i="3"/>
  <c r="AY232" i="3"/>
  <c r="AY233" i="3"/>
  <c r="AY234" i="3"/>
  <c r="AY236" i="3"/>
  <c r="AY237" i="3"/>
  <c r="AY238" i="3"/>
  <c r="AY239" i="3"/>
  <c r="AY240" i="3"/>
  <c r="AY243" i="3"/>
  <c r="AY244" i="3"/>
  <c r="AY245" i="3"/>
  <c r="AY246" i="3"/>
  <c r="BC216" i="3"/>
  <c r="BC218" i="3"/>
  <c r="BC219" i="3"/>
  <c r="BC222" i="3"/>
  <c r="BC224" i="3"/>
  <c r="BC226" i="3"/>
  <c r="BC227" i="3"/>
  <c r="BC228" i="3"/>
  <c r="BC232" i="3"/>
  <c r="BC233" i="3"/>
  <c r="BC234" i="3"/>
  <c r="BC236" i="3"/>
  <c r="BC237" i="3"/>
  <c r="BC238" i="3"/>
  <c r="BC239" i="3"/>
  <c r="BC240" i="3"/>
  <c r="BC243" i="3"/>
  <c r="BC244" i="3"/>
  <c r="BC245" i="3"/>
  <c r="BG214" i="3"/>
  <c r="BG215" i="3"/>
  <c r="BG216" i="3"/>
  <c r="BG217" i="3"/>
  <c r="BG218" i="3"/>
  <c r="BG219" i="3"/>
  <c r="BG221" i="3"/>
  <c r="BG222" i="3"/>
  <c r="BG223" i="3"/>
  <c r="BG224" i="3"/>
  <c r="BG225" i="3"/>
  <c r="BG226" i="3"/>
  <c r="BG227" i="3"/>
  <c r="BG228" i="3"/>
  <c r="BG220" i="3"/>
  <c r="BG245" i="3"/>
  <c r="BG246" i="3"/>
  <c r="F214" i="3"/>
  <c r="J214" i="3"/>
  <c r="N214" i="3"/>
  <c r="D215" i="3"/>
  <c r="L215" i="3"/>
  <c r="C216" i="3"/>
  <c r="H216" i="3"/>
  <c r="L216" i="3"/>
  <c r="L217" i="3"/>
  <c r="C218" i="3"/>
  <c r="H218" i="3"/>
  <c r="L218" i="3"/>
  <c r="C219" i="3"/>
  <c r="H219" i="3"/>
  <c r="L219" i="3"/>
  <c r="G220" i="3"/>
  <c r="L220" i="3"/>
  <c r="G221" i="3"/>
  <c r="L221" i="3"/>
  <c r="C222" i="3"/>
  <c r="G222" i="3"/>
  <c r="L222" i="3"/>
  <c r="G223" i="3"/>
  <c r="L223" i="3"/>
  <c r="C224" i="3"/>
  <c r="G224" i="3"/>
  <c r="K224" i="3"/>
  <c r="G225" i="3"/>
  <c r="C226" i="3"/>
  <c r="G226" i="3"/>
  <c r="K226" i="3"/>
  <c r="V229" i="3"/>
  <c r="Z229" i="3"/>
  <c r="AA230" i="3"/>
  <c r="AE230" i="3"/>
  <c r="BF230" i="3"/>
  <c r="T231" i="3"/>
  <c r="X231" i="3"/>
  <c r="AB231" i="3"/>
  <c r="AF231" i="3"/>
  <c r="BG231" i="3"/>
  <c r="U232" i="3"/>
  <c r="Y232" i="3"/>
  <c r="AC232" i="3"/>
  <c r="AG232" i="3"/>
  <c r="Q233" i="3"/>
  <c r="V233" i="3"/>
  <c r="Z233" i="3"/>
  <c r="AD233" i="3"/>
  <c r="BB233" i="3"/>
  <c r="R234" i="3"/>
  <c r="W234" i="3"/>
  <c r="AA234" i="3"/>
  <c r="AE234" i="3"/>
  <c r="BF234" i="3"/>
  <c r="X235" i="3"/>
  <c r="AB235" i="3"/>
  <c r="AF235" i="3"/>
  <c r="Q236" i="3"/>
  <c r="U236" i="3"/>
  <c r="Z236" i="3"/>
  <c r="AD236" i="3"/>
  <c r="BB236" i="3"/>
  <c r="R237" i="3"/>
  <c r="AA237" i="3"/>
  <c r="AE237" i="3"/>
  <c r="BF237" i="3"/>
  <c r="S238" i="3"/>
  <c r="W238" i="3"/>
  <c r="AB238" i="3"/>
  <c r="AF238" i="3"/>
  <c r="BG238" i="3"/>
  <c r="T239" i="3"/>
  <c r="X239" i="3"/>
  <c r="AC239" i="3"/>
  <c r="Q240" i="3"/>
  <c r="Y240" i="3"/>
  <c r="AD240" i="3"/>
  <c r="BB240" i="3"/>
  <c r="V241" i="3"/>
  <c r="Z241" i="3"/>
  <c r="BA246" i="3"/>
  <c r="AM248" i="3"/>
  <c r="AT248" i="3"/>
  <c r="AX248" i="3"/>
  <c r="BE248" i="3"/>
  <c r="AS249" i="3"/>
  <c r="AW249" i="3"/>
  <c r="BD249" i="3"/>
  <c r="AJ250" i="3"/>
  <c r="AV250" i="3"/>
  <c r="AN251" i="3"/>
  <c r="AH252" i="3"/>
  <c r="AL252" i="3"/>
  <c r="AT252" i="3"/>
  <c r="AX252" i="3"/>
  <c r="BE252" i="3"/>
  <c r="AT256" i="3"/>
  <c r="B238" i="3"/>
  <c r="AU258" i="3"/>
  <c r="AI258" i="3"/>
  <c r="S258" i="3"/>
  <c r="C258" i="3"/>
  <c r="AU257" i="3"/>
  <c r="AI257" i="3"/>
  <c r="S257" i="3"/>
  <c r="C257" i="3"/>
  <c r="AU256" i="3"/>
  <c r="AA256" i="3"/>
  <c r="AU255" i="3"/>
  <c r="AA255" i="3"/>
  <c r="AU254" i="3"/>
  <c r="AA254" i="3"/>
  <c r="AU253" i="3"/>
  <c r="AA253" i="3"/>
  <c r="AU252" i="3"/>
  <c r="AI252" i="3"/>
  <c r="S252" i="3"/>
  <c r="C252" i="3"/>
  <c r="AU251" i="3"/>
  <c r="AA251" i="3"/>
  <c r="AU250" i="3"/>
  <c r="AA250" i="3"/>
  <c r="AA249" i="3"/>
  <c r="AU248" i="3"/>
  <c r="K248" i="3"/>
  <c r="E245" i="3"/>
  <c r="U244" i="3"/>
  <c r="AW241" i="3"/>
  <c r="AL237" i="3"/>
  <c r="F227" i="3"/>
  <c r="F228" i="3"/>
  <c r="F229" i="3"/>
  <c r="F230" i="3"/>
  <c r="F233" i="3"/>
  <c r="F231" i="3"/>
  <c r="F232" i="3"/>
  <c r="F235" i="3"/>
  <c r="F238" i="3"/>
  <c r="F239" i="3"/>
  <c r="F240" i="3"/>
  <c r="F241" i="3"/>
  <c r="F242" i="3"/>
  <c r="F243" i="3"/>
  <c r="F244" i="3"/>
  <c r="F245" i="3"/>
  <c r="F246" i="3"/>
  <c r="F247" i="3"/>
  <c r="F248" i="3"/>
  <c r="F234" i="3"/>
  <c r="F236" i="3"/>
  <c r="F237" i="3"/>
  <c r="F249" i="3"/>
  <c r="F250" i="3"/>
  <c r="F251" i="3"/>
  <c r="F252" i="3"/>
  <c r="F253" i="3"/>
  <c r="F254" i="3"/>
  <c r="F255" i="3"/>
  <c r="F256" i="3"/>
  <c r="F257" i="3"/>
  <c r="F258" i="3"/>
  <c r="R218" i="3"/>
  <c r="R219" i="3"/>
  <c r="R222" i="3"/>
  <c r="R224" i="3"/>
  <c r="R216" i="3"/>
  <c r="R227" i="3"/>
  <c r="R228" i="3"/>
  <c r="R226" i="3"/>
  <c r="R246" i="3"/>
  <c r="R248" i="3"/>
  <c r="R252" i="3"/>
  <c r="R257" i="3"/>
  <c r="R258" i="3"/>
  <c r="AD216" i="3"/>
  <c r="AD222" i="3"/>
  <c r="AD224" i="3"/>
  <c r="AD227" i="3"/>
  <c r="AD228" i="3"/>
  <c r="AD218" i="3"/>
  <c r="AD226" i="3"/>
  <c r="AD219" i="3"/>
  <c r="AD246" i="3"/>
  <c r="AD248" i="3"/>
  <c r="AD252" i="3"/>
  <c r="AD257" i="3"/>
  <c r="AD258" i="3"/>
  <c r="AT217" i="3"/>
  <c r="AT215" i="3"/>
  <c r="AT216" i="3"/>
  <c r="AT221" i="3"/>
  <c r="AT222" i="3"/>
  <c r="AT223" i="3"/>
  <c r="AT214" i="3"/>
  <c r="AT219" i="3"/>
  <c r="AT220" i="3"/>
  <c r="AT227" i="3"/>
  <c r="AT224" i="3"/>
  <c r="AT226" i="3"/>
  <c r="AT225" i="3"/>
  <c r="AT229" i="3"/>
  <c r="AT236" i="3"/>
  <c r="AT228" i="3"/>
  <c r="AT230" i="3"/>
  <c r="AT233" i="3"/>
  <c r="AT231" i="3"/>
  <c r="AT218" i="3"/>
  <c r="AT235" i="3"/>
  <c r="AT238" i="3"/>
  <c r="AT239" i="3"/>
  <c r="AT240" i="3"/>
  <c r="AT241" i="3"/>
  <c r="AT242" i="3"/>
  <c r="AT243" i="3"/>
  <c r="AT244" i="3"/>
  <c r="AT245" i="3"/>
  <c r="AT237" i="3"/>
  <c r="AT232" i="3"/>
  <c r="AT253" i="3"/>
  <c r="AT254" i="3"/>
  <c r="AT255" i="3"/>
  <c r="BF215" i="3"/>
  <c r="BF216" i="3"/>
  <c r="BF214" i="3"/>
  <c r="BF221" i="3"/>
  <c r="BF222" i="3"/>
  <c r="BF223" i="3"/>
  <c r="BF218" i="3"/>
  <c r="BF219" i="3"/>
  <c r="BF220" i="3"/>
  <c r="BF224" i="3"/>
  <c r="BF226" i="3"/>
  <c r="BF227" i="3"/>
  <c r="BF225" i="3"/>
  <c r="BF217" i="3"/>
  <c r="BF243" i="3"/>
  <c r="BF246" i="3"/>
  <c r="BF247" i="3"/>
  <c r="BF228" i="3"/>
  <c r="BF248" i="3"/>
  <c r="BF249" i="3"/>
  <c r="BF250" i="3"/>
  <c r="BF251" i="3"/>
  <c r="BF252" i="3"/>
  <c r="BF253" i="3"/>
  <c r="BF254" i="3"/>
  <c r="BF255" i="3"/>
  <c r="BF256" i="3"/>
  <c r="BF257" i="3"/>
  <c r="BF258" i="3"/>
  <c r="AH214" i="3"/>
  <c r="B216" i="3"/>
  <c r="F219" i="3"/>
  <c r="J223" i="3"/>
  <c r="J224" i="3"/>
  <c r="J225" i="3"/>
  <c r="J226" i="3"/>
  <c r="AD234" i="3"/>
  <c r="AD237" i="3"/>
  <c r="AH251" i="3"/>
  <c r="D121" i="3"/>
  <c r="F127" i="3"/>
  <c r="R134" i="3"/>
  <c r="AM198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9" i="3"/>
  <c r="D250" i="3"/>
  <c r="D251" i="3"/>
  <c r="D252" i="3"/>
  <c r="D253" i="3"/>
  <c r="D254" i="3"/>
  <c r="D255" i="3"/>
  <c r="D256" i="3"/>
  <c r="D257" i="3"/>
  <c r="D258" i="3"/>
  <c r="D248" i="3"/>
  <c r="H227" i="3"/>
  <c r="H228" i="3"/>
  <c r="H232" i="3"/>
  <c r="H233" i="3"/>
  <c r="H234" i="3"/>
  <c r="H236" i="3"/>
  <c r="H237" i="3"/>
  <c r="H238" i="3"/>
  <c r="H239" i="3"/>
  <c r="H240" i="3"/>
  <c r="H243" i="3"/>
  <c r="H244" i="3"/>
  <c r="H245" i="3"/>
  <c r="H246" i="3"/>
  <c r="H252" i="3"/>
  <c r="H257" i="3"/>
  <c r="H258" i="3"/>
  <c r="H248" i="3"/>
  <c r="L227" i="3"/>
  <c r="L228" i="3"/>
  <c r="L229" i="3"/>
  <c r="L230" i="3"/>
  <c r="L231" i="3"/>
  <c r="L232" i="3"/>
  <c r="L233" i="3"/>
  <c r="L234" i="3"/>
  <c r="L235" i="3"/>
  <c r="L236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37" i="3"/>
  <c r="P214" i="3"/>
  <c r="P215" i="3"/>
  <c r="P216" i="3"/>
  <c r="P217" i="3"/>
  <c r="P218" i="3"/>
  <c r="P219" i="3"/>
  <c r="P220" i="3"/>
  <c r="P221" i="3"/>
  <c r="P224" i="3"/>
  <c r="P225" i="3"/>
  <c r="P227" i="3"/>
  <c r="P229" i="3"/>
  <c r="P230" i="3"/>
  <c r="P231" i="3"/>
  <c r="P232" i="3"/>
  <c r="P233" i="3"/>
  <c r="P234" i="3"/>
  <c r="P235" i="3"/>
  <c r="P236" i="3"/>
  <c r="P223" i="3"/>
  <c r="P226" i="3"/>
  <c r="P237" i="3"/>
  <c r="P239" i="3"/>
  <c r="P240" i="3"/>
  <c r="P241" i="3"/>
  <c r="P242" i="3"/>
  <c r="P243" i="3"/>
  <c r="P244" i="3"/>
  <c r="P245" i="3"/>
  <c r="P246" i="3"/>
  <c r="P247" i="3"/>
  <c r="P249" i="3"/>
  <c r="P250" i="3"/>
  <c r="P251" i="3"/>
  <c r="P252" i="3"/>
  <c r="P253" i="3"/>
  <c r="P254" i="3"/>
  <c r="P255" i="3"/>
  <c r="P256" i="3"/>
  <c r="P257" i="3"/>
  <c r="P258" i="3"/>
  <c r="P222" i="3"/>
  <c r="P238" i="3"/>
  <c r="T214" i="3"/>
  <c r="T215" i="3"/>
  <c r="T216" i="3"/>
  <c r="T217" i="3"/>
  <c r="T218" i="3"/>
  <c r="T219" i="3"/>
  <c r="T220" i="3"/>
  <c r="T221" i="3"/>
  <c r="T222" i="3"/>
  <c r="T224" i="3"/>
  <c r="T225" i="3"/>
  <c r="T226" i="3"/>
  <c r="T227" i="3"/>
  <c r="T228" i="3"/>
  <c r="T223" i="3"/>
  <c r="T246" i="3"/>
  <c r="T247" i="3"/>
  <c r="T249" i="3"/>
  <c r="T250" i="3"/>
  <c r="T251" i="3"/>
  <c r="T252" i="3"/>
  <c r="T253" i="3"/>
  <c r="T254" i="3"/>
  <c r="T255" i="3"/>
  <c r="T256" i="3"/>
  <c r="T257" i="3"/>
  <c r="T258" i="3"/>
  <c r="T248" i="3"/>
  <c r="X214" i="3"/>
  <c r="X215" i="3"/>
  <c r="X216" i="3"/>
  <c r="X217" i="3"/>
  <c r="X218" i="3"/>
  <c r="X219" i="3"/>
  <c r="X220" i="3"/>
  <c r="X222" i="3"/>
  <c r="X223" i="3"/>
  <c r="X225" i="3"/>
  <c r="X226" i="3"/>
  <c r="X221" i="3"/>
  <c r="X227" i="3"/>
  <c r="X228" i="3"/>
  <c r="X224" i="3"/>
  <c r="X246" i="3"/>
  <c r="X247" i="3"/>
  <c r="X249" i="3"/>
  <c r="X250" i="3"/>
  <c r="X251" i="3"/>
  <c r="X252" i="3"/>
  <c r="X253" i="3"/>
  <c r="X254" i="3"/>
  <c r="X255" i="3"/>
  <c r="X256" i="3"/>
  <c r="X257" i="3"/>
  <c r="X258" i="3"/>
  <c r="X248" i="3"/>
  <c r="AB214" i="3"/>
  <c r="AB215" i="3"/>
  <c r="AB216" i="3"/>
  <c r="AB217" i="3"/>
  <c r="AB218" i="3"/>
  <c r="AB219" i="3"/>
  <c r="AB220" i="3"/>
  <c r="AB224" i="3"/>
  <c r="AB226" i="3"/>
  <c r="AB222" i="3"/>
  <c r="AB223" i="3"/>
  <c r="AB227" i="3"/>
  <c r="AB228" i="3"/>
  <c r="AB221" i="3"/>
  <c r="AB22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F214" i="3"/>
  <c r="AF215" i="3"/>
  <c r="AF216" i="3"/>
  <c r="AF217" i="3"/>
  <c r="AF218" i="3"/>
  <c r="AF219" i="3"/>
  <c r="AF223" i="3"/>
  <c r="AF224" i="3"/>
  <c r="AF221" i="3"/>
  <c r="AF225" i="3"/>
  <c r="AF227" i="3"/>
  <c r="AF228" i="3"/>
  <c r="AF222" i="3"/>
  <c r="AF220" i="3"/>
  <c r="AF226" i="3"/>
  <c r="AF246" i="3"/>
  <c r="AF247" i="3"/>
  <c r="AF249" i="3"/>
  <c r="AF250" i="3"/>
  <c r="AF251" i="3"/>
  <c r="AF252" i="3"/>
  <c r="AF253" i="3"/>
  <c r="AF254" i="3"/>
  <c r="AF255" i="3"/>
  <c r="AF256" i="3"/>
  <c r="AF257" i="3"/>
  <c r="AF258" i="3"/>
  <c r="AJ214" i="3"/>
  <c r="AJ215" i="3"/>
  <c r="AJ216" i="3"/>
  <c r="AJ217" i="3"/>
  <c r="AJ218" i="3"/>
  <c r="AJ219" i="3"/>
  <c r="AJ220" i="3"/>
  <c r="AJ221" i="3"/>
  <c r="AJ222" i="3"/>
  <c r="AJ225" i="3"/>
  <c r="AJ224" i="3"/>
  <c r="AJ226" i="3"/>
  <c r="AJ227" i="3"/>
  <c r="AJ228" i="3"/>
  <c r="AJ229" i="3"/>
  <c r="AJ230" i="3"/>
  <c r="AJ231" i="3"/>
  <c r="AJ232" i="3"/>
  <c r="AJ233" i="3"/>
  <c r="AJ234" i="3"/>
  <c r="AJ235" i="3"/>
  <c r="AJ236" i="3"/>
  <c r="AJ223" i="3"/>
  <c r="AJ237" i="3"/>
  <c r="AJ238" i="3"/>
  <c r="AJ239" i="3"/>
  <c r="AJ240" i="3"/>
  <c r="AJ241" i="3"/>
  <c r="AJ242" i="3"/>
  <c r="AJ243" i="3"/>
  <c r="AJ244" i="3"/>
  <c r="AJ245" i="3"/>
  <c r="AJ253" i="3"/>
  <c r="AJ254" i="3"/>
  <c r="AJ255" i="3"/>
  <c r="AJ256" i="3"/>
  <c r="AJ257" i="3"/>
  <c r="AJ258" i="3"/>
  <c r="AN214" i="3"/>
  <c r="AN215" i="3"/>
  <c r="AN216" i="3"/>
  <c r="AN217" i="3"/>
  <c r="AN218" i="3"/>
  <c r="AN219" i="3"/>
  <c r="AN220" i="3"/>
  <c r="AN221" i="3"/>
  <c r="AN222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23" i="3"/>
  <c r="AN224" i="3"/>
  <c r="AN237" i="3"/>
  <c r="AN238" i="3"/>
  <c r="AN239" i="3"/>
  <c r="AN240" i="3"/>
  <c r="AN241" i="3"/>
  <c r="AN242" i="3"/>
  <c r="AN243" i="3"/>
  <c r="AN244" i="3"/>
  <c r="AN245" i="3"/>
  <c r="AN253" i="3"/>
  <c r="AN254" i="3"/>
  <c r="AN255" i="3"/>
  <c r="AN256" i="3"/>
  <c r="AN257" i="3"/>
  <c r="AN258" i="3"/>
  <c r="AR216" i="3"/>
  <c r="AR218" i="3"/>
  <c r="AR219" i="3"/>
  <c r="AR226" i="3"/>
  <c r="AR224" i="3"/>
  <c r="AR222" i="3"/>
  <c r="AR227" i="3"/>
  <c r="AR228" i="3"/>
  <c r="AR232" i="3"/>
  <c r="AR233" i="3"/>
  <c r="AR234" i="3"/>
  <c r="AR236" i="3"/>
  <c r="AR238" i="3"/>
  <c r="AR239" i="3"/>
  <c r="AR240" i="3"/>
  <c r="AR243" i="3"/>
  <c r="AR244" i="3"/>
  <c r="AR245" i="3"/>
  <c r="AR237" i="3"/>
  <c r="AR257" i="3"/>
  <c r="AR258" i="3"/>
  <c r="AV215" i="3"/>
  <c r="AV216" i="3"/>
  <c r="AV217" i="3"/>
  <c r="AV218" i="3"/>
  <c r="AV219" i="3"/>
  <c r="AV220" i="3"/>
  <c r="AV223" i="3"/>
  <c r="AV225" i="3"/>
  <c r="AV221" i="3"/>
  <c r="AV227" i="3"/>
  <c r="AV228" i="3"/>
  <c r="AV229" i="3"/>
  <c r="AV230" i="3"/>
  <c r="AV231" i="3"/>
  <c r="AV232" i="3"/>
  <c r="AV233" i="3"/>
  <c r="AV234" i="3"/>
  <c r="AV235" i="3"/>
  <c r="AV222" i="3"/>
  <c r="AV226" i="3"/>
  <c r="AV236" i="3"/>
  <c r="AV224" i="3"/>
  <c r="AV237" i="3"/>
  <c r="AV238" i="3"/>
  <c r="AV239" i="3"/>
  <c r="AV240" i="3"/>
  <c r="AV241" i="3"/>
  <c r="AV242" i="3"/>
  <c r="AV243" i="3"/>
  <c r="AV244" i="3"/>
  <c r="AV245" i="3"/>
  <c r="AV253" i="3"/>
  <c r="AV254" i="3"/>
  <c r="AV255" i="3"/>
  <c r="AV256" i="3"/>
  <c r="AV257" i="3"/>
  <c r="AV258" i="3"/>
  <c r="AZ214" i="3"/>
  <c r="AZ215" i="3"/>
  <c r="AZ216" i="3"/>
  <c r="AZ217" i="3"/>
  <c r="AZ218" i="3"/>
  <c r="AZ219" i="3"/>
  <c r="AZ220" i="3"/>
  <c r="AZ221" i="3"/>
  <c r="AZ222" i="3"/>
  <c r="AZ225" i="3"/>
  <c r="AZ224" i="3"/>
  <c r="AZ226" i="3"/>
  <c r="AZ227" i="3"/>
  <c r="AZ228" i="3"/>
  <c r="AZ229" i="3"/>
  <c r="AZ230" i="3"/>
  <c r="AZ231" i="3"/>
  <c r="AZ232" i="3"/>
  <c r="AZ233" i="3"/>
  <c r="AZ234" i="3"/>
  <c r="AZ235" i="3"/>
  <c r="AZ223" i="3"/>
  <c r="AZ236" i="3"/>
  <c r="AZ237" i="3"/>
  <c r="AZ238" i="3"/>
  <c r="AZ239" i="3"/>
  <c r="AZ240" i="3"/>
  <c r="AZ241" i="3"/>
  <c r="AZ242" i="3"/>
  <c r="AZ243" i="3"/>
  <c r="AZ244" i="3"/>
  <c r="AZ245" i="3"/>
  <c r="AZ246" i="3"/>
  <c r="AZ247" i="3"/>
  <c r="AZ248" i="3"/>
  <c r="AZ249" i="3"/>
  <c r="AZ250" i="3"/>
  <c r="AZ251" i="3"/>
  <c r="AZ252" i="3"/>
  <c r="AZ253" i="3"/>
  <c r="AZ254" i="3"/>
  <c r="AZ255" i="3"/>
  <c r="AZ256" i="3"/>
  <c r="AZ257" i="3"/>
  <c r="AZ258" i="3"/>
  <c r="BD214" i="3"/>
  <c r="BD215" i="3"/>
  <c r="BD216" i="3"/>
  <c r="BD217" i="3"/>
  <c r="BD218" i="3"/>
  <c r="BD219" i="3"/>
  <c r="BD220" i="3"/>
  <c r="BD221" i="3"/>
  <c r="BD225" i="3"/>
  <c r="BD222" i="3"/>
  <c r="BD226" i="3"/>
  <c r="BD227" i="3"/>
  <c r="BD228" i="3"/>
  <c r="BD229" i="3"/>
  <c r="BD230" i="3"/>
  <c r="BD231" i="3"/>
  <c r="BD232" i="3"/>
  <c r="BD233" i="3"/>
  <c r="BD234" i="3"/>
  <c r="BD235" i="3"/>
  <c r="BD223" i="3"/>
  <c r="BD237" i="3"/>
  <c r="BD236" i="3"/>
  <c r="BD238" i="3"/>
  <c r="BD239" i="3"/>
  <c r="BD240" i="3"/>
  <c r="BD241" i="3"/>
  <c r="BD242" i="3"/>
  <c r="BD243" i="3"/>
  <c r="BD244" i="3"/>
  <c r="BD245" i="3"/>
  <c r="BD247" i="3"/>
  <c r="BD253" i="3"/>
  <c r="BD254" i="3"/>
  <c r="BD255" i="3"/>
  <c r="BD256" i="3"/>
  <c r="BD257" i="3"/>
  <c r="BD258" i="3"/>
  <c r="BD224" i="3"/>
  <c r="BH215" i="3"/>
  <c r="BH216" i="3"/>
  <c r="BH217" i="3"/>
  <c r="BH218" i="3"/>
  <c r="BH219" i="3"/>
  <c r="BH220" i="3"/>
  <c r="BH223" i="3"/>
  <c r="BH224" i="3"/>
  <c r="BH221" i="3"/>
  <c r="BH222" i="3"/>
  <c r="BH226" i="3"/>
  <c r="BH227" i="3"/>
  <c r="BH228" i="3"/>
  <c r="BH229" i="3"/>
  <c r="BH230" i="3"/>
  <c r="BH231" i="3"/>
  <c r="BH232" i="3"/>
  <c r="BH233" i="3"/>
  <c r="BH234" i="3"/>
  <c r="BH235" i="3"/>
  <c r="BH238" i="3"/>
  <c r="BH239" i="3"/>
  <c r="BH240" i="3"/>
  <c r="BH241" i="3"/>
  <c r="BH242" i="3"/>
  <c r="BH243" i="3"/>
  <c r="BH244" i="3"/>
  <c r="BH245" i="3"/>
  <c r="BH246" i="3"/>
  <c r="BH247" i="3"/>
  <c r="BH248" i="3"/>
  <c r="BH249" i="3"/>
  <c r="BH250" i="3"/>
  <c r="BH251" i="3"/>
  <c r="BH252" i="3"/>
  <c r="BH253" i="3"/>
  <c r="BH254" i="3"/>
  <c r="BH255" i="3"/>
  <c r="BH256" i="3"/>
  <c r="BH257" i="3"/>
  <c r="BH258" i="3"/>
  <c r="BH225" i="3"/>
  <c r="E216" i="3"/>
  <c r="I216" i="3"/>
  <c r="M216" i="3"/>
  <c r="D217" i="3"/>
  <c r="D218" i="3"/>
  <c r="I218" i="3"/>
  <c r="M218" i="3"/>
  <c r="D219" i="3"/>
  <c r="I219" i="3"/>
  <c r="M219" i="3"/>
  <c r="D220" i="3"/>
  <c r="D221" i="3"/>
  <c r="D222" i="3"/>
  <c r="H222" i="3"/>
  <c r="M222" i="3"/>
  <c r="D223" i="3"/>
  <c r="D224" i="3"/>
  <c r="H224" i="3"/>
  <c r="M224" i="3"/>
  <c r="D225" i="3"/>
  <c r="L225" i="3"/>
  <c r="D226" i="3"/>
  <c r="H226" i="3"/>
  <c r="L226" i="3"/>
  <c r="AA229" i="3"/>
  <c r="AE229" i="3"/>
  <c r="BF229" i="3"/>
  <c r="T230" i="3"/>
  <c r="X230" i="3"/>
  <c r="AB230" i="3"/>
  <c r="AF230" i="3"/>
  <c r="BG230" i="3"/>
  <c r="U231" i="3"/>
  <c r="Y231" i="3"/>
  <c r="AG231" i="3"/>
  <c r="Q232" i="3"/>
  <c r="V232" i="3"/>
  <c r="Z232" i="3"/>
  <c r="AD232" i="3"/>
  <c r="BB232" i="3"/>
  <c r="R233" i="3"/>
  <c r="W233" i="3"/>
  <c r="AA233" i="3"/>
  <c r="AE233" i="3"/>
  <c r="BF233" i="3"/>
  <c r="S234" i="3"/>
  <c r="X234" i="3"/>
  <c r="AB234" i="3"/>
  <c r="AF234" i="3"/>
  <c r="BG234" i="3"/>
  <c r="T235" i="3"/>
  <c r="AG235" i="3"/>
  <c r="AB237" i="3"/>
  <c r="AC238" i="3"/>
  <c r="Q239" i="3"/>
  <c r="Y239" i="3"/>
  <c r="AG242" i="3"/>
  <c r="Q243" i="3"/>
  <c r="Y243" i="3"/>
  <c r="AC243" i="3"/>
  <c r="AI248" i="3"/>
  <c r="AN248" i="3"/>
  <c r="BA248" i="3"/>
  <c r="AH249" i="3"/>
  <c r="AT249" i="3"/>
  <c r="AS250" i="3"/>
  <c r="AW250" i="3"/>
  <c r="BD250" i="3"/>
  <c r="AJ251" i="3"/>
  <c r="AV251" i="3"/>
  <c r="BA252" i="3"/>
  <c r="BG258" i="3"/>
  <c r="AE258" i="3"/>
  <c r="O258" i="3"/>
  <c r="BG257" i="3"/>
  <c r="AE257" i="3"/>
  <c r="O257" i="3"/>
  <c r="BG256" i="3"/>
  <c r="AE256" i="3"/>
  <c r="O256" i="3"/>
  <c r="BG255" i="3"/>
  <c r="AE255" i="3"/>
  <c r="O255" i="3"/>
  <c r="BG254" i="3"/>
  <c r="AE254" i="3"/>
  <c r="O254" i="3"/>
  <c r="BG253" i="3"/>
  <c r="AE253" i="3"/>
  <c r="O253" i="3"/>
  <c r="BG252" i="3"/>
  <c r="AQ252" i="3"/>
  <c r="AE252" i="3"/>
  <c r="O252" i="3"/>
  <c r="BG251" i="3"/>
  <c r="AE251" i="3"/>
  <c r="O251" i="3"/>
  <c r="BG250" i="3"/>
  <c r="AE250" i="3"/>
  <c r="O250" i="3"/>
  <c r="BG249" i="3"/>
  <c r="AE249" i="3"/>
  <c r="O249" i="3"/>
  <c r="BG248" i="3"/>
  <c r="AQ248" i="3"/>
  <c r="AA248" i="3"/>
  <c r="E248" i="3"/>
  <c r="AU247" i="3"/>
  <c r="AW244" i="3"/>
  <c r="E244" i="3"/>
  <c r="U243" i="3"/>
  <c r="AW242" i="3"/>
  <c r="B257" i="3"/>
  <c r="B245" i="3"/>
  <c r="B237" i="3"/>
  <c r="B233" i="3"/>
  <c r="B252" i="3"/>
  <c r="B248" i="3"/>
  <c r="B244" i="3"/>
  <c r="B240" i="3"/>
  <c r="B236" i="3"/>
  <c r="B232" i="3"/>
  <c r="B228" i="3"/>
  <c r="B243" i="3"/>
  <c r="B239" i="3"/>
  <c r="N227" i="3"/>
  <c r="N228" i="3"/>
  <c r="N231" i="3"/>
  <c r="N235" i="3"/>
  <c r="N233" i="3"/>
  <c r="N229" i="3"/>
  <c r="N232" i="3"/>
  <c r="N236" i="3"/>
  <c r="N239" i="3"/>
  <c r="N240" i="3"/>
  <c r="N241" i="3"/>
  <c r="N242" i="3"/>
  <c r="N243" i="3"/>
  <c r="N244" i="3"/>
  <c r="N245" i="3"/>
  <c r="N246" i="3"/>
  <c r="N247" i="3"/>
  <c r="N248" i="3"/>
  <c r="N237" i="3"/>
  <c r="N230" i="3"/>
  <c r="N238" i="3"/>
  <c r="N234" i="3"/>
  <c r="N249" i="3"/>
  <c r="N250" i="3"/>
  <c r="N251" i="3"/>
  <c r="N252" i="3"/>
  <c r="N253" i="3"/>
  <c r="N254" i="3"/>
  <c r="N255" i="3"/>
  <c r="N256" i="3"/>
  <c r="N257" i="3"/>
  <c r="N258" i="3"/>
  <c r="Z216" i="3"/>
  <c r="Z217" i="3"/>
  <c r="Z215" i="3"/>
  <c r="Z220" i="3"/>
  <c r="Z221" i="3"/>
  <c r="Z222" i="3"/>
  <c r="Z223" i="3"/>
  <c r="Z224" i="3"/>
  <c r="Z214" i="3"/>
  <c r="Z218" i="3"/>
  <c r="Z219" i="3"/>
  <c r="Z227" i="3"/>
  <c r="Z228" i="3"/>
  <c r="Z225" i="3"/>
  <c r="Z226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AH215" i="3"/>
  <c r="AH218" i="3"/>
  <c r="AH219" i="3"/>
  <c r="AH220" i="3"/>
  <c r="AH221" i="3"/>
  <c r="AH222" i="3"/>
  <c r="AH223" i="3"/>
  <c r="AH224" i="3"/>
  <c r="AH216" i="3"/>
  <c r="AH217" i="3"/>
  <c r="AH227" i="3"/>
  <c r="AH228" i="3"/>
  <c r="AH226" i="3"/>
  <c r="AH231" i="3"/>
  <c r="AH235" i="3"/>
  <c r="AH232" i="3"/>
  <c r="AH234" i="3"/>
  <c r="AH236" i="3"/>
  <c r="AH229" i="3"/>
  <c r="AH225" i="3"/>
  <c r="AH237" i="3"/>
  <c r="AH238" i="3"/>
  <c r="AH239" i="3"/>
  <c r="AH240" i="3"/>
  <c r="AH241" i="3"/>
  <c r="AH242" i="3"/>
  <c r="AH243" i="3"/>
  <c r="AH244" i="3"/>
  <c r="AH245" i="3"/>
  <c r="AH233" i="3"/>
  <c r="AH253" i="3"/>
  <c r="AH254" i="3"/>
  <c r="AH255" i="3"/>
  <c r="AH256" i="3"/>
  <c r="AH257" i="3"/>
  <c r="AH258" i="3"/>
  <c r="AP216" i="3"/>
  <c r="AP222" i="3"/>
  <c r="AP218" i="3"/>
  <c r="AP219" i="3"/>
  <c r="AP224" i="3"/>
  <c r="AP227" i="3"/>
  <c r="AP228" i="3"/>
  <c r="AP226" i="3"/>
  <c r="AP232" i="3"/>
  <c r="AP234" i="3"/>
  <c r="AP236" i="3"/>
  <c r="AP238" i="3"/>
  <c r="AP239" i="3"/>
  <c r="AP240" i="3"/>
  <c r="AP243" i="3"/>
  <c r="AP244" i="3"/>
  <c r="AP245" i="3"/>
  <c r="AP246" i="3"/>
  <c r="AP248" i="3"/>
  <c r="AP237" i="3"/>
  <c r="AP233" i="3"/>
  <c r="AP252" i="3"/>
  <c r="AP257" i="3"/>
  <c r="AP258" i="3"/>
  <c r="BB218" i="3"/>
  <c r="BB219" i="3"/>
  <c r="BB222" i="3"/>
  <c r="BB226" i="3"/>
  <c r="BB227" i="3"/>
  <c r="BB216" i="3"/>
  <c r="BB224" i="3"/>
  <c r="BB228" i="3"/>
  <c r="BB246" i="3"/>
  <c r="BB248" i="3"/>
  <c r="BB252" i="3"/>
  <c r="BB257" i="3"/>
  <c r="BB258" i="3"/>
  <c r="B219" i="3"/>
  <c r="F220" i="3"/>
  <c r="F221" i="3"/>
  <c r="B224" i="3"/>
  <c r="F226" i="3"/>
  <c r="V230" i="3"/>
  <c r="Z234" i="3"/>
  <c r="V235" i="3"/>
  <c r="BB237" i="3"/>
  <c r="V238" i="3"/>
  <c r="AT251" i="3"/>
  <c r="B246" i="3"/>
  <c r="L113" i="3"/>
  <c r="AR121" i="3"/>
  <c r="E233" i="3"/>
  <c r="E227" i="3"/>
  <c r="E228" i="3"/>
  <c r="E232" i="3"/>
  <c r="E236" i="3"/>
  <c r="E234" i="3"/>
  <c r="E237" i="3"/>
  <c r="E238" i="3"/>
  <c r="E252" i="3"/>
  <c r="E257" i="3"/>
  <c r="E258" i="3"/>
  <c r="E246" i="3"/>
  <c r="I234" i="3"/>
  <c r="I227" i="3"/>
  <c r="I228" i="3"/>
  <c r="I233" i="3"/>
  <c r="I232" i="3"/>
  <c r="I237" i="3"/>
  <c r="I238" i="3"/>
  <c r="I239" i="3"/>
  <c r="I240" i="3"/>
  <c r="I243" i="3"/>
  <c r="I244" i="3"/>
  <c r="I245" i="3"/>
  <c r="I252" i="3"/>
  <c r="I257" i="3"/>
  <c r="I258" i="3"/>
  <c r="I248" i="3"/>
  <c r="M233" i="3"/>
  <c r="M232" i="3"/>
  <c r="M236" i="3"/>
  <c r="M234" i="3"/>
  <c r="M227" i="3"/>
  <c r="M237" i="3"/>
  <c r="M228" i="3"/>
  <c r="M238" i="3"/>
  <c r="M246" i="3"/>
  <c r="M239" i="3"/>
  <c r="M240" i="3"/>
  <c r="M243" i="3"/>
  <c r="M244" i="3"/>
  <c r="M245" i="3"/>
  <c r="M248" i="3"/>
  <c r="M252" i="3"/>
  <c r="M257" i="3"/>
  <c r="M258" i="3"/>
  <c r="Q216" i="3"/>
  <c r="Q218" i="3"/>
  <c r="Q219" i="3"/>
  <c r="Q222" i="3"/>
  <c r="Q224" i="3"/>
  <c r="Q226" i="3"/>
  <c r="Q227" i="3"/>
  <c r="Q228" i="3"/>
  <c r="Q248" i="3"/>
  <c r="Q246" i="3"/>
  <c r="Q252" i="3"/>
  <c r="Q257" i="3"/>
  <c r="Q258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49" i="3"/>
  <c r="U250" i="3"/>
  <c r="U251" i="3"/>
  <c r="U252" i="3"/>
  <c r="U253" i="3"/>
  <c r="U254" i="3"/>
  <c r="U255" i="3"/>
  <c r="U256" i="3"/>
  <c r="U257" i="3"/>
  <c r="U258" i="3"/>
  <c r="U246" i="3"/>
  <c r="U247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47" i="3"/>
  <c r="Y249" i="3"/>
  <c r="Y250" i="3"/>
  <c r="Y251" i="3"/>
  <c r="Y252" i="3"/>
  <c r="Y253" i="3"/>
  <c r="Y254" i="3"/>
  <c r="Y255" i="3"/>
  <c r="Y256" i="3"/>
  <c r="Y257" i="3"/>
  <c r="Y258" i="3"/>
  <c r="Y248" i="3"/>
  <c r="AC216" i="3"/>
  <c r="AC218" i="3"/>
  <c r="AC219" i="3"/>
  <c r="AC222" i="3"/>
  <c r="AC224" i="3"/>
  <c r="AC226" i="3"/>
  <c r="AC227" i="3"/>
  <c r="AC228" i="3"/>
  <c r="AC246" i="3"/>
  <c r="AC248" i="3"/>
  <c r="AC252" i="3"/>
  <c r="AC257" i="3"/>
  <c r="AC258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48" i="3"/>
  <c r="AG246" i="3"/>
  <c r="AG247" i="3"/>
  <c r="AG249" i="3"/>
  <c r="AG250" i="3"/>
  <c r="AG251" i="3"/>
  <c r="AG252" i="3"/>
  <c r="AG253" i="3"/>
  <c r="AG254" i="3"/>
  <c r="AG255" i="3"/>
  <c r="AG256" i="3"/>
  <c r="AG257" i="3"/>
  <c r="AG258" i="3"/>
  <c r="AK216" i="3"/>
  <c r="AK218" i="3"/>
  <c r="AK219" i="3"/>
  <c r="AK222" i="3"/>
  <c r="AK224" i="3"/>
  <c r="AK233" i="3"/>
  <c r="AK227" i="3"/>
  <c r="AK228" i="3"/>
  <c r="AK232" i="3"/>
  <c r="AK234" i="3"/>
  <c r="AK226" i="3"/>
  <c r="AK236" i="3"/>
  <c r="AK237" i="3"/>
  <c r="AK238" i="3"/>
  <c r="AK239" i="3"/>
  <c r="AK240" i="3"/>
  <c r="AK243" i="3"/>
  <c r="AK244" i="3"/>
  <c r="AK257" i="3"/>
  <c r="AK258" i="3"/>
  <c r="AO216" i="3"/>
  <c r="AO218" i="3"/>
  <c r="AO219" i="3"/>
  <c r="AO222" i="3"/>
  <c r="AO224" i="3"/>
  <c r="AO226" i="3"/>
  <c r="AO232" i="3"/>
  <c r="AO234" i="3"/>
  <c r="AO236" i="3"/>
  <c r="AO233" i="3"/>
  <c r="AO228" i="3"/>
  <c r="AO237" i="3"/>
  <c r="AO245" i="3"/>
  <c r="AO246" i="3"/>
  <c r="AO227" i="3"/>
  <c r="AO238" i="3"/>
  <c r="AO239" i="3"/>
  <c r="AO240" i="3"/>
  <c r="AO243" i="3"/>
  <c r="AO244" i="3"/>
  <c r="AO252" i="3"/>
  <c r="AO257" i="3"/>
  <c r="AO258" i="3"/>
  <c r="AO248" i="3"/>
  <c r="AS214" i="3"/>
  <c r="AS215" i="3"/>
  <c r="AS216" i="3"/>
  <c r="AS217" i="3"/>
  <c r="AS218" i="3"/>
  <c r="AS219" i="3"/>
  <c r="AS220" i="3"/>
  <c r="AS221" i="3"/>
  <c r="AS222" i="3"/>
  <c r="AS223" i="3"/>
  <c r="AS224" i="3"/>
  <c r="AS226" i="3"/>
  <c r="AS225" i="3"/>
  <c r="AS227" i="3"/>
  <c r="AS228" i="3"/>
  <c r="AS230" i="3"/>
  <c r="AS233" i="3"/>
  <c r="AS231" i="3"/>
  <c r="AS235" i="3"/>
  <c r="AS232" i="3"/>
  <c r="AS234" i="3"/>
  <c r="AS237" i="3"/>
  <c r="AS229" i="3"/>
  <c r="AS236" i="3"/>
  <c r="AS245" i="3"/>
  <c r="AS253" i="3"/>
  <c r="AS254" i="3"/>
  <c r="AS255" i="3"/>
  <c r="AS258" i="3"/>
  <c r="AS238" i="3"/>
  <c r="AS239" i="3"/>
  <c r="AS240" i="3"/>
  <c r="AS241" i="3"/>
  <c r="AS242" i="3"/>
  <c r="AS243" i="3"/>
  <c r="AS244" i="3"/>
  <c r="AW214" i="3"/>
  <c r="AW215" i="3"/>
  <c r="AW216" i="3"/>
  <c r="AW217" i="3"/>
  <c r="AW218" i="3"/>
  <c r="AW219" i="3"/>
  <c r="AW220" i="3"/>
  <c r="AW221" i="3"/>
  <c r="AW222" i="3"/>
  <c r="AW223" i="3"/>
  <c r="AW224" i="3"/>
  <c r="AW226" i="3"/>
  <c r="AW225" i="3"/>
  <c r="AW232" i="3"/>
  <c r="AW234" i="3"/>
  <c r="AW227" i="3"/>
  <c r="AW229" i="3"/>
  <c r="AW228" i="3"/>
  <c r="AW230" i="3"/>
  <c r="AW233" i="3"/>
  <c r="AW231" i="3"/>
  <c r="AW235" i="3"/>
  <c r="AW236" i="3"/>
  <c r="AW246" i="3"/>
  <c r="AW237" i="3"/>
  <c r="AW253" i="3"/>
  <c r="AW254" i="3"/>
  <c r="AW255" i="3"/>
  <c r="AW256" i="3"/>
  <c r="AW257" i="3"/>
  <c r="AW258" i="3"/>
  <c r="AW245" i="3"/>
  <c r="BA216" i="3"/>
  <c r="BA218" i="3"/>
  <c r="BA219" i="3"/>
  <c r="BA222" i="3"/>
  <c r="BA224" i="3"/>
  <c r="BA228" i="3"/>
  <c r="BA233" i="3"/>
  <c r="BA236" i="3"/>
  <c r="BA226" i="3"/>
  <c r="BA227" i="3"/>
  <c r="BA232" i="3"/>
  <c r="BA234" i="3"/>
  <c r="BA237" i="3"/>
  <c r="BA238" i="3"/>
  <c r="BA239" i="3"/>
  <c r="BA240" i="3"/>
  <c r="BA243" i="3"/>
  <c r="BA244" i="3"/>
  <c r="BA258" i="3"/>
  <c r="BE216" i="3"/>
  <c r="BE218" i="3"/>
  <c r="BE219" i="3"/>
  <c r="BE222" i="3"/>
  <c r="BE224" i="3"/>
  <c r="BE232" i="3"/>
  <c r="BE234" i="3"/>
  <c r="BE236" i="3"/>
  <c r="BE228" i="3"/>
  <c r="BE233" i="3"/>
  <c r="BE227" i="3"/>
  <c r="BE237" i="3"/>
  <c r="BE245" i="3"/>
  <c r="BE238" i="3"/>
  <c r="BE239" i="3"/>
  <c r="BE240" i="3"/>
  <c r="BE243" i="3"/>
  <c r="BE244" i="3"/>
  <c r="BE257" i="3"/>
  <c r="BE258" i="3"/>
  <c r="BI214" i="3"/>
  <c r="BI215" i="3"/>
  <c r="BI216" i="3"/>
  <c r="BI217" i="3"/>
  <c r="BI218" i="3"/>
  <c r="BI219" i="3"/>
  <c r="BI220" i="3"/>
  <c r="BI221" i="3"/>
  <c r="BI222" i="3"/>
  <c r="BI223" i="3"/>
  <c r="BI224" i="3"/>
  <c r="BI225" i="3"/>
  <c r="BI226" i="3"/>
  <c r="BI227" i="3"/>
  <c r="BI228" i="3"/>
  <c r="BI233" i="3"/>
  <c r="BI229" i="3"/>
  <c r="BI230" i="3"/>
  <c r="BI232" i="3"/>
  <c r="BI234" i="3"/>
  <c r="BI231" i="3"/>
  <c r="BI236" i="3"/>
  <c r="BI237" i="3"/>
  <c r="BI235" i="3"/>
  <c r="BI247" i="3"/>
  <c r="BI245" i="3"/>
  <c r="BI248" i="3"/>
  <c r="BI249" i="3"/>
  <c r="BI250" i="3"/>
  <c r="BI251" i="3"/>
  <c r="BI252" i="3"/>
  <c r="BI253" i="3"/>
  <c r="BI254" i="3"/>
  <c r="BI255" i="3"/>
  <c r="BI256" i="3"/>
  <c r="BI257" i="3"/>
  <c r="BI258" i="3"/>
  <c r="BI238" i="3"/>
  <c r="BI239" i="3"/>
  <c r="BI240" i="3"/>
  <c r="BI241" i="3"/>
  <c r="BI242" i="3"/>
  <c r="BI243" i="3"/>
  <c r="BI244" i="3"/>
  <c r="BI246" i="3"/>
  <c r="F215" i="3"/>
  <c r="J215" i="3"/>
  <c r="N215" i="3"/>
  <c r="F216" i="3"/>
  <c r="J216" i="3"/>
  <c r="N216" i="3"/>
  <c r="F217" i="3"/>
  <c r="J217" i="3"/>
  <c r="N217" i="3"/>
  <c r="E218" i="3"/>
  <c r="J218" i="3"/>
  <c r="N218" i="3"/>
  <c r="E219" i="3"/>
  <c r="J219" i="3"/>
  <c r="N219" i="3"/>
  <c r="J220" i="3"/>
  <c r="N220" i="3"/>
  <c r="J221" i="3"/>
  <c r="N221" i="3"/>
  <c r="E222" i="3"/>
  <c r="I222" i="3"/>
  <c r="N222" i="3"/>
  <c r="N223" i="3"/>
  <c r="E224" i="3"/>
  <c r="I224" i="3"/>
  <c r="N224" i="3"/>
  <c r="N225" i="3"/>
  <c r="E226" i="3"/>
  <c r="I226" i="3"/>
  <c r="M226" i="3"/>
  <c r="U230" i="3"/>
  <c r="Y230" i="3"/>
  <c r="AG230" i="3"/>
  <c r="V231" i="3"/>
  <c r="Z231" i="3"/>
  <c r="R232" i="3"/>
  <c r="BF232" i="3"/>
  <c r="X233" i="3"/>
  <c r="AB233" i="3"/>
  <c r="AF233" i="3"/>
  <c r="T234" i="3"/>
  <c r="Y234" i="3"/>
  <c r="AC234" i="3"/>
  <c r="AG234" i="3"/>
  <c r="U235" i="3"/>
  <c r="Z235" i="3"/>
  <c r="BF235" i="3"/>
  <c r="AB236" i="3"/>
  <c r="AF236" i="3"/>
  <c r="T237" i="3"/>
  <c r="X237" i="3"/>
  <c r="AC237" i="3"/>
  <c r="AG237" i="3"/>
  <c r="Q238" i="3"/>
  <c r="Y238" i="3"/>
  <c r="AD238" i="3"/>
  <c r="BB238" i="3"/>
  <c r="R239" i="3"/>
  <c r="V239" i="3"/>
  <c r="Z239" i="3"/>
  <c r="BF239" i="3"/>
  <c r="AF240" i="3"/>
  <c r="T241" i="3"/>
  <c r="X241" i="3"/>
  <c r="AB241" i="3"/>
  <c r="AG241" i="3"/>
  <c r="U242" i="3"/>
  <c r="Y242" i="3"/>
  <c r="R243" i="3"/>
  <c r="V243" i="3"/>
  <c r="Z243" i="3"/>
  <c r="AD243" i="3"/>
  <c r="T244" i="3"/>
  <c r="X244" i="3"/>
  <c r="AB244" i="3"/>
  <c r="Q245" i="3"/>
  <c r="Y245" i="3"/>
  <c r="AC245" i="3"/>
  <c r="BB245" i="3"/>
  <c r="AR246" i="3"/>
  <c r="AV246" i="3"/>
  <c r="BD246" i="3"/>
  <c r="AW247" i="3"/>
  <c r="AR248" i="3"/>
  <c r="AV248" i="3"/>
  <c r="AN249" i="3"/>
  <c r="AH250" i="3"/>
  <c r="AT250" i="3"/>
  <c r="AS251" i="3"/>
  <c r="AW251" i="3"/>
  <c r="BD251" i="3"/>
  <c r="AJ252" i="3"/>
  <c r="AR252" i="3"/>
  <c r="AV252" i="3"/>
  <c r="AT257" i="3"/>
  <c r="B234" i="3"/>
  <c r="BC258" i="3"/>
  <c r="AQ258" i="3"/>
  <c r="AA258" i="3"/>
  <c r="K258" i="3"/>
  <c r="BC257" i="3"/>
  <c r="AQ257" i="3"/>
  <c r="AA257" i="3"/>
  <c r="K257" i="3"/>
  <c r="G256" i="3"/>
  <c r="G255" i="3"/>
  <c r="G254" i="3"/>
  <c r="G253" i="3"/>
  <c r="AA252" i="3"/>
  <c r="K252" i="3"/>
  <c r="G251" i="3"/>
  <c r="G250" i="3"/>
  <c r="G249" i="3"/>
  <c r="U248" i="3"/>
  <c r="BG247" i="3"/>
  <c r="BC246" i="3"/>
  <c r="Y246" i="3"/>
  <c r="AW243" i="3"/>
  <c r="E243" i="3"/>
  <c r="AG240" i="3"/>
  <c r="AW239" i="3"/>
  <c r="E239" i="3"/>
  <c r="BE226" i="3"/>
  <c r="BG239" i="3"/>
  <c r="T240" i="3"/>
  <c r="X240" i="3"/>
  <c r="V242" i="3"/>
  <c r="Z242" i="3"/>
  <c r="AE242" i="3"/>
  <c r="BF242" i="3"/>
  <c r="S243" i="3"/>
  <c r="W243" i="3"/>
  <c r="AA243" i="3"/>
  <c r="AF243" i="3"/>
  <c r="BB244" i="3"/>
  <c r="R245" i="3"/>
  <c r="V245" i="3"/>
  <c r="Z245" i="3"/>
  <c r="AD245" i="3"/>
  <c r="BF245" i="3"/>
  <c r="AL246" i="3"/>
  <c r="AX246" i="3"/>
  <c r="AL248" i="3"/>
  <c r="AE241" i="3"/>
  <c r="BF241" i="3"/>
  <c r="AA242" i="3"/>
  <c r="AF242" i="3"/>
  <c r="BG242" i="3"/>
  <c r="T243" i="3"/>
  <c r="X243" i="3"/>
  <c r="AB243" i="3"/>
  <c r="R244" i="3"/>
  <c r="V244" i="3"/>
  <c r="Z244" i="3"/>
  <c r="AD244" i="3"/>
  <c r="BF244" i="3"/>
  <c r="S245" i="3"/>
  <c r="W245" i="3"/>
  <c r="AA245" i="3"/>
  <c r="AE245" i="3"/>
  <c r="AI246" i="3"/>
  <c r="AM246" i="3"/>
  <c r="AT246" i="3"/>
  <c r="AH247" i="3"/>
  <c r="AT247" i="3"/>
  <c r="AH248" i="3"/>
  <c r="Y235" i="3"/>
  <c r="R236" i="3"/>
  <c r="V236" i="3"/>
  <c r="AA236" i="3"/>
  <c r="AE236" i="3"/>
  <c r="BF236" i="3"/>
  <c r="S237" i="3"/>
  <c r="W237" i="3"/>
  <c r="AF237" i="3"/>
  <c r="BG237" i="3"/>
  <c r="T238" i="3"/>
  <c r="X238" i="3"/>
  <c r="AD239" i="3"/>
  <c r="BB239" i="3"/>
  <c r="R240" i="3"/>
  <c r="V240" i="3"/>
  <c r="Z240" i="3"/>
  <c r="AE240" i="3"/>
  <c r="BF240" i="3"/>
  <c r="AA241" i="3"/>
  <c r="AF241" i="3"/>
  <c r="BG241" i="3"/>
  <c r="T242" i="3"/>
  <c r="X242" i="3"/>
  <c r="AB242" i="3"/>
  <c r="BB243" i="3"/>
  <c r="S244" i="3"/>
  <c r="W244" i="3"/>
  <c r="AA244" i="3"/>
  <c r="AE244" i="3"/>
  <c r="BG244" i="3"/>
  <c r="T245" i="3"/>
  <c r="X245" i="3"/>
  <c r="AB245" i="3"/>
  <c r="AF245" i="3"/>
  <c r="AJ246" i="3"/>
  <c r="AN246" i="3"/>
  <c r="AJ247" i="3"/>
  <c r="AN247" i="3"/>
  <c r="AV247" i="3"/>
  <c r="Y126" i="3"/>
  <c r="AT111" i="3"/>
  <c r="I111" i="3"/>
  <c r="M111" i="3"/>
  <c r="AD112" i="3"/>
  <c r="M112" i="3"/>
  <c r="M114" i="3"/>
  <c r="AP117" i="3"/>
  <c r="AZ121" i="3"/>
  <c r="AP123" i="3"/>
  <c r="E123" i="3"/>
  <c r="R126" i="3"/>
  <c r="Z126" i="3"/>
  <c r="AC129" i="3"/>
  <c r="Q130" i="3"/>
  <c r="Z130" i="3"/>
  <c r="AT135" i="3"/>
  <c r="X141" i="3"/>
  <c r="AX144" i="3"/>
  <c r="L153" i="3"/>
  <c r="E162" i="3"/>
  <c r="I162" i="3"/>
  <c r="M162" i="3"/>
  <c r="AY162" i="3"/>
  <c r="K163" i="3"/>
  <c r="B165" i="3"/>
  <c r="K165" i="3"/>
  <c r="K168" i="3"/>
  <c r="K169" i="3"/>
  <c r="AC177" i="3"/>
  <c r="Q178" i="3"/>
  <c r="W179" i="3"/>
  <c r="Q189" i="3"/>
  <c r="BA195" i="3"/>
  <c r="AR197" i="3"/>
  <c r="BC197" i="3"/>
  <c r="AI198" i="3"/>
  <c r="BA198" i="3"/>
  <c r="BE199" i="3"/>
  <c r="AO202" i="3"/>
  <c r="AZ111" i="3"/>
  <c r="N7" i="3"/>
  <c r="BF112" i="3"/>
  <c r="AX113" i="3"/>
  <c r="D118" i="3"/>
  <c r="H118" i="3"/>
  <c r="F119" i="3"/>
  <c r="L121" i="3"/>
  <c r="B123" i="3"/>
  <c r="B124" i="3"/>
  <c r="BF126" i="3"/>
  <c r="AL127" i="3"/>
  <c r="T127" i="3"/>
  <c r="X127" i="3"/>
  <c r="AB127" i="3"/>
  <c r="AF127" i="3"/>
  <c r="Y128" i="3"/>
  <c r="AG128" i="3"/>
  <c r="V129" i="3"/>
  <c r="AD129" i="3"/>
  <c r="BB129" i="3"/>
  <c r="R130" i="3"/>
  <c r="AX132" i="3"/>
  <c r="Z136" i="3"/>
  <c r="BF136" i="3"/>
  <c r="AR153" i="3"/>
  <c r="P154" i="3"/>
  <c r="AI199" i="3"/>
  <c r="B113" i="3"/>
  <c r="C117" i="3"/>
  <c r="L16" i="3"/>
  <c r="T121" i="3"/>
  <c r="AD125" i="3"/>
  <c r="P143" i="3"/>
  <c r="H202" i="3"/>
  <c r="H204" i="3"/>
  <c r="H201" i="3"/>
  <c r="H203" i="3"/>
  <c r="AR202" i="3"/>
  <c r="AR204" i="3"/>
  <c r="S189" i="3"/>
  <c r="W189" i="3"/>
  <c r="E131" i="3"/>
  <c r="E152" i="3"/>
  <c r="E149" i="3"/>
  <c r="E145" i="3"/>
  <c r="E144" i="3"/>
  <c r="AO143" i="3"/>
  <c r="AO132" i="3"/>
  <c r="AO147" i="3"/>
  <c r="E111" i="3"/>
  <c r="AC113" i="3"/>
  <c r="BI113" i="3"/>
  <c r="AO120" i="3"/>
  <c r="AG123" i="3"/>
  <c r="AK124" i="3"/>
  <c r="AG126" i="3"/>
  <c r="U128" i="3"/>
  <c r="BA129" i="3"/>
  <c r="Y130" i="3"/>
  <c r="BE146" i="3"/>
  <c r="B139" i="3"/>
  <c r="B154" i="3"/>
  <c r="B138" i="3"/>
  <c r="F140" i="3"/>
  <c r="F137" i="3"/>
  <c r="F133" i="3"/>
  <c r="F139" i="3"/>
  <c r="F135" i="3"/>
  <c r="J144" i="3"/>
  <c r="J138" i="3"/>
  <c r="J134" i="3"/>
  <c r="J140" i="3"/>
  <c r="J136" i="3"/>
  <c r="N151" i="3"/>
  <c r="N139" i="3"/>
  <c r="N153" i="3"/>
  <c r="R139" i="3"/>
  <c r="R144" i="3"/>
  <c r="R140" i="3"/>
  <c r="R136" i="3"/>
  <c r="R154" i="3"/>
  <c r="V140" i="3"/>
  <c r="V151" i="3"/>
  <c r="Z144" i="3"/>
  <c r="Z138" i="3"/>
  <c r="AD151" i="3"/>
  <c r="AD153" i="3"/>
  <c r="AD137" i="3"/>
  <c r="AH139" i="3"/>
  <c r="AH154" i="3"/>
  <c r="AH138" i="3"/>
  <c r="AL140" i="3"/>
  <c r="AL137" i="3"/>
  <c r="AL133" i="3"/>
  <c r="AL151" i="3"/>
  <c r="AL139" i="3"/>
  <c r="AL135" i="3"/>
  <c r="AP144" i="3"/>
  <c r="AP138" i="3"/>
  <c r="AP134" i="3"/>
  <c r="AP130" i="3"/>
  <c r="AP140" i="3"/>
  <c r="AP136" i="3"/>
  <c r="AT151" i="3"/>
  <c r="AT139" i="3"/>
  <c r="AT153" i="3"/>
  <c r="AX139" i="3"/>
  <c r="AX140" i="3"/>
  <c r="AX136" i="3"/>
  <c r="BB123" i="3"/>
  <c r="BB151" i="3"/>
  <c r="BB137" i="3"/>
  <c r="BB133" i="3"/>
  <c r="BF144" i="3"/>
  <c r="BF140" i="3"/>
  <c r="BF154" i="3"/>
  <c r="BF138" i="3"/>
  <c r="BF134" i="3"/>
  <c r="BJ151" i="3"/>
  <c r="BJ153" i="3"/>
  <c r="BJ137" i="3"/>
  <c r="U111" i="3"/>
  <c r="AC111" i="3"/>
  <c r="AO111" i="3"/>
  <c r="BJ111" i="3"/>
  <c r="J111" i="3"/>
  <c r="BA111" i="3"/>
  <c r="Y112" i="3"/>
  <c r="AK112" i="3"/>
  <c r="AT112" i="3"/>
  <c r="BI112" i="3"/>
  <c r="AG113" i="3"/>
  <c r="AP113" i="3"/>
  <c r="BA113" i="3"/>
  <c r="E114" i="3"/>
  <c r="AK114" i="3"/>
  <c r="B114" i="3"/>
  <c r="N116" i="3"/>
  <c r="AT116" i="3"/>
  <c r="R117" i="3"/>
  <c r="AX117" i="3"/>
  <c r="V118" i="3"/>
  <c r="BB118" i="3"/>
  <c r="N119" i="3"/>
  <c r="Y119" i="3"/>
  <c r="AK119" i="3"/>
  <c r="AT119" i="3"/>
  <c r="BE119" i="3"/>
  <c r="Q120" i="3"/>
  <c r="AW120" i="3"/>
  <c r="AH122" i="3"/>
  <c r="B122" i="3"/>
  <c r="M123" i="3"/>
  <c r="Y123" i="3"/>
  <c r="AH123" i="3"/>
  <c r="AS123" i="3"/>
  <c r="M124" i="3"/>
  <c r="AS124" i="3"/>
  <c r="F125" i="3"/>
  <c r="AL125" i="3"/>
  <c r="B126" i="3"/>
  <c r="AH126" i="3"/>
  <c r="AX126" i="3"/>
  <c r="M127" i="3"/>
  <c r="AC127" i="3"/>
  <c r="AS127" i="3"/>
  <c r="BI127" i="3"/>
  <c r="AW128" i="3"/>
  <c r="F129" i="3"/>
  <c r="AL129" i="3"/>
  <c r="J130" i="3"/>
  <c r="BF130" i="3"/>
  <c r="N131" i="3"/>
  <c r="AL131" i="3"/>
  <c r="BI131" i="3"/>
  <c r="Z132" i="3"/>
  <c r="BF132" i="3"/>
  <c r="Y132" i="3"/>
  <c r="AC132" i="3"/>
  <c r="AG132" i="3"/>
  <c r="AD133" i="3"/>
  <c r="V133" i="3"/>
  <c r="AH134" i="3"/>
  <c r="BJ135" i="3"/>
  <c r="B136" i="3"/>
  <c r="V137" i="3"/>
  <c r="BJ139" i="3"/>
  <c r="B140" i="3"/>
  <c r="AH144" i="3"/>
  <c r="BA145" i="3"/>
  <c r="BA148" i="3"/>
  <c r="AK149" i="3"/>
  <c r="B204" i="3"/>
  <c r="B203" i="3"/>
  <c r="B199" i="3"/>
  <c r="B195" i="3"/>
  <c r="B183" i="3"/>
  <c r="B179" i="3"/>
  <c r="B202" i="3"/>
  <c r="B198" i="3"/>
  <c r="B190" i="3"/>
  <c r="B178" i="3"/>
  <c r="B162" i="3"/>
  <c r="B201" i="3"/>
  <c r="B189" i="3"/>
  <c r="B177" i="3"/>
  <c r="B197" i="3"/>
  <c r="R162" i="3"/>
  <c r="R163" i="3"/>
  <c r="R173" i="3"/>
  <c r="R168" i="3"/>
  <c r="R169" i="3"/>
  <c r="R171" i="3"/>
  <c r="R195" i="3"/>
  <c r="R197" i="3"/>
  <c r="R198" i="3"/>
  <c r="R199" i="3"/>
  <c r="R201" i="3"/>
  <c r="R202" i="3"/>
  <c r="R203" i="3"/>
  <c r="R204" i="3"/>
  <c r="R178" i="3"/>
  <c r="AD165" i="3"/>
  <c r="AD162" i="3"/>
  <c r="AD163" i="3"/>
  <c r="AD173" i="3"/>
  <c r="AD190" i="3"/>
  <c r="AD195" i="3"/>
  <c r="AD197" i="3"/>
  <c r="AD198" i="3"/>
  <c r="AD199" i="3"/>
  <c r="AD168" i="3"/>
  <c r="AD169" i="3"/>
  <c r="AD171" i="3"/>
  <c r="AD201" i="3"/>
  <c r="AD202" i="3"/>
  <c r="AD203" i="3"/>
  <c r="AD204" i="3"/>
  <c r="AL173" i="3"/>
  <c r="AL178" i="3"/>
  <c r="AL168" i="3"/>
  <c r="AL169" i="3"/>
  <c r="AL171" i="3"/>
  <c r="AL165" i="3"/>
  <c r="AL179" i="3"/>
  <c r="AL183" i="3"/>
  <c r="AL189" i="3"/>
  <c r="AL190" i="3"/>
  <c r="AL198" i="3"/>
  <c r="AL162" i="3"/>
  <c r="AL163" i="3"/>
  <c r="AL201" i="3"/>
  <c r="AL202" i="3"/>
  <c r="AL203" i="3"/>
  <c r="AL204" i="3"/>
  <c r="AL177" i="3"/>
  <c r="AP165" i="3"/>
  <c r="AP162" i="3"/>
  <c r="AP163" i="3"/>
  <c r="AP173" i="3"/>
  <c r="AP177" i="3"/>
  <c r="AP179" i="3"/>
  <c r="AP183" i="3"/>
  <c r="AP189" i="3"/>
  <c r="AP190" i="3"/>
  <c r="AP195" i="3"/>
  <c r="AP197" i="3"/>
  <c r="AP198" i="3"/>
  <c r="AP199" i="3"/>
  <c r="AP169" i="3"/>
  <c r="AP171" i="3"/>
  <c r="AP202" i="3"/>
  <c r="AP204" i="3"/>
  <c r="AP178" i="3"/>
  <c r="AP168" i="3"/>
  <c r="AX173" i="3"/>
  <c r="AX177" i="3"/>
  <c r="AX168" i="3"/>
  <c r="AX169" i="3"/>
  <c r="AX171" i="3"/>
  <c r="AX165" i="3"/>
  <c r="AX178" i="3"/>
  <c r="AX179" i="3"/>
  <c r="AX183" i="3"/>
  <c r="AX189" i="3"/>
  <c r="AX190" i="3"/>
  <c r="AX195" i="3"/>
  <c r="AX162" i="3"/>
  <c r="AX163" i="3"/>
  <c r="AX201" i="3"/>
  <c r="AX202" i="3"/>
  <c r="AX203" i="3"/>
  <c r="AX204" i="3"/>
  <c r="BB165" i="3"/>
  <c r="BB163" i="3"/>
  <c r="BB173" i="3"/>
  <c r="BB183" i="3"/>
  <c r="BB195" i="3"/>
  <c r="BB197" i="3"/>
  <c r="BB198" i="3"/>
  <c r="BB199" i="3"/>
  <c r="BB201" i="3"/>
  <c r="BB202" i="3"/>
  <c r="BB203" i="3"/>
  <c r="BB204" i="3"/>
  <c r="BB168" i="3"/>
  <c r="BB171" i="3"/>
  <c r="B163" i="3"/>
  <c r="B168" i="3"/>
  <c r="B169" i="3"/>
  <c r="B171" i="3"/>
  <c r="B173" i="3"/>
  <c r="AD178" i="3"/>
  <c r="BB178" i="3"/>
  <c r="R179" i="3"/>
  <c r="R183" i="3"/>
  <c r="AD189" i="3"/>
  <c r="BB189" i="3"/>
  <c r="R190" i="3"/>
  <c r="AL195" i="3"/>
  <c r="AL199" i="3"/>
  <c r="AX199" i="3"/>
  <c r="BB169" i="3"/>
  <c r="I147" i="3"/>
  <c r="I143" i="3"/>
  <c r="I132" i="3"/>
  <c r="I150" i="3"/>
  <c r="I146" i="3"/>
  <c r="Q143" i="3"/>
  <c r="Q132" i="3"/>
  <c r="U152" i="3"/>
  <c r="U131" i="3"/>
  <c r="U149" i="3"/>
  <c r="U145" i="3"/>
  <c r="U148" i="3"/>
  <c r="Y150" i="3"/>
  <c r="Y146" i="3"/>
  <c r="Y143" i="3"/>
  <c r="AK145" i="3"/>
  <c r="AK131" i="3"/>
  <c r="AK148" i="3"/>
  <c r="AW143" i="3"/>
  <c r="AW132" i="3"/>
  <c r="BA131" i="3"/>
  <c r="BA152" i="3"/>
  <c r="BE143" i="3"/>
  <c r="BE132" i="3"/>
  <c r="BE147" i="3"/>
  <c r="BE150" i="3"/>
  <c r="AK111" i="3"/>
  <c r="BI111" i="3"/>
  <c r="E112" i="3"/>
  <c r="AO113" i="3"/>
  <c r="AC114" i="3"/>
  <c r="M119" i="3"/>
  <c r="U123" i="3"/>
  <c r="BA123" i="3"/>
  <c r="E124" i="3"/>
  <c r="Q126" i="3"/>
  <c r="U129" i="3"/>
  <c r="AO130" i="3"/>
  <c r="V111" i="3"/>
  <c r="AD111" i="3"/>
  <c r="AP111" i="3"/>
  <c r="BE111" i="3"/>
  <c r="Z112" i="3"/>
  <c r="AO112" i="3"/>
  <c r="BA112" i="3"/>
  <c r="BJ112" i="3"/>
  <c r="F112" i="3"/>
  <c r="N8" i="3"/>
  <c r="M113" i="3"/>
  <c r="V113" i="3"/>
  <c r="AH113" i="3"/>
  <c r="AS113" i="3"/>
  <c r="BE113" i="3"/>
  <c r="AS114" i="3"/>
  <c r="AV115" i="3"/>
  <c r="V116" i="3"/>
  <c r="BB116" i="3"/>
  <c r="D116" i="3"/>
  <c r="Z117" i="3"/>
  <c r="BF117" i="3"/>
  <c r="AD118" i="3"/>
  <c r="BJ118" i="3"/>
  <c r="Q119" i="3"/>
  <c r="AC119" i="3"/>
  <c r="AL119" i="3"/>
  <c r="AW119" i="3"/>
  <c r="BI119" i="3"/>
  <c r="Y120" i="3"/>
  <c r="BE120" i="3"/>
  <c r="BH121" i="3"/>
  <c r="E121" i="3"/>
  <c r="I121" i="3"/>
  <c r="AP122" i="3"/>
  <c r="Q123" i="3"/>
  <c r="Z123" i="3"/>
  <c r="AK123" i="3"/>
  <c r="AW123" i="3"/>
  <c r="BF123" i="3"/>
  <c r="U124" i="3"/>
  <c r="BA124" i="3"/>
  <c r="N125" i="3"/>
  <c r="AT125" i="3"/>
  <c r="I126" i="3"/>
  <c r="AO126" i="3"/>
  <c r="BE126" i="3"/>
  <c r="N127" i="3"/>
  <c r="AT127" i="3"/>
  <c r="BJ127" i="3"/>
  <c r="Y127" i="3"/>
  <c r="AG127" i="3"/>
  <c r="B128" i="3"/>
  <c r="R128" i="3"/>
  <c r="AH128" i="3"/>
  <c r="AX128" i="3"/>
  <c r="M129" i="3"/>
  <c r="AS129" i="3"/>
  <c r="BI129" i="3"/>
  <c r="AG130" i="3"/>
  <c r="AX130" i="3"/>
  <c r="V131" i="3"/>
  <c r="AS131" i="3"/>
  <c r="BJ131" i="3"/>
  <c r="AG131" i="3"/>
  <c r="B132" i="3"/>
  <c r="AH132" i="3"/>
  <c r="AT133" i="3"/>
  <c r="AX134" i="3"/>
  <c r="N135" i="3"/>
  <c r="BB135" i="3"/>
  <c r="AH136" i="3"/>
  <c r="N137" i="3"/>
  <c r="BB139" i="3"/>
  <c r="AH140" i="3"/>
  <c r="F151" i="3"/>
  <c r="BB154" i="3"/>
  <c r="U112" i="3"/>
  <c r="AS112" i="3"/>
  <c r="BI114" i="3"/>
  <c r="AG119" i="3"/>
  <c r="AS119" i="3"/>
  <c r="I120" i="3"/>
  <c r="AW126" i="3"/>
  <c r="AC128" i="3"/>
  <c r="E129" i="3"/>
  <c r="AK129" i="3"/>
  <c r="I130" i="3"/>
  <c r="H154" i="3"/>
  <c r="H143" i="3"/>
  <c r="H141" i="3"/>
  <c r="P121" i="3"/>
  <c r="P141" i="3"/>
  <c r="AB143" i="3"/>
  <c r="AB153" i="3"/>
  <c r="AF121" i="3"/>
  <c r="AF154" i="3"/>
  <c r="AF141" i="3"/>
  <c r="AN154" i="3"/>
  <c r="AN143" i="3"/>
  <c r="AN141" i="3"/>
  <c r="AV121" i="3"/>
  <c r="AV141" i="3"/>
  <c r="BD121" i="3"/>
  <c r="BD143" i="3"/>
  <c r="B111" i="3"/>
  <c r="Q111" i="3"/>
  <c r="Y111" i="3"/>
  <c r="AJ111" i="3"/>
  <c r="BF111" i="3"/>
  <c r="N112" i="3"/>
  <c r="AC112" i="3"/>
  <c r="AP112" i="3"/>
  <c r="BE112" i="3"/>
  <c r="G8" i="3"/>
  <c r="Q113" i="3"/>
  <c r="AB113" i="3"/>
  <c r="AK113" i="3"/>
  <c r="AW113" i="3"/>
  <c r="BF113" i="3"/>
  <c r="I113" i="3"/>
  <c r="U114" i="3"/>
  <c r="BA114" i="3"/>
  <c r="I114" i="3"/>
  <c r="X115" i="3"/>
  <c r="BD115" i="3"/>
  <c r="AD116" i="3"/>
  <c r="BJ116" i="3"/>
  <c r="AH117" i="3"/>
  <c r="K117" i="3"/>
  <c r="F118" i="3"/>
  <c r="AL118" i="3"/>
  <c r="U119" i="3"/>
  <c r="AD119" i="3"/>
  <c r="AO119" i="3"/>
  <c r="BA119" i="3"/>
  <c r="BJ119" i="3"/>
  <c r="N15" i="3"/>
  <c r="AG120" i="3"/>
  <c r="AJ121" i="3"/>
  <c r="R122" i="3"/>
  <c r="AX122" i="3"/>
  <c r="I123" i="3"/>
  <c r="R123" i="3"/>
  <c r="AC123" i="3"/>
  <c r="AO123" i="3"/>
  <c r="AX123" i="3"/>
  <c r="BI123" i="3"/>
  <c r="AC124" i="3"/>
  <c r="V125" i="3"/>
  <c r="BB125" i="3"/>
  <c r="J126" i="3"/>
  <c r="AP126" i="3"/>
  <c r="U126" i="3"/>
  <c r="AC126" i="3"/>
  <c r="E127" i="3"/>
  <c r="U127" i="3"/>
  <c r="AK127" i="3"/>
  <c r="BA127" i="3"/>
  <c r="I128" i="3"/>
  <c r="AO128" i="3"/>
  <c r="BE128" i="3"/>
  <c r="N129" i="3"/>
  <c r="AT129" i="3"/>
  <c r="BJ129" i="3"/>
  <c r="Y129" i="3"/>
  <c r="B130" i="3"/>
  <c r="AH130" i="3"/>
  <c r="BE130" i="3"/>
  <c r="F131" i="3"/>
  <c r="AT131" i="3"/>
  <c r="J132" i="3"/>
  <c r="AP132" i="3"/>
  <c r="BJ133" i="3"/>
  <c r="B134" i="3"/>
  <c r="Z134" i="3"/>
  <c r="AD134" i="3"/>
  <c r="BB134" i="3"/>
  <c r="AD135" i="3"/>
  <c r="V135" i="3"/>
  <c r="AD136" i="3"/>
  <c r="BB136" i="3"/>
  <c r="AT137" i="3"/>
  <c r="R138" i="3"/>
  <c r="V139" i="3"/>
  <c r="BB140" i="3"/>
  <c r="AT143" i="3"/>
  <c r="D144" i="3"/>
  <c r="AO146" i="3"/>
  <c r="E148" i="3"/>
  <c r="AO150" i="3"/>
  <c r="R142" i="3"/>
  <c r="AJ147" i="3"/>
  <c r="AR147" i="3"/>
  <c r="AV147" i="3"/>
  <c r="C163" i="3"/>
  <c r="C177" i="3"/>
  <c r="C178" i="3"/>
  <c r="C179" i="3"/>
  <c r="C190" i="3"/>
  <c r="C195" i="3"/>
  <c r="C199" i="3"/>
  <c r="C189" i="3"/>
  <c r="C198" i="3"/>
  <c r="C183" i="3"/>
  <c r="C197" i="3"/>
  <c r="C201" i="3"/>
  <c r="C202" i="3"/>
  <c r="C203" i="3"/>
  <c r="C204" i="3"/>
  <c r="K171" i="3"/>
  <c r="K177" i="3"/>
  <c r="K178" i="3"/>
  <c r="K179" i="3"/>
  <c r="K190" i="3"/>
  <c r="K195" i="3"/>
  <c r="K199" i="3"/>
  <c r="K189" i="3"/>
  <c r="K198" i="3"/>
  <c r="K201" i="3"/>
  <c r="K202" i="3"/>
  <c r="K203" i="3"/>
  <c r="K204" i="3"/>
  <c r="S162" i="3"/>
  <c r="S163" i="3"/>
  <c r="S165" i="3"/>
  <c r="S168" i="3"/>
  <c r="S169" i="3"/>
  <c r="S171" i="3"/>
  <c r="S173" i="3"/>
  <c r="S179" i="3"/>
  <c r="S197" i="3"/>
  <c r="S199" i="3"/>
  <c r="S195" i="3"/>
  <c r="S201" i="3"/>
  <c r="S202" i="3"/>
  <c r="S203" i="3"/>
  <c r="S204" i="3"/>
  <c r="W162" i="3"/>
  <c r="W163" i="3"/>
  <c r="W165" i="3"/>
  <c r="W168" i="3"/>
  <c r="W169" i="3"/>
  <c r="W171" i="3"/>
  <c r="W173" i="3"/>
  <c r="W183" i="3"/>
  <c r="W197" i="3"/>
  <c r="W199" i="3"/>
  <c r="W195" i="3"/>
  <c r="W201" i="3"/>
  <c r="W202" i="3"/>
  <c r="W203" i="3"/>
  <c r="W204" i="3"/>
  <c r="AI162" i="3"/>
  <c r="AI163" i="3"/>
  <c r="AI165" i="3"/>
  <c r="AI168" i="3"/>
  <c r="AI169" i="3"/>
  <c r="AI171" i="3"/>
  <c r="AI173" i="3"/>
  <c r="AI177" i="3"/>
  <c r="AI178" i="3"/>
  <c r="AI190" i="3"/>
  <c r="AI195" i="3"/>
  <c r="AI189" i="3"/>
  <c r="AI179" i="3"/>
  <c r="AI183" i="3"/>
  <c r="AI201" i="3"/>
  <c r="AI202" i="3"/>
  <c r="AI203" i="3"/>
  <c r="AI204" i="3"/>
  <c r="AM162" i="3"/>
  <c r="AM163" i="3"/>
  <c r="AM165" i="3"/>
  <c r="AM168" i="3"/>
  <c r="AM169" i="3"/>
  <c r="AM171" i="3"/>
  <c r="AM173" i="3"/>
  <c r="AM177" i="3"/>
  <c r="AM178" i="3"/>
  <c r="AM179" i="3"/>
  <c r="AM183" i="3"/>
  <c r="AM190" i="3"/>
  <c r="AM199" i="3"/>
  <c r="AM201" i="3"/>
  <c r="AM202" i="3"/>
  <c r="AM203" i="3"/>
  <c r="AM204" i="3"/>
  <c r="AQ162" i="3"/>
  <c r="AQ163" i="3"/>
  <c r="AQ165" i="3"/>
  <c r="AQ168" i="3"/>
  <c r="AQ169" i="3"/>
  <c r="AQ171" i="3"/>
  <c r="AQ173" i="3"/>
  <c r="AQ177" i="3"/>
  <c r="AQ178" i="3"/>
  <c r="AQ190" i="3"/>
  <c r="AQ195" i="3"/>
  <c r="AQ189" i="3"/>
  <c r="AQ198" i="3"/>
  <c r="AQ199" i="3"/>
  <c r="AQ179" i="3"/>
  <c r="AQ183" i="3"/>
  <c r="AQ197" i="3"/>
  <c r="AQ203" i="3"/>
  <c r="AQ204" i="3"/>
  <c r="AY163" i="3"/>
  <c r="AY165" i="3"/>
  <c r="AY168" i="3"/>
  <c r="AY169" i="3"/>
  <c r="AY171" i="3"/>
  <c r="AY173" i="3"/>
  <c r="AY177" i="3"/>
  <c r="AY178" i="3"/>
  <c r="AY179" i="3"/>
  <c r="AY183" i="3"/>
  <c r="AY197" i="3"/>
  <c r="AY190" i="3"/>
  <c r="AY195" i="3"/>
  <c r="AY201" i="3"/>
  <c r="AY202" i="3"/>
  <c r="AY203" i="3"/>
  <c r="AY204" i="3"/>
  <c r="BC162" i="3"/>
  <c r="BC163" i="3"/>
  <c r="BC165" i="3"/>
  <c r="BC168" i="3"/>
  <c r="BC169" i="3"/>
  <c r="BC171" i="3"/>
  <c r="BC173" i="3"/>
  <c r="BC177" i="3"/>
  <c r="BC178" i="3"/>
  <c r="BC190" i="3"/>
  <c r="BC195" i="3"/>
  <c r="BC189" i="3"/>
  <c r="BC179" i="3"/>
  <c r="BC183" i="3"/>
  <c r="BC201" i="3"/>
  <c r="BC202" i="3"/>
  <c r="BC203" i="3"/>
  <c r="BC204" i="3"/>
  <c r="AO162" i="3"/>
  <c r="BA162" i="3"/>
  <c r="H163" i="3"/>
  <c r="C165" i="3"/>
  <c r="H165" i="3"/>
  <c r="C168" i="3"/>
  <c r="C169" i="3"/>
  <c r="C171" i="3"/>
  <c r="C173" i="3"/>
  <c r="K173" i="3"/>
  <c r="R177" i="3"/>
  <c r="AD177" i="3"/>
  <c r="BB177" i="3"/>
  <c r="S178" i="3"/>
  <c r="W178" i="3"/>
  <c r="S183" i="3"/>
  <c r="R189" i="3"/>
  <c r="S190" i="3"/>
  <c r="W190" i="3"/>
  <c r="AM195" i="3"/>
  <c r="AL197" i="3"/>
  <c r="AR198" i="3"/>
  <c r="BC198" i="3"/>
  <c r="BA199" i="3"/>
  <c r="AQ202" i="3"/>
  <c r="AY198" i="3"/>
  <c r="AM189" i="3"/>
  <c r="AD138" i="3"/>
  <c r="BB138" i="3"/>
  <c r="R141" i="3"/>
  <c r="H168" i="3"/>
  <c r="H177" i="3"/>
  <c r="H178" i="3"/>
  <c r="H183" i="3"/>
  <c r="H189" i="3"/>
  <c r="H190" i="3"/>
  <c r="H195" i="3"/>
  <c r="H197" i="3"/>
  <c r="H198" i="3"/>
  <c r="H199" i="3"/>
  <c r="H179" i="3"/>
  <c r="AR163" i="3"/>
  <c r="AR165" i="3"/>
  <c r="AR168" i="3"/>
  <c r="AR169" i="3"/>
  <c r="AR171" i="3"/>
  <c r="AR173" i="3"/>
  <c r="AR177" i="3"/>
  <c r="AR178" i="3"/>
  <c r="AR179" i="3"/>
  <c r="AR183" i="3"/>
  <c r="AR189" i="3"/>
  <c r="AR190" i="3"/>
  <c r="C162" i="3"/>
  <c r="K162" i="3"/>
  <c r="AR162" i="3"/>
  <c r="BB162" i="3"/>
  <c r="E163" i="3"/>
  <c r="I163" i="3"/>
  <c r="M163" i="3"/>
  <c r="I165" i="3"/>
  <c r="M165" i="3"/>
  <c r="I168" i="3"/>
  <c r="M168" i="3"/>
  <c r="H169" i="3"/>
  <c r="M169" i="3"/>
  <c r="H171" i="3"/>
  <c r="M171" i="3"/>
  <c r="H173" i="3"/>
  <c r="S177" i="3"/>
  <c r="W177" i="3"/>
  <c r="AC179" i="3"/>
  <c r="AC183" i="3"/>
  <c r="AM197" i="3"/>
  <c r="AX197" i="3"/>
  <c r="BE197" i="3"/>
  <c r="AK198" i="3"/>
  <c r="AR199" i="3"/>
  <c r="BC199" i="3"/>
  <c r="AP201" i="3"/>
  <c r="AO203" i="3"/>
  <c r="BA204" i="3"/>
  <c r="K197" i="3"/>
  <c r="AY189" i="3"/>
  <c r="K183" i="3"/>
  <c r="AC130" i="3"/>
  <c r="E165" i="3"/>
  <c r="E177" i="3"/>
  <c r="E178" i="3"/>
  <c r="E183" i="3"/>
  <c r="E189" i="3"/>
  <c r="E190" i="3"/>
  <c r="E195" i="3"/>
  <c r="E197" i="3"/>
  <c r="E198" i="3"/>
  <c r="E199" i="3"/>
  <c r="E179" i="3"/>
  <c r="E201" i="3"/>
  <c r="E202" i="3"/>
  <c r="E203" i="3"/>
  <c r="E204" i="3"/>
  <c r="I169" i="3"/>
  <c r="I177" i="3"/>
  <c r="I183" i="3"/>
  <c r="I189" i="3"/>
  <c r="I190" i="3"/>
  <c r="I195" i="3"/>
  <c r="I197" i="3"/>
  <c r="I198" i="3"/>
  <c r="I199" i="3"/>
  <c r="I179" i="3"/>
  <c r="I178" i="3"/>
  <c r="I201" i="3"/>
  <c r="I202" i="3"/>
  <c r="I203" i="3"/>
  <c r="I204" i="3"/>
  <c r="M173" i="3"/>
  <c r="M177" i="3"/>
  <c r="M179" i="3"/>
  <c r="M183" i="3"/>
  <c r="M189" i="3"/>
  <c r="M190" i="3"/>
  <c r="M195" i="3"/>
  <c r="M197" i="3"/>
  <c r="M198" i="3"/>
  <c r="M178" i="3"/>
  <c r="M201" i="3"/>
  <c r="M202" i="3"/>
  <c r="M203" i="3"/>
  <c r="M204" i="3"/>
  <c r="Q163" i="3"/>
  <c r="Q165" i="3"/>
  <c r="Q168" i="3"/>
  <c r="Q169" i="3"/>
  <c r="Q171" i="3"/>
  <c r="Q173" i="3"/>
  <c r="Q177" i="3"/>
  <c r="Q195" i="3"/>
  <c r="Q197" i="3"/>
  <c r="Q198" i="3"/>
  <c r="Q201" i="3"/>
  <c r="Q202" i="3"/>
  <c r="Q203" i="3"/>
  <c r="Q204" i="3"/>
  <c r="AC162" i="3"/>
  <c r="AC163" i="3"/>
  <c r="AC165" i="3"/>
  <c r="AC168" i="3"/>
  <c r="AC169" i="3"/>
  <c r="AC171" i="3"/>
  <c r="AC173" i="3"/>
  <c r="AC189" i="3"/>
  <c r="AC195" i="3"/>
  <c r="AC197" i="3"/>
  <c r="AC198" i="3"/>
  <c r="AC201" i="3"/>
  <c r="AC202" i="3"/>
  <c r="AC203" i="3"/>
  <c r="AC204" i="3"/>
  <c r="AC199" i="3"/>
  <c r="AK162" i="3"/>
  <c r="AK163" i="3"/>
  <c r="AK165" i="3"/>
  <c r="AK168" i="3"/>
  <c r="AK169" i="3"/>
  <c r="AK171" i="3"/>
  <c r="AK173" i="3"/>
  <c r="AK179" i="3"/>
  <c r="AK183" i="3"/>
  <c r="AK189" i="3"/>
  <c r="AK190" i="3"/>
  <c r="AK197" i="3"/>
  <c r="AK177" i="3"/>
  <c r="AK178" i="3"/>
  <c r="AK201" i="3"/>
  <c r="AK202" i="3"/>
  <c r="AK203" i="3"/>
  <c r="AK204" i="3"/>
  <c r="AO163" i="3"/>
  <c r="AO165" i="3"/>
  <c r="AO168" i="3"/>
  <c r="AO169" i="3"/>
  <c r="AO171" i="3"/>
  <c r="AO173" i="3"/>
  <c r="AO177" i="3"/>
  <c r="AO179" i="3"/>
  <c r="AO183" i="3"/>
  <c r="AO189" i="3"/>
  <c r="AO190" i="3"/>
  <c r="AO195" i="3"/>
  <c r="AO197" i="3"/>
  <c r="AO198" i="3"/>
  <c r="AO178" i="3"/>
  <c r="AO199" i="3"/>
  <c r="AO201" i="3"/>
  <c r="AO204" i="3"/>
  <c r="BA163" i="3"/>
  <c r="BA165" i="3"/>
  <c r="BA168" i="3"/>
  <c r="BA169" i="3"/>
  <c r="BA171" i="3"/>
  <c r="BA173" i="3"/>
  <c r="BA178" i="3"/>
  <c r="BA179" i="3"/>
  <c r="BA183" i="3"/>
  <c r="BA189" i="3"/>
  <c r="BA190" i="3"/>
  <c r="BA177" i="3"/>
  <c r="BA201" i="3"/>
  <c r="BA202" i="3"/>
  <c r="BA203" i="3"/>
  <c r="BE162" i="3"/>
  <c r="BE163" i="3"/>
  <c r="BE165" i="3"/>
  <c r="BE168" i="3"/>
  <c r="BE169" i="3"/>
  <c r="BE171" i="3"/>
  <c r="BE173" i="3"/>
  <c r="BE177" i="3"/>
  <c r="BE179" i="3"/>
  <c r="BE183" i="3"/>
  <c r="BE189" i="3"/>
  <c r="BE190" i="3"/>
  <c r="BE195" i="3"/>
  <c r="BE201" i="3"/>
  <c r="BE202" i="3"/>
  <c r="BE203" i="3"/>
  <c r="BE204" i="3"/>
  <c r="BE178" i="3"/>
  <c r="H162" i="3"/>
  <c r="Q162" i="3"/>
  <c r="E168" i="3"/>
  <c r="E169" i="3"/>
  <c r="E171" i="3"/>
  <c r="I171" i="3"/>
  <c r="E173" i="3"/>
  <c r="I173" i="3"/>
  <c r="AC178" i="3"/>
  <c r="Q179" i="3"/>
  <c r="AD179" i="3"/>
  <c r="BB179" i="3"/>
  <c r="Q183" i="3"/>
  <c r="AD183" i="3"/>
  <c r="Q190" i="3"/>
  <c r="AC190" i="3"/>
  <c r="BB190" i="3"/>
  <c r="AK195" i="3"/>
  <c r="AR195" i="3"/>
  <c r="AI197" i="3"/>
  <c r="BA197" i="3"/>
  <c r="AX198" i="3"/>
  <c r="BE198" i="3"/>
  <c r="AK199" i="3"/>
  <c r="AQ201" i="3"/>
  <c r="AP203" i="3"/>
  <c r="AY199" i="3"/>
  <c r="W198" i="3"/>
  <c r="S198" i="3"/>
  <c r="U50" i="3"/>
  <c r="U26" i="3"/>
  <c r="U42" i="3"/>
  <c r="U51" i="3"/>
  <c r="AC51" i="3"/>
  <c r="AC50" i="3"/>
  <c r="AC34" i="3"/>
  <c r="AW30" i="3"/>
  <c r="AW29" i="3"/>
  <c r="AW25" i="3"/>
  <c r="AW35" i="3"/>
  <c r="AW33" i="3"/>
  <c r="AW31" i="3"/>
  <c r="AW39" i="3"/>
  <c r="AW37" i="3"/>
  <c r="AW28" i="3"/>
  <c r="AW26" i="3"/>
  <c r="AW49" i="3"/>
  <c r="AW34" i="3"/>
  <c r="AW27" i="3"/>
  <c r="AW36" i="3"/>
  <c r="AW38" i="3"/>
  <c r="AW32" i="3"/>
  <c r="BE51" i="3"/>
  <c r="BE40" i="3"/>
  <c r="BE34" i="3"/>
  <c r="BE33" i="3"/>
  <c r="BE32" i="3"/>
  <c r="BE31" i="3"/>
  <c r="BE38" i="3"/>
  <c r="BE29" i="3"/>
  <c r="BE25" i="3"/>
  <c r="BE26" i="3"/>
  <c r="BE35" i="3"/>
  <c r="BE36" i="3"/>
  <c r="BE37" i="3"/>
  <c r="BE30" i="3"/>
  <c r="BE28" i="3"/>
  <c r="BE27" i="3"/>
  <c r="BI20" i="3"/>
  <c r="BI21" i="3"/>
  <c r="BD92" i="3"/>
  <c r="BD77" i="3"/>
  <c r="BD84" i="3"/>
  <c r="BD83" i="3"/>
  <c r="BD78" i="3"/>
  <c r="W151" i="3"/>
  <c r="W154" i="3"/>
  <c r="W153" i="3"/>
  <c r="W144" i="3"/>
  <c r="W147" i="3"/>
  <c r="W143" i="3"/>
  <c r="W124" i="3"/>
  <c r="W120" i="3"/>
  <c r="W114" i="3"/>
  <c r="W155" i="3"/>
  <c r="W148" i="3"/>
  <c r="W132" i="3"/>
  <c r="W123" i="3"/>
  <c r="W119" i="3"/>
  <c r="W113" i="3"/>
  <c r="AU151" i="3"/>
  <c r="AU154" i="3"/>
  <c r="AU153" i="3"/>
  <c r="AU144" i="3"/>
  <c r="AU147" i="3"/>
  <c r="AU143" i="3"/>
  <c r="AU124" i="3"/>
  <c r="AU120" i="3"/>
  <c r="AU114" i="3"/>
  <c r="AU148" i="3"/>
  <c r="AU132" i="3"/>
  <c r="AU131" i="3"/>
  <c r="AU130" i="3"/>
  <c r="AU129" i="3"/>
  <c r="AU128" i="3"/>
  <c r="AU127" i="3"/>
  <c r="AU126" i="3"/>
  <c r="AU123" i="3"/>
  <c r="AU119" i="3"/>
  <c r="AU113" i="3"/>
  <c r="AU111" i="3"/>
  <c r="F59" i="3"/>
  <c r="F7" i="3"/>
  <c r="C63" i="3"/>
  <c r="C11" i="3"/>
  <c r="L63" i="3"/>
  <c r="L11" i="3"/>
  <c r="K116" i="3"/>
  <c r="AA116" i="3"/>
  <c r="AI116" i="3"/>
  <c r="AY116" i="3"/>
  <c r="BG116" i="3"/>
  <c r="G117" i="3"/>
  <c r="W117" i="3"/>
  <c r="AM117" i="3"/>
  <c r="BC117" i="3"/>
  <c r="G65" i="3"/>
  <c r="G13" i="3"/>
  <c r="C118" i="3"/>
  <c r="S118" i="3"/>
  <c r="AI118" i="3"/>
  <c r="AY118" i="3"/>
  <c r="BG118" i="3"/>
  <c r="E67" i="3"/>
  <c r="E15" i="3"/>
  <c r="I15" i="3"/>
  <c r="C68" i="3"/>
  <c r="C16" i="3"/>
  <c r="C120" i="3"/>
  <c r="G68" i="3"/>
  <c r="G16" i="3"/>
  <c r="G120" i="3"/>
  <c r="G122" i="3"/>
  <c r="O122" i="3"/>
  <c r="AE122" i="3"/>
  <c r="AM122" i="3"/>
  <c r="AU122" i="3"/>
  <c r="BC122" i="3"/>
  <c r="F70" i="3"/>
  <c r="F18" i="3"/>
  <c r="J70" i="3"/>
  <c r="J18" i="3"/>
  <c r="G123" i="3"/>
  <c r="S77" i="3"/>
  <c r="S129" i="3"/>
  <c r="X25" i="3"/>
  <c r="X77" i="3"/>
  <c r="X129" i="3"/>
  <c r="AF77" i="3"/>
  <c r="AF25" i="3"/>
  <c r="AF129" i="3"/>
  <c r="BG77" i="3"/>
  <c r="BG25" i="3"/>
  <c r="BG129" i="3"/>
  <c r="X79" i="3"/>
  <c r="X27" i="3"/>
  <c r="X131" i="3"/>
  <c r="AF79" i="3"/>
  <c r="AF27" i="3"/>
  <c r="AF131" i="3"/>
  <c r="T81" i="3"/>
  <c r="T29" i="3"/>
  <c r="T133" i="3"/>
  <c r="AG81" i="3"/>
  <c r="AG29" i="3"/>
  <c r="AG133" i="3"/>
  <c r="X83" i="3"/>
  <c r="X31" i="3"/>
  <c r="X135" i="3"/>
  <c r="T85" i="3"/>
  <c r="T33" i="3"/>
  <c r="T137" i="3"/>
  <c r="AC85" i="3"/>
  <c r="AC33" i="3"/>
  <c r="AC137" i="3"/>
  <c r="T87" i="3"/>
  <c r="T35" i="3"/>
  <c r="T139" i="3"/>
  <c r="AB87" i="3"/>
  <c r="AB35" i="3"/>
  <c r="AB139" i="3"/>
  <c r="V89" i="3"/>
  <c r="V37" i="3"/>
  <c r="V141" i="3"/>
  <c r="BF89" i="3"/>
  <c r="BF37" i="3"/>
  <c r="BF141" i="3"/>
  <c r="W142" i="3"/>
  <c r="BC142" i="3"/>
  <c r="Y90" i="3"/>
  <c r="Y38" i="3"/>
  <c r="Y142" i="3"/>
  <c r="G146" i="3"/>
  <c r="BC146" i="3"/>
  <c r="W150" i="3"/>
  <c r="BC150" i="3"/>
  <c r="AE152" i="3"/>
  <c r="AO100" i="3"/>
  <c r="AO48" i="3"/>
  <c r="AO152" i="3"/>
  <c r="AI155" i="3"/>
  <c r="Z50" i="3"/>
  <c r="Z31" i="3"/>
  <c r="AX51" i="3"/>
  <c r="AX38" i="3"/>
  <c r="AX37" i="3"/>
  <c r="AX40" i="3"/>
  <c r="AX30" i="3"/>
  <c r="AX29" i="3"/>
  <c r="AX36" i="3"/>
  <c r="AX35" i="3"/>
  <c r="AX33" i="3"/>
  <c r="AX31" i="3"/>
  <c r="AX27" i="3"/>
  <c r="AX50" i="3"/>
  <c r="AX28" i="3"/>
  <c r="AX26" i="3"/>
  <c r="AX34" i="3"/>
  <c r="AX32" i="3"/>
  <c r="AX25" i="3"/>
  <c r="BF49" i="3"/>
  <c r="BF36" i="3"/>
  <c r="X152" i="3"/>
  <c r="X149" i="3"/>
  <c r="X147" i="3"/>
  <c r="X145" i="3"/>
  <c r="X155" i="3"/>
  <c r="X150" i="3"/>
  <c r="X148" i="3"/>
  <c r="X146" i="3"/>
  <c r="X144" i="3"/>
  <c r="X123" i="3"/>
  <c r="X119" i="3"/>
  <c r="X153" i="3"/>
  <c r="X133" i="3"/>
  <c r="X125" i="3"/>
  <c r="X122" i="3"/>
  <c r="X118" i="3"/>
  <c r="X117" i="3"/>
  <c r="X116" i="3"/>
  <c r="X112" i="3"/>
  <c r="BH152" i="3"/>
  <c r="BH149" i="3"/>
  <c r="BH147" i="3"/>
  <c r="BH145" i="3"/>
  <c r="BH154" i="3"/>
  <c r="BH155" i="3"/>
  <c r="BH150" i="3"/>
  <c r="BH148" i="3"/>
  <c r="BH146" i="3"/>
  <c r="BH151" i="3"/>
  <c r="BH132" i="3"/>
  <c r="BH131" i="3"/>
  <c r="BH130" i="3"/>
  <c r="BH129" i="3"/>
  <c r="BH128" i="3"/>
  <c r="BH127" i="3"/>
  <c r="BH126" i="3"/>
  <c r="BH123" i="3"/>
  <c r="BH119" i="3"/>
  <c r="BH113" i="3"/>
  <c r="BH140" i="3"/>
  <c r="BH139" i="3"/>
  <c r="BH138" i="3"/>
  <c r="BH137" i="3"/>
  <c r="BH136" i="3"/>
  <c r="BH135" i="3"/>
  <c r="BH134" i="3"/>
  <c r="BH133" i="3"/>
  <c r="BH125" i="3"/>
  <c r="BH122" i="3"/>
  <c r="BH118" i="3"/>
  <c r="BH117" i="3"/>
  <c r="BH116" i="3"/>
  <c r="BH112" i="3"/>
  <c r="N111" i="3"/>
  <c r="AF111" i="3"/>
  <c r="O112" i="3"/>
  <c r="AE112" i="3"/>
  <c r="K60" i="3"/>
  <c r="K8" i="3"/>
  <c r="H113" i="3"/>
  <c r="E61" i="3"/>
  <c r="E9" i="3"/>
  <c r="M9" i="3"/>
  <c r="M61" i="3"/>
  <c r="P114" i="3"/>
  <c r="AN114" i="3"/>
  <c r="C115" i="3"/>
  <c r="K115" i="3"/>
  <c r="AA115" i="3"/>
  <c r="AI115" i="3"/>
  <c r="AY115" i="3"/>
  <c r="BG115" i="3"/>
  <c r="E64" i="3"/>
  <c r="E12" i="3"/>
  <c r="E116" i="3"/>
  <c r="J12" i="3"/>
  <c r="J64" i="3"/>
  <c r="J14" i="3"/>
  <c r="I119" i="3"/>
  <c r="L120" i="3"/>
  <c r="AB120" i="3"/>
  <c r="AR120" i="3"/>
  <c r="BH120" i="3"/>
  <c r="M16" i="3"/>
  <c r="M68" i="3"/>
  <c r="O121" i="3"/>
  <c r="AM121" i="3"/>
  <c r="B69" i="3"/>
  <c r="B17" i="3"/>
  <c r="B121" i="3"/>
  <c r="L19" i="3"/>
  <c r="L123" i="3"/>
  <c r="AF124" i="3"/>
  <c r="O125" i="3"/>
  <c r="AE125" i="3"/>
  <c r="AU125" i="3"/>
  <c r="S126" i="3"/>
  <c r="AA126" i="3"/>
  <c r="W128" i="3"/>
  <c r="AE128" i="3"/>
  <c r="U77" i="3"/>
  <c r="U25" i="3"/>
  <c r="AC77" i="3"/>
  <c r="AC25" i="3"/>
  <c r="AG77" i="3"/>
  <c r="AG25" i="3"/>
  <c r="W130" i="3"/>
  <c r="AE130" i="3"/>
  <c r="Y79" i="3"/>
  <c r="Y27" i="3"/>
  <c r="AA132" i="3"/>
  <c r="BG132" i="3"/>
  <c r="O133" i="3"/>
  <c r="AE133" i="3"/>
  <c r="AU133" i="3"/>
  <c r="Q81" i="3"/>
  <c r="Q133" i="3"/>
  <c r="Z29" i="3"/>
  <c r="Z81" i="3"/>
  <c r="BB81" i="3"/>
  <c r="BB29" i="3"/>
  <c r="K134" i="3"/>
  <c r="AA134" i="3"/>
  <c r="AQ134" i="3"/>
  <c r="BG134" i="3"/>
  <c r="AB134" i="3"/>
  <c r="AF134" i="3"/>
  <c r="O135" i="3"/>
  <c r="W135" i="3"/>
  <c r="AE135" i="3"/>
  <c r="AU135" i="3"/>
  <c r="BC135" i="3"/>
  <c r="Q83" i="3"/>
  <c r="Q135" i="3"/>
  <c r="Y83" i="3"/>
  <c r="Y31" i="3"/>
  <c r="Y135" i="3"/>
  <c r="AD83" i="3"/>
  <c r="AD31" i="3"/>
  <c r="C136" i="3"/>
  <c r="AA136" i="3"/>
  <c r="AQ136" i="3"/>
  <c r="BG136" i="3"/>
  <c r="AF136" i="3"/>
  <c r="G137" i="3"/>
  <c r="AE137" i="3"/>
  <c r="BC137" i="3"/>
  <c r="Y85" i="3"/>
  <c r="Y33" i="3"/>
  <c r="Y137" i="3"/>
  <c r="C138" i="3"/>
  <c r="S138" i="3"/>
  <c r="AI138" i="3"/>
  <c r="AY138" i="3"/>
  <c r="G139" i="3"/>
  <c r="AE139" i="3"/>
  <c r="AU139" i="3"/>
  <c r="Q87" i="3"/>
  <c r="Q139" i="3"/>
  <c r="Y87" i="3"/>
  <c r="Y35" i="3"/>
  <c r="Y139" i="3"/>
  <c r="K140" i="3"/>
  <c r="AA140" i="3"/>
  <c r="AQ140" i="3"/>
  <c r="BG140" i="3"/>
  <c r="C141" i="3"/>
  <c r="S141" i="3"/>
  <c r="AI141" i="3"/>
  <c r="AY141" i="3"/>
  <c r="P142" i="3"/>
  <c r="AF142" i="3"/>
  <c r="AV142" i="3"/>
  <c r="V90" i="3"/>
  <c r="V38" i="3"/>
  <c r="V142" i="3"/>
  <c r="AD90" i="3"/>
  <c r="AD38" i="3"/>
  <c r="AD142" i="3"/>
  <c r="BF90" i="3"/>
  <c r="BF38" i="3"/>
  <c r="BF142" i="3"/>
  <c r="AJ91" i="3"/>
  <c r="AJ39" i="3"/>
  <c r="T144" i="3"/>
  <c r="AZ144" i="3"/>
  <c r="AJ92" i="3"/>
  <c r="AJ40" i="3"/>
  <c r="AV40" i="3"/>
  <c r="AV144" i="3"/>
  <c r="W145" i="3"/>
  <c r="BC145" i="3"/>
  <c r="AA147" i="3"/>
  <c r="BG147" i="3"/>
  <c r="K148" i="3"/>
  <c r="AQ148" i="3"/>
  <c r="AJ148" i="3"/>
  <c r="AV148" i="3"/>
  <c r="G149" i="3"/>
  <c r="W149" i="3"/>
  <c r="BC149" i="3"/>
  <c r="X151" i="3"/>
  <c r="BD151" i="3"/>
  <c r="AU155" i="3"/>
  <c r="O21" i="3"/>
  <c r="O20" i="3"/>
  <c r="W51" i="3"/>
  <c r="W49" i="3"/>
  <c r="W40" i="3"/>
  <c r="W28" i="3"/>
  <c r="W50" i="3"/>
  <c r="AA42" i="3"/>
  <c r="AA51" i="3"/>
  <c r="AA50" i="3"/>
  <c r="AA32" i="3"/>
  <c r="AE36" i="3"/>
  <c r="AE40" i="3"/>
  <c r="AE50" i="3"/>
  <c r="AI40" i="3"/>
  <c r="AI30" i="3"/>
  <c r="AI36" i="3"/>
  <c r="AI25" i="3"/>
  <c r="AI29" i="3"/>
  <c r="AI28" i="3"/>
  <c r="AI37" i="3"/>
  <c r="AU38" i="3"/>
  <c r="AU36" i="3"/>
  <c r="AU35" i="3"/>
  <c r="AU33" i="3"/>
  <c r="AU31" i="3"/>
  <c r="AU37" i="3"/>
  <c r="AU34" i="3"/>
  <c r="AU32" i="3"/>
  <c r="AU26" i="3"/>
  <c r="AU27" i="3"/>
  <c r="AU25" i="3"/>
  <c r="AU40" i="3"/>
  <c r="AU30" i="3"/>
  <c r="AU29" i="3"/>
  <c r="AU28" i="3"/>
  <c r="AY51" i="3"/>
  <c r="AY31" i="3"/>
  <c r="AY50" i="3"/>
  <c r="AY30" i="3"/>
  <c r="AY36" i="3"/>
  <c r="AY35" i="3"/>
  <c r="AY38" i="3"/>
  <c r="AY34" i="3"/>
  <c r="AY32" i="3"/>
  <c r="AY26" i="3"/>
  <c r="AY37" i="3"/>
  <c r="AY29" i="3"/>
  <c r="AY49" i="3"/>
  <c r="AY27" i="3"/>
  <c r="AY28" i="3"/>
  <c r="AY25" i="3"/>
  <c r="BC51" i="3"/>
  <c r="BC38" i="3"/>
  <c r="BC37" i="3"/>
  <c r="BC36" i="3"/>
  <c r="BC30" i="3"/>
  <c r="BC40" i="3"/>
  <c r="BC35" i="3"/>
  <c r="BC27" i="3"/>
  <c r="BC34" i="3"/>
  <c r="BC32" i="3"/>
  <c r="BC28" i="3"/>
  <c r="BC26" i="3"/>
  <c r="BC31" i="3"/>
  <c r="BC25" i="3"/>
  <c r="BC29" i="3"/>
  <c r="BC33" i="3"/>
  <c r="BG50" i="3"/>
  <c r="BG38" i="3"/>
  <c r="BG51" i="3"/>
  <c r="AX88" i="3"/>
  <c r="AX78" i="3"/>
  <c r="AX83" i="3"/>
  <c r="AX81" i="3"/>
  <c r="AX90" i="3"/>
  <c r="AX80" i="3"/>
  <c r="AX77" i="3"/>
  <c r="AX89" i="3"/>
  <c r="AX82" i="3"/>
  <c r="AX79" i="3"/>
  <c r="AX76" i="3"/>
  <c r="AX87" i="3"/>
  <c r="E154" i="3"/>
  <c r="E153" i="3"/>
  <c r="E155" i="3"/>
  <c r="E151" i="3"/>
  <c r="E150" i="3"/>
  <c r="E146" i="3"/>
  <c r="E140" i="3"/>
  <c r="E139" i="3"/>
  <c r="E138" i="3"/>
  <c r="E137" i="3"/>
  <c r="E136" i="3"/>
  <c r="E135" i="3"/>
  <c r="E134" i="3"/>
  <c r="E133" i="3"/>
  <c r="E125" i="3"/>
  <c r="E117" i="3"/>
  <c r="E147" i="3"/>
  <c r="E142" i="3"/>
  <c r="E141" i="3"/>
  <c r="I154" i="3"/>
  <c r="I153" i="3"/>
  <c r="I144" i="3"/>
  <c r="I155" i="3"/>
  <c r="I151" i="3"/>
  <c r="I148" i="3"/>
  <c r="I140" i="3"/>
  <c r="I139" i="3"/>
  <c r="I138" i="3"/>
  <c r="I137" i="3"/>
  <c r="I136" i="3"/>
  <c r="I135" i="3"/>
  <c r="I134" i="3"/>
  <c r="I133" i="3"/>
  <c r="I125" i="3"/>
  <c r="I118" i="3"/>
  <c r="I117" i="3"/>
  <c r="I116" i="3"/>
  <c r="I152" i="3"/>
  <c r="I149" i="3"/>
  <c r="I145" i="3"/>
  <c r="I142" i="3"/>
  <c r="I141" i="3"/>
  <c r="I115" i="3"/>
  <c r="M154" i="3"/>
  <c r="M153" i="3"/>
  <c r="M144" i="3"/>
  <c r="M155" i="3"/>
  <c r="M151" i="3"/>
  <c r="M150" i="3"/>
  <c r="M146" i="3"/>
  <c r="M140" i="3"/>
  <c r="M139" i="3"/>
  <c r="M138" i="3"/>
  <c r="M137" i="3"/>
  <c r="M136" i="3"/>
  <c r="M135" i="3"/>
  <c r="M134" i="3"/>
  <c r="M133" i="3"/>
  <c r="M125" i="3"/>
  <c r="M122" i="3"/>
  <c r="M118" i="3"/>
  <c r="M117" i="3"/>
  <c r="M116" i="3"/>
  <c r="M147" i="3"/>
  <c r="M142" i="3"/>
  <c r="M141" i="3"/>
  <c r="M121" i="3"/>
  <c r="M115" i="3"/>
  <c r="Q154" i="3"/>
  <c r="Q153" i="3"/>
  <c r="Q144" i="3"/>
  <c r="Q155" i="3"/>
  <c r="Q151" i="3"/>
  <c r="Q148" i="3"/>
  <c r="Q125" i="3"/>
  <c r="Q122" i="3"/>
  <c r="Q118" i="3"/>
  <c r="Q117" i="3"/>
  <c r="Q116" i="3"/>
  <c r="Q152" i="3"/>
  <c r="Q149" i="3"/>
  <c r="Q145" i="3"/>
  <c r="Q121" i="3"/>
  <c r="Q115" i="3"/>
  <c r="U154" i="3"/>
  <c r="U153" i="3"/>
  <c r="U144" i="3"/>
  <c r="U155" i="3"/>
  <c r="U151" i="3"/>
  <c r="U150" i="3"/>
  <c r="U146" i="3"/>
  <c r="U125" i="3"/>
  <c r="U122" i="3"/>
  <c r="U118" i="3"/>
  <c r="U117" i="3"/>
  <c r="U116" i="3"/>
  <c r="U147" i="3"/>
  <c r="U121" i="3"/>
  <c r="U115" i="3"/>
  <c r="Y154" i="3"/>
  <c r="Y153" i="3"/>
  <c r="Y144" i="3"/>
  <c r="Y155" i="3"/>
  <c r="Y151" i="3"/>
  <c r="Y148" i="3"/>
  <c r="Y134" i="3"/>
  <c r="Y125" i="3"/>
  <c r="Y122" i="3"/>
  <c r="Y118" i="3"/>
  <c r="Y117" i="3"/>
  <c r="Y116" i="3"/>
  <c r="Y152" i="3"/>
  <c r="Y149" i="3"/>
  <c r="Y145" i="3"/>
  <c r="Y121" i="3"/>
  <c r="Y115" i="3"/>
  <c r="AC154" i="3"/>
  <c r="AC153" i="3"/>
  <c r="AC144" i="3"/>
  <c r="AC155" i="3"/>
  <c r="AC151" i="3"/>
  <c r="AC150" i="3"/>
  <c r="AC146" i="3"/>
  <c r="AC138" i="3"/>
  <c r="AC125" i="3"/>
  <c r="AC122" i="3"/>
  <c r="AC118" i="3"/>
  <c r="AC117" i="3"/>
  <c r="AC116" i="3"/>
  <c r="AC147" i="3"/>
  <c r="AC121" i="3"/>
  <c r="AC115" i="3"/>
  <c r="AG154" i="3"/>
  <c r="AG153" i="3"/>
  <c r="AG144" i="3"/>
  <c r="AG155" i="3"/>
  <c r="AG151" i="3"/>
  <c r="AG148" i="3"/>
  <c r="AG125" i="3"/>
  <c r="AG122" i="3"/>
  <c r="AG118" i="3"/>
  <c r="AG117" i="3"/>
  <c r="AG116" i="3"/>
  <c r="AG152" i="3"/>
  <c r="AG149" i="3"/>
  <c r="AG145" i="3"/>
  <c r="AG142" i="3"/>
  <c r="AG121" i="3"/>
  <c r="AG115" i="3"/>
  <c r="AK154" i="3"/>
  <c r="AK153" i="3"/>
  <c r="AK144" i="3"/>
  <c r="AK155" i="3"/>
  <c r="AK151" i="3"/>
  <c r="AK150" i="3"/>
  <c r="AK146" i="3"/>
  <c r="AK140" i="3"/>
  <c r="AK139" i="3"/>
  <c r="AK138" i="3"/>
  <c r="AK137" i="3"/>
  <c r="AK136" i="3"/>
  <c r="AK135" i="3"/>
  <c r="AK134" i="3"/>
  <c r="AK133" i="3"/>
  <c r="AK125" i="3"/>
  <c r="AK122" i="3"/>
  <c r="AK118" i="3"/>
  <c r="AK117" i="3"/>
  <c r="AK116" i="3"/>
  <c r="AK147" i="3"/>
  <c r="AK142" i="3"/>
  <c r="AK141" i="3"/>
  <c r="AK121" i="3"/>
  <c r="AK115" i="3"/>
  <c r="AO154" i="3"/>
  <c r="AO153" i="3"/>
  <c r="AO144" i="3"/>
  <c r="AO155" i="3"/>
  <c r="AO151" i="3"/>
  <c r="AO148" i="3"/>
  <c r="AO140" i="3"/>
  <c r="AO139" i="3"/>
  <c r="AO138" i="3"/>
  <c r="AO137" i="3"/>
  <c r="AO136" i="3"/>
  <c r="AO135" i="3"/>
  <c r="AO134" i="3"/>
  <c r="AO133" i="3"/>
  <c r="AO125" i="3"/>
  <c r="AO122" i="3"/>
  <c r="AO118" i="3"/>
  <c r="AO117" i="3"/>
  <c r="AO116" i="3"/>
  <c r="AO149" i="3"/>
  <c r="AO145" i="3"/>
  <c r="AO142" i="3"/>
  <c r="AO141" i="3"/>
  <c r="AO121" i="3"/>
  <c r="AO115" i="3"/>
  <c r="AS154" i="3"/>
  <c r="AS153" i="3"/>
  <c r="AS155" i="3"/>
  <c r="AS151" i="3"/>
  <c r="AS150" i="3"/>
  <c r="AS146" i="3"/>
  <c r="AS140" i="3"/>
  <c r="AS139" i="3"/>
  <c r="AS138" i="3"/>
  <c r="AS137" i="3"/>
  <c r="AS136" i="3"/>
  <c r="AS135" i="3"/>
  <c r="AS134" i="3"/>
  <c r="AS133" i="3"/>
  <c r="AS125" i="3"/>
  <c r="AS122" i="3"/>
  <c r="AS118" i="3"/>
  <c r="AS117" i="3"/>
  <c r="AS116" i="3"/>
  <c r="AS147" i="3"/>
  <c r="AS142" i="3"/>
  <c r="AS141" i="3"/>
  <c r="AS121" i="3"/>
  <c r="AS115" i="3"/>
  <c r="AW154" i="3"/>
  <c r="AW153" i="3"/>
  <c r="AW144" i="3"/>
  <c r="AW155" i="3"/>
  <c r="AW151" i="3"/>
  <c r="AW148" i="3"/>
  <c r="AW140" i="3"/>
  <c r="AW139" i="3"/>
  <c r="AW138" i="3"/>
  <c r="AW137" i="3"/>
  <c r="AW136" i="3"/>
  <c r="AW135" i="3"/>
  <c r="AW134" i="3"/>
  <c r="AW133" i="3"/>
  <c r="AW125" i="3"/>
  <c r="AW122" i="3"/>
  <c r="AW118" i="3"/>
  <c r="AW117" i="3"/>
  <c r="AW116" i="3"/>
  <c r="AW152" i="3"/>
  <c r="AW149" i="3"/>
  <c r="AW145" i="3"/>
  <c r="AW142" i="3"/>
  <c r="AW141" i="3"/>
  <c r="AW121" i="3"/>
  <c r="AW115" i="3"/>
  <c r="BA153" i="3"/>
  <c r="BA155" i="3"/>
  <c r="BA151" i="3"/>
  <c r="BA150" i="3"/>
  <c r="BA146" i="3"/>
  <c r="BA140" i="3"/>
  <c r="BA139" i="3"/>
  <c r="BA138" i="3"/>
  <c r="BA137" i="3"/>
  <c r="BA136" i="3"/>
  <c r="BA135" i="3"/>
  <c r="BA134" i="3"/>
  <c r="BA133" i="3"/>
  <c r="BA125" i="3"/>
  <c r="BA122" i="3"/>
  <c r="BA118" i="3"/>
  <c r="BA117" i="3"/>
  <c r="BA116" i="3"/>
  <c r="BA147" i="3"/>
  <c r="BA142" i="3"/>
  <c r="BA141" i="3"/>
  <c r="BA121" i="3"/>
  <c r="BA115" i="3"/>
  <c r="BE154" i="3"/>
  <c r="BE153" i="3"/>
  <c r="BE144" i="3"/>
  <c r="BE155" i="3"/>
  <c r="BE151" i="3"/>
  <c r="BE148" i="3"/>
  <c r="BE140" i="3"/>
  <c r="BE139" i="3"/>
  <c r="BE138" i="3"/>
  <c r="BE137" i="3"/>
  <c r="BE136" i="3"/>
  <c r="BE135" i="3"/>
  <c r="BE134" i="3"/>
  <c r="BE133" i="3"/>
  <c r="BE125" i="3"/>
  <c r="BE122" i="3"/>
  <c r="BE118" i="3"/>
  <c r="BE117" i="3"/>
  <c r="BE116" i="3"/>
  <c r="BE152" i="3"/>
  <c r="BE142" i="3"/>
  <c r="BE141" i="3"/>
  <c r="BE121" i="3"/>
  <c r="BE115" i="3"/>
  <c r="BI117" i="3"/>
  <c r="BI154" i="3"/>
  <c r="BI153" i="3"/>
  <c r="BI144" i="3"/>
  <c r="BI155" i="3"/>
  <c r="BI151" i="3"/>
  <c r="BI150" i="3"/>
  <c r="BI146" i="3"/>
  <c r="BI140" i="3"/>
  <c r="BI139" i="3"/>
  <c r="BI138" i="3"/>
  <c r="BI137" i="3"/>
  <c r="BI136" i="3"/>
  <c r="BI135" i="3"/>
  <c r="BI134" i="3"/>
  <c r="BI133" i="3"/>
  <c r="BI125" i="3"/>
  <c r="BI122" i="3"/>
  <c r="BI118" i="3"/>
  <c r="BI116" i="3"/>
  <c r="BI147" i="3"/>
  <c r="BI142" i="3"/>
  <c r="BI141" i="3"/>
  <c r="BI121" i="3"/>
  <c r="BI115" i="3"/>
  <c r="C111" i="3"/>
  <c r="G111" i="3"/>
  <c r="K111" i="3"/>
  <c r="O111" i="3"/>
  <c r="S111" i="3"/>
  <c r="W111" i="3"/>
  <c r="AB111" i="3"/>
  <c r="AG111" i="3"/>
  <c r="AL111" i="3"/>
  <c r="AR111" i="3"/>
  <c r="AW111" i="3"/>
  <c r="BB111" i="3"/>
  <c r="BH111" i="3"/>
  <c r="D59" i="3"/>
  <c r="D7" i="3"/>
  <c r="H59" i="3"/>
  <c r="H7" i="3"/>
  <c r="L59" i="3"/>
  <c r="L7" i="3"/>
  <c r="K112" i="3"/>
  <c r="Q112" i="3"/>
  <c r="V112" i="3"/>
  <c r="AA112" i="3"/>
  <c r="AG112" i="3"/>
  <c r="AL112" i="3"/>
  <c r="AQ112" i="3"/>
  <c r="AW112" i="3"/>
  <c r="BB112" i="3"/>
  <c r="BG112" i="3"/>
  <c r="D113" i="3"/>
  <c r="N113" i="3"/>
  <c r="T113" i="3"/>
  <c r="Y113" i="3"/>
  <c r="AD113" i="3"/>
  <c r="AL113" i="3"/>
  <c r="AT113" i="3"/>
  <c r="BB113" i="3"/>
  <c r="BJ113" i="3"/>
  <c r="F61" i="3"/>
  <c r="F9" i="3"/>
  <c r="J61" i="3"/>
  <c r="J9" i="3"/>
  <c r="N9" i="3"/>
  <c r="Q114" i="3"/>
  <c r="Y114" i="3"/>
  <c r="AG114" i="3"/>
  <c r="AO114" i="3"/>
  <c r="AW114" i="3"/>
  <c r="BE114" i="3"/>
  <c r="C62" i="3"/>
  <c r="C10" i="3"/>
  <c r="C114" i="3"/>
  <c r="H62" i="3"/>
  <c r="H10" i="3"/>
  <c r="L62" i="3"/>
  <c r="L10" i="3"/>
  <c r="D115" i="3"/>
  <c r="L115" i="3"/>
  <c r="T115" i="3"/>
  <c r="AB115" i="3"/>
  <c r="AJ115" i="3"/>
  <c r="AR115" i="3"/>
  <c r="AZ115" i="3"/>
  <c r="BH115" i="3"/>
  <c r="E115" i="3"/>
  <c r="G116" i="3"/>
  <c r="O116" i="3"/>
  <c r="W116" i="3"/>
  <c r="AE116" i="3"/>
  <c r="AM116" i="3"/>
  <c r="AU116" i="3"/>
  <c r="BC116" i="3"/>
  <c r="B64" i="3"/>
  <c r="B12" i="3"/>
  <c r="F64" i="3"/>
  <c r="F12" i="3"/>
  <c r="K64" i="3"/>
  <c r="K12" i="3"/>
  <c r="S117" i="3"/>
  <c r="AA117" i="3"/>
  <c r="AI117" i="3"/>
  <c r="AQ117" i="3"/>
  <c r="AY117" i="3"/>
  <c r="BG117" i="3"/>
  <c r="G118" i="3"/>
  <c r="O118" i="3"/>
  <c r="W118" i="3"/>
  <c r="AE118" i="3"/>
  <c r="AM118" i="3"/>
  <c r="AU118" i="3"/>
  <c r="BC118" i="3"/>
  <c r="B66" i="3"/>
  <c r="B14" i="3"/>
  <c r="F66" i="3"/>
  <c r="F14" i="3"/>
  <c r="K66" i="3"/>
  <c r="K14" i="3"/>
  <c r="B119" i="3"/>
  <c r="J119" i="3"/>
  <c r="R119" i="3"/>
  <c r="Z119" i="3"/>
  <c r="AH119" i="3"/>
  <c r="AP119" i="3"/>
  <c r="AX119" i="3"/>
  <c r="BF119" i="3"/>
  <c r="C119" i="3"/>
  <c r="G119" i="3"/>
  <c r="E120" i="3"/>
  <c r="M120" i="3"/>
  <c r="U120" i="3"/>
  <c r="AC120" i="3"/>
  <c r="AK120" i="3"/>
  <c r="AS120" i="3"/>
  <c r="BA120" i="3"/>
  <c r="BI120" i="3"/>
  <c r="H121" i="3"/>
  <c r="X121" i="3"/>
  <c r="AN121" i="3"/>
  <c r="C69" i="3"/>
  <c r="C17" i="3"/>
  <c r="G17" i="3"/>
  <c r="K17" i="3"/>
  <c r="C122" i="3"/>
  <c r="K122" i="3"/>
  <c r="S122" i="3"/>
  <c r="AA122" i="3"/>
  <c r="AI122" i="3"/>
  <c r="AQ122" i="3"/>
  <c r="AY122" i="3"/>
  <c r="BG122" i="3"/>
  <c r="D122" i="3"/>
  <c r="H122" i="3"/>
  <c r="L122" i="3"/>
  <c r="F123" i="3"/>
  <c r="N123" i="3"/>
  <c r="V123" i="3"/>
  <c r="AD123" i="3"/>
  <c r="AL123" i="3"/>
  <c r="AT123" i="3"/>
  <c r="BJ123" i="3"/>
  <c r="E19" i="3"/>
  <c r="I19" i="3"/>
  <c r="M19" i="3"/>
  <c r="I124" i="3"/>
  <c r="Q124" i="3"/>
  <c r="Y124" i="3"/>
  <c r="AG124" i="3"/>
  <c r="AO124" i="3"/>
  <c r="AW124" i="3"/>
  <c r="BE124" i="3"/>
  <c r="B125" i="3"/>
  <c r="J125" i="3"/>
  <c r="R125" i="3"/>
  <c r="Z125" i="3"/>
  <c r="AH125" i="3"/>
  <c r="AP125" i="3"/>
  <c r="AX125" i="3"/>
  <c r="BF125" i="3"/>
  <c r="E126" i="3"/>
  <c r="M126" i="3"/>
  <c r="AK126" i="3"/>
  <c r="AS126" i="3"/>
  <c r="BA126" i="3"/>
  <c r="BI126" i="3"/>
  <c r="T74" i="3"/>
  <c r="T126" i="3"/>
  <c r="X74" i="3"/>
  <c r="X126" i="3"/>
  <c r="AB74" i="3"/>
  <c r="AB126" i="3"/>
  <c r="AF74" i="3"/>
  <c r="AF126" i="3"/>
  <c r="BG74" i="3"/>
  <c r="BG126" i="3"/>
  <c r="I127" i="3"/>
  <c r="Q127" i="3"/>
  <c r="AO127" i="3"/>
  <c r="AW127" i="3"/>
  <c r="BE127" i="3"/>
  <c r="E128" i="3"/>
  <c r="M128" i="3"/>
  <c r="AK128" i="3"/>
  <c r="AS128" i="3"/>
  <c r="BA128" i="3"/>
  <c r="BI128" i="3"/>
  <c r="T76" i="3"/>
  <c r="T128" i="3"/>
  <c r="X76" i="3"/>
  <c r="X128" i="3"/>
  <c r="AB76" i="3"/>
  <c r="AB128" i="3"/>
  <c r="AF76" i="3"/>
  <c r="AF128" i="3"/>
  <c r="BG76" i="3"/>
  <c r="BG128" i="3"/>
  <c r="I129" i="3"/>
  <c r="Q129" i="3"/>
  <c r="AG129" i="3"/>
  <c r="AO129" i="3"/>
  <c r="AW129" i="3"/>
  <c r="BE129" i="3"/>
  <c r="E130" i="3"/>
  <c r="M130" i="3"/>
  <c r="U130" i="3"/>
  <c r="AK130" i="3"/>
  <c r="AS130" i="3"/>
  <c r="BA130" i="3"/>
  <c r="BI130" i="3"/>
  <c r="S78" i="3"/>
  <c r="S130" i="3"/>
  <c r="X78" i="3"/>
  <c r="X26" i="3"/>
  <c r="X130" i="3"/>
  <c r="AB78" i="3"/>
  <c r="AB26" i="3"/>
  <c r="AB130" i="3"/>
  <c r="AF78" i="3"/>
  <c r="AF26" i="3"/>
  <c r="AF130" i="3"/>
  <c r="BG78" i="3"/>
  <c r="BG26" i="3"/>
  <c r="BG130" i="3"/>
  <c r="I131" i="3"/>
  <c r="Q131" i="3"/>
  <c r="Y131" i="3"/>
  <c r="AO131" i="3"/>
  <c r="AW131" i="3"/>
  <c r="BE131" i="3"/>
  <c r="E132" i="3"/>
  <c r="M132" i="3"/>
  <c r="U132" i="3"/>
  <c r="AK132" i="3"/>
  <c r="AS132" i="3"/>
  <c r="BA132" i="3"/>
  <c r="BI132" i="3"/>
  <c r="S80" i="3"/>
  <c r="S132" i="3"/>
  <c r="X80" i="3"/>
  <c r="X28" i="3"/>
  <c r="X132" i="3"/>
  <c r="AB80" i="3"/>
  <c r="AB28" i="3"/>
  <c r="AB132" i="3"/>
  <c r="AF80" i="3"/>
  <c r="AF28" i="3"/>
  <c r="AF132" i="3"/>
  <c r="B133" i="3"/>
  <c r="J133" i="3"/>
  <c r="R133" i="3"/>
  <c r="Z133" i="3"/>
  <c r="AH133" i="3"/>
  <c r="AP133" i="3"/>
  <c r="AX133" i="3"/>
  <c r="BF133" i="3"/>
  <c r="F134" i="3"/>
  <c r="N134" i="3"/>
  <c r="V134" i="3"/>
  <c r="AL134" i="3"/>
  <c r="AT134" i="3"/>
  <c r="BJ134" i="3"/>
  <c r="T82" i="3"/>
  <c r="T30" i="3"/>
  <c r="T134" i="3"/>
  <c r="X82" i="3"/>
  <c r="X30" i="3"/>
  <c r="X134" i="3"/>
  <c r="AC82" i="3"/>
  <c r="AC30" i="3"/>
  <c r="AC134" i="3"/>
  <c r="AG82" i="3"/>
  <c r="AG30" i="3"/>
  <c r="AG134" i="3"/>
  <c r="B135" i="3"/>
  <c r="J135" i="3"/>
  <c r="R135" i="3"/>
  <c r="Z135" i="3"/>
  <c r="AH135" i="3"/>
  <c r="AP135" i="3"/>
  <c r="AX135" i="3"/>
  <c r="BF135" i="3"/>
  <c r="F136" i="3"/>
  <c r="N136" i="3"/>
  <c r="V136" i="3"/>
  <c r="AL136" i="3"/>
  <c r="AT136" i="3"/>
  <c r="BJ136" i="3"/>
  <c r="T84" i="3"/>
  <c r="T32" i="3"/>
  <c r="T136" i="3"/>
  <c r="X84" i="3"/>
  <c r="X32" i="3"/>
  <c r="X136" i="3"/>
  <c r="AC84" i="3"/>
  <c r="AC32" i="3"/>
  <c r="AC136" i="3"/>
  <c r="AG84" i="3"/>
  <c r="AG32" i="3"/>
  <c r="AG136" i="3"/>
  <c r="B137" i="3"/>
  <c r="J137" i="3"/>
  <c r="R137" i="3"/>
  <c r="Z137" i="3"/>
  <c r="AH137" i="3"/>
  <c r="AP137" i="3"/>
  <c r="AX137" i="3"/>
  <c r="BF137" i="3"/>
  <c r="F138" i="3"/>
  <c r="N138" i="3"/>
  <c r="V138" i="3"/>
  <c r="AL138" i="3"/>
  <c r="AT138" i="3"/>
  <c r="BJ138" i="3"/>
  <c r="T86" i="3"/>
  <c r="T34" i="3"/>
  <c r="T138" i="3"/>
  <c r="X86" i="3"/>
  <c r="X34" i="3"/>
  <c r="X138" i="3"/>
  <c r="AB86" i="3"/>
  <c r="AB34" i="3"/>
  <c r="AB138" i="3"/>
  <c r="AG86" i="3"/>
  <c r="AG34" i="3"/>
  <c r="AG138" i="3"/>
  <c r="J139" i="3"/>
  <c r="Z139" i="3"/>
  <c r="AP139" i="3"/>
  <c r="BF139" i="3"/>
  <c r="N140" i="3"/>
  <c r="AD140" i="3"/>
  <c r="AT140" i="3"/>
  <c r="BJ140" i="3"/>
  <c r="T88" i="3"/>
  <c r="T36" i="3"/>
  <c r="T140" i="3"/>
  <c r="X36" i="3"/>
  <c r="X88" i="3"/>
  <c r="X140" i="3"/>
  <c r="AB36" i="3"/>
  <c r="AB140" i="3"/>
  <c r="AG88" i="3"/>
  <c r="AG36" i="3"/>
  <c r="AG140" i="3"/>
  <c r="D141" i="3"/>
  <c r="L141" i="3"/>
  <c r="T141" i="3"/>
  <c r="AB141" i="3"/>
  <c r="AJ141" i="3"/>
  <c r="AR141" i="3"/>
  <c r="AZ141" i="3"/>
  <c r="BH141" i="3"/>
  <c r="AG141" i="3"/>
  <c r="S142" i="3"/>
  <c r="AY142" i="3"/>
  <c r="D143" i="3"/>
  <c r="T143" i="3"/>
  <c r="AJ143" i="3"/>
  <c r="AZ143" i="3"/>
  <c r="BH143" i="3"/>
  <c r="AK91" i="3"/>
  <c r="AK39" i="3"/>
  <c r="BD91" i="3"/>
  <c r="BD39" i="3"/>
  <c r="M145" i="3"/>
  <c r="AC145" i="3"/>
  <c r="AS145" i="3"/>
  <c r="BI145" i="3"/>
  <c r="O146" i="3"/>
  <c r="AE146" i="3"/>
  <c r="AU146" i="3"/>
  <c r="AH94" i="3"/>
  <c r="AH42" i="3"/>
  <c r="AH146" i="3"/>
  <c r="AT42" i="3"/>
  <c r="AT146" i="3"/>
  <c r="AX42" i="3"/>
  <c r="AX146" i="3"/>
  <c r="BE94" i="3"/>
  <c r="BE42" i="3"/>
  <c r="Q147" i="3"/>
  <c r="AG147" i="3"/>
  <c r="AW147" i="3"/>
  <c r="M148" i="3"/>
  <c r="AC148" i="3"/>
  <c r="AS148" i="3"/>
  <c r="BI148" i="3"/>
  <c r="M149" i="3"/>
  <c r="AC149" i="3"/>
  <c r="AS149" i="3"/>
  <c r="BI149" i="3"/>
  <c r="AU150" i="3"/>
  <c r="AP98" i="3"/>
  <c r="AP46" i="3"/>
  <c r="AP150" i="3"/>
  <c r="W152" i="3"/>
  <c r="X154" i="3"/>
  <c r="Y50" i="3"/>
  <c r="Y40" i="3"/>
  <c r="Y51" i="3"/>
  <c r="Y42" i="3"/>
  <c r="Y30" i="3"/>
  <c r="Y49" i="3"/>
  <c r="AG50" i="3"/>
  <c r="AG38" i="3"/>
  <c r="AG42" i="3"/>
  <c r="AK49" i="3"/>
  <c r="AK51" i="3"/>
  <c r="AK50" i="3"/>
  <c r="AK42" i="3"/>
  <c r="AK32" i="3"/>
  <c r="AK38" i="3"/>
  <c r="AK30" i="3"/>
  <c r="AK26" i="3"/>
  <c r="AK33" i="3"/>
  <c r="AK25" i="3"/>
  <c r="AK27" i="3"/>
  <c r="AS50" i="3"/>
  <c r="AS38" i="3"/>
  <c r="AS37" i="3"/>
  <c r="AS51" i="3"/>
  <c r="AS36" i="3"/>
  <c r="AS31" i="3"/>
  <c r="AS30" i="3"/>
  <c r="AS29" i="3"/>
  <c r="AS25" i="3"/>
  <c r="AS28" i="3"/>
  <c r="AS26" i="3"/>
  <c r="AS34" i="3"/>
  <c r="AS32" i="3"/>
  <c r="AS33" i="3"/>
  <c r="AS35" i="3"/>
  <c r="AS27" i="3"/>
  <c r="BA29" i="3"/>
  <c r="BA25" i="3"/>
  <c r="BA36" i="3"/>
  <c r="BA30" i="3"/>
  <c r="BA35" i="3"/>
  <c r="BA28" i="3"/>
  <c r="BA51" i="3"/>
  <c r="AV77" i="3"/>
  <c r="AV90" i="3"/>
  <c r="AV89" i="3"/>
  <c r="AV87" i="3"/>
  <c r="AV82" i="3"/>
  <c r="AV80" i="3"/>
  <c r="AV79" i="3"/>
  <c r="AV83" i="3"/>
  <c r="AV76" i="3"/>
  <c r="AV74" i="3"/>
  <c r="AV84" i="3"/>
  <c r="AV78" i="3"/>
  <c r="AV81" i="3"/>
  <c r="AV88" i="3"/>
  <c r="C151" i="3"/>
  <c r="C154" i="3"/>
  <c r="C153" i="3"/>
  <c r="C144" i="3"/>
  <c r="C152" i="3"/>
  <c r="C149" i="3"/>
  <c r="C145" i="3"/>
  <c r="C143" i="3"/>
  <c r="C124" i="3"/>
  <c r="C150" i="3"/>
  <c r="C146" i="3"/>
  <c r="C132" i="3"/>
  <c r="C131" i="3"/>
  <c r="C130" i="3"/>
  <c r="C129" i="3"/>
  <c r="C128" i="3"/>
  <c r="C127" i="3"/>
  <c r="C126" i="3"/>
  <c r="G151" i="3"/>
  <c r="G154" i="3"/>
  <c r="G153" i="3"/>
  <c r="G144" i="3"/>
  <c r="G147" i="3"/>
  <c r="G143" i="3"/>
  <c r="G124" i="3"/>
  <c r="G114" i="3"/>
  <c r="G155" i="3"/>
  <c r="G148" i="3"/>
  <c r="G132" i="3"/>
  <c r="G131" i="3"/>
  <c r="G130" i="3"/>
  <c r="G129" i="3"/>
  <c r="G128" i="3"/>
  <c r="G127" i="3"/>
  <c r="G126" i="3"/>
  <c r="G113" i="3"/>
  <c r="K151" i="3"/>
  <c r="K154" i="3"/>
  <c r="K153" i="3"/>
  <c r="K144" i="3"/>
  <c r="K155" i="3"/>
  <c r="K152" i="3"/>
  <c r="K149" i="3"/>
  <c r="K145" i="3"/>
  <c r="K143" i="3"/>
  <c r="K124" i="3"/>
  <c r="K120" i="3"/>
  <c r="K114" i="3"/>
  <c r="K150" i="3"/>
  <c r="K146" i="3"/>
  <c r="K132" i="3"/>
  <c r="K131" i="3"/>
  <c r="K130" i="3"/>
  <c r="K129" i="3"/>
  <c r="K128" i="3"/>
  <c r="K127" i="3"/>
  <c r="K126" i="3"/>
  <c r="K119" i="3"/>
  <c r="K113" i="3"/>
  <c r="O151" i="3"/>
  <c r="O154" i="3"/>
  <c r="O153" i="3"/>
  <c r="O144" i="3"/>
  <c r="O147" i="3"/>
  <c r="O143" i="3"/>
  <c r="O124" i="3"/>
  <c r="O120" i="3"/>
  <c r="O114" i="3"/>
  <c r="O148" i="3"/>
  <c r="O132" i="3"/>
  <c r="O131" i="3"/>
  <c r="O130" i="3"/>
  <c r="O129" i="3"/>
  <c r="O128" i="3"/>
  <c r="O127" i="3"/>
  <c r="O126" i="3"/>
  <c r="O123" i="3"/>
  <c r="O119" i="3"/>
  <c r="O113" i="3"/>
  <c r="S151" i="3"/>
  <c r="S154" i="3"/>
  <c r="S153" i="3"/>
  <c r="S144" i="3"/>
  <c r="S152" i="3"/>
  <c r="S149" i="3"/>
  <c r="S145" i="3"/>
  <c r="S143" i="3"/>
  <c r="S124" i="3"/>
  <c r="S120" i="3"/>
  <c r="S114" i="3"/>
  <c r="S150" i="3"/>
  <c r="S146" i="3"/>
  <c r="S128" i="3"/>
  <c r="S123" i="3"/>
  <c r="S119" i="3"/>
  <c r="S113" i="3"/>
  <c r="AA151" i="3"/>
  <c r="AA154" i="3"/>
  <c r="AA153" i="3"/>
  <c r="AA144" i="3"/>
  <c r="AA155" i="3"/>
  <c r="AA152" i="3"/>
  <c r="AA149" i="3"/>
  <c r="AA145" i="3"/>
  <c r="AA143" i="3"/>
  <c r="AA124" i="3"/>
  <c r="AA120" i="3"/>
  <c r="AA114" i="3"/>
  <c r="AA150" i="3"/>
  <c r="AA146" i="3"/>
  <c r="AA123" i="3"/>
  <c r="AA119" i="3"/>
  <c r="AA113" i="3"/>
  <c r="AA111" i="3"/>
  <c r="AE151" i="3"/>
  <c r="AE154" i="3"/>
  <c r="AE153" i="3"/>
  <c r="AE144" i="3"/>
  <c r="AE147" i="3"/>
  <c r="AE143" i="3"/>
  <c r="AE124" i="3"/>
  <c r="AE120" i="3"/>
  <c r="AE114" i="3"/>
  <c r="AE148" i="3"/>
  <c r="AE123" i="3"/>
  <c r="AE119" i="3"/>
  <c r="AE113" i="3"/>
  <c r="AE111" i="3"/>
  <c r="AI151" i="3"/>
  <c r="AI154" i="3"/>
  <c r="AI153" i="3"/>
  <c r="AI144" i="3"/>
  <c r="AI152" i="3"/>
  <c r="AI149" i="3"/>
  <c r="AI145" i="3"/>
  <c r="AI143" i="3"/>
  <c r="AI124" i="3"/>
  <c r="AI120" i="3"/>
  <c r="AI114" i="3"/>
  <c r="AI150" i="3"/>
  <c r="AI146" i="3"/>
  <c r="AI132" i="3"/>
  <c r="AI131" i="3"/>
  <c r="AI130" i="3"/>
  <c r="AI129" i="3"/>
  <c r="AI128" i="3"/>
  <c r="AI127" i="3"/>
  <c r="AI126" i="3"/>
  <c r="AI123" i="3"/>
  <c r="AI119" i="3"/>
  <c r="AI113" i="3"/>
  <c r="AI111" i="3"/>
  <c r="AM151" i="3"/>
  <c r="AM154" i="3"/>
  <c r="AM153" i="3"/>
  <c r="AM144" i="3"/>
  <c r="AM147" i="3"/>
  <c r="AM143" i="3"/>
  <c r="AM124" i="3"/>
  <c r="AM120" i="3"/>
  <c r="AM114" i="3"/>
  <c r="AM155" i="3"/>
  <c r="AM148" i="3"/>
  <c r="AM132" i="3"/>
  <c r="AM131" i="3"/>
  <c r="AM130" i="3"/>
  <c r="AM129" i="3"/>
  <c r="AM128" i="3"/>
  <c r="AM127" i="3"/>
  <c r="AM126" i="3"/>
  <c r="AM123" i="3"/>
  <c r="AM119" i="3"/>
  <c r="AM113" i="3"/>
  <c r="AM111" i="3"/>
  <c r="AQ154" i="3"/>
  <c r="AQ153" i="3"/>
  <c r="AQ144" i="3"/>
  <c r="AQ155" i="3"/>
  <c r="AQ152" i="3"/>
  <c r="AQ149" i="3"/>
  <c r="AQ145" i="3"/>
  <c r="AQ143" i="3"/>
  <c r="AQ124" i="3"/>
  <c r="AQ120" i="3"/>
  <c r="AQ114" i="3"/>
  <c r="AQ150" i="3"/>
  <c r="AQ146" i="3"/>
  <c r="AQ132" i="3"/>
  <c r="AQ131" i="3"/>
  <c r="AQ130" i="3"/>
  <c r="AQ129" i="3"/>
  <c r="AQ128" i="3"/>
  <c r="AQ127" i="3"/>
  <c r="AQ126" i="3"/>
  <c r="AQ123" i="3"/>
  <c r="AQ119" i="3"/>
  <c r="AQ113" i="3"/>
  <c r="AQ111" i="3"/>
  <c r="AY151" i="3"/>
  <c r="AY154" i="3"/>
  <c r="AY153" i="3"/>
  <c r="AY144" i="3"/>
  <c r="AY152" i="3"/>
  <c r="AY149" i="3"/>
  <c r="AY145" i="3"/>
  <c r="AY143" i="3"/>
  <c r="AY124" i="3"/>
  <c r="AY120" i="3"/>
  <c r="AY114" i="3"/>
  <c r="AY150" i="3"/>
  <c r="AY146" i="3"/>
  <c r="AY132" i="3"/>
  <c r="AY131" i="3"/>
  <c r="AY130" i="3"/>
  <c r="AY129" i="3"/>
  <c r="AY128" i="3"/>
  <c r="AY127" i="3"/>
  <c r="AY126" i="3"/>
  <c r="AY123" i="3"/>
  <c r="AY119" i="3"/>
  <c r="AY113" i="3"/>
  <c r="BC151" i="3"/>
  <c r="BC154" i="3"/>
  <c r="BC153" i="3"/>
  <c r="BC144" i="3"/>
  <c r="BC143" i="3"/>
  <c r="BC124" i="3"/>
  <c r="BC120" i="3"/>
  <c r="BC114" i="3"/>
  <c r="BC155" i="3"/>
  <c r="BC132" i="3"/>
  <c r="BC131" i="3"/>
  <c r="BC130" i="3"/>
  <c r="BC129" i="3"/>
  <c r="BC128" i="3"/>
  <c r="BC127" i="3"/>
  <c r="BC126" i="3"/>
  <c r="BC123" i="3"/>
  <c r="BC119" i="3"/>
  <c r="BC113" i="3"/>
  <c r="BC111" i="3"/>
  <c r="BG151" i="3"/>
  <c r="BG154" i="3"/>
  <c r="BG153" i="3"/>
  <c r="BG144" i="3"/>
  <c r="BG155" i="3"/>
  <c r="BG152" i="3"/>
  <c r="BG149" i="3"/>
  <c r="BG145" i="3"/>
  <c r="BG143" i="3"/>
  <c r="BG124" i="3"/>
  <c r="BG120" i="3"/>
  <c r="BG114" i="3"/>
  <c r="BG150" i="3"/>
  <c r="BG146" i="3"/>
  <c r="BG123" i="3"/>
  <c r="BG119" i="3"/>
  <c r="BG113" i="3"/>
  <c r="BG111" i="3"/>
  <c r="J59" i="3"/>
  <c r="J7" i="3"/>
  <c r="C112" i="3"/>
  <c r="S112" i="3"/>
  <c r="AI112" i="3"/>
  <c r="AY112" i="3"/>
  <c r="F60" i="3"/>
  <c r="F8" i="3"/>
  <c r="J60" i="3"/>
  <c r="J8" i="3"/>
  <c r="C113" i="3"/>
  <c r="H63" i="3"/>
  <c r="H11" i="3"/>
  <c r="C116" i="3"/>
  <c r="S116" i="3"/>
  <c r="AQ116" i="3"/>
  <c r="O117" i="3"/>
  <c r="AE117" i="3"/>
  <c r="AU117" i="3"/>
  <c r="C65" i="3"/>
  <c r="C13" i="3"/>
  <c r="L13" i="3"/>
  <c r="L117" i="3"/>
  <c r="K118" i="3"/>
  <c r="AA118" i="3"/>
  <c r="AQ118" i="3"/>
  <c r="W122" i="3"/>
  <c r="B70" i="3"/>
  <c r="B18" i="3"/>
  <c r="C123" i="3"/>
  <c r="K123" i="3"/>
  <c r="BG127" i="3"/>
  <c r="AB77" i="3"/>
  <c r="AB25" i="3"/>
  <c r="AB129" i="3"/>
  <c r="S79" i="3"/>
  <c r="S131" i="3"/>
  <c r="AB27" i="3"/>
  <c r="AB131" i="3"/>
  <c r="BG27" i="3"/>
  <c r="BG131" i="3"/>
  <c r="Y81" i="3"/>
  <c r="Y29" i="3"/>
  <c r="Y133" i="3"/>
  <c r="AC81" i="3"/>
  <c r="AC29" i="3"/>
  <c r="AC133" i="3"/>
  <c r="T83" i="3"/>
  <c r="T31" i="3"/>
  <c r="T135" i="3"/>
  <c r="AC83" i="3"/>
  <c r="AC31" i="3"/>
  <c r="AC135" i="3"/>
  <c r="AG83" i="3"/>
  <c r="AG31" i="3"/>
  <c r="AG135" i="3"/>
  <c r="X85" i="3"/>
  <c r="X33" i="3"/>
  <c r="X137" i="3"/>
  <c r="AG33" i="3"/>
  <c r="AG137" i="3"/>
  <c r="X87" i="3"/>
  <c r="X35" i="3"/>
  <c r="X139" i="3"/>
  <c r="AG35" i="3"/>
  <c r="AG87" i="3"/>
  <c r="AG139" i="3"/>
  <c r="Z89" i="3"/>
  <c r="Z37" i="3"/>
  <c r="Z141" i="3"/>
  <c r="AD89" i="3"/>
  <c r="AD37" i="3"/>
  <c r="AD141" i="3"/>
  <c r="G142" i="3"/>
  <c r="O142" i="3"/>
  <c r="AE142" i="3"/>
  <c r="AM142" i="3"/>
  <c r="AU142" i="3"/>
  <c r="Q90" i="3"/>
  <c r="Q142" i="3"/>
  <c r="U90" i="3"/>
  <c r="U38" i="3"/>
  <c r="U142" i="3"/>
  <c r="AC90" i="3"/>
  <c r="AC38" i="3"/>
  <c r="AC142" i="3"/>
  <c r="BB90" i="3"/>
  <c r="BB38" i="3"/>
  <c r="BB142" i="3"/>
  <c r="W146" i="3"/>
  <c r="AM146" i="3"/>
  <c r="BC147" i="3"/>
  <c r="G150" i="3"/>
  <c r="AM150" i="3"/>
  <c r="O152" i="3"/>
  <c r="AU152" i="3"/>
  <c r="C155" i="3"/>
  <c r="V42" i="3"/>
  <c r="V27" i="3"/>
  <c r="V50" i="3"/>
  <c r="V51" i="3"/>
  <c r="AD49" i="3"/>
  <c r="AD51" i="3"/>
  <c r="AD35" i="3"/>
  <c r="AD50" i="3"/>
  <c r="AT51" i="3"/>
  <c r="AT30" i="3"/>
  <c r="AT29" i="3"/>
  <c r="AT35" i="3"/>
  <c r="AT33" i="3"/>
  <c r="AT27" i="3"/>
  <c r="AT34" i="3"/>
  <c r="AT32" i="3"/>
  <c r="AT25" i="3"/>
  <c r="AT26" i="3"/>
  <c r="AT28" i="3"/>
  <c r="BB50" i="3"/>
  <c r="BB49" i="3"/>
  <c r="BB40" i="3"/>
  <c r="BB28" i="3"/>
  <c r="BJ20" i="3"/>
  <c r="BJ21" i="3"/>
  <c r="AW91" i="3"/>
  <c r="AW90" i="3"/>
  <c r="AW89" i="3"/>
  <c r="AW87" i="3"/>
  <c r="AW82" i="3"/>
  <c r="AW80" i="3"/>
  <c r="AW79" i="3"/>
  <c r="AW88" i="3"/>
  <c r="AW84" i="3"/>
  <c r="AW78" i="3"/>
  <c r="AW83" i="3"/>
  <c r="AW81" i="3"/>
  <c r="D152" i="3"/>
  <c r="D149" i="3"/>
  <c r="D147" i="3"/>
  <c r="D145" i="3"/>
  <c r="D155" i="3"/>
  <c r="D150" i="3"/>
  <c r="D148" i="3"/>
  <c r="D146" i="3"/>
  <c r="D151" i="3"/>
  <c r="D132" i="3"/>
  <c r="D131" i="3"/>
  <c r="D130" i="3"/>
  <c r="D129" i="3"/>
  <c r="D128" i="3"/>
  <c r="D127" i="3"/>
  <c r="D126" i="3"/>
  <c r="D154" i="3"/>
  <c r="D140" i="3"/>
  <c r="D139" i="3"/>
  <c r="D138" i="3"/>
  <c r="D137" i="3"/>
  <c r="D136" i="3"/>
  <c r="D135" i="3"/>
  <c r="D134" i="3"/>
  <c r="D133" i="3"/>
  <c r="D125" i="3"/>
  <c r="D117" i="3"/>
  <c r="D112" i="3"/>
  <c r="H152" i="3"/>
  <c r="H149" i="3"/>
  <c r="H147" i="3"/>
  <c r="H145" i="3"/>
  <c r="H155" i="3"/>
  <c r="H150" i="3"/>
  <c r="H148" i="3"/>
  <c r="H146" i="3"/>
  <c r="H144" i="3"/>
  <c r="H132" i="3"/>
  <c r="H131" i="3"/>
  <c r="H130" i="3"/>
  <c r="H129" i="3"/>
  <c r="H128" i="3"/>
  <c r="H127" i="3"/>
  <c r="H126" i="3"/>
  <c r="H153" i="3"/>
  <c r="H140" i="3"/>
  <c r="H139" i="3"/>
  <c r="H138" i="3"/>
  <c r="H137" i="3"/>
  <c r="H136" i="3"/>
  <c r="H135" i="3"/>
  <c r="H134" i="3"/>
  <c r="H133" i="3"/>
  <c r="H125" i="3"/>
  <c r="H117" i="3"/>
  <c r="H116" i="3"/>
  <c r="H112" i="3"/>
  <c r="L152" i="3"/>
  <c r="L149" i="3"/>
  <c r="L147" i="3"/>
  <c r="L145" i="3"/>
  <c r="L155" i="3"/>
  <c r="L150" i="3"/>
  <c r="L148" i="3"/>
  <c r="L146" i="3"/>
  <c r="L151" i="3"/>
  <c r="L132" i="3"/>
  <c r="L131" i="3"/>
  <c r="L130" i="3"/>
  <c r="L129" i="3"/>
  <c r="L128" i="3"/>
  <c r="L127" i="3"/>
  <c r="L126" i="3"/>
  <c r="L119" i="3"/>
  <c r="L154" i="3"/>
  <c r="L140" i="3"/>
  <c r="L139" i="3"/>
  <c r="L138" i="3"/>
  <c r="L137" i="3"/>
  <c r="L136" i="3"/>
  <c r="L135" i="3"/>
  <c r="L134" i="3"/>
  <c r="L133" i="3"/>
  <c r="L125" i="3"/>
  <c r="L118" i="3"/>
  <c r="L116" i="3"/>
  <c r="L112" i="3"/>
  <c r="P152" i="3"/>
  <c r="P149" i="3"/>
  <c r="P147" i="3"/>
  <c r="P145" i="3"/>
  <c r="P155" i="3"/>
  <c r="P150" i="3"/>
  <c r="P148" i="3"/>
  <c r="P146" i="3"/>
  <c r="P144" i="3"/>
  <c r="P132" i="3"/>
  <c r="P131" i="3"/>
  <c r="P130" i="3"/>
  <c r="P129" i="3"/>
  <c r="P128" i="3"/>
  <c r="P127" i="3"/>
  <c r="P126" i="3"/>
  <c r="P123" i="3"/>
  <c r="P119" i="3"/>
  <c r="P153" i="3"/>
  <c r="P140" i="3"/>
  <c r="P139" i="3"/>
  <c r="P138" i="3"/>
  <c r="P137" i="3"/>
  <c r="P136" i="3"/>
  <c r="P135" i="3"/>
  <c r="P134" i="3"/>
  <c r="P133" i="3"/>
  <c r="P125" i="3"/>
  <c r="P122" i="3"/>
  <c r="P118" i="3"/>
  <c r="P117" i="3"/>
  <c r="P116" i="3"/>
  <c r="P112" i="3"/>
  <c r="T152" i="3"/>
  <c r="T149" i="3"/>
  <c r="T147" i="3"/>
  <c r="T145" i="3"/>
  <c r="T155" i="3"/>
  <c r="T150" i="3"/>
  <c r="T148" i="3"/>
  <c r="T146" i="3"/>
  <c r="T151" i="3"/>
  <c r="T129" i="3"/>
  <c r="T123" i="3"/>
  <c r="T119" i="3"/>
  <c r="T154" i="3"/>
  <c r="T125" i="3"/>
  <c r="T122" i="3"/>
  <c r="T118" i="3"/>
  <c r="T117" i="3"/>
  <c r="T116" i="3"/>
  <c r="T112" i="3"/>
  <c r="AB152" i="3"/>
  <c r="AB149" i="3"/>
  <c r="AB147" i="3"/>
  <c r="AB145" i="3"/>
  <c r="AB155" i="3"/>
  <c r="AB150" i="3"/>
  <c r="AB148" i="3"/>
  <c r="AB146" i="3"/>
  <c r="AB151" i="3"/>
  <c r="AB123" i="3"/>
  <c r="AB119" i="3"/>
  <c r="AB154" i="3"/>
  <c r="AB137" i="3"/>
  <c r="AB125" i="3"/>
  <c r="AB122" i="3"/>
  <c r="AB118" i="3"/>
  <c r="AB117" i="3"/>
  <c r="AB116" i="3"/>
  <c r="AB112" i="3"/>
  <c r="AF152" i="3"/>
  <c r="AF149" i="3"/>
  <c r="AF147" i="3"/>
  <c r="AF145" i="3"/>
  <c r="AF155" i="3"/>
  <c r="AF150" i="3"/>
  <c r="AF148" i="3"/>
  <c r="AF146" i="3"/>
  <c r="AF144" i="3"/>
  <c r="AF123" i="3"/>
  <c r="AF119" i="3"/>
  <c r="AF113" i="3"/>
  <c r="AF153" i="3"/>
  <c r="AF125" i="3"/>
  <c r="AF122" i="3"/>
  <c r="AF118" i="3"/>
  <c r="AF117" i="3"/>
  <c r="AF116" i="3"/>
  <c r="AF112" i="3"/>
  <c r="AJ152" i="3"/>
  <c r="AJ145" i="3"/>
  <c r="AJ155" i="3"/>
  <c r="AJ150" i="3"/>
  <c r="AJ151" i="3"/>
  <c r="AJ132" i="3"/>
  <c r="AJ131" i="3"/>
  <c r="AJ130" i="3"/>
  <c r="AJ129" i="3"/>
  <c r="AJ128" i="3"/>
  <c r="AJ127" i="3"/>
  <c r="AJ126" i="3"/>
  <c r="AJ123" i="3"/>
  <c r="AJ119" i="3"/>
  <c r="AJ113" i="3"/>
  <c r="AJ154" i="3"/>
  <c r="AJ140" i="3"/>
  <c r="AJ139" i="3"/>
  <c r="AJ138" i="3"/>
  <c r="AJ137" i="3"/>
  <c r="AJ136" i="3"/>
  <c r="AJ135" i="3"/>
  <c r="AJ134" i="3"/>
  <c r="AJ133" i="3"/>
  <c r="AJ125" i="3"/>
  <c r="AJ122" i="3"/>
  <c r="AJ118" i="3"/>
  <c r="AJ117" i="3"/>
  <c r="AJ116" i="3"/>
  <c r="AJ112" i="3"/>
  <c r="AN152" i="3"/>
  <c r="AN149" i="3"/>
  <c r="AN147" i="3"/>
  <c r="AN145" i="3"/>
  <c r="AN155" i="3"/>
  <c r="AN150" i="3"/>
  <c r="AN148" i="3"/>
  <c r="AN146" i="3"/>
  <c r="AN132" i="3"/>
  <c r="AN131" i="3"/>
  <c r="AN130" i="3"/>
  <c r="AN129" i="3"/>
  <c r="AN128" i="3"/>
  <c r="AN127" i="3"/>
  <c r="AN126" i="3"/>
  <c r="AN123" i="3"/>
  <c r="AN119" i="3"/>
  <c r="AN113" i="3"/>
  <c r="AN153" i="3"/>
  <c r="AN140" i="3"/>
  <c r="AN139" i="3"/>
  <c r="AN138" i="3"/>
  <c r="AN137" i="3"/>
  <c r="AN136" i="3"/>
  <c r="AN135" i="3"/>
  <c r="AN134" i="3"/>
  <c r="AN133" i="3"/>
  <c r="AN125" i="3"/>
  <c r="AN122" i="3"/>
  <c r="AN118" i="3"/>
  <c r="AN117" i="3"/>
  <c r="AN116" i="3"/>
  <c r="AN112" i="3"/>
  <c r="AR152" i="3"/>
  <c r="AR154" i="3"/>
  <c r="AR155" i="3"/>
  <c r="AR150" i="3"/>
  <c r="AR151" i="3"/>
  <c r="AR132" i="3"/>
  <c r="AR131" i="3"/>
  <c r="AR130" i="3"/>
  <c r="AR129" i="3"/>
  <c r="AR128" i="3"/>
  <c r="AR127" i="3"/>
  <c r="AR126" i="3"/>
  <c r="AR123" i="3"/>
  <c r="AR119" i="3"/>
  <c r="AR113" i="3"/>
  <c r="AR140" i="3"/>
  <c r="AR139" i="3"/>
  <c r="AR138" i="3"/>
  <c r="AR137" i="3"/>
  <c r="AR136" i="3"/>
  <c r="AR135" i="3"/>
  <c r="AR134" i="3"/>
  <c r="AR133" i="3"/>
  <c r="AR125" i="3"/>
  <c r="AR122" i="3"/>
  <c r="AR118" i="3"/>
  <c r="AR117" i="3"/>
  <c r="AR116" i="3"/>
  <c r="AR112" i="3"/>
  <c r="AV152" i="3"/>
  <c r="AV154" i="3"/>
  <c r="AV155" i="3"/>
  <c r="AV150" i="3"/>
  <c r="AV132" i="3"/>
  <c r="AV131" i="3"/>
  <c r="AV130" i="3"/>
  <c r="AV129" i="3"/>
  <c r="AV128" i="3"/>
  <c r="AV127" i="3"/>
  <c r="AV126" i="3"/>
  <c r="AV123" i="3"/>
  <c r="AV119" i="3"/>
  <c r="AV113" i="3"/>
  <c r="AV153" i="3"/>
  <c r="AV140" i="3"/>
  <c r="AV139" i="3"/>
  <c r="AV138" i="3"/>
  <c r="AV137" i="3"/>
  <c r="AV136" i="3"/>
  <c r="AV135" i="3"/>
  <c r="AV134" i="3"/>
  <c r="AV133" i="3"/>
  <c r="AV125" i="3"/>
  <c r="AV122" i="3"/>
  <c r="AV118" i="3"/>
  <c r="AV117" i="3"/>
  <c r="AV116" i="3"/>
  <c r="AV112" i="3"/>
  <c r="AZ152" i="3"/>
  <c r="AZ149" i="3"/>
  <c r="AZ147" i="3"/>
  <c r="AZ145" i="3"/>
  <c r="AZ154" i="3"/>
  <c r="AZ155" i="3"/>
  <c r="AZ150" i="3"/>
  <c r="AZ148" i="3"/>
  <c r="AZ146" i="3"/>
  <c r="AZ151" i="3"/>
  <c r="AZ132" i="3"/>
  <c r="AZ131" i="3"/>
  <c r="AZ130" i="3"/>
  <c r="AZ129" i="3"/>
  <c r="AZ128" i="3"/>
  <c r="AZ127" i="3"/>
  <c r="AZ126" i="3"/>
  <c r="AZ123" i="3"/>
  <c r="AZ119" i="3"/>
  <c r="AZ113" i="3"/>
  <c r="AZ140" i="3"/>
  <c r="AZ139" i="3"/>
  <c r="AZ138" i="3"/>
  <c r="AZ137" i="3"/>
  <c r="AZ136" i="3"/>
  <c r="AZ135" i="3"/>
  <c r="AZ134" i="3"/>
  <c r="AZ133" i="3"/>
  <c r="AZ125" i="3"/>
  <c r="AZ122" i="3"/>
  <c r="AZ118" i="3"/>
  <c r="AZ117" i="3"/>
  <c r="AZ116" i="3"/>
  <c r="AZ112" i="3"/>
  <c r="BD152" i="3"/>
  <c r="BD149" i="3"/>
  <c r="BD147" i="3"/>
  <c r="BD145" i="3"/>
  <c r="BD154" i="3"/>
  <c r="BD155" i="3"/>
  <c r="BD150" i="3"/>
  <c r="BD148" i="3"/>
  <c r="BD146" i="3"/>
  <c r="BD144" i="3"/>
  <c r="BD132" i="3"/>
  <c r="BD131" i="3"/>
  <c r="BD130" i="3"/>
  <c r="BD129" i="3"/>
  <c r="BD128" i="3"/>
  <c r="BD127" i="3"/>
  <c r="BD126" i="3"/>
  <c r="BD123" i="3"/>
  <c r="BD119" i="3"/>
  <c r="BD113" i="3"/>
  <c r="BD153" i="3"/>
  <c r="BD140" i="3"/>
  <c r="BD139" i="3"/>
  <c r="BD138" i="3"/>
  <c r="BD137" i="3"/>
  <c r="BD136" i="3"/>
  <c r="BD135" i="3"/>
  <c r="BD134" i="3"/>
  <c r="BD133" i="3"/>
  <c r="BD125" i="3"/>
  <c r="BD122" i="3"/>
  <c r="BD118" i="3"/>
  <c r="BD117" i="3"/>
  <c r="BD116" i="3"/>
  <c r="BD112" i="3"/>
  <c r="F111" i="3"/>
  <c r="AV111" i="3"/>
  <c r="J112" i="3"/>
  <c r="AU112" i="3"/>
  <c r="B60" i="3"/>
  <c r="B8" i="3"/>
  <c r="X113" i="3"/>
  <c r="I9" i="3"/>
  <c r="H114" i="3"/>
  <c r="X114" i="3"/>
  <c r="AF114" i="3"/>
  <c r="AV114" i="3"/>
  <c r="BD114" i="3"/>
  <c r="S115" i="3"/>
  <c r="AQ115" i="3"/>
  <c r="N12" i="3"/>
  <c r="E66" i="3"/>
  <c r="E14" i="3"/>
  <c r="E118" i="3"/>
  <c r="N14" i="3"/>
  <c r="D120" i="3"/>
  <c r="T120" i="3"/>
  <c r="AJ120" i="3"/>
  <c r="AZ120" i="3"/>
  <c r="D68" i="3"/>
  <c r="D16" i="3"/>
  <c r="H68" i="3"/>
  <c r="H16" i="3"/>
  <c r="G121" i="3"/>
  <c r="W121" i="3"/>
  <c r="AE121" i="3"/>
  <c r="AU121" i="3"/>
  <c r="BC121" i="3"/>
  <c r="F69" i="3"/>
  <c r="F17" i="3"/>
  <c r="F121" i="3"/>
  <c r="J17" i="3"/>
  <c r="J121" i="3"/>
  <c r="J122" i="3"/>
  <c r="D19" i="3"/>
  <c r="D123" i="3"/>
  <c r="H19" i="3"/>
  <c r="H123" i="3"/>
  <c r="H124" i="3"/>
  <c r="P124" i="3"/>
  <c r="X124" i="3"/>
  <c r="AN124" i="3"/>
  <c r="AV124" i="3"/>
  <c r="BD124" i="3"/>
  <c r="G125" i="3"/>
  <c r="W125" i="3"/>
  <c r="AM125" i="3"/>
  <c r="BC125" i="3"/>
  <c r="W126" i="3"/>
  <c r="AE126" i="3"/>
  <c r="AA128" i="3"/>
  <c r="Y77" i="3"/>
  <c r="Y25" i="3"/>
  <c r="AA130" i="3"/>
  <c r="T79" i="3"/>
  <c r="T27" i="3"/>
  <c r="T131" i="3"/>
  <c r="AC27" i="3"/>
  <c r="AG79" i="3"/>
  <c r="AG27" i="3"/>
  <c r="AE132" i="3"/>
  <c r="G133" i="3"/>
  <c r="W133" i="3"/>
  <c r="AM133" i="3"/>
  <c r="BC133" i="3"/>
  <c r="U81" i="3"/>
  <c r="U29" i="3"/>
  <c r="U133" i="3"/>
  <c r="AD81" i="3"/>
  <c r="AD29" i="3"/>
  <c r="C134" i="3"/>
  <c r="S134" i="3"/>
  <c r="AI134" i="3"/>
  <c r="AY134" i="3"/>
  <c r="G135" i="3"/>
  <c r="AM135" i="3"/>
  <c r="U83" i="3"/>
  <c r="U31" i="3"/>
  <c r="U135" i="3"/>
  <c r="BB83" i="3"/>
  <c r="BB31" i="3"/>
  <c r="K136" i="3"/>
  <c r="S136" i="3"/>
  <c r="AI136" i="3"/>
  <c r="AY136" i="3"/>
  <c r="AB136" i="3"/>
  <c r="O137" i="3"/>
  <c r="W137" i="3"/>
  <c r="AM137" i="3"/>
  <c r="AU137" i="3"/>
  <c r="Q85" i="3"/>
  <c r="Q137" i="3"/>
  <c r="U85" i="3"/>
  <c r="U33" i="3"/>
  <c r="U137" i="3"/>
  <c r="AD85" i="3"/>
  <c r="AD33" i="3"/>
  <c r="BB85" i="3"/>
  <c r="BB33" i="3"/>
  <c r="K138" i="3"/>
  <c r="AA138" i="3"/>
  <c r="AQ138" i="3"/>
  <c r="BG138" i="3"/>
  <c r="AF138" i="3"/>
  <c r="O139" i="3"/>
  <c r="W139" i="3"/>
  <c r="AM139" i="3"/>
  <c r="BC139" i="3"/>
  <c r="U35" i="3"/>
  <c r="U87" i="3"/>
  <c r="U139" i="3"/>
  <c r="AC87" i="3"/>
  <c r="AC35" i="3"/>
  <c r="AC139" i="3"/>
  <c r="C140" i="3"/>
  <c r="S140" i="3"/>
  <c r="AI140" i="3"/>
  <c r="AY140" i="3"/>
  <c r="AF140" i="3"/>
  <c r="K141" i="3"/>
  <c r="AA141" i="3"/>
  <c r="AQ141" i="3"/>
  <c r="BG141" i="3"/>
  <c r="H142" i="3"/>
  <c r="X142" i="3"/>
  <c r="AN142" i="3"/>
  <c r="BD142" i="3"/>
  <c r="Z90" i="3"/>
  <c r="Z38" i="3"/>
  <c r="Z142" i="3"/>
  <c r="AJ144" i="3"/>
  <c r="AN144" i="3"/>
  <c r="G145" i="3"/>
  <c r="AM145" i="3"/>
  <c r="K147" i="3"/>
  <c r="AQ147" i="3"/>
  <c r="AA148" i="3"/>
  <c r="BG148" i="3"/>
  <c r="AR148" i="3"/>
  <c r="BC148" i="3"/>
  <c r="AM149" i="3"/>
  <c r="H151" i="3"/>
  <c r="AN151" i="3"/>
  <c r="O155" i="3"/>
  <c r="P21" i="3"/>
  <c r="P20" i="3"/>
  <c r="T51" i="3"/>
  <c r="T50" i="3"/>
  <c r="T42" i="3"/>
  <c r="T25" i="3"/>
  <c r="T40" i="3"/>
  <c r="X51" i="3"/>
  <c r="X49" i="3"/>
  <c r="X50" i="3"/>
  <c r="X40" i="3"/>
  <c r="X29" i="3"/>
  <c r="AB51" i="3"/>
  <c r="AB50" i="3"/>
  <c r="AB42" i="3"/>
  <c r="AB33" i="3"/>
  <c r="AF50" i="3"/>
  <c r="AF37" i="3"/>
  <c r="AF40" i="3"/>
  <c r="AJ49" i="3"/>
  <c r="AJ50" i="3"/>
  <c r="AJ41" i="3"/>
  <c r="AJ51" i="3"/>
  <c r="AR51" i="3"/>
  <c r="AR50" i="3"/>
  <c r="AR49" i="3"/>
  <c r="AR28" i="3"/>
  <c r="AR30" i="3"/>
  <c r="AR29" i="3"/>
  <c r="AR35" i="3"/>
  <c r="AV49" i="3"/>
  <c r="AV37" i="3"/>
  <c r="AV34" i="3"/>
  <c r="AV32" i="3"/>
  <c r="AV28" i="3"/>
  <c r="AV27" i="3"/>
  <c r="AV25" i="3"/>
  <c r="AV35" i="3"/>
  <c r="AV33" i="3"/>
  <c r="AV31" i="3"/>
  <c r="AV30" i="3"/>
  <c r="AV29" i="3"/>
  <c r="AV26" i="3"/>
  <c r="AV36" i="3"/>
  <c r="AV38" i="3"/>
  <c r="AZ50" i="3"/>
  <c r="AZ42" i="3"/>
  <c r="AZ49" i="3"/>
  <c r="AZ39" i="3"/>
  <c r="AZ38" i="3"/>
  <c r="AZ34" i="3"/>
  <c r="AZ33" i="3"/>
  <c r="AZ32" i="3"/>
  <c r="AZ31" i="3"/>
  <c r="AZ37" i="3"/>
  <c r="AZ28" i="3"/>
  <c r="AZ29" i="3"/>
  <c r="AZ40" i="3"/>
  <c r="AZ36" i="3"/>
  <c r="AZ30" i="3"/>
  <c r="AZ27" i="3"/>
  <c r="AZ25" i="3"/>
  <c r="AZ41" i="3"/>
  <c r="AZ35" i="3"/>
  <c r="AZ26" i="3"/>
  <c r="AZ51" i="3"/>
  <c r="BD40" i="3"/>
  <c r="BD35" i="3"/>
  <c r="BD34" i="3"/>
  <c r="BD33" i="3"/>
  <c r="BD32" i="3"/>
  <c r="BD31" i="3"/>
  <c r="BD28" i="3"/>
  <c r="BD26" i="3"/>
  <c r="BD38" i="3"/>
  <c r="BD25" i="3"/>
  <c r="BD36" i="3"/>
  <c r="BD29" i="3"/>
  <c r="BD37" i="3"/>
  <c r="BD30" i="3"/>
  <c r="BD27" i="3"/>
  <c r="BH21" i="3"/>
  <c r="BH20" i="3"/>
  <c r="B155" i="3"/>
  <c r="B150" i="3"/>
  <c r="B148" i="3"/>
  <c r="B146" i="3"/>
  <c r="B152" i="3"/>
  <c r="B149" i="3"/>
  <c r="B147" i="3"/>
  <c r="B145" i="3"/>
  <c r="B153" i="3"/>
  <c r="B144" i="3"/>
  <c r="B142" i="3"/>
  <c r="B141" i="3"/>
  <c r="B151" i="3"/>
  <c r="B143" i="3"/>
  <c r="F155" i="3"/>
  <c r="F150" i="3"/>
  <c r="F148" i="3"/>
  <c r="F146" i="3"/>
  <c r="F152" i="3"/>
  <c r="F149" i="3"/>
  <c r="F147" i="3"/>
  <c r="F145" i="3"/>
  <c r="F154" i="3"/>
  <c r="F142" i="3"/>
  <c r="F141" i="3"/>
  <c r="F115" i="3"/>
  <c r="F144" i="3"/>
  <c r="F143" i="3"/>
  <c r="F124" i="3"/>
  <c r="F114" i="3"/>
  <c r="J155" i="3"/>
  <c r="J150" i="3"/>
  <c r="J148" i="3"/>
  <c r="J146" i="3"/>
  <c r="J152" i="3"/>
  <c r="J149" i="3"/>
  <c r="J147" i="3"/>
  <c r="J145" i="3"/>
  <c r="J153" i="3"/>
  <c r="J142" i="3"/>
  <c r="J141" i="3"/>
  <c r="J115" i="3"/>
  <c r="J151" i="3"/>
  <c r="J143" i="3"/>
  <c r="J124" i="3"/>
  <c r="J114" i="3"/>
  <c r="N155" i="3"/>
  <c r="N150" i="3"/>
  <c r="N148" i="3"/>
  <c r="N146" i="3"/>
  <c r="N152" i="3"/>
  <c r="N149" i="3"/>
  <c r="N147" i="3"/>
  <c r="N145" i="3"/>
  <c r="N154" i="3"/>
  <c r="N142" i="3"/>
  <c r="N141" i="3"/>
  <c r="N121" i="3"/>
  <c r="N115" i="3"/>
  <c r="N144" i="3"/>
  <c r="N143" i="3"/>
  <c r="N124" i="3"/>
  <c r="N120" i="3"/>
  <c r="N114" i="3"/>
  <c r="R155" i="3"/>
  <c r="R150" i="3"/>
  <c r="R148" i="3"/>
  <c r="R146" i="3"/>
  <c r="R152" i="3"/>
  <c r="R149" i="3"/>
  <c r="R147" i="3"/>
  <c r="R145" i="3"/>
  <c r="R153" i="3"/>
  <c r="R121" i="3"/>
  <c r="R115" i="3"/>
  <c r="R151" i="3"/>
  <c r="R143" i="3"/>
  <c r="R124" i="3"/>
  <c r="R120" i="3"/>
  <c r="R114" i="3"/>
  <c r="V155" i="3"/>
  <c r="V150" i="3"/>
  <c r="V148" i="3"/>
  <c r="V146" i="3"/>
  <c r="V152" i="3"/>
  <c r="V149" i="3"/>
  <c r="V147" i="3"/>
  <c r="V145" i="3"/>
  <c r="V154" i="3"/>
  <c r="V121" i="3"/>
  <c r="V115" i="3"/>
  <c r="V144" i="3"/>
  <c r="V143" i="3"/>
  <c r="V124" i="3"/>
  <c r="V120" i="3"/>
  <c r="V114" i="3"/>
  <c r="Z155" i="3"/>
  <c r="Z150" i="3"/>
  <c r="Z148" i="3"/>
  <c r="Z146" i="3"/>
  <c r="Z152" i="3"/>
  <c r="Z149" i="3"/>
  <c r="Z147" i="3"/>
  <c r="Z145" i="3"/>
  <c r="Z153" i="3"/>
  <c r="Z121" i="3"/>
  <c r="Z115" i="3"/>
  <c r="Z151" i="3"/>
  <c r="Z143" i="3"/>
  <c r="Z124" i="3"/>
  <c r="Z120" i="3"/>
  <c r="Z114" i="3"/>
  <c r="AD155" i="3"/>
  <c r="AD150" i="3"/>
  <c r="AD148" i="3"/>
  <c r="AD146" i="3"/>
  <c r="AD152" i="3"/>
  <c r="AD149" i="3"/>
  <c r="AD147" i="3"/>
  <c r="AD145" i="3"/>
  <c r="AD154" i="3"/>
  <c r="AD121" i="3"/>
  <c r="AD115" i="3"/>
  <c r="AD144" i="3"/>
  <c r="AD143" i="3"/>
  <c r="AD124" i="3"/>
  <c r="AD120" i="3"/>
  <c r="AD114" i="3"/>
  <c r="AH155" i="3"/>
  <c r="AH150" i="3"/>
  <c r="AH152" i="3"/>
  <c r="AH153" i="3"/>
  <c r="AH142" i="3"/>
  <c r="AH141" i="3"/>
  <c r="AH121" i="3"/>
  <c r="AH115" i="3"/>
  <c r="AH151" i="3"/>
  <c r="AH143" i="3"/>
  <c r="AH124" i="3"/>
  <c r="AH120" i="3"/>
  <c r="AH114" i="3"/>
  <c r="AL155" i="3"/>
  <c r="AL150" i="3"/>
  <c r="AL146" i="3"/>
  <c r="AL152" i="3"/>
  <c r="AL147" i="3"/>
  <c r="AL145" i="3"/>
  <c r="AL154" i="3"/>
  <c r="AL142" i="3"/>
  <c r="AL141" i="3"/>
  <c r="AL121" i="3"/>
  <c r="AL115" i="3"/>
  <c r="AL144" i="3"/>
  <c r="AL143" i="3"/>
  <c r="AL124" i="3"/>
  <c r="AL120" i="3"/>
  <c r="AL114" i="3"/>
  <c r="AP155" i="3"/>
  <c r="AP148" i="3"/>
  <c r="AP146" i="3"/>
  <c r="AP152" i="3"/>
  <c r="AP149" i="3"/>
  <c r="AP147" i="3"/>
  <c r="AP145" i="3"/>
  <c r="AP153" i="3"/>
  <c r="AP142" i="3"/>
  <c r="AP141" i="3"/>
  <c r="AP121" i="3"/>
  <c r="AP115" i="3"/>
  <c r="AP151" i="3"/>
  <c r="AP143" i="3"/>
  <c r="AP124" i="3"/>
  <c r="AP120" i="3"/>
  <c r="AP114" i="3"/>
  <c r="AT155" i="3"/>
  <c r="AT150" i="3"/>
  <c r="AT152" i="3"/>
  <c r="AT142" i="3"/>
  <c r="AT141" i="3"/>
  <c r="AT121" i="3"/>
  <c r="AT115" i="3"/>
  <c r="AT154" i="3"/>
  <c r="AT144" i="3"/>
  <c r="AT124" i="3"/>
  <c r="AT120" i="3"/>
  <c r="AT114" i="3"/>
  <c r="AX155" i="3"/>
  <c r="AX150" i="3"/>
  <c r="AX152" i="3"/>
  <c r="AX154" i="3"/>
  <c r="AX153" i="3"/>
  <c r="AX142" i="3"/>
  <c r="AX141" i="3"/>
  <c r="AX121" i="3"/>
  <c r="AX115" i="3"/>
  <c r="AX151" i="3"/>
  <c r="AX143" i="3"/>
  <c r="AX124" i="3"/>
  <c r="AX120" i="3"/>
  <c r="AX114" i="3"/>
  <c r="BB155" i="3"/>
  <c r="BB150" i="3"/>
  <c r="BB148" i="3"/>
  <c r="BB146" i="3"/>
  <c r="BB152" i="3"/>
  <c r="BB149" i="3"/>
  <c r="BB147" i="3"/>
  <c r="BB145" i="3"/>
  <c r="BB121" i="3"/>
  <c r="BB115" i="3"/>
  <c r="BB144" i="3"/>
  <c r="BB143" i="3"/>
  <c r="BB124" i="3"/>
  <c r="BB120" i="3"/>
  <c r="BB114" i="3"/>
  <c r="BF155" i="3"/>
  <c r="BF150" i="3"/>
  <c r="BF148" i="3"/>
  <c r="BF146" i="3"/>
  <c r="BF152" i="3"/>
  <c r="BF149" i="3"/>
  <c r="BF147" i="3"/>
  <c r="BF145" i="3"/>
  <c r="BF153" i="3"/>
  <c r="BF121" i="3"/>
  <c r="BF115" i="3"/>
  <c r="BF151" i="3"/>
  <c r="BF143" i="3"/>
  <c r="BF124" i="3"/>
  <c r="BF120" i="3"/>
  <c r="BF114" i="3"/>
  <c r="BJ155" i="3"/>
  <c r="BJ150" i="3"/>
  <c r="BJ148" i="3"/>
  <c r="BJ146" i="3"/>
  <c r="BJ152" i="3"/>
  <c r="BJ149" i="3"/>
  <c r="BJ147" i="3"/>
  <c r="BJ145" i="3"/>
  <c r="BJ142" i="3"/>
  <c r="BJ141" i="3"/>
  <c r="BJ121" i="3"/>
  <c r="BJ117" i="3"/>
  <c r="BJ115" i="3"/>
  <c r="BJ154" i="3"/>
  <c r="BJ144" i="3"/>
  <c r="BJ143" i="3"/>
  <c r="BJ124" i="3"/>
  <c r="BJ120" i="3"/>
  <c r="BJ114" i="3"/>
  <c r="D111" i="3"/>
  <c r="H111" i="3"/>
  <c r="L111" i="3"/>
  <c r="P111" i="3"/>
  <c r="T111" i="3"/>
  <c r="X111" i="3"/>
  <c r="AH111" i="3"/>
  <c r="AN111" i="3"/>
  <c r="AX111" i="3"/>
  <c r="BD111" i="3"/>
  <c r="E59" i="3"/>
  <c r="E7" i="3"/>
  <c r="I59" i="3"/>
  <c r="I7" i="3"/>
  <c r="M59" i="3"/>
  <c r="M7" i="3"/>
  <c r="AY111" i="3"/>
  <c r="B112" i="3"/>
  <c r="G112" i="3"/>
  <c r="R112" i="3"/>
  <c r="W112" i="3"/>
  <c r="AH112" i="3"/>
  <c r="AM112" i="3"/>
  <c r="AX112" i="3"/>
  <c r="BC112" i="3"/>
  <c r="E60" i="3"/>
  <c r="E8" i="3"/>
  <c r="I60" i="3"/>
  <c r="I8" i="3"/>
  <c r="M60" i="3"/>
  <c r="M8" i="3"/>
  <c r="E113" i="3"/>
  <c r="J113" i="3"/>
  <c r="P113" i="3"/>
  <c r="Z113" i="3"/>
  <c r="D114" i="3"/>
  <c r="L114" i="3"/>
  <c r="T114" i="3"/>
  <c r="AB114" i="3"/>
  <c r="AJ114" i="3"/>
  <c r="AR114" i="3"/>
  <c r="AZ114" i="3"/>
  <c r="BH114" i="3"/>
  <c r="D62" i="3"/>
  <c r="D10" i="3"/>
  <c r="I62" i="3"/>
  <c r="I10" i="3"/>
  <c r="M62" i="3"/>
  <c r="M10" i="3"/>
  <c r="G115" i="3"/>
  <c r="O115" i="3"/>
  <c r="W115" i="3"/>
  <c r="AE115" i="3"/>
  <c r="AM115" i="3"/>
  <c r="AU115" i="3"/>
  <c r="BC115" i="3"/>
  <c r="B63" i="3"/>
  <c r="B11" i="3"/>
  <c r="B115" i="3"/>
  <c r="G63" i="3"/>
  <c r="G11" i="3"/>
  <c r="K63" i="3"/>
  <c r="K11" i="3"/>
  <c r="B116" i="3"/>
  <c r="J116" i="3"/>
  <c r="R116" i="3"/>
  <c r="Z116" i="3"/>
  <c r="AH116" i="3"/>
  <c r="AP116" i="3"/>
  <c r="AX116" i="3"/>
  <c r="BF116" i="3"/>
  <c r="F117" i="3"/>
  <c r="N117" i="3"/>
  <c r="V117" i="3"/>
  <c r="AD117" i="3"/>
  <c r="AL117" i="3"/>
  <c r="AT117" i="3"/>
  <c r="BB117" i="3"/>
  <c r="B117" i="3"/>
  <c r="B65" i="3"/>
  <c r="B13" i="3"/>
  <c r="F65" i="3"/>
  <c r="F13" i="3"/>
  <c r="K13" i="3"/>
  <c r="K65" i="3"/>
  <c r="B118" i="3"/>
  <c r="J118" i="3"/>
  <c r="R118" i="3"/>
  <c r="Z118" i="3"/>
  <c r="AH118" i="3"/>
  <c r="AP118" i="3"/>
  <c r="AX118" i="3"/>
  <c r="BF118" i="3"/>
  <c r="E119" i="3"/>
  <c r="D67" i="3"/>
  <c r="D15" i="3"/>
  <c r="D119" i="3"/>
  <c r="H67" i="3"/>
  <c r="H15" i="3"/>
  <c r="H119" i="3"/>
  <c r="M67" i="3"/>
  <c r="M15" i="3"/>
  <c r="H120" i="3"/>
  <c r="P120" i="3"/>
  <c r="X120" i="3"/>
  <c r="AF120" i="3"/>
  <c r="AN120" i="3"/>
  <c r="AV120" i="3"/>
  <c r="BD120" i="3"/>
  <c r="B120" i="3"/>
  <c r="F120" i="3"/>
  <c r="J120" i="3"/>
  <c r="C121" i="3"/>
  <c r="K121" i="3"/>
  <c r="S121" i="3"/>
  <c r="AA121" i="3"/>
  <c r="AI121" i="3"/>
  <c r="AQ121" i="3"/>
  <c r="AY121" i="3"/>
  <c r="BG121" i="3"/>
  <c r="F122" i="3"/>
  <c r="N122" i="3"/>
  <c r="V122" i="3"/>
  <c r="AD122" i="3"/>
  <c r="AL122" i="3"/>
  <c r="AT122" i="3"/>
  <c r="BB122" i="3"/>
  <c r="BJ122" i="3"/>
  <c r="E70" i="3"/>
  <c r="E18" i="3"/>
  <c r="E122" i="3"/>
  <c r="I70" i="3"/>
  <c r="I18" i="3"/>
  <c r="I122" i="3"/>
  <c r="N18" i="3"/>
  <c r="D124" i="3"/>
  <c r="L124" i="3"/>
  <c r="T124" i="3"/>
  <c r="AB124" i="3"/>
  <c r="AJ124" i="3"/>
  <c r="AR124" i="3"/>
  <c r="AZ124" i="3"/>
  <c r="BH124" i="3"/>
  <c r="C125" i="3"/>
  <c r="K125" i="3"/>
  <c r="S125" i="3"/>
  <c r="AA125" i="3"/>
  <c r="AI125" i="3"/>
  <c r="AQ125" i="3"/>
  <c r="AY125" i="3"/>
  <c r="BG125" i="3"/>
  <c r="F126" i="3"/>
  <c r="N126" i="3"/>
  <c r="V126" i="3"/>
  <c r="AD126" i="3"/>
  <c r="AL126" i="3"/>
  <c r="AT126" i="3"/>
  <c r="BB126" i="3"/>
  <c r="BJ126" i="3"/>
  <c r="U74" i="3"/>
  <c r="Y74" i="3"/>
  <c r="AC74" i="3"/>
  <c r="AG74" i="3"/>
  <c r="B127" i="3"/>
  <c r="J127" i="3"/>
  <c r="R127" i="3"/>
  <c r="Z127" i="3"/>
  <c r="AH127" i="3"/>
  <c r="AP127" i="3"/>
  <c r="AX127" i="3"/>
  <c r="BF127" i="3"/>
  <c r="S127" i="3"/>
  <c r="W127" i="3"/>
  <c r="AA127" i="3"/>
  <c r="AE127" i="3"/>
  <c r="F128" i="3"/>
  <c r="N128" i="3"/>
  <c r="V128" i="3"/>
  <c r="AD128" i="3"/>
  <c r="AL128" i="3"/>
  <c r="AT128" i="3"/>
  <c r="BB128" i="3"/>
  <c r="BJ128" i="3"/>
  <c r="U76" i="3"/>
  <c r="Y76" i="3"/>
  <c r="AC76" i="3"/>
  <c r="AG76" i="3"/>
  <c r="B129" i="3"/>
  <c r="J129" i="3"/>
  <c r="R129" i="3"/>
  <c r="Z129" i="3"/>
  <c r="AH129" i="3"/>
  <c r="AP129" i="3"/>
  <c r="AX129" i="3"/>
  <c r="BF129" i="3"/>
  <c r="W129" i="3"/>
  <c r="AA129" i="3"/>
  <c r="AE129" i="3"/>
  <c r="F130" i="3"/>
  <c r="N130" i="3"/>
  <c r="V130" i="3"/>
  <c r="AD130" i="3"/>
  <c r="AL130" i="3"/>
  <c r="AT130" i="3"/>
  <c r="BB130" i="3"/>
  <c r="BJ130" i="3"/>
  <c r="T78" i="3"/>
  <c r="T26" i="3"/>
  <c r="T130" i="3"/>
  <c r="Y26" i="3"/>
  <c r="Y78" i="3"/>
  <c r="AC78" i="3"/>
  <c r="AC26" i="3"/>
  <c r="AG78" i="3"/>
  <c r="AG26" i="3"/>
  <c r="B131" i="3"/>
  <c r="J131" i="3"/>
  <c r="R131" i="3"/>
  <c r="Z131" i="3"/>
  <c r="AH131" i="3"/>
  <c r="AP131" i="3"/>
  <c r="AX131" i="3"/>
  <c r="BF131" i="3"/>
  <c r="W131" i="3"/>
  <c r="AA131" i="3"/>
  <c r="AE131" i="3"/>
  <c r="F132" i="3"/>
  <c r="N132" i="3"/>
  <c r="V132" i="3"/>
  <c r="AD132" i="3"/>
  <c r="AL132" i="3"/>
  <c r="AT132" i="3"/>
  <c r="BB132" i="3"/>
  <c r="BJ132" i="3"/>
  <c r="T80" i="3"/>
  <c r="T28" i="3"/>
  <c r="T132" i="3"/>
  <c r="Y80" i="3"/>
  <c r="Y28" i="3"/>
  <c r="AC80" i="3"/>
  <c r="AC28" i="3"/>
  <c r="AG80" i="3"/>
  <c r="AG28" i="3"/>
  <c r="C133" i="3"/>
  <c r="K133" i="3"/>
  <c r="S133" i="3"/>
  <c r="AA133" i="3"/>
  <c r="AI133" i="3"/>
  <c r="AQ133" i="3"/>
  <c r="AY133" i="3"/>
  <c r="BG133" i="3"/>
  <c r="AB133" i="3"/>
  <c r="AF133" i="3"/>
  <c r="G134" i="3"/>
  <c r="O134" i="3"/>
  <c r="W134" i="3"/>
  <c r="AE134" i="3"/>
  <c r="AM134" i="3"/>
  <c r="AU134" i="3"/>
  <c r="BC134" i="3"/>
  <c r="Q82" i="3"/>
  <c r="Q134" i="3"/>
  <c r="U30" i="3"/>
  <c r="U82" i="3"/>
  <c r="U134" i="3"/>
  <c r="Z82" i="3"/>
  <c r="Z30" i="3"/>
  <c r="AD82" i="3"/>
  <c r="AD30" i="3"/>
  <c r="BB82" i="3"/>
  <c r="BB30" i="3"/>
  <c r="C135" i="3"/>
  <c r="K135" i="3"/>
  <c r="S135" i="3"/>
  <c r="AA135" i="3"/>
  <c r="AI135" i="3"/>
  <c r="AQ135" i="3"/>
  <c r="AY135" i="3"/>
  <c r="BG135" i="3"/>
  <c r="AB135" i="3"/>
  <c r="AF135" i="3"/>
  <c r="G136" i="3"/>
  <c r="O136" i="3"/>
  <c r="W136" i="3"/>
  <c r="AE136" i="3"/>
  <c r="AM136" i="3"/>
  <c r="AU136" i="3"/>
  <c r="BC136" i="3"/>
  <c r="Q84" i="3"/>
  <c r="Q136" i="3"/>
  <c r="U84" i="3"/>
  <c r="U32" i="3"/>
  <c r="U136" i="3"/>
  <c r="Y32" i="3"/>
  <c r="Y84" i="3"/>
  <c r="Y136" i="3"/>
  <c r="AD84" i="3"/>
  <c r="AD32" i="3"/>
  <c r="BB84" i="3"/>
  <c r="BB32" i="3"/>
  <c r="C137" i="3"/>
  <c r="K137" i="3"/>
  <c r="S137" i="3"/>
  <c r="AA137" i="3"/>
  <c r="AI137" i="3"/>
  <c r="AQ137" i="3"/>
  <c r="AY137" i="3"/>
  <c r="BG137" i="3"/>
  <c r="AF137" i="3"/>
  <c r="G138" i="3"/>
  <c r="O138" i="3"/>
  <c r="W138" i="3"/>
  <c r="AE138" i="3"/>
  <c r="AM138" i="3"/>
  <c r="AU138" i="3"/>
  <c r="BC138" i="3"/>
  <c r="Q86" i="3"/>
  <c r="Q138" i="3"/>
  <c r="U86" i="3"/>
  <c r="U34" i="3"/>
  <c r="U138" i="3"/>
  <c r="Y86" i="3"/>
  <c r="Y34" i="3"/>
  <c r="Y138" i="3"/>
  <c r="AD86" i="3"/>
  <c r="AD34" i="3"/>
  <c r="BB86" i="3"/>
  <c r="BB34" i="3"/>
  <c r="C139" i="3"/>
  <c r="K139" i="3"/>
  <c r="S139" i="3"/>
  <c r="AA139" i="3"/>
  <c r="AI139" i="3"/>
  <c r="AQ139" i="3"/>
  <c r="AY139" i="3"/>
  <c r="BG139" i="3"/>
  <c r="AF139" i="3"/>
  <c r="G140" i="3"/>
  <c r="O140" i="3"/>
  <c r="W140" i="3"/>
  <c r="AE140" i="3"/>
  <c r="AM140" i="3"/>
  <c r="AU140" i="3"/>
  <c r="BC140" i="3"/>
  <c r="Q88" i="3"/>
  <c r="Q140" i="3"/>
  <c r="U88" i="3"/>
  <c r="U36" i="3"/>
  <c r="U140" i="3"/>
  <c r="Y88" i="3"/>
  <c r="Y36" i="3"/>
  <c r="Y140" i="3"/>
  <c r="AC88" i="3"/>
  <c r="AC36" i="3"/>
  <c r="AC140" i="3"/>
  <c r="BB88" i="3"/>
  <c r="BB36" i="3"/>
  <c r="G141" i="3"/>
  <c r="O141" i="3"/>
  <c r="W141" i="3"/>
  <c r="AE141" i="3"/>
  <c r="AM141" i="3"/>
  <c r="AU141" i="3"/>
  <c r="BC141" i="3"/>
  <c r="Q89" i="3"/>
  <c r="Q141" i="3"/>
  <c r="U89" i="3"/>
  <c r="U37" i="3"/>
  <c r="U141" i="3"/>
  <c r="Y89" i="3"/>
  <c r="Y37" i="3"/>
  <c r="Y141" i="3"/>
  <c r="AC89" i="3"/>
  <c r="AC37" i="3"/>
  <c r="AC141" i="3"/>
  <c r="BB37" i="3"/>
  <c r="BB89" i="3"/>
  <c r="BB141" i="3"/>
  <c r="D142" i="3"/>
  <c r="L142" i="3"/>
  <c r="T142" i="3"/>
  <c r="AB142" i="3"/>
  <c r="AJ142" i="3"/>
  <c r="AR142" i="3"/>
  <c r="AZ142" i="3"/>
  <c r="BH142" i="3"/>
  <c r="E143" i="3"/>
  <c r="M143" i="3"/>
  <c r="U143" i="3"/>
  <c r="AC143" i="3"/>
  <c r="AK143" i="3"/>
  <c r="AS143" i="3"/>
  <c r="BA143" i="3"/>
  <c r="BI143" i="3"/>
  <c r="L144" i="3"/>
  <c r="AB144" i="3"/>
  <c r="AR144" i="3"/>
  <c r="BH144" i="3"/>
  <c r="O145" i="3"/>
  <c r="AE145" i="3"/>
  <c r="AU145" i="3"/>
  <c r="AH93" i="3"/>
  <c r="AH41" i="3"/>
  <c r="AH145" i="3"/>
  <c r="AT41" i="3"/>
  <c r="AT145" i="3"/>
  <c r="AX41" i="3"/>
  <c r="AX145" i="3"/>
  <c r="BE41" i="3"/>
  <c r="BE145" i="3"/>
  <c r="Q146" i="3"/>
  <c r="AG146" i="3"/>
  <c r="AW146" i="3"/>
  <c r="C147" i="3"/>
  <c r="S147" i="3"/>
  <c r="AI147" i="3"/>
  <c r="AY147" i="3"/>
  <c r="C148" i="3"/>
  <c r="S148" i="3"/>
  <c r="AI148" i="3"/>
  <c r="AY148" i="3"/>
  <c r="O149" i="3"/>
  <c r="AE149" i="3"/>
  <c r="AU149" i="3"/>
  <c r="AH149" i="3"/>
  <c r="AL97" i="3"/>
  <c r="AL45" i="3"/>
  <c r="AL149" i="3"/>
  <c r="AT149" i="3"/>
  <c r="AX149" i="3"/>
  <c r="BE149" i="3"/>
  <c r="Q150" i="3"/>
  <c r="AG150" i="3"/>
  <c r="AW150" i="3"/>
  <c r="P151" i="3"/>
  <c r="AF151" i="3"/>
  <c r="AV151" i="3"/>
  <c r="M152" i="3"/>
  <c r="AC152" i="3"/>
  <c r="AS152" i="3"/>
  <c r="BI152" i="3"/>
  <c r="F153" i="3"/>
  <c r="V153" i="3"/>
  <c r="AL153" i="3"/>
  <c r="BB153" i="3"/>
  <c r="J154" i="3"/>
  <c r="Z154" i="3"/>
  <c r="AP154" i="3"/>
  <c r="AE155" i="3"/>
  <c r="C7" i="3"/>
  <c r="C59" i="3"/>
  <c r="G59" i="3"/>
  <c r="G7" i="3"/>
  <c r="K7" i="3"/>
  <c r="K59" i="3"/>
  <c r="D60" i="3"/>
  <c r="D8" i="3"/>
  <c r="H60" i="3"/>
  <c r="H8" i="3"/>
  <c r="L60" i="3"/>
  <c r="L8" i="3"/>
  <c r="B61" i="3"/>
  <c r="B9" i="3"/>
  <c r="G9" i="3"/>
  <c r="K61" i="3"/>
  <c r="K9" i="3"/>
  <c r="F62" i="3"/>
  <c r="F10" i="3"/>
  <c r="J62" i="3"/>
  <c r="J10" i="3"/>
  <c r="N10" i="3"/>
  <c r="D63" i="3"/>
  <c r="D11" i="3"/>
  <c r="I63" i="3"/>
  <c r="I11" i="3"/>
  <c r="M63" i="3"/>
  <c r="M11" i="3"/>
  <c r="C12" i="3"/>
  <c r="H64" i="3"/>
  <c r="H12" i="3"/>
  <c r="L12" i="3"/>
  <c r="D65" i="3"/>
  <c r="D13" i="3"/>
  <c r="I13" i="3"/>
  <c r="I65" i="3"/>
  <c r="M65" i="3"/>
  <c r="M13" i="3"/>
  <c r="C66" i="3"/>
  <c r="C14" i="3"/>
  <c r="G66" i="3"/>
  <c r="G14" i="3"/>
  <c r="L66" i="3"/>
  <c r="L14" i="3"/>
  <c r="B67" i="3"/>
  <c r="B15" i="3"/>
  <c r="F67" i="3"/>
  <c r="F15" i="3"/>
  <c r="K15" i="3"/>
  <c r="K67" i="3"/>
  <c r="E68" i="3"/>
  <c r="E16" i="3"/>
  <c r="I68" i="3"/>
  <c r="I16" i="3"/>
  <c r="N16" i="3"/>
  <c r="D69" i="3"/>
  <c r="D17" i="3"/>
  <c r="H17" i="3"/>
  <c r="M17" i="3"/>
  <c r="C18" i="3"/>
  <c r="C70" i="3"/>
  <c r="G70" i="3"/>
  <c r="G18" i="3"/>
  <c r="K70" i="3"/>
  <c r="K18" i="3"/>
  <c r="B19" i="3"/>
  <c r="F19" i="3"/>
  <c r="J19" i="3"/>
  <c r="R74" i="3"/>
  <c r="R22" i="3"/>
  <c r="V74" i="3"/>
  <c r="Z74" i="3"/>
  <c r="AD74" i="3"/>
  <c r="BB74" i="3"/>
  <c r="Q75" i="3"/>
  <c r="Q23" i="3"/>
  <c r="Q76" i="3"/>
  <c r="Q24" i="3"/>
  <c r="V76" i="3"/>
  <c r="Z76" i="3"/>
  <c r="AD76" i="3"/>
  <c r="BB76" i="3"/>
  <c r="Q77" i="3"/>
  <c r="V77" i="3"/>
  <c r="V25" i="3"/>
  <c r="Z77" i="3"/>
  <c r="Z25" i="3"/>
  <c r="AD77" i="3"/>
  <c r="AD25" i="3"/>
  <c r="BB77" i="3"/>
  <c r="BB25" i="3"/>
  <c r="Q78" i="3"/>
  <c r="V78" i="3"/>
  <c r="V26" i="3"/>
  <c r="Z78" i="3"/>
  <c r="Z26" i="3"/>
  <c r="AD78" i="3"/>
  <c r="AD26" i="3"/>
  <c r="BB78" i="3"/>
  <c r="BB26" i="3"/>
  <c r="Q79" i="3"/>
  <c r="U79" i="3"/>
  <c r="U27" i="3"/>
  <c r="Z79" i="3"/>
  <c r="Z27" i="3"/>
  <c r="AD79" i="3"/>
  <c r="AD27" i="3"/>
  <c r="BB79" i="3"/>
  <c r="BB27" i="3"/>
  <c r="Q80" i="3"/>
  <c r="U80" i="3"/>
  <c r="U28" i="3"/>
  <c r="Z80" i="3"/>
  <c r="Z28" i="3"/>
  <c r="AD80" i="3"/>
  <c r="AD28" i="3"/>
  <c r="BF80" i="3"/>
  <c r="BF28" i="3"/>
  <c r="V81" i="3"/>
  <c r="V29" i="3"/>
  <c r="AA81" i="3"/>
  <c r="AA29" i="3"/>
  <c r="AE81" i="3"/>
  <c r="AE29" i="3"/>
  <c r="BF81" i="3"/>
  <c r="BF29" i="3"/>
  <c r="V82" i="3"/>
  <c r="V30" i="3"/>
  <c r="AA82" i="3"/>
  <c r="AA30" i="3"/>
  <c r="AE82" i="3"/>
  <c r="AE30" i="3"/>
  <c r="BF82" i="3"/>
  <c r="BF30" i="3"/>
  <c r="V31" i="3"/>
  <c r="V83" i="3"/>
  <c r="AA83" i="3"/>
  <c r="AA31" i="3"/>
  <c r="AE31" i="3"/>
  <c r="AE83" i="3"/>
  <c r="BF31" i="3"/>
  <c r="V32" i="3"/>
  <c r="V84" i="3"/>
  <c r="Z84" i="3"/>
  <c r="Z32" i="3"/>
  <c r="AE84" i="3"/>
  <c r="AE32" i="3"/>
  <c r="BF32" i="3"/>
  <c r="V33" i="3"/>
  <c r="Z85" i="3"/>
  <c r="Z33" i="3"/>
  <c r="AE33" i="3"/>
  <c r="BF85" i="3"/>
  <c r="BF33" i="3"/>
  <c r="V34" i="3"/>
  <c r="Z86" i="3"/>
  <c r="Z34" i="3"/>
  <c r="AE86" i="3"/>
  <c r="AE34" i="3"/>
  <c r="BF86" i="3"/>
  <c r="BF34" i="3"/>
  <c r="V87" i="3"/>
  <c r="V35" i="3"/>
  <c r="Z87" i="3"/>
  <c r="Z35" i="3"/>
  <c r="AE87" i="3"/>
  <c r="AE35" i="3"/>
  <c r="BF87" i="3"/>
  <c r="BF35" i="3"/>
  <c r="V88" i="3"/>
  <c r="V36" i="3"/>
  <c r="Z88" i="3"/>
  <c r="Z36" i="3"/>
  <c r="AD88" i="3"/>
  <c r="AD36" i="3"/>
  <c r="BG36" i="3"/>
  <c r="S89" i="3"/>
  <c r="W89" i="3"/>
  <c r="W37" i="3"/>
  <c r="AA89" i="3"/>
  <c r="AA37" i="3"/>
  <c r="AE89" i="3"/>
  <c r="AE37" i="3"/>
  <c r="BG37" i="3"/>
  <c r="S90" i="3"/>
  <c r="W38" i="3"/>
  <c r="W90" i="3"/>
  <c r="AA90" i="3"/>
  <c r="AA38" i="3"/>
  <c r="AE90" i="3"/>
  <c r="AE38" i="3"/>
  <c r="AX39" i="3"/>
  <c r="BE91" i="3"/>
  <c r="BE39" i="3"/>
  <c r="AS144" i="3"/>
  <c r="BA40" i="3"/>
  <c r="BA144" i="3"/>
  <c r="AJ94" i="3"/>
  <c r="AJ42" i="3"/>
  <c r="AJ146" i="3"/>
  <c r="AR42" i="3"/>
  <c r="AR146" i="3"/>
  <c r="AV146" i="3"/>
  <c r="BC42" i="3"/>
  <c r="AH148" i="3"/>
  <c r="AL96" i="3"/>
  <c r="AL44" i="3"/>
  <c r="AL148" i="3"/>
  <c r="AT148" i="3"/>
  <c r="AX148" i="3"/>
  <c r="AQ99" i="3"/>
  <c r="AQ47" i="3"/>
  <c r="AQ151" i="3"/>
  <c r="C61" i="3"/>
  <c r="C9" i="3"/>
  <c r="H61" i="3"/>
  <c r="H9" i="3"/>
  <c r="L9" i="3"/>
  <c r="L61" i="3"/>
  <c r="B62" i="3"/>
  <c r="B10" i="3"/>
  <c r="G62" i="3"/>
  <c r="G10" i="3"/>
  <c r="K62" i="3"/>
  <c r="K10" i="3"/>
  <c r="E63" i="3"/>
  <c r="E11" i="3"/>
  <c r="J11" i="3"/>
  <c r="J63" i="3"/>
  <c r="N11" i="3"/>
  <c r="D12" i="3"/>
  <c r="I64" i="3"/>
  <c r="I12" i="3"/>
  <c r="M64" i="3"/>
  <c r="M12" i="3"/>
  <c r="E65" i="3"/>
  <c r="E13" i="3"/>
  <c r="J65" i="3"/>
  <c r="J13" i="3"/>
  <c r="N13" i="3"/>
  <c r="D14" i="3"/>
  <c r="H66" i="3"/>
  <c r="H14" i="3"/>
  <c r="M66" i="3"/>
  <c r="M14" i="3"/>
  <c r="C67" i="3"/>
  <c r="C15" i="3"/>
  <c r="G67" i="3"/>
  <c r="G15" i="3"/>
  <c r="L15" i="3"/>
  <c r="B68" i="3"/>
  <c r="B16" i="3"/>
  <c r="F68" i="3"/>
  <c r="F16" i="3"/>
  <c r="J68" i="3"/>
  <c r="J16" i="3"/>
  <c r="E69" i="3"/>
  <c r="E17" i="3"/>
  <c r="I69" i="3"/>
  <c r="I17" i="3"/>
  <c r="N17" i="3"/>
  <c r="D70" i="3"/>
  <c r="D18" i="3"/>
  <c r="H70" i="3"/>
  <c r="H18" i="3"/>
  <c r="L18" i="3"/>
  <c r="C19" i="3"/>
  <c r="G19" i="3"/>
  <c r="K19" i="3"/>
  <c r="S74" i="3"/>
  <c r="S22" i="3"/>
  <c r="W74" i="3"/>
  <c r="AA74" i="3"/>
  <c r="AE74" i="3"/>
  <c r="BF74" i="3"/>
  <c r="S75" i="3"/>
  <c r="S23" i="3"/>
  <c r="R76" i="3"/>
  <c r="R24" i="3"/>
  <c r="W76" i="3"/>
  <c r="AA76" i="3"/>
  <c r="AE76" i="3"/>
  <c r="BF76" i="3"/>
  <c r="W25" i="3"/>
  <c r="W77" i="3"/>
  <c r="AA77" i="3"/>
  <c r="AA25" i="3"/>
  <c r="AE77" i="3"/>
  <c r="AE25" i="3"/>
  <c r="BF77" i="3"/>
  <c r="BF25" i="3"/>
  <c r="W78" i="3"/>
  <c r="W26" i="3"/>
  <c r="AA78" i="3"/>
  <c r="AA26" i="3"/>
  <c r="AE78" i="3"/>
  <c r="AE26" i="3"/>
  <c r="BF78" i="3"/>
  <c r="BF26" i="3"/>
  <c r="W79" i="3"/>
  <c r="W27" i="3"/>
  <c r="AA79" i="3"/>
  <c r="AA27" i="3"/>
  <c r="AE79" i="3"/>
  <c r="AE27" i="3"/>
  <c r="BF27" i="3"/>
  <c r="V80" i="3"/>
  <c r="V28" i="3"/>
  <c r="AA80" i="3"/>
  <c r="AA28" i="3"/>
  <c r="AE80" i="3"/>
  <c r="AE28" i="3"/>
  <c r="BG80" i="3"/>
  <c r="BG28" i="3"/>
  <c r="S81" i="3"/>
  <c r="W29" i="3"/>
  <c r="W81" i="3"/>
  <c r="AB81" i="3"/>
  <c r="AB29" i="3"/>
  <c r="AF81" i="3"/>
  <c r="AF29" i="3"/>
  <c r="BG81" i="3"/>
  <c r="BG29" i="3"/>
  <c r="S82" i="3"/>
  <c r="W82" i="3"/>
  <c r="W30" i="3"/>
  <c r="AB82" i="3"/>
  <c r="AB30" i="3"/>
  <c r="AF82" i="3"/>
  <c r="AF30" i="3"/>
  <c r="BG82" i="3"/>
  <c r="BG30" i="3"/>
  <c r="S83" i="3"/>
  <c r="W31" i="3"/>
  <c r="W83" i="3"/>
  <c r="AB83" i="3"/>
  <c r="AB31" i="3"/>
  <c r="AF83" i="3"/>
  <c r="AF31" i="3"/>
  <c r="S84" i="3"/>
  <c r="W84" i="3"/>
  <c r="W32" i="3"/>
  <c r="AB84" i="3"/>
  <c r="AB32" i="3"/>
  <c r="AF84" i="3"/>
  <c r="AF32" i="3"/>
  <c r="BG32" i="3"/>
  <c r="S85" i="3"/>
  <c r="W33" i="3"/>
  <c r="W85" i="3"/>
  <c r="AA85" i="3"/>
  <c r="AA33" i="3"/>
  <c r="AF85" i="3"/>
  <c r="AF33" i="3"/>
  <c r="BG33" i="3"/>
  <c r="S86" i="3"/>
  <c r="W86" i="3"/>
  <c r="W34" i="3"/>
  <c r="AA86" i="3"/>
  <c r="AA34" i="3"/>
  <c r="AF34" i="3"/>
  <c r="AF86" i="3"/>
  <c r="BG86" i="3"/>
  <c r="BG34" i="3"/>
  <c r="S87" i="3"/>
  <c r="W87" i="3"/>
  <c r="W35" i="3"/>
  <c r="AA87" i="3"/>
  <c r="AA35" i="3"/>
  <c r="AF87" i="3"/>
  <c r="AF35" i="3"/>
  <c r="BG35" i="3"/>
  <c r="S88" i="3"/>
  <c r="W88" i="3"/>
  <c r="W36" i="3"/>
  <c r="AA88" i="3"/>
  <c r="AA36" i="3"/>
  <c r="AF88" i="3"/>
  <c r="AF36" i="3"/>
  <c r="T89" i="3"/>
  <c r="T37" i="3"/>
  <c r="X89" i="3"/>
  <c r="X37" i="3"/>
  <c r="AB89" i="3"/>
  <c r="AB37" i="3"/>
  <c r="AG89" i="3"/>
  <c r="AG37" i="3"/>
  <c r="T90" i="3"/>
  <c r="T38" i="3"/>
  <c r="X90" i="3"/>
  <c r="X38" i="3"/>
  <c r="AB38" i="3"/>
  <c r="AF90" i="3"/>
  <c r="AF38" i="3"/>
  <c r="AI91" i="3"/>
  <c r="AI39" i="3"/>
  <c r="BA39" i="3"/>
  <c r="AK93" i="3"/>
  <c r="AK41" i="3"/>
  <c r="AR41" i="3"/>
  <c r="AR145" i="3"/>
  <c r="AV145" i="3"/>
  <c r="BC41" i="3"/>
  <c r="AH147" i="3"/>
  <c r="AM43" i="3"/>
  <c r="AM95" i="3"/>
  <c r="AT147" i="3"/>
  <c r="AX147" i="3"/>
  <c r="AJ149" i="3"/>
  <c r="AR149" i="3"/>
  <c r="AV149" i="3"/>
  <c r="AT49" i="3"/>
  <c r="AU39" i="3"/>
  <c r="BC39" i="3"/>
  <c r="AH92" i="3"/>
  <c r="AH40" i="3"/>
  <c r="AS41" i="3"/>
  <c r="AW41" i="3"/>
  <c r="BD41" i="3"/>
  <c r="BD93" i="3"/>
  <c r="AI94" i="3"/>
  <c r="AI42" i="3"/>
  <c r="AU42" i="3"/>
  <c r="BA42" i="3"/>
  <c r="AN96" i="3"/>
  <c r="AN44" i="3"/>
  <c r="AQ98" i="3"/>
  <c r="AQ46" i="3"/>
  <c r="AS49" i="3"/>
  <c r="AT50" i="3"/>
  <c r="BA50" i="3"/>
  <c r="AK92" i="3"/>
  <c r="AK40" i="3"/>
  <c r="AW40" i="3"/>
  <c r="AI93" i="3"/>
  <c r="AI41" i="3"/>
  <c r="AU41" i="3"/>
  <c r="BA41" i="3"/>
  <c r="AS42" i="3"/>
  <c r="AW94" i="3"/>
  <c r="AW42" i="3"/>
  <c r="BD94" i="3"/>
  <c r="BD42" i="3"/>
  <c r="AN95" i="3"/>
  <c r="AN43" i="3"/>
  <c r="AM97" i="3"/>
  <c r="AM45" i="3"/>
  <c r="AO99" i="3"/>
  <c r="AO47" i="3"/>
  <c r="AP100" i="3"/>
  <c r="AP48" i="3"/>
  <c r="BA49" i="3"/>
  <c r="BA154" i="3"/>
</calcChain>
</file>

<file path=xl/sharedStrings.xml><?xml version="1.0" encoding="utf-8"?>
<sst xmlns="http://schemas.openxmlformats.org/spreadsheetml/2006/main" count="20715" uniqueCount="145">
  <si>
    <t>Entrepôt -&gt; Centre</t>
  </si>
  <si>
    <t>Miami</t>
  </si>
  <si>
    <t>Nouvel Orléan</t>
  </si>
  <si>
    <t>Mineapolis</t>
  </si>
  <si>
    <t>Chicago</t>
  </si>
  <si>
    <t>Washington</t>
  </si>
  <si>
    <t>Colorado</t>
  </si>
  <si>
    <t>Seattle</t>
  </si>
  <si>
    <t>Los Angeles</t>
  </si>
  <si>
    <t>Missiauga</t>
  </si>
  <si>
    <t>Montreal</t>
  </si>
  <si>
    <t>Calgary</t>
  </si>
  <si>
    <t>Vancouver</t>
  </si>
  <si>
    <t>Tepotzotlan</t>
  </si>
  <si>
    <t>Sao Paulo</t>
  </si>
  <si>
    <t>Recife</t>
  </si>
  <si>
    <t>Edinburgh</t>
  </si>
  <si>
    <t>Liverpool</t>
  </si>
  <si>
    <t>Londres</t>
  </si>
  <si>
    <t>Paris</t>
  </si>
  <si>
    <t>Lyon</t>
  </si>
  <si>
    <t>Munich</t>
  </si>
  <si>
    <t>Hambourg</t>
  </si>
  <si>
    <t>Berlin</t>
  </si>
  <si>
    <t>Dortmund</t>
  </si>
  <si>
    <t>Rome</t>
  </si>
  <si>
    <t>Milan</t>
  </si>
  <si>
    <t>Madrid</t>
  </si>
  <si>
    <t>Bracelone</t>
  </si>
  <si>
    <t>Szczecin</t>
  </si>
  <si>
    <t>Krakov</t>
  </si>
  <si>
    <t>Prague</t>
  </si>
  <si>
    <t>Bratislava</t>
  </si>
  <si>
    <t>New dell</t>
  </si>
  <si>
    <t>Kolkata</t>
  </si>
  <si>
    <t>Chhindwara</t>
  </si>
  <si>
    <t>Chennai</t>
  </si>
  <si>
    <t>Tokyo</t>
  </si>
  <si>
    <t>Osaka</t>
  </si>
  <si>
    <t>Kumamoto</t>
  </si>
  <si>
    <t>Melbourne</t>
  </si>
  <si>
    <t>Sydney</t>
  </si>
  <si>
    <t>Perth</t>
  </si>
  <si>
    <t>Dubai</t>
  </si>
  <si>
    <t>Mecca</t>
  </si>
  <si>
    <t>Riyadh</t>
  </si>
  <si>
    <t>Séoul</t>
  </si>
  <si>
    <t>Moscou</t>
  </si>
  <si>
    <t>Krasnoïarsk</t>
  </si>
  <si>
    <t>Vladivostok</t>
  </si>
  <si>
    <t>Adrar</t>
  </si>
  <si>
    <t>Nairobi</t>
  </si>
  <si>
    <t>Bangkok</t>
  </si>
  <si>
    <t>Stockholm</t>
  </si>
  <si>
    <t>Hong Kong</t>
  </si>
  <si>
    <t>Beijing</t>
  </si>
  <si>
    <t>Shangaï</t>
  </si>
  <si>
    <t>Kiev</t>
  </si>
  <si>
    <t>Athènes</t>
  </si>
  <si>
    <t>Bogota</t>
  </si>
  <si>
    <t>Santiago</t>
  </si>
  <si>
    <t>Cordoba</t>
  </si>
  <si>
    <t>N.C.</t>
  </si>
  <si>
    <t>Seatlle</t>
  </si>
  <si>
    <t>Missisauga</t>
  </si>
  <si>
    <t>Barcelone</t>
  </si>
  <si>
    <t>FC --&gt; Référence</t>
  </si>
  <si>
    <t>Toronto</t>
  </si>
  <si>
    <t>Fremantle</t>
  </si>
  <si>
    <t>Port Rashid</t>
  </si>
  <si>
    <t>Krasnoyars</t>
  </si>
  <si>
    <t>Pékin</t>
  </si>
  <si>
    <t>Port</t>
  </si>
  <si>
    <t>/</t>
  </si>
  <si>
    <t>New York</t>
  </si>
  <si>
    <t>Baltimore</t>
  </si>
  <si>
    <t>Veracruz</t>
  </si>
  <si>
    <t>Rio</t>
  </si>
  <si>
    <t>Suape</t>
  </si>
  <si>
    <t>Leith</t>
  </si>
  <si>
    <t>Le Havre</t>
  </si>
  <si>
    <t>Marseille</t>
  </si>
  <si>
    <t>Trieste</t>
  </si>
  <si>
    <t>Rotterdam</t>
  </si>
  <si>
    <t>Civitavecchia</t>
  </si>
  <si>
    <t>Genoa</t>
  </si>
  <si>
    <t>Valence</t>
  </si>
  <si>
    <t>Mumbay</t>
  </si>
  <si>
    <t>Kitakyushu</t>
  </si>
  <si>
    <t>Inchon</t>
  </si>
  <si>
    <t>Saint-Peter</t>
  </si>
  <si>
    <t>Agadir</t>
  </si>
  <si>
    <t>Mombasa</t>
  </si>
  <si>
    <t>Tianjin</t>
  </si>
  <si>
    <t>Mariupol</t>
  </si>
  <si>
    <t>Drapetsona</t>
  </si>
  <si>
    <t>Buenaventura</t>
  </si>
  <si>
    <t>San Antonio</t>
  </si>
  <si>
    <t>Zayed</t>
  </si>
  <si>
    <t>Supae</t>
  </si>
  <si>
    <t>Civitavecchi</t>
  </si>
  <si>
    <t>Mumbai</t>
  </si>
  <si>
    <t>Kytakyushu</t>
  </si>
  <si>
    <t>Denver</t>
  </si>
  <si>
    <t>New Delhi</t>
  </si>
  <si>
    <t>Voie terrestre (KM)</t>
  </si>
  <si>
    <t>Voie ferroviaire (KM)</t>
  </si>
  <si>
    <t>Complément Voie terrestre</t>
  </si>
  <si>
    <t>Voie Maritime (KM)</t>
  </si>
  <si>
    <t>(+) Voie terrestre (Multimodal)</t>
  </si>
  <si>
    <t>(+) Voie ferroviaire (Multimodal)</t>
  </si>
  <si>
    <t>Voie aérienne (KM)</t>
  </si>
  <si>
    <t>Toura</t>
  </si>
  <si>
    <t>Berezovka</t>
  </si>
  <si>
    <t>Ain Salah</t>
  </si>
  <si>
    <t>Demande</t>
  </si>
  <si>
    <t>N° FCL</t>
  </si>
  <si>
    <t>Krasnoïark</t>
  </si>
  <si>
    <t>n° continent</t>
  </si>
  <si>
    <t>N° x 46 colis</t>
  </si>
  <si>
    <t>n° autre</t>
  </si>
  <si>
    <t>Prix final voie terrestre</t>
  </si>
  <si>
    <t>Prix final voie ferroviaire</t>
  </si>
  <si>
    <t>Prix final voie maritime</t>
  </si>
  <si>
    <t>Prix final voie aérienne</t>
  </si>
  <si>
    <t>Prix final voie maritime + voie terrestre</t>
  </si>
  <si>
    <t>Prix final voie maritime + voie ferroviaire</t>
  </si>
  <si>
    <t>Prix voie aérienne/vol</t>
  </si>
  <si>
    <t>Prix voie maritime/conteneur</t>
  </si>
  <si>
    <t>Nombre de conteneurs</t>
  </si>
  <si>
    <t>Nombre de vols</t>
  </si>
  <si>
    <t>Camion (Délai)</t>
  </si>
  <si>
    <t>Délai final</t>
  </si>
  <si>
    <t>Vienne</t>
  </si>
  <si>
    <t>Train (Délai)</t>
  </si>
  <si>
    <t>Avion (Délai)</t>
  </si>
  <si>
    <t>Bateau (Délai)</t>
  </si>
  <si>
    <t>Bateau + Camion (Délai)</t>
  </si>
  <si>
    <t>Bateau + Train (Délai)</t>
  </si>
  <si>
    <t>Voie terrestre (Heures)</t>
  </si>
  <si>
    <t>Voie ferroviaire (Heures)</t>
  </si>
  <si>
    <t>Voie maritime (Heures)</t>
  </si>
  <si>
    <t>Voie aérienne (Heures)</t>
  </si>
  <si>
    <t>(+) Voie terrestre (Heures)</t>
  </si>
  <si>
    <t>(+) Voie ferroviaire (Heures)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</si>
</sst>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164" fontId="0" fillId="5" borderId="6" xfId="1" applyNumberFormat="1" applyFont="1" applyFill="1" applyBorder="1"/>
    <xf numFmtId="164" fontId="0" fillId="6" borderId="7" xfId="1" applyNumberFormat="1" applyFont="1" applyFill="1" applyBorder="1"/>
    <xf numFmtId="164" fontId="0" fillId="7" borderId="7" xfId="1" applyNumberFormat="1" applyFont="1" applyFill="1" applyBorder="1"/>
    <xf numFmtId="164" fontId="0" fillId="7" borderId="8" xfId="1" applyNumberFormat="1" applyFont="1" applyFill="1" applyBorder="1"/>
    <xf numFmtId="0" fontId="2" fillId="4" borderId="9" xfId="0" applyFont="1" applyFill="1" applyBorder="1" applyAlignment="1">
      <alignment horizontal="center"/>
    </xf>
    <xf numFmtId="164" fontId="0" fillId="6" borderId="10" xfId="1" applyNumberFormat="1" applyFont="1" applyFill="1" applyBorder="1"/>
    <xf numFmtId="164" fontId="0" fillId="5" borderId="0" xfId="1" applyNumberFormat="1" applyFont="1" applyFill="1" applyBorder="1"/>
    <xf numFmtId="164" fontId="0" fillId="6" borderId="0" xfId="1" applyNumberFormat="1" applyFont="1" applyFill="1" applyBorder="1"/>
    <xf numFmtId="164" fontId="0" fillId="7" borderId="0" xfId="1" applyNumberFormat="1" applyFont="1" applyFill="1" applyBorder="1"/>
    <xf numFmtId="164" fontId="0" fillId="7" borderId="11" xfId="1" applyNumberFormat="1" applyFont="1" applyFill="1" applyBorder="1"/>
    <xf numFmtId="164" fontId="0" fillId="7" borderId="10" xfId="1" applyNumberFormat="1" applyFont="1" applyFill="1" applyBorder="1"/>
    <xf numFmtId="164" fontId="0" fillId="5" borderId="11" xfId="1" applyNumberFormat="1" applyFont="1" applyFill="1" applyBorder="1"/>
    <xf numFmtId="164" fontId="0" fillId="6" borderId="11" xfId="1" applyNumberFormat="1" applyFont="1" applyFill="1" applyBorder="1"/>
    <xf numFmtId="164" fontId="0" fillId="6" borderId="0" xfId="1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164" fontId="0" fillId="7" borderId="13" xfId="1" applyNumberFormat="1" applyFont="1" applyFill="1" applyBorder="1"/>
    <xf numFmtId="164" fontId="0" fillId="7" borderId="14" xfId="1" applyNumberFormat="1" applyFont="1" applyFill="1" applyBorder="1"/>
    <xf numFmtId="164" fontId="0" fillId="6" borderId="14" xfId="1" applyNumberFormat="1" applyFont="1" applyFill="1" applyBorder="1"/>
    <xf numFmtId="164" fontId="0" fillId="5" borderId="14" xfId="1" applyNumberFormat="1" applyFont="1" applyFill="1" applyBorder="1"/>
    <xf numFmtId="164" fontId="0" fillId="7" borderId="15" xfId="1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 applyFill="1" applyBorder="1"/>
    <xf numFmtId="0" fontId="4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164" fontId="5" fillId="3" borderId="6" xfId="1" applyNumberFormat="1" applyFont="1" applyFill="1" applyBorder="1" applyAlignment="1">
      <alignment horizontal="center" vertical="center"/>
    </xf>
    <xf numFmtId="164" fontId="5" fillId="3" borderId="7" xfId="1" applyNumberFormat="1" applyFont="1" applyFill="1" applyBorder="1" applyAlignment="1">
      <alignment horizontal="center" vertical="center"/>
    </xf>
    <xf numFmtId="164" fontId="5" fillId="3" borderId="8" xfId="1" applyNumberFormat="1" applyFont="1" applyFill="1" applyBorder="1" applyAlignment="1">
      <alignment horizontal="center" vertical="center"/>
    </xf>
    <xf numFmtId="0" fontId="6" fillId="0" borderId="0" xfId="2"/>
    <xf numFmtId="0" fontId="3" fillId="6" borderId="3" xfId="0" applyFont="1" applyFill="1" applyBorder="1"/>
    <xf numFmtId="0" fontId="0" fillId="8" borderId="1" xfId="0" applyFill="1" applyBorder="1"/>
    <xf numFmtId="0" fontId="0" fillId="8" borderId="4" xfId="0" applyFill="1" applyBorder="1"/>
    <xf numFmtId="0" fontId="0" fillId="8" borderId="2" xfId="0" applyFill="1" applyBorder="1"/>
    <xf numFmtId="0" fontId="4" fillId="0" borderId="0" xfId="0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az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mande + Capa"/>
      <sheetName val="Prix livraison finale (Route)"/>
      <sheetName val="FC vers Ref (Km)"/>
      <sheetName val="FC vers Ref (Prix)"/>
      <sheetName val="Data Initial"/>
      <sheetName val="Sit Initiale"/>
      <sheetName val="TC Sit Init"/>
      <sheetName val="Résumé scénarios"/>
      <sheetName val="Résumé amélio"/>
    </sheetNames>
    <sheetDataSet>
      <sheetData sheetId="0"/>
      <sheetData sheetId="1"/>
      <sheetData sheetId="2">
        <row r="105">
          <cell r="BQ105">
            <v>1925.4</v>
          </cell>
          <cell r="BS105">
            <v>63</v>
          </cell>
          <cell r="BT105">
            <v>1636.8</v>
          </cell>
          <cell r="BW105">
            <v>543.29999999999995</v>
          </cell>
          <cell r="BY105">
            <v>970.9</v>
          </cell>
          <cell r="CA105">
            <v>458.8</v>
          </cell>
          <cell r="CB105">
            <v>441.9</v>
          </cell>
          <cell r="CC105">
            <v>51.7</v>
          </cell>
          <cell r="CD105">
            <v>0</v>
          </cell>
          <cell r="CE105"/>
          <cell r="CF105"/>
          <cell r="CG105">
            <v>190.1</v>
          </cell>
          <cell r="CH105">
            <v>311.89999999999998</v>
          </cell>
          <cell r="CI105">
            <v>495.4</v>
          </cell>
          <cell r="CJ105"/>
          <cell r="CK105">
            <v>142.80000000000001</v>
          </cell>
          <cell r="CL105">
            <v>252.5</v>
          </cell>
          <cell r="CM105">
            <v>71.3</v>
          </cell>
          <cell r="CN105">
            <v>146</v>
          </cell>
          <cell r="CO105">
            <v>354.6</v>
          </cell>
          <cell r="CP105"/>
          <cell r="CQ105"/>
          <cell r="CR105">
            <v>931.2</v>
          </cell>
          <cell r="CS105">
            <v>745.4</v>
          </cell>
          <cell r="CT105">
            <v>522.4</v>
          </cell>
          <cell r="CU105">
            <v>1374.6</v>
          </cell>
          <cell r="CV105"/>
          <cell r="CW105">
            <v>857.3</v>
          </cell>
          <cell r="CX105"/>
          <cell r="CY105"/>
          <cell r="CZ105"/>
          <cell r="DA105">
            <v>162.69999999999999</v>
          </cell>
          <cell r="DB105"/>
          <cell r="DC105"/>
          <cell r="DD105"/>
          <cell r="DE105"/>
          <cell r="DF105">
            <v>1855.4</v>
          </cell>
          <cell r="DG105">
            <v>996.5</v>
          </cell>
          <cell r="DH105">
            <v>33.799999999999997</v>
          </cell>
          <cell r="DI105">
            <v>701.9</v>
          </cell>
          <cell r="DJ105">
            <v>4701.1000000000004</v>
          </cell>
          <cell r="DK105"/>
          <cell r="DL105"/>
          <cell r="DM105">
            <v>483.6</v>
          </cell>
          <cell r="DN105"/>
          <cell r="DO105"/>
          <cell r="DP105"/>
          <cell r="DQ105">
            <v>121.2</v>
          </cell>
          <cell r="DR105"/>
          <cell r="DS105">
            <v>778.9</v>
          </cell>
          <cell r="DT105">
            <v>11.8</v>
          </cell>
          <cell r="DU105">
            <v>503.6</v>
          </cell>
          <cell r="DV105">
            <v>114</v>
          </cell>
          <cell r="DW105">
            <v>1147</v>
          </cell>
          <cell r="EA105"/>
          <cell r="EC105">
            <v>2197.1999999999998</v>
          </cell>
          <cell r="ED105"/>
          <cell r="EE105">
            <v>64.400000000000006</v>
          </cell>
          <cell r="EF105">
            <v>2958.2</v>
          </cell>
          <cell r="EG105"/>
          <cell r="EH105"/>
          <cell r="EI105">
            <v>535.6</v>
          </cell>
          <cell r="EJ105"/>
          <cell r="EK105"/>
          <cell r="EL105"/>
          <cell r="EM105"/>
          <cell r="EN105"/>
          <cell r="EO105"/>
          <cell r="EP105">
            <v>0</v>
          </cell>
          <cell r="EQ105"/>
          <cell r="ER105"/>
          <cell r="ES105">
            <v>226.7</v>
          </cell>
          <cell r="ET105">
            <v>319.5</v>
          </cell>
          <cell r="EU105">
            <v>513.79999999999995</v>
          </cell>
          <cell r="EV105"/>
          <cell r="EW105">
            <v>135.5</v>
          </cell>
          <cell r="EX105">
            <v>263.10000000000002</v>
          </cell>
          <cell r="EY105">
            <v>77.900000000000006</v>
          </cell>
          <cell r="EZ105">
            <v>141.30000000000001</v>
          </cell>
          <cell r="FA105">
            <v>389.7</v>
          </cell>
          <cell r="FB105"/>
          <cell r="FC105"/>
          <cell r="FD105">
            <v>994.9</v>
          </cell>
          <cell r="FE105">
            <v>960.9</v>
          </cell>
          <cell r="FF105">
            <v>624.5</v>
          </cell>
          <cell r="FG105">
            <v>1386.2</v>
          </cell>
          <cell r="FH105"/>
          <cell r="FI105">
            <v>982.6</v>
          </cell>
          <cell r="FJ105"/>
          <cell r="FK105"/>
          <cell r="FL105"/>
          <cell r="FM105">
            <v>154.6</v>
          </cell>
          <cell r="FN105"/>
          <cell r="FO105"/>
          <cell r="FP105"/>
          <cell r="FQ105"/>
          <cell r="FR105"/>
          <cell r="FS105"/>
          <cell r="FT105">
            <v>43.9</v>
          </cell>
          <cell r="FU105">
            <v>645.09999999999991</v>
          </cell>
          <cell r="FV105">
            <v>4386.2</v>
          </cell>
          <cell r="FW105"/>
          <cell r="FX105"/>
          <cell r="FY105">
            <v>462.7</v>
          </cell>
          <cell r="FZ105"/>
          <cell r="GA105"/>
          <cell r="GB105"/>
          <cell r="GC105">
            <v>116.6</v>
          </cell>
          <cell r="GD105"/>
          <cell r="GE105">
            <v>965.1</v>
          </cell>
          <cell r="GF105"/>
          <cell r="GG105"/>
          <cell r="GH105"/>
          <cell r="GI105"/>
        </row>
        <row r="106">
          <cell r="BO106"/>
          <cell r="BQ106">
            <v>1925.4</v>
          </cell>
          <cell r="BR106"/>
          <cell r="BS106">
            <v>63</v>
          </cell>
          <cell r="BT106">
            <v>1636.8</v>
          </cell>
          <cell r="BU106"/>
          <cell r="BV106"/>
          <cell r="BW106">
            <v>543.29999999999995</v>
          </cell>
          <cell r="BX106"/>
          <cell r="BY106">
            <v>970.9</v>
          </cell>
          <cell r="BZ106"/>
          <cell r="CA106">
            <v>458.8</v>
          </cell>
          <cell r="CB106">
            <v>441.9</v>
          </cell>
          <cell r="CC106">
            <v>51.7</v>
          </cell>
          <cell r="CD106"/>
          <cell r="CE106"/>
          <cell r="CF106"/>
          <cell r="CG106">
            <v>190.1</v>
          </cell>
          <cell r="CH106">
            <v>311.89999999999998</v>
          </cell>
          <cell r="CI106">
            <v>495.4</v>
          </cell>
          <cell r="CJ106"/>
          <cell r="CK106">
            <v>142.80000000000001</v>
          </cell>
          <cell r="CL106">
            <v>252.5</v>
          </cell>
          <cell r="CM106">
            <v>71.3</v>
          </cell>
          <cell r="CN106">
            <v>146</v>
          </cell>
          <cell r="CO106">
            <v>354.6</v>
          </cell>
          <cell r="CP106"/>
          <cell r="CQ106"/>
          <cell r="CR106">
            <v>931.2</v>
          </cell>
          <cell r="CS106">
            <v>745.4</v>
          </cell>
          <cell r="CT106">
            <v>522.4</v>
          </cell>
          <cell r="CU106">
            <v>1374.6</v>
          </cell>
          <cell r="CV106"/>
          <cell r="CW106">
            <v>857.3</v>
          </cell>
          <cell r="CX106"/>
          <cell r="CY106"/>
          <cell r="CZ106"/>
          <cell r="DA106">
            <v>162.69999999999999</v>
          </cell>
          <cell r="DB106"/>
          <cell r="DC106"/>
          <cell r="DD106"/>
          <cell r="DE106"/>
          <cell r="DF106">
            <v>1855.4</v>
          </cell>
          <cell r="DG106">
            <v>996.5</v>
          </cell>
          <cell r="DH106">
            <v>33.799999999999997</v>
          </cell>
          <cell r="DI106">
            <v>701.9</v>
          </cell>
          <cell r="DJ106">
            <v>4701.1000000000004</v>
          </cell>
          <cell r="DK106"/>
          <cell r="DL106"/>
          <cell r="DM106">
            <v>483.6</v>
          </cell>
          <cell r="DN106"/>
          <cell r="DO106"/>
          <cell r="DP106"/>
          <cell r="DQ106">
            <v>121.2</v>
          </cell>
          <cell r="DR106"/>
          <cell r="DS106">
            <v>778.9</v>
          </cell>
          <cell r="DT106">
            <v>11.8</v>
          </cell>
          <cell r="DU106">
            <v>503.6</v>
          </cell>
          <cell r="DV106">
            <v>114</v>
          </cell>
          <cell r="DW106">
            <v>1147</v>
          </cell>
          <cell r="EA106"/>
          <cell r="EB106"/>
          <cell r="EC106">
            <v>2197.1999999999998</v>
          </cell>
          <cell r="ED106"/>
          <cell r="EE106">
            <v>64.400000000000006</v>
          </cell>
          <cell r="EF106">
            <v>2958.2</v>
          </cell>
          <cell r="EG106"/>
          <cell r="EH106"/>
          <cell r="EI106">
            <v>535.6</v>
          </cell>
          <cell r="EJ106"/>
          <cell r="EK106"/>
          <cell r="EL106"/>
          <cell r="EM106"/>
          <cell r="EN106"/>
          <cell r="EO106"/>
          <cell r="EP106"/>
          <cell r="EQ106"/>
          <cell r="ER106"/>
          <cell r="ES106">
            <v>226.7</v>
          </cell>
          <cell r="ET106">
            <v>319.5</v>
          </cell>
          <cell r="EU106">
            <v>513.79999999999995</v>
          </cell>
          <cell r="EV106"/>
          <cell r="EW106">
            <v>135.5</v>
          </cell>
          <cell r="EX106">
            <v>263.10000000000002</v>
          </cell>
          <cell r="EY106">
            <v>77.900000000000006</v>
          </cell>
          <cell r="EZ106">
            <v>141.30000000000001</v>
          </cell>
          <cell r="FA106">
            <v>389.7</v>
          </cell>
          <cell r="FB106"/>
          <cell r="FC106"/>
          <cell r="FD106">
            <v>994.9</v>
          </cell>
          <cell r="FE106">
            <v>960.9</v>
          </cell>
          <cell r="FF106">
            <v>624.5</v>
          </cell>
          <cell r="FG106">
            <v>1386.2</v>
          </cell>
          <cell r="FH106"/>
          <cell r="FI106">
            <v>982.6</v>
          </cell>
          <cell r="FJ106"/>
          <cell r="FK106"/>
          <cell r="FL106"/>
          <cell r="FM106">
            <v>154.6</v>
          </cell>
          <cell r="FN106"/>
          <cell r="FO106"/>
          <cell r="FP106"/>
          <cell r="FQ106"/>
          <cell r="FR106"/>
          <cell r="FS106"/>
          <cell r="FT106">
            <v>43.9</v>
          </cell>
          <cell r="FU106">
            <v>645.09999999999991</v>
          </cell>
          <cell r="FV106">
            <v>4386.2</v>
          </cell>
          <cell r="FW106"/>
          <cell r="FX106"/>
          <cell r="FY106">
            <v>462.7</v>
          </cell>
          <cell r="FZ106"/>
          <cell r="GA106"/>
          <cell r="GB106"/>
          <cell r="GC106">
            <v>116.6</v>
          </cell>
          <cell r="GD106"/>
          <cell r="GE106">
            <v>965.1</v>
          </cell>
          <cell r="GF106"/>
          <cell r="GG106"/>
          <cell r="GH106"/>
          <cell r="GI106"/>
        </row>
        <row r="107">
          <cell r="BO107">
            <v>1925.4</v>
          </cell>
          <cell r="BP107">
            <v>1925.4</v>
          </cell>
          <cell r="BR107">
            <v>1925.4</v>
          </cell>
          <cell r="BS107">
            <v>1988.4</v>
          </cell>
          <cell r="BT107">
            <v>3562.2</v>
          </cell>
          <cell r="BU107">
            <v>1925.4</v>
          </cell>
          <cell r="BV107">
            <v>1925.4</v>
          </cell>
          <cell r="BW107">
            <v>2468.6999999999998</v>
          </cell>
          <cell r="BX107">
            <v>1925.4</v>
          </cell>
          <cell r="BY107">
            <v>2896.3</v>
          </cell>
          <cell r="BZ107">
            <v>1925.4</v>
          </cell>
          <cell r="CA107">
            <v>2384.2000000000003</v>
          </cell>
          <cell r="CB107">
            <v>2367.3000000000002</v>
          </cell>
          <cell r="CC107">
            <v>1977.1000000000001</v>
          </cell>
          <cell r="CD107">
            <v>1925.4</v>
          </cell>
          <cell r="CE107">
            <v>1925.4</v>
          </cell>
          <cell r="CF107">
            <v>1925.4</v>
          </cell>
          <cell r="CG107">
            <v>2115.5</v>
          </cell>
          <cell r="CH107">
            <v>2237.3000000000002</v>
          </cell>
          <cell r="CI107">
            <v>2420.8000000000002</v>
          </cell>
          <cell r="CJ107">
            <v>1925.4</v>
          </cell>
          <cell r="CK107">
            <v>2068.2000000000003</v>
          </cell>
          <cell r="CL107">
            <v>2177.9</v>
          </cell>
          <cell r="CM107">
            <v>1996.7</v>
          </cell>
          <cell r="CN107">
            <v>2071.4</v>
          </cell>
          <cell r="CO107">
            <v>2280</v>
          </cell>
          <cell r="CP107">
            <v>1925.4</v>
          </cell>
          <cell r="CQ107">
            <v>1925.4</v>
          </cell>
          <cell r="CR107">
            <v>2856.6000000000004</v>
          </cell>
          <cell r="CS107">
            <v>2670.8</v>
          </cell>
          <cell r="CT107">
            <v>2447.8000000000002</v>
          </cell>
          <cell r="CU107">
            <v>3300</v>
          </cell>
          <cell r="CV107">
            <v>1925.4</v>
          </cell>
          <cell r="CW107">
            <v>2782.7</v>
          </cell>
          <cell r="CX107">
            <v>1925.4</v>
          </cell>
          <cell r="CY107">
            <v>1925.4</v>
          </cell>
          <cell r="CZ107">
            <v>1925.4</v>
          </cell>
          <cell r="DA107">
            <v>2088.1</v>
          </cell>
          <cell r="DB107">
            <v>1925.4</v>
          </cell>
          <cell r="DC107">
            <v>1925.4</v>
          </cell>
          <cell r="DD107">
            <v>1925.4</v>
          </cell>
          <cell r="DE107">
            <v>1925.4</v>
          </cell>
          <cell r="DF107">
            <v>3780.8</v>
          </cell>
          <cell r="DG107">
            <v>2921.9</v>
          </cell>
          <cell r="DH107">
            <v>1959.2</v>
          </cell>
          <cell r="DI107">
            <v>2627.3</v>
          </cell>
          <cell r="DJ107">
            <v>6626.5</v>
          </cell>
          <cell r="DK107">
            <v>1925.4</v>
          </cell>
          <cell r="DL107">
            <v>1925.4</v>
          </cell>
          <cell r="DM107">
            <v>2409</v>
          </cell>
          <cell r="DN107">
            <v>1925.4</v>
          </cell>
          <cell r="DO107">
            <v>1925.4</v>
          </cell>
          <cell r="DP107">
            <v>1925.4</v>
          </cell>
          <cell r="DQ107">
            <v>2046.6000000000001</v>
          </cell>
          <cell r="DR107">
            <v>1925.4</v>
          </cell>
          <cell r="DS107">
            <v>2704.3</v>
          </cell>
          <cell r="DT107">
            <v>1937.2</v>
          </cell>
          <cell r="DU107">
            <v>2429</v>
          </cell>
          <cell r="DV107">
            <v>2039.4</v>
          </cell>
          <cell r="DW107">
            <v>3072.4</v>
          </cell>
          <cell r="EA107">
            <v>2197.1999999999998</v>
          </cell>
          <cell r="EB107">
            <v>2197.1999999999998</v>
          </cell>
          <cell r="ED107">
            <v>2197.1999999999998</v>
          </cell>
          <cell r="EE107">
            <v>2261.6</v>
          </cell>
          <cell r="EF107">
            <v>5155.3999999999996</v>
          </cell>
          <cell r="EG107">
            <v>2197.1999999999998</v>
          </cell>
          <cell r="EH107">
            <v>2197.1999999999998</v>
          </cell>
          <cell r="EI107">
            <v>2732.7999999999997</v>
          </cell>
          <cell r="EJ107">
            <v>2197.1999999999998</v>
          </cell>
          <cell r="EK107">
            <v>2197.1999999999998</v>
          </cell>
          <cell r="EL107">
            <v>2197.1999999999998</v>
          </cell>
          <cell r="EM107">
            <v>2197.1999999999998</v>
          </cell>
          <cell r="EN107">
            <v>2197.1999999999998</v>
          </cell>
          <cell r="EO107">
            <v>2197.1999999999998</v>
          </cell>
          <cell r="EP107">
            <v>2197.1999999999998</v>
          </cell>
          <cell r="EQ107">
            <v>2197.1999999999998</v>
          </cell>
          <cell r="ER107">
            <v>2197.1999999999998</v>
          </cell>
          <cell r="ES107">
            <v>2423.8999999999996</v>
          </cell>
          <cell r="ET107">
            <v>2516.6999999999998</v>
          </cell>
          <cell r="EU107">
            <v>2711</v>
          </cell>
          <cell r="EV107">
            <v>2197.1999999999998</v>
          </cell>
          <cell r="EW107">
            <v>2332.6999999999998</v>
          </cell>
          <cell r="EX107">
            <v>2460.2999999999997</v>
          </cell>
          <cell r="EY107">
            <v>2275.1</v>
          </cell>
          <cell r="EZ107">
            <v>2338.5</v>
          </cell>
          <cell r="FA107">
            <v>2586.8999999999996</v>
          </cell>
          <cell r="FB107">
            <v>2197.1999999999998</v>
          </cell>
          <cell r="FC107">
            <v>2197.1999999999998</v>
          </cell>
          <cell r="FD107">
            <v>3192.1</v>
          </cell>
          <cell r="FE107">
            <v>3158.1</v>
          </cell>
          <cell r="FF107">
            <v>2821.7</v>
          </cell>
          <cell r="FG107">
            <v>3583.3999999999996</v>
          </cell>
          <cell r="FH107">
            <v>2197.1999999999998</v>
          </cell>
          <cell r="FI107">
            <v>3179.7999999999997</v>
          </cell>
          <cell r="FJ107">
            <v>2197.1999999999998</v>
          </cell>
          <cell r="FK107">
            <v>2197.1999999999998</v>
          </cell>
          <cell r="FL107">
            <v>2197.1999999999998</v>
          </cell>
          <cell r="FM107">
            <v>2351.7999999999997</v>
          </cell>
          <cell r="FN107">
            <v>2197.1999999999998</v>
          </cell>
          <cell r="FO107">
            <v>2197.1999999999998</v>
          </cell>
          <cell r="FP107">
            <v>2197.1999999999998</v>
          </cell>
          <cell r="FQ107">
            <v>2197.1999999999998</v>
          </cell>
          <cell r="FR107">
            <v>2197.1999999999998</v>
          </cell>
          <cell r="FS107">
            <v>2197.1999999999998</v>
          </cell>
          <cell r="FT107">
            <v>2241.1</v>
          </cell>
          <cell r="FU107">
            <v>2842.3</v>
          </cell>
          <cell r="FV107">
            <v>6583.4000000000005</v>
          </cell>
          <cell r="FW107">
            <v>2197.1999999999998</v>
          </cell>
          <cell r="FX107">
            <v>2197.1999999999998</v>
          </cell>
          <cell r="FY107">
            <v>2659.8999999999996</v>
          </cell>
          <cell r="FZ107">
            <v>2197.1999999999998</v>
          </cell>
          <cell r="GA107">
            <v>2197.1999999999998</v>
          </cell>
          <cell r="GB107">
            <v>2197.1999999999998</v>
          </cell>
          <cell r="GC107">
            <v>2313.7999999999997</v>
          </cell>
          <cell r="GD107">
            <v>2197.1999999999998</v>
          </cell>
          <cell r="GE107">
            <v>3162.2999999999997</v>
          </cell>
          <cell r="GF107">
            <v>2197.1999999999998</v>
          </cell>
          <cell r="GG107">
            <v>2197.1999999999998</v>
          </cell>
          <cell r="GH107">
            <v>2197.1999999999998</v>
          </cell>
          <cell r="GI107">
            <v>2197.1999999999998</v>
          </cell>
        </row>
        <row r="108">
          <cell r="BO108"/>
          <cell r="BP108"/>
          <cell r="BQ108">
            <v>1925.4</v>
          </cell>
          <cell r="BS108">
            <v>63</v>
          </cell>
          <cell r="BT108">
            <v>1636.8</v>
          </cell>
          <cell r="BU108"/>
          <cell r="BV108"/>
          <cell r="BW108">
            <v>543.29999999999995</v>
          </cell>
          <cell r="BX108"/>
          <cell r="BY108">
            <v>970.9</v>
          </cell>
          <cell r="BZ108"/>
          <cell r="CA108">
            <v>458.8</v>
          </cell>
          <cell r="CB108">
            <v>441.9</v>
          </cell>
          <cell r="CC108">
            <v>51.7</v>
          </cell>
          <cell r="CD108"/>
          <cell r="CE108"/>
          <cell r="CF108"/>
          <cell r="CG108">
            <v>190.1</v>
          </cell>
          <cell r="CH108">
            <v>311.89999999999998</v>
          </cell>
          <cell r="CI108">
            <v>495.4</v>
          </cell>
          <cell r="CJ108"/>
          <cell r="CK108">
            <v>142.80000000000001</v>
          </cell>
          <cell r="CL108">
            <v>252.5</v>
          </cell>
          <cell r="CM108">
            <v>71.3</v>
          </cell>
          <cell r="CN108">
            <v>146</v>
          </cell>
          <cell r="CO108">
            <v>354.6</v>
          </cell>
          <cell r="CP108"/>
          <cell r="CQ108"/>
          <cell r="CR108">
            <v>931.2</v>
          </cell>
          <cell r="CS108">
            <v>745.4</v>
          </cell>
          <cell r="CT108">
            <v>522.4</v>
          </cell>
          <cell r="CU108">
            <v>1374.6</v>
          </cell>
          <cell r="CV108"/>
          <cell r="CW108">
            <v>857.3</v>
          </cell>
          <cell r="CX108"/>
          <cell r="CY108"/>
          <cell r="CZ108"/>
          <cell r="DA108">
            <v>162.69999999999999</v>
          </cell>
          <cell r="DB108"/>
          <cell r="DC108"/>
          <cell r="DD108"/>
          <cell r="DE108"/>
          <cell r="DF108">
            <v>1855.4</v>
          </cell>
          <cell r="DG108">
            <v>996.5</v>
          </cell>
          <cell r="DH108">
            <v>33.799999999999997</v>
          </cell>
          <cell r="DI108">
            <v>701.9</v>
          </cell>
          <cell r="DJ108">
            <v>4701.1000000000004</v>
          </cell>
          <cell r="DK108"/>
          <cell r="DL108"/>
          <cell r="DM108">
            <v>483.6</v>
          </cell>
          <cell r="DN108"/>
          <cell r="DO108"/>
          <cell r="DP108"/>
          <cell r="DQ108">
            <v>121.2</v>
          </cell>
          <cell r="DR108"/>
          <cell r="DS108">
            <v>778.9</v>
          </cell>
          <cell r="DT108">
            <v>11.8</v>
          </cell>
          <cell r="DU108">
            <v>503.6</v>
          </cell>
          <cell r="DV108">
            <v>114</v>
          </cell>
          <cell r="DW108">
            <v>1147</v>
          </cell>
          <cell r="EA108"/>
          <cell r="EB108"/>
          <cell r="EC108">
            <v>2197.1999999999998</v>
          </cell>
          <cell r="ED108"/>
          <cell r="EE108">
            <v>64.400000000000006</v>
          </cell>
          <cell r="EF108">
            <v>2958.2</v>
          </cell>
          <cell r="EG108"/>
          <cell r="EH108"/>
          <cell r="EI108">
            <v>535.6</v>
          </cell>
          <cell r="EJ108"/>
          <cell r="EK108"/>
          <cell r="EL108"/>
          <cell r="EM108"/>
          <cell r="EN108"/>
          <cell r="EO108"/>
          <cell r="EP108"/>
          <cell r="EQ108"/>
          <cell r="ER108"/>
          <cell r="ES108">
            <v>226.7</v>
          </cell>
          <cell r="ET108">
            <v>319.5</v>
          </cell>
          <cell r="EU108">
            <v>513.79999999999995</v>
          </cell>
          <cell r="EV108"/>
          <cell r="EW108">
            <v>135.5</v>
          </cell>
          <cell r="EX108">
            <v>263.10000000000002</v>
          </cell>
          <cell r="EY108">
            <v>77.900000000000006</v>
          </cell>
          <cell r="EZ108">
            <v>141.30000000000001</v>
          </cell>
          <cell r="FA108">
            <v>389.7</v>
          </cell>
          <cell r="FB108"/>
          <cell r="FC108"/>
          <cell r="FD108">
            <v>994.9</v>
          </cell>
          <cell r="FE108">
            <v>960.9</v>
          </cell>
          <cell r="FF108">
            <v>624.5</v>
          </cell>
          <cell r="FG108">
            <v>1386.2</v>
          </cell>
          <cell r="FH108"/>
          <cell r="FI108">
            <v>982.6</v>
          </cell>
          <cell r="FJ108"/>
          <cell r="FK108"/>
          <cell r="FL108"/>
          <cell r="FM108">
            <v>154.6</v>
          </cell>
          <cell r="FN108"/>
          <cell r="FO108"/>
          <cell r="FP108"/>
          <cell r="FQ108"/>
          <cell r="FR108"/>
          <cell r="FS108"/>
          <cell r="FT108">
            <v>43.9</v>
          </cell>
          <cell r="FU108">
            <v>645.09999999999991</v>
          </cell>
          <cell r="FV108">
            <v>4386.2</v>
          </cell>
          <cell r="FW108"/>
          <cell r="FX108"/>
          <cell r="FY108">
            <v>462.7</v>
          </cell>
          <cell r="FZ108"/>
          <cell r="GA108"/>
          <cell r="GB108"/>
          <cell r="GC108">
            <v>116.6</v>
          </cell>
          <cell r="GD108"/>
          <cell r="GE108">
            <v>965.1</v>
          </cell>
          <cell r="GF108"/>
          <cell r="GG108"/>
          <cell r="GH108"/>
          <cell r="GI108"/>
        </row>
        <row r="109">
          <cell r="BO109">
            <v>63</v>
          </cell>
          <cell r="BP109">
            <v>63</v>
          </cell>
          <cell r="BQ109">
            <v>1988.4</v>
          </cell>
          <cell r="BR109">
            <v>63</v>
          </cell>
          <cell r="BT109">
            <v>1699.8</v>
          </cell>
          <cell r="BU109">
            <v>63</v>
          </cell>
          <cell r="BV109">
            <v>63</v>
          </cell>
          <cell r="BW109">
            <v>606.29999999999995</v>
          </cell>
          <cell r="BX109">
            <v>63</v>
          </cell>
          <cell r="BY109">
            <v>1033.9000000000001</v>
          </cell>
          <cell r="BZ109">
            <v>63</v>
          </cell>
          <cell r="CA109">
            <v>521.79999999999995</v>
          </cell>
          <cell r="CB109">
            <v>504.9</v>
          </cell>
          <cell r="CC109">
            <v>114.7</v>
          </cell>
          <cell r="CD109">
            <v>63</v>
          </cell>
          <cell r="CE109">
            <v>63</v>
          </cell>
          <cell r="CF109">
            <v>63</v>
          </cell>
          <cell r="CG109">
            <v>253.1</v>
          </cell>
          <cell r="CH109">
            <v>374.9</v>
          </cell>
          <cell r="CI109">
            <v>558.4</v>
          </cell>
          <cell r="CJ109">
            <v>63</v>
          </cell>
          <cell r="CK109">
            <v>205.8</v>
          </cell>
          <cell r="CL109">
            <v>315.5</v>
          </cell>
          <cell r="CM109">
            <v>134.30000000000001</v>
          </cell>
          <cell r="CN109">
            <v>209</v>
          </cell>
          <cell r="CO109">
            <v>417.6</v>
          </cell>
          <cell r="CP109">
            <v>63</v>
          </cell>
          <cell r="CQ109">
            <v>63</v>
          </cell>
          <cell r="CR109">
            <v>994.2</v>
          </cell>
          <cell r="CS109">
            <v>808.4</v>
          </cell>
          <cell r="CT109">
            <v>585.4</v>
          </cell>
          <cell r="CU109">
            <v>1437.6</v>
          </cell>
          <cell r="CV109">
            <v>63</v>
          </cell>
          <cell r="CW109">
            <v>920.3</v>
          </cell>
          <cell r="CX109">
            <v>63</v>
          </cell>
          <cell r="CY109">
            <v>63</v>
          </cell>
          <cell r="CZ109">
            <v>63</v>
          </cell>
          <cell r="DA109">
            <v>225.7</v>
          </cell>
          <cell r="DB109">
            <v>63</v>
          </cell>
          <cell r="DC109">
            <v>63</v>
          </cell>
          <cell r="DD109">
            <v>63</v>
          </cell>
          <cell r="DE109">
            <v>63</v>
          </cell>
          <cell r="DF109">
            <v>1918.4</v>
          </cell>
          <cell r="DG109">
            <v>1059.5</v>
          </cell>
          <cell r="DH109">
            <v>96.8</v>
          </cell>
          <cell r="DI109">
            <v>764.9</v>
          </cell>
          <cell r="DJ109">
            <v>4764.1000000000004</v>
          </cell>
          <cell r="DK109">
            <v>63</v>
          </cell>
          <cell r="DL109">
            <v>63</v>
          </cell>
          <cell r="DM109">
            <v>546.6</v>
          </cell>
          <cell r="DN109">
            <v>63</v>
          </cell>
          <cell r="DO109">
            <v>63</v>
          </cell>
          <cell r="DP109">
            <v>63</v>
          </cell>
          <cell r="DQ109">
            <v>184.2</v>
          </cell>
          <cell r="DR109">
            <v>63</v>
          </cell>
          <cell r="DS109">
            <v>841.9</v>
          </cell>
          <cell r="DT109">
            <v>74.8</v>
          </cell>
          <cell r="DU109">
            <v>566.6</v>
          </cell>
          <cell r="DV109">
            <v>177</v>
          </cell>
          <cell r="DW109">
            <v>1210</v>
          </cell>
          <cell r="EA109">
            <v>64.400000000000006</v>
          </cell>
          <cell r="EB109">
            <v>64.400000000000006</v>
          </cell>
          <cell r="EC109">
            <v>2261.6</v>
          </cell>
          <cell r="ED109">
            <v>64.400000000000006</v>
          </cell>
          <cell r="EF109">
            <v>3022.6</v>
          </cell>
          <cell r="EG109">
            <v>64.400000000000006</v>
          </cell>
          <cell r="EH109">
            <v>64.400000000000006</v>
          </cell>
          <cell r="EI109">
            <v>600</v>
          </cell>
          <cell r="EJ109">
            <v>64.400000000000006</v>
          </cell>
          <cell r="EK109">
            <v>64.400000000000006</v>
          </cell>
          <cell r="EL109">
            <v>64.400000000000006</v>
          </cell>
          <cell r="EM109">
            <v>64.400000000000006</v>
          </cell>
          <cell r="EN109">
            <v>64.400000000000006</v>
          </cell>
          <cell r="EO109">
            <v>64.400000000000006</v>
          </cell>
          <cell r="EP109">
            <v>64.400000000000006</v>
          </cell>
          <cell r="EQ109">
            <v>64.400000000000006</v>
          </cell>
          <cell r="ER109">
            <v>64.400000000000006</v>
          </cell>
          <cell r="ES109">
            <v>291.10000000000002</v>
          </cell>
          <cell r="ET109">
            <v>383.9</v>
          </cell>
          <cell r="EU109">
            <v>578.19999999999993</v>
          </cell>
          <cell r="EV109">
            <v>64.400000000000006</v>
          </cell>
          <cell r="EW109">
            <v>199.9</v>
          </cell>
          <cell r="EX109">
            <v>327.5</v>
          </cell>
          <cell r="EY109">
            <v>142.30000000000001</v>
          </cell>
          <cell r="EZ109">
            <v>205.70000000000002</v>
          </cell>
          <cell r="FA109">
            <v>454.1</v>
          </cell>
          <cell r="FB109">
            <v>64.400000000000006</v>
          </cell>
          <cell r="FC109">
            <v>64.400000000000006</v>
          </cell>
          <cell r="FD109">
            <v>1059.3</v>
          </cell>
          <cell r="FE109">
            <v>1025.3</v>
          </cell>
          <cell r="FF109">
            <v>688.9</v>
          </cell>
          <cell r="FG109">
            <v>1450.6000000000001</v>
          </cell>
          <cell r="FH109">
            <v>64.400000000000006</v>
          </cell>
          <cell r="FI109">
            <v>1047</v>
          </cell>
          <cell r="FJ109">
            <v>64.400000000000006</v>
          </cell>
          <cell r="FK109">
            <v>64.400000000000006</v>
          </cell>
          <cell r="FL109">
            <v>64.400000000000006</v>
          </cell>
          <cell r="FM109">
            <v>219</v>
          </cell>
          <cell r="FN109">
            <v>64.400000000000006</v>
          </cell>
          <cell r="FO109">
            <v>64.400000000000006</v>
          </cell>
          <cell r="FP109">
            <v>64.400000000000006</v>
          </cell>
          <cell r="FQ109">
            <v>64.400000000000006</v>
          </cell>
          <cell r="FR109">
            <v>64.400000000000006</v>
          </cell>
          <cell r="FS109">
            <v>64.400000000000006</v>
          </cell>
          <cell r="FT109">
            <v>108.30000000000001</v>
          </cell>
          <cell r="FU109">
            <v>709.5</v>
          </cell>
          <cell r="FV109">
            <v>4450.6000000000004</v>
          </cell>
          <cell r="FW109">
            <v>64.400000000000006</v>
          </cell>
          <cell r="FX109">
            <v>64.400000000000006</v>
          </cell>
          <cell r="FY109">
            <v>527.1</v>
          </cell>
          <cell r="FZ109">
            <v>64.400000000000006</v>
          </cell>
          <cell r="GA109">
            <v>64.400000000000006</v>
          </cell>
          <cell r="GB109">
            <v>64.400000000000006</v>
          </cell>
          <cell r="GC109">
            <v>181</v>
          </cell>
          <cell r="GD109">
            <v>64.400000000000006</v>
          </cell>
          <cell r="GE109">
            <v>1029.5</v>
          </cell>
          <cell r="GF109">
            <v>64.400000000000006</v>
          </cell>
          <cell r="GG109">
            <v>64.400000000000006</v>
          </cell>
          <cell r="GH109">
            <v>64.400000000000006</v>
          </cell>
          <cell r="GI109">
            <v>64.400000000000006</v>
          </cell>
        </row>
        <row r="110">
          <cell r="BO110">
            <v>1636.8</v>
          </cell>
          <cell r="BP110">
            <v>1636.8</v>
          </cell>
          <cell r="BQ110">
            <v>3562.2</v>
          </cell>
          <cell r="BR110">
            <v>1636.8</v>
          </cell>
          <cell r="BS110">
            <v>1699.8</v>
          </cell>
          <cell r="BU110">
            <v>1636.8</v>
          </cell>
          <cell r="BV110">
            <v>1636.8</v>
          </cell>
          <cell r="BW110">
            <v>2180.1</v>
          </cell>
          <cell r="BX110">
            <v>1636.8</v>
          </cell>
          <cell r="BY110">
            <v>2607.6999999999998</v>
          </cell>
          <cell r="BZ110">
            <v>1636.8</v>
          </cell>
          <cell r="CA110">
            <v>2095.6</v>
          </cell>
          <cell r="CB110">
            <v>2078.6999999999998</v>
          </cell>
          <cell r="CC110">
            <v>1688.5</v>
          </cell>
          <cell r="CD110">
            <v>1636.8</v>
          </cell>
          <cell r="CE110">
            <v>1636.8</v>
          </cell>
          <cell r="CF110">
            <v>1636.8</v>
          </cell>
          <cell r="CG110">
            <v>1826.8999999999999</v>
          </cell>
          <cell r="CH110">
            <v>1948.6999999999998</v>
          </cell>
          <cell r="CI110">
            <v>2132.1999999999998</v>
          </cell>
          <cell r="CJ110">
            <v>1636.8</v>
          </cell>
          <cell r="CK110">
            <v>1779.6</v>
          </cell>
          <cell r="CL110">
            <v>1889.3</v>
          </cell>
          <cell r="CM110">
            <v>1708.1</v>
          </cell>
          <cell r="CN110">
            <v>1782.8</v>
          </cell>
          <cell r="CO110">
            <v>1991.4</v>
          </cell>
          <cell r="CP110">
            <v>1636.8</v>
          </cell>
          <cell r="CQ110">
            <v>1636.8</v>
          </cell>
          <cell r="CR110">
            <v>2568</v>
          </cell>
          <cell r="CS110">
            <v>2382.1999999999998</v>
          </cell>
          <cell r="CT110">
            <v>2159.1999999999998</v>
          </cell>
          <cell r="CU110">
            <v>3011.3999999999996</v>
          </cell>
          <cell r="CV110">
            <v>1636.8</v>
          </cell>
          <cell r="CW110">
            <v>2494.1</v>
          </cell>
          <cell r="CX110">
            <v>1636.8</v>
          </cell>
          <cell r="CY110">
            <v>1636.8</v>
          </cell>
          <cell r="CZ110">
            <v>1636.8</v>
          </cell>
          <cell r="DA110">
            <v>1799.5</v>
          </cell>
          <cell r="DB110">
            <v>1636.8</v>
          </cell>
          <cell r="DC110">
            <v>1636.8</v>
          </cell>
          <cell r="DD110">
            <v>1636.8</v>
          </cell>
          <cell r="DE110">
            <v>1636.8</v>
          </cell>
          <cell r="DF110">
            <v>3492.2</v>
          </cell>
          <cell r="DG110">
            <v>2633.3</v>
          </cell>
          <cell r="DH110">
            <v>1670.6</v>
          </cell>
          <cell r="DI110">
            <v>2338.6999999999998</v>
          </cell>
          <cell r="DJ110">
            <v>6337.9000000000005</v>
          </cell>
          <cell r="DK110">
            <v>1636.8</v>
          </cell>
          <cell r="DL110">
            <v>1636.8</v>
          </cell>
          <cell r="DM110">
            <v>2120.4</v>
          </cell>
          <cell r="DN110">
            <v>1636.8</v>
          </cell>
          <cell r="DO110">
            <v>1636.8</v>
          </cell>
          <cell r="DP110">
            <v>1636.8</v>
          </cell>
          <cell r="DQ110">
            <v>1758</v>
          </cell>
          <cell r="DR110">
            <v>1636.8</v>
          </cell>
          <cell r="DS110">
            <v>2415.6999999999998</v>
          </cell>
          <cell r="DT110">
            <v>1648.6</v>
          </cell>
          <cell r="DU110">
            <v>2140.4</v>
          </cell>
          <cell r="DV110">
            <v>1750.8</v>
          </cell>
          <cell r="DW110">
            <v>2783.8</v>
          </cell>
          <cell r="EA110">
            <v>2958.2</v>
          </cell>
          <cell r="EB110">
            <v>2958.2</v>
          </cell>
          <cell r="EC110">
            <v>5155.3999999999996</v>
          </cell>
          <cell r="ED110">
            <v>2958.2</v>
          </cell>
          <cell r="EE110">
            <v>3022.6</v>
          </cell>
          <cell r="EG110">
            <v>2958.2</v>
          </cell>
          <cell r="EH110">
            <v>2958.2</v>
          </cell>
          <cell r="EI110">
            <v>3493.7999999999997</v>
          </cell>
          <cell r="EJ110">
            <v>2958.2</v>
          </cell>
          <cell r="EK110">
            <v>2958.2</v>
          </cell>
          <cell r="EL110">
            <v>2958.2</v>
          </cell>
          <cell r="EM110">
            <v>2958.2</v>
          </cell>
          <cell r="EN110">
            <v>2958.2</v>
          </cell>
          <cell r="EO110">
            <v>2958.2</v>
          </cell>
          <cell r="EP110">
            <v>2958.2</v>
          </cell>
          <cell r="EQ110">
            <v>2958.2</v>
          </cell>
          <cell r="ER110">
            <v>2958.2</v>
          </cell>
          <cell r="ES110">
            <v>3184.8999999999996</v>
          </cell>
          <cell r="ET110">
            <v>3277.7</v>
          </cell>
          <cell r="EU110">
            <v>3472</v>
          </cell>
          <cell r="EV110">
            <v>2958.2</v>
          </cell>
          <cell r="EW110">
            <v>3093.7</v>
          </cell>
          <cell r="EX110">
            <v>3221.2999999999997</v>
          </cell>
          <cell r="EY110">
            <v>3036.1</v>
          </cell>
          <cell r="EZ110">
            <v>3099.5</v>
          </cell>
          <cell r="FA110">
            <v>3347.8999999999996</v>
          </cell>
          <cell r="FB110">
            <v>2958.2</v>
          </cell>
          <cell r="FC110">
            <v>2958.2</v>
          </cell>
          <cell r="FD110">
            <v>3953.1</v>
          </cell>
          <cell r="FE110">
            <v>3919.1</v>
          </cell>
          <cell r="FF110">
            <v>3582.7</v>
          </cell>
          <cell r="FG110">
            <v>4344.3999999999996</v>
          </cell>
          <cell r="FH110">
            <v>2958.2</v>
          </cell>
          <cell r="FI110">
            <v>3940.7999999999997</v>
          </cell>
          <cell r="FJ110">
            <v>2958.2</v>
          </cell>
          <cell r="FK110">
            <v>2958.2</v>
          </cell>
          <cell r="FL110">
            <v>2958.2</v>
          </cell>
          <cell r="FM110">
            <v>3112.7999999999997</v>
          </cell>
          <cell r="FN110">
            <v>2958.2</v>
          </cell>
          <cell r="FO110">
            <v>2958.2</v>
          </cell>
          <cell r="FP110">
            <v>2958.2</v>
          </cell>
          <cell r="FQ110">
            <v>2958.2</v>
          </cell>
          <cell r="FR110">
            <v>2958.2</v>
          </cell>
          <cell r="FS110">
            <v>2958.2</v>
          </cell>
          <cell r="FT110">
            <v>3002.1</v>
          </cell>
          <cell r="FU110">
            <v>3603.3</v>
          </cell>
          <cell r="FV110">
            <v>7344.4000000000005</v>
          </cell>
          <cell r="FW110">
            <v>2958.2</v>
          </cell>
          <cell r="FX110">
            <v>2958.2</v>
          </cell>
          <cell r="FY110">
            <v>3420.8999999999996</v>
          </cell>
          <cell r="FZ110">
            <v>2958.2</v>
          </cell>
          <cell r="GA110">
            <v>2958.2</v>
          </cell>
          <cell r="GB110">
            <v>2958.2</v>
          </cell>
          <cell r="GC110">
            <v>3074.7999999999997</v>
          </cell>
          <cell r="GD110">
            <v>2958.2</v>
          </cell>
          <cell r="GE110">
            <v>3923.2999999999997</v>
          </cell>
          <cell r="GF110">
            <v>2958.2</v>
          </cell>
          <cell r="GG110">
            <v>2958.2</v>
          </cell>
          <cell r="GH110">
            <v>2958.2</v>
          </cell>
          <cell r="GI110">
            <v>2958.2</v>
          </cell>
        </row>
        <row r="111">
          <cell r="BO111"/>
          <cell r="BP111"/>
          <cell r="BQ111">
            <v>1925.4</v>
          </cell>
          <cell r="BR111"/>
          <cell r="BS111">
            <v>63</v>
          </cell>
          <cell r="BT111">
            <v>1636.8</v>
          </cell>
          <cell r="BV111"/>
          <cell r="BW111">
            <v>543.29999999999995</v>
          </cell>
          <cell r="BX111"/>
          <cell r="BY111">
            <v>970.9</v>
          </cell>
          <cell r="BZ111"/>
          <cell r="CA111">
            <v>458.8</v>
          </cell>
          <cell r="CB111">
            <v>441.9</v>
          </cell>
          <cell r="CC111">
            <v>51.7</v>
          </cell>
          <cell r="CD111"/>
          <cell r="CE111"/>
          <cell r="CF111"/>
          <cell r="CG111">
            <v>190.1</v>
          </cell>
          <cell r="CH111">
            <v>311.89999999999998</v>
          </cell>
          <cell r="CI111">
            <v>495.4</v>
          </cell>
          <cell r="CJ111"/>
          <cell r="CK111">
            <v>142.80000000000001</v>
          </cell>
          <cell r="CL111">
            <v>252.5</v>
          </cell>
          <cell r="CM111">
            <v>71.3</v>
          </cell>
          <cell r="CN111">
            <v>146</v>
          </cell>
          <cell r="CO111">
            <v>354.6</v>
          </cell>
          <cell r="CP111"/>
          <cell r="CQ111"/>
          <cell r="CR111">
            <v>931.2</v>
          </cell>
          <cell r="CS111">
            <v>745.4</v>
          </cell>
          <cell r="CT111">
            <v>522.4</v>
          </cell>
          <cell r="CU111">
            <v>1374.6</v>
          </cell>
          <cell r="CV111"/>
          <cell r="CW111">
            <v>857.3</v>
          </cell>
          <cell r="CX111"/>
          <cell r="CY111"/>
          <cell r="CZ111"/>
          <cell r="DA111">
            <v>162.69999999999999</v>
          </cell>
          <cell r="DB111"/>
          <cell r="DC111"/>
          <cell r="DD111"/>
          <cell r="DE111"/>
          <cell r="DF111">
            <v>1855.4</v>
          </cell>
          <cell r="DG111">
            <v>996.5</v>
          </cell>
          <cell r="DH111">
            <v>33.799999999999997</v>
          </cell>
          <cell r="DI111">
            <v>701.9</v>
          </cell>
          <cell r="DJ111">
            <v>4701.1000000000004</v>
          </cell>
          <cell r="DK111"/>
          <cell r="DL111"/>
          <cell r="DM111">
            <v>483.6</v>
          </cell>
          <cell r="DN111"/>
          <cell r="DO111"/>
          <cell r="DP111"/>
          <cell r="DQ111">
            <v>121.2</v>
          </cell>
          <cell r="DR111"/>
          <cell r="DS111">
            <v>778.9</v>
          </cell>
          <cell r="DT111">
            <v>11.8</v>
          </cell>
          <cell r="DU111">
            <v>503.6</v>
          </cell>
          <cell r="DV111">
            <v>114</v>
          </cell>
          <cell r="DW111">
            <v>1147</v>
          </cell>
          <cell r="EA111"/>
          <cell r="EB111"/>
          <cell r="EC111">
            <v>2197.1999999999998</v>
          </cell>
          <cell r="ED111"/>
          <cell r="EE111">
            <v>64.400000000000006</v>
          </cell>
          <cell r="EF111">
            <v>2958.2</v>
          </cell>
          <cell r="EG111"/>
          <cell r="EH111"/>
          <cell r="EI111">
            <v>535.6</v>
          </cell>
          <cell r="EJ111"/>
          <cell r="EK111"/>
          <cell r="EL111"/>
          <cell r="EM111"/>
          <cell r="EN111"/>
          <cell r="EO111"/>
          <cell r="EP111"/>
          <cell r="EQ111"/>
          <cell r="ER111"/>
          <cell r="ES111">
            <v>226.7</v>
          </cell>
          <cell r="ET111">
            <v>319.5</v>
          </cell>
          <cell r="EU111">
            <v>513.79999999999995</v>
          </cell>
          <cell r="EV111"/>
          <cell r="EW111">
            <v>135.5</v>
          </cell>
          <cell r="EX111">
            <v>263.10000000000002</v>
          </cell>
          <cell r="EY111">
            <v>77.900000000000006</v>
          </cell>
          <cell r="EZ111">
            <v>141.30000000000001</v>
          </cell>
          <cell r="FA111">
            <v>389.7</v>
          </cell>
          <cell r="FB111"/>
          <cell r="FC111"/>
          <cell r="FD111">
            <v>994.9</v>
          </cell>
          <cell r="FE111">
            <v>960.9</v>
          </cell>
          <cell r="FF111">
            <v>624.5</v>
          </cell>
          <cell r="FG111">
            <v>1386.2</v>
          </cell>
          <cell r="FH111"/>
          <cell r="FI111">
            <v>982.6</v>
          </cell>
          <cell r="FJ111"/>
          <cell r="FK111"/>
          <cell r="FL111"/>
          <cell r="FM111">
            <v>154.6</v>
          </cell>
          <cell r="FN111"/>
          <cell r="FO111"/>
          <cell r="FP111"/>
          <cell r="FQ111"/>
          <cell r="FR111"/>
          <cell r="FS111"/>
          <cell r="FT111">
            <v>43.9</v>
          </cell>
          <cell r="FU111">
            <v>645.09999999999991</v>
          </cell>
          <cell r="FV111">
            <v>4386.2</v>
          </cell>
          <cell r="FW111"/>
          <cell r="FX111"/>
          <cell r="FY111">
            <v>462.7</v>
          </cell>
          <cell r="FZ111"/>
          <cell r="GA111"/>
          <cell r="GB111"/>
          <cell r="GC111">
            <v>116.6</v>
          </cell>
          <cell r="GD111"/>
          <cell r="GE111">
            <v>965.1</v>
          </cell>
          <cell r="GF111"/>
          <cell r="GG111"/>
          <cell r="GH111"/>
          <cell r="GI111"/>
        </row>
        <row r="112">
          <cell r="BO112"/>
          <cell r="BP112"/>
          <cell r="BQ112">
            <v>1925.4</v>
          </cell>
          <cell r="BR112"/>
          <cell r="BS112">
            <v>63</v>
          </cell>
          <cell r="BT112">
            <v>1636.8</v>
          </cell>
          <cell r="BU112"/>
          <cell r="BW112">
            <v>543.29999999999995</v>
          </cell>
          <cell r="BX112"/>
          <cell r="BY112">
            <v>970.9</v>
          </cell>
          <cell r="BZ112"/>
          <cell r="CA112">
            <v>458.8</v>
          </cell>
          <cell r="CB112">
            <v>441.9</v>
          </cell>
          <cell r="CC112">
            <v>51.7</v>
          </cell>
          <cell r="CD112"/>
          <cell r="CE112"/>
          <cell r="CF112"/>
          <cell r="CG112">
            <v>190.1</v>
          </cell>
          <cell r="CH112">
            <v>311.89999999999998</v>
          </cell>
          <cell r="CI112">
            <v>495.4</v>
          </cell>
          <cell r="CJ112"/>
          <cell r="CK112">
            <v>142.80000000000001</v>
          </cell>
          <cell r="CL112">
            <v>252.5</v>
          </cell>
          <cell r="CM112">
            <v>71.3</v>
          </cell>
          <cell r="CN112">
            <v>146</v>
          </cell>
          <cell r="CO112">
            <v>354.6</v>
          </cell>
          <cell r="CP112"/>
          <cell r="CQ112"/>
          <cell r="CR112">
            <v>931.2</v>
          </cell>
          <cell r="CS112">
            <v>745.4</v>
          </cell>
          <cell r="CT112">
            <v>522.4</v>
          </cell>
          <cell r="CU112">
            <v>1374.6</v>
          </cell>
          <cell r="CV112"/>
          <cell r="CW112">
            <v>857.3</v>
          </cell>
          <cell r="CX112"/>
          <cell r="CY112"/>
          <cell r="CZ112"/>
          <cell r="DA112">
            <v>162.69999999999999</v>
          </cell>
          <cell r="DB112"/>
          <cell r="DC112"/>
          <cell r="DD112"/>
          <cell r="DE112"/>
          <cell r="DF112">
            <v>1855.4</v>
          </cell>
          <cell r="DG112">
            <v>996.5</v>
          </cell>
          <cell r="DH112">
            <v>33.799999999999997</v>
          </cell>
          <cell r="DI112">
            <v>701.9</v>
          </cell>
          <cell r="DJ112">
            <v>4701.1000000000004</v>
          </cell>
          <cell r="DK112"/>
          <cell r="DL112"/>
          <cell r="DM112">
            <v>483.6</v>
          </cell>
          <cell r="DN112"/>
          <cell r="DO112"/>
          <cell r="DP112"/>
          <cell r="DQ112">
            <v>121.2</v>
          </cell>
          <cell r="DR112"/>
          <cell r="DS112">
            <v>778.9</v>
          </cell>
          <cell r="DT112">
            <v>11.8</v>
          </cell>
          <cell r="DU112">
            <v>503.6</v>
          </cell>
          <cell r="DV112">
            <v>114</v>
          </cell>
          <cell r="DW112">
            <v>1147</v>
          </cell>
          <cell r="EA112"/>
          <cell r="EB112"/>
          <cell r="EC112">
            <v>2197.1999999999998</v>
          </cell>
          <cell r="ED112"/>
          <cell r="EE112">
            <v>64.400000000000006</v>
          </cell>
          <cell r="EF112">
            <v>2958.2</v>
          </cell>
          <cell r="EG112"/>
          <cell r="EH112"/>
          <cell r="EI112">
            <v>535.6</v>
          </cell>
          <cell r="EJ112"/>
          <cell r="EK112"/>
          <cell r="EL112"/>
          <cell r="EM112"/>
          <cell r="EN112"/>
          <cell r="EO112"/>
          <cell r="EP112"/>
          <cell r="EQ112"/>
          <cell r="ER112"/>
          <cell r="ES112">
            <v>226.7</v>
          </cell>
          <cell r="ET112">
            <v>319.5</v>
          </cell>
          <cell r="EU112">
            <v>513.79999999999995</v>
          </cell>
          <cell r="EV112"/>
          <cell r="EW112">
            <v>135.5</v>
          </cell>
          <cell r="EX112">
            <v>263.10000000000002</v>
          </cell>
          <cell r="EY112">
            <v>77.900000000000006</v>
          </cell>
          <cell r="EZ112">
            <v>141.30000000000001</v>
          </cell>
          <cell r="FA112">
            <v>389.7</v>
          </cell>
          <cell r="FB112"/>
          <cell r="FC112"/>
          <cell r="FD112">
            <v>994.9</v>
          </cell>
          <cell r="FE112">
            <v>960.9</v>
          </cell>
          <cell r="FF112">
            <v>624.5</v>
          </cell>
          <cell r="FG112">
            <v>1386.2</v>
          </cell>
          <cell r="FH112"/>
          <cell r="FI112">
            <v>982.6</v>
          </cell>
          <cell r="FJ112"/>
          <cell r="FK112"/>
          <cell r="FL112"/>
          <cell r="FM112">
            <v>154.6</v>
          </cell>
          <cell r="FN112"/>
          <cell r="FO112"/>
          <cell r="FP112"/>
          <cell r="FQ112"/>
          <cell r="FR112"/>
          <cell r="FS112"/>
          <cell r="FT112">
            <v>43.9</v>
          </cell>
          <cell r="FU112">
            <v>645.09999999999991</v>
          </cell>
          <cell r="FV112">
            <v>4386.2</v>
          </cell>
          <cell r="FW112"/>
          <cell r="FX112"/>
          <cell r="FY112">
            <v>462.7</v>
          </cell>
          <cell r="FZ112"/>
          <cell r="GA112"/>
          <cell r="GB112"/>
          <cell r="GC112">
            <v>116.6</v>
          </cell>
          <cell r="GD112"/>
          <cell r="GE112">
            <v>965.1</v>
          </cell>
          <cell r="GF112"/>
          <cell r="GG112"/>
          <cell r="GH112"/>
          <cell r="GI112"/>
        </row>
        <row r="113">
          <cell r="BO113">
            <v>543.29999999999995</v>
          </cell>
          <cell r="BP113">
            <v>543.29999999999995</v>
          </cell>
          <cell r="BQ113">
            <v>2468.6999999999998</v>
          </cell>
          <cell r="BR113">
            <v>543.29999999999995</v>
          </cell>
          <cell r="BS113">
            <v>606.29999999999995</v>
          </cell>
          <cell r="BT113">
            <v>2180.1</v>
          </cell>
          <cell r="BU113">
            <v>543.29999999999995</v>
          </cell>
          <cell r="BV113">
            <v>543.29999999999995</v>
          </cell>
          <cell r="BX113">
            <v>543.29999999999995</v>
          </cell>
          <cell r="BY113">
            <v>1514.1999999999998</v>
          </cell>
          <cell r="BZ113">
            <v>543.29999999999995</v>
          </cell>
          <cell r="CA113">
            <v>1002.0999999999999</v>
          </cell>
          <cell r="CB113">
            <v>985.19999999999993</v>
          </cell>
          <cell r="CC113">
            <v>595</v>
          </cell>
          <cell r="CD113">
            <v>543.29999999999995</v>
          </cell>
          <cell r="CE113">
            <v>543.29999999999995</v>
          </cell>
          <cell r="CF113">
            <v>543.29999999999995</v>
          </cell>
          <cell r="CG113">
            <v>733.4</v>
          </cell>
          <cell r="CH113">
            <v>855.19999999999993</v>
          </cell>
          <cell r="CI113">
            <v>1038.6999999999998</v>
          </cell>
          <cell r="CJ113">
            <v>543.29999999999995</v>
          </cell>
          <cell r="CK113">
            <v>686.09999999999991</v>
          </cell>
          <cell r="CL113">
            <v>795.8</v>
          </cell>
          <cell r="CM113">
            <v>614.59999999999991</v>
          </cell>
          <cell r="CN113">
            <v>689.3</v>
          </cell>
          <cell r="CO113">
            <v>897.9</v>
          </cell>
          <cell r="CP113">
            <v>543.29999999999995</v>
          </cell>
          <cell r="CQ113">
            <v>543.29999999999995</v>
          </cell>
          <cell r="CR113">
            <v>1474.5</v>
          </cell>
          <cell r="CS113">
            <v>1288.6999999999998</v>
          </cell>
          <cell r="CT113">
            <v>1065.6999999999998</v>
          </cell>
          <cell r="CU113">
            <v>1917.8999999999999</v>
          </cell>
          <cell r="CV113">
            <v>543.29999999999995</v>
          </cell>
          <cell r="CW113">
            <v>1400.6</v>
          </cell>
          <cell r="CX113">
            <v>543.29999999999995</v>
          </cell>
          <cell r="CY113">
            <v>543.29999999999995</v>
          </cell>
          <cell r="CZ113">
            <v>543.29999999999995</v>
          </cell>
          <cell r="DA113">
            <v>706</v>
          </cell>
          <cell r="DB113">
            <v>543.29999999999995</v>
          </cell>
          <cell r="DC113">
            <v>543.29999999999995</v>
          </cell>
          <cell r="DD113">
            <v>543.29999999999995</v>
          </cell>
          <cell r="DE113">
            <v>543.29999999999995</v>
          </cell>
          <cell r="DF113">
            <v>2398.6999999999998</v>
          </cell>
          <cell r="DG113">
            <v>1539.8</v>
          </cell>
          <cell r="DH113">
            <v>577.09999999999991</v>
          </cell>
          <cell r="DI113">
            <v>1245.1999999999998</v>
          </cell>
          <cell r="DJ113">
            <v>5244.4000000000005</v>
          </cell>
          <cell r="DK113">
            <v>543.29999999999995</v>
          </cell>
          <cell r="DL113">
            <v>543.29999999999995</v>
          </cell>
          <cell r="DM113">
            <v>1026.9000000000001</v>
          </cell>
          <cell r="DN113">
            <v>543.29999999999995</v>
          </cell>
          <cell r="DO113">
            <v>543.29999999999995</v>
          </cell>
          <cell r="DP113">
            <v>543.29999999999995</v>
          </cell>
          <cell r="DQ113">
            <v>664.5</v>
          </cell>
          <cell r="DR113">
            <v>543.29999999999995</v>
          </cell>
          <cell r="DS113">
            <v>1322.1999999999998</v>
          </cell>
          <cell r="DT113">
            <v>555.09999999999991</v>
          </cell>
          <cell r="DU113">
            <v>1046.9000000000001</v>
          </cell>
          <cell r="DV113">
            <v>657.3</v>
          </cell>
          <cell r="DW113">
            <v>1690.3</v>
          </cell>
          <cell r="EA113">
            <v>535.6</v>
          </cell>
          <cell r="EB113">
            <v>535.6</v>
          </cell>
          <cell r="EC113">
            <v>2732.7999999999997</v>
          </cell>
          <cell r="ED113">
            <v>535.6</v>
          </cell>
          <cell r="EE113">
            <v>600</v>
          </cell>
          <cell r="EF113">
            <v>3493.7999999999997</v>
          </cell>
          <cell r="EG113">
            <v>535.6</v>
          </cell>
          <cell r="EH113">
            <v>535.6</v>
          </cell>
          <cell r="EJ113">
            <v>535.6</v>
          </cell>
          <cell r="EK113">
            <v>535.6</v>
          </cell>
          <cell r="EL113">
            <v>535.6</v>
          </cell>
          <cell r="EM113">
            <v>535.6</v>
          </cell>
          <cell r="EN113">
            <v>535.6</v>
          </cell>
          <cell r="EO113">
            <v>535.6</v>
          </cell>
          <cell r="EP113">
            <v>535.6</v>
          </cell>
          <cell r="EQ113">
            <v>535.6</v>
          </cell>
          <cell r="ER113">
            <v>535.6</v>
          </cell>
          <cell r="ES113">
            <v>762.3</v>
          </cell>
          <cell r="ET113">
            <v>855.1</v>
          </cell>
          <cell r="EU113">
            <v>1049.4000000000001</v>
          </cell>
          <cell r="EV113">
            <v>535.6</v>
          </cell>
          <cell r="EW113">
            <v>671.1</v>
          </cell>
          <cell r="EX113">
            <v>798.7</v>
          </cell>
          <cell r="EY113">
            <v>613.5</v>
          </cell>
          <cell r="EZ113">
            <v>676.90000000000009</v>
          </cell>
          <cell r="FA113">
            <v>925.3</v>
          </cell>
          <cell r="FB113">
            <v>535.6</v>
          </cell>
          <cell r="FC113">
            <v>535.6</v>
          </cell>
          <cell r="FD113">
            <v>1530.5</v>
          </cell>
          <cell r="FE113">
            <v>1496.5</v>
          </cell>
          <cell r="FF113">
            <v>1160.0999999999999</v>
          </cell>
          <cell r="FG113">
            <v>1921.8000000000002</v>
          </cell>
          <cell r="FH113">
            <v>535.6</v>
          </cell>
          <cell r="FI113">
            <v>1518.2</v>
          </cell>
          <cell r="FJ113">
            <v>535.6</v>
          </cell>
          <cell r="FK113">
            <v>535.6</v>
          </cell>
          <cell r="FL113">
            <v>535.6</v>
          </cell>
          <cell r="FM113">
            <v>690.2</v>
          </cell>
          <cell r="FN113">
            <v>535.6</v>
          </cell>
          <cell r="FO113">
            <v>535.6</v>
          </cell>
          <cell r="FP113">
            <v>535.6</v>
          </cell>
          <cell r="FQ113">
            <v>535.6</v>
          </cell>
          <cell r="FR113">
            <v>535.6</v>
          </cell>
          <cell r="FS113">
            <v>535.6</v>
          </cell>
          <cell r="FT113">
            <v>579.5</v>
          </cell>
          <cell r="FU113">
            <v>1180.6999999999998</v>
          </cell>
          <cell r="FV113">
            <v>4921.8</v>
          </cell>
          <cell r="FW113">
            <v>535.6</v>
          </cell>
          <cell r="FX113">
            <v>535.6</v>
          </cell>
          <cell r="FY113">
            <v>998.3</v>
          </cell>
          <cell r="FZ113">
            <v>535.6</v>
          </cell>
          <cell r="GA113">
            <v>535.6</v>
          </cell>
          <cell r="GB113">
            <v>535.6</v>
          </cell>
          <cell r="GC113">
            <v>652.20000000000005</v>
          </cell>
          <cell r="GD113">
            <v>535.6</v>
          </cell>
          <cell r="GE113">
            <v>1500.7</v>
          </cell>
          <cell r="GF113">
            <v>535.6</v>
          </cell>
          <cell r="GG113">
            <v>535.6</v>
          </cell>
          <cell r="GH113">
            <v>535.6</v>
          </cell>
          <cell r="GI113">
            <v>535.6</v>
          </cell>
        </row>
        <row r="114">
          <cell r="BO114"/>
          <cell r="BP114"/>
          <cell r="BQ114">
            <v>1925.4</v>
          </cell>
          <cell r="BR114"/>
          <cell r="BS114">
            <v>63</v>
          </cell>
          <cell r="BT114">
            <v>1636.8</v>
          </cell>
          <cell r="BU114"/>
          <cell r="BV114"/>
          <cell r="BW114">
            <v>543.29999999999995</v>
          </cell>
          <cell r="BY114">
            <v>970.9</v>
          </cell>
          <cell r="BZ114"/>
          <cell r="CA114">
            <v>458.8</v>
          </cell>
          <cell r="CB114">
            <v>441.9</v>
          </cell>
          <cell r="CC114">
            <v>51.7</v>
          </cell>
          <cell r="CD114"/>
          <cell r="CE114"/>
          <cell r="CF114"/>
          <cell r="CG114">
            <v>190.1</v>
          </cell>
          <cell r="CH114">
            <v>311.89999999999998</v>
          </cell>
          <cell r="CI114">
            <v>495.4</v>
          </cell>
          <cell r="CJ114"/>
          <cell r="CK114">
            <v>142.80000000000001</v>
          </cell>
          <cell r="CL114">
            <v>252.5</v>
          </cell>
          <cell r="CM114">
            <v>71.3</v>
          </cell>
          <cell r="CN114">
            <v>146</v>
          </cell>
          <cell r="CO114">
            <v>354.6</v>
          </cell>
          <cell r="CP114"/>
          <cell r="CQ114"/>
          <cell r="CR114">
            <v>931.2</v>
          </cell>
          <cell r="CS114">
            <v>745.4</v>
          </cell>
          <cell r="CT114">
            <v>522.4</v>
          </cell>
          <cell r="CU114">
            <v>1374.6</v>
          </cell>
          <cell r="CV114"/>
          <cell r="CW114">
            <v>857.3</v>
          </cell>
          <cell r="CX114"/>
          <cell r="CY114"/>
          <cell r="CZ114"/>
          <cell r="DA114">
            <v>162.69999999999999</v>
          </cell>
          <cell r="DB114"/>
          <cell r="DC114"/>
          <cell r="DD114"/>
          <cell r="DE114"/>
          <cell r="DF114">
            <v>1855.4</v>
          </cell>
          <cell r="DG114">
            <v>996.5</v>
          </cell>
          <cell r="DH114">
            <v>33.799999999999997</v>
          </cell>
          <cell r="DI114">
            <v>701.9</v>
          </cell>
          <cell r="DJ114">
            <v>4701.1000000000004</v>
          </cell>
          <cell r="DK114"/>
          <cell r="DL114"/>
          <cell r="DM114">
            <v>483.6</v>
          </cell>
          <cell r="DN114"/>
          <cell r="DO114"/>
          <cell r="DP114"/>
          <cell r="DQ114">
            <v>121.2</v>
          </cell>
          <cell r="DR114"/>
          <cell r="DS114">
            <v>778.9</v>
          </cell>
          <cell r="DT114">
            <v>11.8</v>
          </cell>
          <cell r="DU114">
            <v>503.6</v>
          </cell>
          <cell r="DV114">
            <v>114</v>
          </cell>
          <cell r="DW114">
            <v>1147</v>
          </cell>
          <cell r="EA114"/>
          <cell r="EB114"/>
          <cell r="EC114">
            <v>2197.1999999999998</v>
          </cell>
          <cell r="ED114"/>
          <cell r="EE114">
            <v>64.400000000000006</v>
          </cell>
          <cell r="EF114">
            <v>2958.2</v>
          </cell>
          <cell r="EG114"/>
          <cell r="EH114"/>
          <cell r="EI114">
            <v>535.6</v>
          </cell>
          <cell r="EJ114"/>
          <cell r="EK114"/>
          <cell r="EL114"/>
          <cell r="EM114"/>
          <cell r="EN114"/>
          <cell r="EO114"/>
          <cell r="EP114"/>
          <cell r="EQ114"/>
          <cell r="ER114"/>
          <cell r="ES114">
            <v>226.7</v>
          </cell>
          <cell r="ET114">
            <v>319.5</v>
          </cell>
          <cell r="EU114">
            <v>513.79999999999995</v>
          </cell>
          <cell r="EV114"/>
          <cell r="EW114">
            <v>135.5</v>
          </cell>
          <cell r="EX114">
            <v>263.10000000000002</v>
          </cell>
          <cell r="EY114">
            <v>77.900000000000006</v>
          </cell>
          <cell r="EZ114">
            <v>141.30000000000001</v>
          </cell>
          <cell r="FA114">
            <v>389.7</v>
          </cell>
          <cell r="FB114"/>
          <cell r="FC114"/>
          <cell r="FD114">
            <v>994.9</v>
          </cell>
          <cell r="FE114">
            <v>960.9</v>
          </cell>
          <cell r="FF114">
            <v>624.5</v>
          </cell>
          <cell r="FG114">
            <v>1386.2</v>
          </cell>
          <cell r="FH114"/>
          <cell r="FI114">
            <v>982.6</v>
          </cell>
          <cell r="FJ114"/>
          <cell r="FK114"/>
          <cell r="FL114"/>
          <cell r="FM114">
            <v>154.6</v>
          </cell>
          <cell r="FN114"/>
          <cell r="FO114"/>
          <cell r="FP114"/>
          <cell r="FQ114"/>
          <cell r="FR114"/>
          <cell r="FS114"/>
          <cell r="FT114">
            <v>43.9</v>
          </cell>
          <cell r="FU114">
            <v>645.09999999999991</v>
          </cell>
          <cell r="FV114">
            <v>4386.2</v>
          </cell>
          <cell r="FW114"/>
          <cell r="FX114"/>
          <cell r="FY114">
            <v>462.7</v>
          </cell>
          <cell r="FZ114"/>
          <cell r="GA114"/>
          <cell r="GB114"/>
          <cell r="GC114">
            <v>116.6</v>
          </cell>
          <cell r="GD114"/>
          <cell r="GE114">
            <v>965.1</v>
          </cell>
          <cell r="GF114"/>
          <cell r="GG114"/>
          <cell r="GH114"/>
          <cell r="GI114"/>
        </row>
        <row r="115">
          <cell r="BO115">
            <v>970.9</v>
          </cell>
          <cell r="BP115">
            <v>970.9</v>
          </cell>
          <cell r="BQ115">
            <v>2896.3</v>
          </cell>
          <cell r="BR115">
            <v>970.9</v>
          </cell>
          <cell r="BS115">
            <v>1033.9000000000001</v>
          </cell>
          <cell r="BT115">
            <v>2607.6999999999998</v>
          </cell>
          <cell r="BU115">
            <v>970.9</v>
          </cell>
          <cell r="BV115">
            <v>970.9</v>
          </cell>
          <cell r="BW115">
            <v>1514.1999999999998</v>
          </cell>
          <cell r="BX115">
            <v>970.9</v>
          </cell>
          <cell r="BZ115">
            <v>970.9</v>
          </cell>
          <cell r="CA115">
            <v>1429.7</v>
          </cell>
          <cell r="CB115">
            <v>1412.8</v>
          </cell>
          <cell r="CC115">
            <v>1022.6</v>
          </cell>
          <cell r="CD115">
            <v>970.9</v>
          </cell>
          <cell r="CE115">
            <v>970.9</v>
          </cell>
          <cell r="CF115">
            <v>970.9</v>
          </cell>
          <cell r="CG115">
            <v>1161</v>
          </cell>
          <cell r="CH115">
            <v>1282.8</v>
          </cell>
          <cell r="CI115">
            <v>1466.3</v>
          </cell>
          <cell r="CJ115">
            <v>970.9</v>
          </cell>
          <cell r="CK115">
            <v>1113.7</v>
          </cell>
          <cell r="CL115">
            <v>1223.4000000000001</v>
          </cell>
          <cell r="CM115">
            <v>1042.2</v>
          </cell>
          <cell r="CN115">
            <v>1116.9000000000001</v>
          </cell>
          <cell r="CO115">
            <v>1325.5</v>
          </cell>
          <cell r="CP115">
            <v>970.9</v>
          </cell>
          <cell r="CQ115">
            <v>970.9</v>
          </cell>
          <cell r="CR115">
            <v>1902.1</v>
          </cell>
          <cell r="CS115">
            <v>1716.3</v>
          </cell>
          <cell r="CT115">
            <v>1493.3</v>
          </cell>
          <cell r="CU115">
            <v>2345.5</v>
          </cell>
          <cell r="CV115">
            <v>970.9</v>
          </cell>
          <cell r="CW115">
            <v>1828.1999999999998</v>
          </cell>
          <cell r="CX115">
            <v>970.9</v>
          </cell>
          <cell r="CY115">
            <v>970.9</v>
          </cell>
          <cell r="CZ115">
            <v>970.9</v>
          </cell>
          <cell r="DA115">
            <v>1133.5999999999999</v>
          </cell>
          <cell r="DB115">
            <v>970.9</v>
          </cell>
          <cell r="DC115">
            <v>970.9</v>
          </cell>
          <cell r="DD115">
            <v>970.9</v>
          </cell>
          <cell r="DE115">
            <v>970.9</v>
          </cell>
          <cell r="DF115">
            <v>2826.3</v>
          </cell>
          <cell r="DG115">
            <v>1967.4</v>
          </cell>
          <cell r="DH115">
            <v>1004.6999999999999</v>
          </cell>
          <cell r="DI115">
            <v>1672.8</v>
          </cell>
          <cell r="DJ115">
            <v>5672</v>
          </cell>
          <cell r="DK115">
            <v>970.9</v>
          </cell>
          <cell r="DL115">
            <v>970.9</v>
          </cell>
          <cell r="DM115">
            <v>1454.5</v>
          </cell>
          <cell r="DN115">
            <v>970.9</v>
          </cell>
          <cell r="DO115">
            <v>970.9</v>
          </cell>
          <cell r="DP115">
            <v>970.9</v>
          </cell>
          <cell r="DQ115">
            <v>1092.0999999999999</v>
          </cell>
          <cell r="DR115">
            <v>970.9</v>
          </cell>
          <cell r="DS115">
            <v>1749.8</v>
          </cell>
          <cell r="DT115">
            <v>982.69999999999993</v>
          </cell>
          <cell r="DU115">
            <v>1474.5</v>
          </cell>
          <cell r="DV115">
            <v>1084.9000000000001</v>
          </cell>
          <cell r="DW115">
            <v>2117.9</v>
          </cell>
          <cell r="EA115"/>
          <cell r="EB115"/>
          <cell r="EC115">
            <v>2197.1999999999998</v>
          </cell>
          <cell r="ED115"/>
          <cell r="EE115">
            <v>64.400000000000006</v>
          </cell>
          <cell r="EF115">
            <v>2958.2</v>
          </cell>
          <cell r="EG115"/>
          <cell r="EH115"/>
          <cell r="EI115">
            <v>535.6</v>
          </cell>
          <cell r="EJ115"/>
          <cell r="EK115"/>
          <cell r="EL115"/>
          <cell r="EM115"/>
          <cell r="EN115"/>
          <cell r="EO115"/>
          <cell r="EP115"/>
          <cell r="EQ115"/>
          <cell r="ER115"/>
          <cell r="ES115">
            <v>226.7</v>
          </cell>
          <cell r="ET115">
            <v>319.5</v>
          </cell>
          <cell r="EU115">
            <v>513.79999999999995</v>
          </cell>
          <cell r="EV115"/>
          <cell r="EW115">
            <v>135.5</v>
          </cell>
          <cell r="EX115">
            <v>263.10000000000002</v>
          </cell>
          <cell r="EY115">
            <v>77.900000000000006</v>
          </cell>
          <cell r="EZ115">
            <v>141.30000000000001</v>
          </cell>
          <cell r="FA115">
            <v>389.7</v>
          </cell>
          <cell r="FB115"/>
          <cell r="FC115"/>
          <cell r="FD115">
            <v>994.9</v>
          </cell>
          <cell r="FE115">
            <v>960.9</v>
          </cell>
          <cell r="FF115">
            <v>624.5</v>
          </cell>
          <cell r="FG115">
            <v>1386.2</v>
          </cell>
          <cell r="FH115"/>
          <cell r="FI115">
            <v>982.6</v>
          </cell>
          <cell r="FJ115"/>
          <cell r="FK115"/>
          <cell r="FL115"/>
          <cell r="FM115">
            <v>154.6</v>
          </cell>
          <cell r="FN115"/>
          <cell r="FO115"/>
          <cell r="FP115"/>
          <cell r="FQ115"/>
          <cell r="FR115"/>
          <cell r="FS115"/>
          <cell r="FT115">
            <v>43.9</v>
          </cell>
          <cell r="FU115">
            <v>645.09999999999991</v>
          </cell>
          <cell r="FV115">
            <v>4386.2</v>
          </cell>
          <cell r="FW115"/>
          <cell r="FX115"/>
          <cell r="FY115">
            <v>462.7</v>
          </cell>
          <cell r="FZ115"/>
          <cell r="GA115"/>
          <cell r="GB115"/>
          <cell r="GC115">
            <v>116.6</v>
          </cell>
          <cell r="GD115"/>
          <cell r="GE115">
            <v>965.1</v>
          </cell>
          <cell r="GF115"/>
          <cell r="GG115"/>
          <cell r="GH115"/>
          <cell r="GI115"/>
        </row>
        <row r="116">
          <cell r="BO116"/>
          <cell r="BP116"/>
          <cell r="BQ116">
            <v>1925.4</v>
          </cell>
          <cell r="BR116"/>
          <cell r="BS116">
            <v>63</v>
          </cell>
          <cell r="BT116">
            <v>1636.8</v>
          </cell>
          <cell r="BU116"/>
          <cell r="BV116"/>
          <cell r="BW116">
            <v>543.29999999999995</v>
          </cell>
          <cell r="BX116"/>
          <cell r="BY116">
            <v>970.9</v>
          </cell>
          <cell r="CA116">
            <v>458.8</v>
          </cell>
          <cell r="CB116">
            <v>441.9</v>
          </cell>
          <cell r="CC116">
            <v>51.7</v>
          </cell>
          <cell r="CD116"/>
          <cell r="CE116"/>
          <cell r="CF116"/>
          <cell r="CG116">
            <v>190.1</v>
          </cell>
          <cell r="CH116">
            <v>311.89999999999998</v>
          </cell>
          <cell r="CI116">
            <v>495.4</v>
          </cell>
          <cell r="CJ116"/>
          <cell r="CK116">
            <v>142.80000000000001</v>
          </cell>
          <cell r="CL116">
            <v>252.5</v>
          </cell>
          <cell r="CM116">
            <v>71.3</v>
          </cell>
          <cell r="CN116">
            <v>146</v>
          </cell>
          <cell r="CO116">
            <v>354.6</v>
          </cell>
          <cell r="CP116"/>
          <cell r="CQ116"/>
          <cell r="CR116">
            <v>931.2</v>
          </cell>
          <cell r="CS116">
            <v>745.4</v>
          </cell>
          <cell r="CT116">
            <v>522.4</v>
          </cell>
          <cell r="CU116">
            <v>1374.6</v>
          </cell>
          <cell r="CV116"/>
          <cell r="CW116">
            <v>857.3</v>
          </cell>
          <cell r="CX116"/>
          <cell r="CY116"/>
          <cell r="CZ116"/>
          <cell r="DA116">
            <v>162.69999999999999</v>
          </cell>
          <cell r="DB116"/>
          <cell r="DC116"/>
          <cell r="DD116"/>
          <cell r="DE116"/>
          <cell r="DF116">
            <v>1855.4</v>
          </cell>
          <cell r="DG116">
            <v>996.5</v>
          </cell>
          <cell r="DH116">
            <v>33.799999999999997</v>
          </cell>
          <cell r="DI116">
            <v>701.9</v>
          </cell>
          <cell r="DJ116">
            <v>4701.1000000000004</v>
          </cell>
          <cell r="DK116"/>
          <cell r="DL116"/>
          <cell r="DM116">
            <v>483.6</v>
          </cell>
          <cell r="DN116"/>
          <cell r="DO116"/>
          <cell r="DP116"/>
          <cell r="DQ116">
            <v>121.2</v>
          </cell>
          <cell r="DR116"/>
          <cell r="DS116">
            <v>778.9</v>
          </cell>
          <cell r="DT116">
            <v>11.8</v>
          </cell>
          <cell r="DU116">
            <v>503.6</v>
          </cell>
          <cell r="DV116">
            <v>114</v>
          </cell>
          <cell r="DW116">
            <v>1147</v>
          </cell>
          <cell r="EA116"/>
          <cell r="EB116"/>
          <cell r="EC116">
            <v>2197.1999999999998</v>
          </cell>
          <cell r="ED116"/>
          <cell r="EE116">
            <v>64.400000000000006</v>
          </cell>
          <cell r="EF116">
            <v>2958.2</v>
          </cell>
          <cell r="EG116"/>
          <cell r="EH116"/>
          <cell r="EI116">
            <v>535.6</v>
          </cell>
          <cell r="EJ116"/>
          <cell r="EK116"/>
          <cell r="EL116"/>
          <cell r="EM116"/>
          <cell r="EN116"/>
          <cell r="EO116"/>
          <cell r="EP116"/>
          <cell r="EQ116"/>
          <cell r="ER116"/>
          <cell r="ES116">
            <v>226.7</v>
          </cell>
          <cell r="ET116">
            <v>319.5</v>
          </cell>
          <cell r="EU116">
            <v>513.79999999999995</v>
          </cell>
          <cell r="EV116"/>
          <cell r="EW116">
            <v>135.5</v>
          </cell>
          <cell r="EX116">
            <v>263.10000000000002</v>
          </cell>
          <cell r="EY116">
            <v>77.900000000000006</v>
          </cell>
          <cell r="EZ116">
            <v>141.30000000000001</v>
          </cell>
          <cell r="FA116">
            <v>389.7</v>
          </cell>
          <cell r="FB116"/>
          <cell r="FC116"/>
          <cell r="FD116">
            <v>994.9</v>
          </cell>
          <cell r="FE116">
            <v>960.9</v>
          </cell>
          <cell r="FF116">
            <v>624.5</v>
          </cell>
          <cell r="FG116">
            <v>1386.2</v>
          </cell>
          <cell r="FH116"/>
          <cell r="FI116">
            <v>982.6</v>
          </cell>
          <cell r="FJ116"/>
          <cell r="FK116"/>
          <cell r="FL116"/>
          <cell r="FM116">
            <v>154.6</v>
          </cell>
          <cell r="FN116"/>
          <cell r="FO116"/>
          <cell r="FP116"/>
          <cell r="FQ116"/>
          <cell r="FR116"/>
          <cell r="FS116"/>
          <cell r="FT116">
            <v>43.9</v>
          </cell>
          <cell r="FU116">
            <v>645.09999999999991</v>
          </cell>
          <cell r="FV116">
            <v>4386.2</v>
          </cell>
          <cell r="FW116"/>
          <cell r="FX116"/>
          <cell r="FY116">
            <v>462.7</v>
          </cell>
          <cell r="FZ116"/>
          <cell r="GA116"/>
          <cell r="GB116"/>
          <cell r="GC116">
            <v>116.6</v>
          </cell>
          <cell r="GD116"/>
          <cell r="GE116">
            <v>965.1</v>
          </cell>
          <cell r="GF116"/>
          <cell r="GG116"/>
          <cell r="GH116"/>
          <cell r="GI116"/>
        </row>
        <row r="117">
          <cell r="BO117">
            <v>458.8</v>
          </cell>
          <cell r="BP117">
            <v>458.8</v>
          </cell>
          <cell r="BQ117">
            <v>2384.2000000000003</v>
          </cell>
          <cell r="BR117">
            <v>458.8</v>
          </cell>
          <cell r="BS117">
            <v>521.79999999999995</v>
          </cell>
          <cell r="BT117">
            <v>2095.6</v>
          </cell>
          <cell r="BU117">
            <v>458.8</v>
          </cell>
          <cell r="BV117">
            <v>458.8</v>
          </cell>
          <cell r="BW117">
            <v>1002.0999999999999</v>
          </cell>
          <cell r="BX117">
            <v>458.8</v>
          </cell>
          <cell r="BY117">
            <v>1429.7</v>
          </cell>
          <cell r="BZ117">
            <v>458.8</v>
          </cell>
          <cell r="CB117">
            <v>900.7</v>
          </cell>
          <cell r="CC117">
            <v>510.5</v>
          </cell>
          <cell r="CD117">
            <v>458.8</v>
          </cell>
          <cell r="CE117">
            <v>458.8</v>
          </cell>
          <cell r="CF117">
            <v>458.8</v>
          </cell>
          <cell r="CG117">
            <v>648.9</v>
          </cell>
          <cell r="CH117">
            <v>770.7</v>
          </cell>
          <cell r="CI117">
            <v>954.2</v>
          </cell>
          <cell r="CJ117">
            <v>458.8</v>
          </cell>
          <cell r="CK117">
            <v>601.6</v>
          </cell>
          <cell r="CL117">
            <v>711.3</v>
          </cell>
          <cell r="CM117">
            <v>530.1</v>
          </cell>
          <cell r="CN117">
            <v>604.79999999999995</v>
          </cell>
          <cell r="CO117">
            <v>813.40000000000009</v>
          </cell>
          <cell r="CP117">
            <v>458.8</v>
          </cell>
          <cell r="CQ117">
            <v>458.8</v>
          </cell>
          <cell r="CR117">
            <v>1390</v>
          </cell>
          <cell r="CS117">
            <v>1204.2</v>
          </cell>
          <cell r="CT117">
            <v>981.2</v>
          </cell>
          <cell r="CU117">
            <v>1833.3999999999999</v>
          </cell>
          <cell r="CV117">
            <v>458.8</v>
          </cell>
          <cell r="CW117">
            <v>1316.1</v>
          </cell>
          <cell r="CX117">
            <v>458.8</v>
          </cell>
          <cell r="CY117">
            <v>458.8</v>
          </cell>
          <cell r="CZ117">
            <v>458.8</v>
          </cell>
          <cell r="DA117">
            <v>621.5</v>
          </cell>
          <cell r="DB117">
            <v>458.8</v>
          </cell>
          <cell r="DC117">
            <v>458.8</v>
          </cell>
          <cell r="DD117">
            <v>458.8</v>
          </cell>
          <cell r="DE117">
            <v>458.8</v>
          </cell>
          <cell r="DF117">
            <v>2314.2000000000003</v>
          </cell>
          <cell r="DG117">
            <v>1455.3</v>
          </cell>
          <cell r="DH117">
            <v>492.6</v>
          </cell>
          <cell r="DI117">
            <v>1160.7</v>
          </cell>
          <cell r="DJ117">
            <v>5159.9000000000005</v>
          </cell>
          <cell r="DK117">
            <v>458.8</v>
          </cell>
          <cell r="DL117">
            <v>458.8</v>
          </cell>
          <cell r="DM117">
            <v>942.40000000000009</v>
          </cell>
          <cell r="DN117">
            <v>458.8</v>
          </cell>
          <cell r="DO117">
            <v>458.8</v>
          </cell>
          <cell r="DP117">
            <v>458.8</v>
          </cell>
          <cell r="DQ117">
            <v>580</v>
          </cell>
          <cell r="DR117">
            <v>458.8</v>
          </cell>
          <cell r="DS117">
            <v>1237.7</v>
          </cell>
          <cell r="DT117">
            <v>470.6</v>
          </cell>
          <cell r="DU117">
            <v>962.40000000000009</v>
          </cell>
          <cell r="DV117">
            <v>572.79999999999995</v>
          </cell>
          <cell r="DW117">
            <v>1605.8</v>
          </cell>
          <cell r="EA117"/>
          <cell r="EB117"/>
          <cell r="EC117">
            <v>2197.1999999999998</v>
          </cell>
          <cell r="ED117"/>
          <cell r="EE117">
            <v>64.400000000000006</v>
          </cell>
          <cell r="EF117">
            <v>2958.2</v>
          </cell>
          <cell r="EG117"/>
          <cell r="EH117"/>
          <cell r="EI117">
            <v>535.6</v>
          </cell>
          <cell r="EJ117"/>
          <cell r="EK117"/>
          <cell r="EL117"/>
          <cell r="EM117"/>
          <cell r="EN117"/>
          <cell r="EO117"/>
          <cell r="EP117"/>
          <cell r="EQ117"/>
          <cell r="ER117"/>
          <cell r="ES117">
            <v>226.7</v>
          </cell>
          <cell r="ET117">
            <v>319.5</v>
          </cell>
          <cell r="EU117">
            <v>513.79999999999995</v>
          </cell>
          <cell r="EV117"/>
          <cell r="EW117">
            <v>135.5</v>
          </cell>
          <cell r="EX117">
            <v>263.10000000000002</v>
          </cell>
          <cell r="EY117">
            <v>77.900000000000006</v>
          </cell>
          <cell r="EZ117">
            <v>141.30000000000001</v>
          </cell>
          <cell r="FA117">
            <v>389.7</v>
          </cell>
          <cell r="FB117"/>
          <cell r="FC117"/>
          <cell r="FD117">
            <v>994.9</v>
          </cell>
          <cell r="FE117">
            <v>960.9</v>
          </cell>
          <cell r="FF117">
            <v>624.5</v>
          </cell>
          <cell r="FG117">
            <v>1386.2</v>
          </cell>
          <cell r="FH117"/>
          <cell r="FI117">
            <v>982.6</v>
          </cell>
          <cell r="FJ117"/>
          <cell r="FK117"/>
          <cell r="FL117"/>
          <cell r="FM117">
            <v>154.6</v>
          </cell>
          <cell r="FN117"/>
          <cell r="FO117"/>
          <cell r="FP117"/>
          <cell r="FQ117"/>
          <cell r="FR117"/>
          <cell r="FS117"/>
          <cell r="FT117">
            <v>43.9</v>
          </cell>
          <cell r="FU117">
            <v>645.09999999999991</v>
          </cell>
          <cell r="FV117">
            <v>4386.2</v>
          </cell>
          <cell r="FW117"/>
          <cell r="FX117"/>
          <cell r="FY117">
            <v>462.7</v>
          </cell>
          <cell r="FZ117"/>
          <cell r="GA117"/>
          <cell r="GB117"/>
          <cell r="GC117">
            <v>116.6</v>
          </cell>
          <cell r="GD117"/>
          <cell r="GE117">
            <v>965.1</v>
          </cell>
          <cell r="GF117"/>
          <cell r="GG117"/>
          <cell r="GH117"/>
          <cell r="GI117"/>
        </row>
        <row r="118">
          <cell r="BO118">
            <v>441.9</v>
          </cell>
          <cell r="BP118">
            <v>441.9</v>
          </cell>
          <cell r="BQ118">
            <v>2367.3000000000002</v>
          </cell>
          <cell r="BR118">
            <v>441.9</v>
          </cell>
          <cell r="BS118">
            <v>504.9</v>
          </cell>
          <cell r="BT118">
            <v>2078.6999999999998</v>
          </cell>
          <cell r="BU118">
            <v>441.9</v>
          </cell>
          <cell r="BV118">
            <v>441.9</v>
          </cell>
          <cell r="BW118">
            <v>985.19999999999993</v>
          </cell>
          <cell r="BX118">
            <v>441.9</v>
          </cell>
          <cell r="BY118">
            <v>1412.8</v>
          </cell>
          <cell r="BZ118">
            <v>441.9</v>
          </cell>
          <cell r="CA118">
            <v>900.7</v>
          </cell>
          <cell r="CC118">
            <v>493.59999999999997</v>
          </cell>
          <cell r="CD118">
            <v>441.9</v>
          </cell>
          <cell r="CE118">
            <v>441.9</v>
          </cell>
          <cell r="CF118">
            <v>441.9</v>
          </cell>
          <cell r="CG118">
            <v>632</v>
          </cell>
          <cell r="CH118">
            <v>753.8</v>
          </cell>
          <cell r="CI118">
            <v>937.3</v>
          </cell>
          <cell r="CJ118">
            <v>441.9</v>
          </cell>
          <cell r="CK118">
            <v>584.70000000000005</v>
          </cell>
          <cell r="CL118">
            <v>694.4</v>
          </cell>
          <cell r="CM118">
            <v>513.19999999999993</v>
          </cell>
          <cell r="CN118">
            <v>587.9</v>
          </cell>
          <cell r="CO118">
            <v>796.5</v>
          </cell>
          <cell r="CP118">
            <v>441.9</v>
          </cell>
          <cell r="CQ118">
            <v>441.9</v>
          </cell>
          <cell r="CR118">
            <v>1373.1</v>
          </cell>
          <cell r="CS118">
            <v>1187.3</v>
          </cell>
          <cell r="CT118">
            <v>964.3</v>
          </cell>
          <cell r="CU118">
            <v>1816.5</v>
          </cell>
          <cell r="CV118">
            <v>441.9</v>
          </cell>
          <cell r="CW118">
            <v>1299.1999999999998</v>
          </cell>
          <cell r="CX118">
            <v>441.9</v>
          </cell>
          <cell r="CY118">
            <v>441.9</v>
          </cell>
          <cell r="CZ118">
            <v>441.9</v>
          </cell>
          <cell r="DA118">
            <v>604.59999999999991</v>
          </cell>
          <cell r="DB118">
            <v>441.9</v>
          </cell>
          <cell r="DC118">
            <v>441.9</v>
          </cell>
          <cell r="DD118">
            <v>441.9</v>
          </cell>
          <cell r="DE118">
            <v>441.9</v>
          </cell>
          <cell r="DF118">
            <v>2297.3000000000002</v>
          </cell>
          <cell r="DG118">
            <v>1438.4</v>
          </cell>
          <cell r="DH118">
            <v>475.7</v>
          </cell>
          <cell r="DI118">
            <v>1143.8</v>
          </cell>
          <cell r="DJ118">
            <v>5143</v>
          </cell>
          <cell r="DK118">
            <v>441.9</v>
          </cell>
          <cell r="DL118">
            <v>441.9</v>
          </cell>
          <cell r="DM118">
            <v>925.5</v>
          </cell>
          <cell r="DN118">
            <v>441.9</v>
          </cell>
          <cell r="DO118">
            <v>441.9</v>
          </cell>
          <cell r="DP118">
            <v>441.9</v>
          </cell>
          <cell r="DQ118">
            <v>563.1</v>
          </cell>
          <cell r="DR118">
            <v>441.9</v>
          </cell>
          <cell r="DS118">
            <v>1220.8</v>
          </cell>
          <cell r="DT118">
            <v>453.7</v>
          </cell>
          <cell r="DU118">
            <v>945.5</v>
          </cell>
          <cell r="DV118">
            <v>555.9</v>
          </cell>
          <cell r="DW118">
            <v>1588.9</v>
          </cell>
          <cell r="EA118"/>
          <cell r="EB118"/>
          <cell r="EC118">
            <v>2197.1999999999998</v>
          </cell>
          <cell r="ED118"/>
          <cell r="EE118">
            <v>64.400000000000006</v>
          </cell>
          <cell r="EF118">
            <v>2958.2</v>
          </cell>
          <cell r="EG118"/>
          <cell r="EH118"/>
          <cell r="EI118">
            <v>535.6</v>
          </cell>
          <cell r="EJ118"/>
          <cell r="EK118"/>
          <cell r="EL118"/>
          <cell r="EM118"/>
          <cell r="EN118"/>
          <cell r="EO118"/>
          <cell r="EP118"/>
          <cell r="EQ118"/>
          <cell r="ER118"/>
          <cell r="ES118">
            <v>226.7</v>
          </cell>
          <cell r="ET118">
            <v>319.5</v>
          </cell>
          <cell r="EU118">
            <v>513.79999999999995</v>
          </cell>
          <cell r="EV118"/>
          <cell r="EW118">
            <v>135.5</v>
          </cell>
          <cell r="EX118">
            <v>263.10000000000002</v>
          </cell>
          <cell r="EY118">
            <v>77.900000000000006</v>
          </cell>
          <cell r="EZ118">
            <v>141.30000000000001</v>
          </cell>
          <cell r="FA118">
            <v>389.7</v>
          </cell>
          <cell r="FB118"/>
          <cell r="FC118"/>
          <cell r="FD118">
            <v>994.9</v>
          </cell>
          <cell r="FE118">
            <v>960.9</v>
          </cell>
          <cell r="FF118">
            <v>624.5</v>
          </cell>
          <cell r="FG118">
            <v>1386.2</v>
          </cell>
          <cell r="FH118"/>
          <cell r="FI118">
            <v>982.6</v>
          </cell>
          <cell r="FJ118"/>
          <cell r="FK118"/>
          <cell r="FL118"/>
          <cell r="FM118">
            <v>154.6</v>
          </cell>
          <cell r="FN118"/>
          <cell r="FO118"/>
          <cell r="FP118"/>
          <cell r="FQ118"/>
          <cell r="FR118"/>
          <cell r="FS118"/>
          <cell r="FT118">
            <v>43.9</v>
          </cell>
          <cell r="FU118">
            <v>645.09999999999991</v>
          </cell>
          <cell r="FV118">
            <v>4386.2</v>
          </cell>
          <cell r="FW118"/>
          <cell r="FX118"/>
          <cell r="FY118">
            <v>462.7</v>
          </cell>
          <cell r="FZ118"/>
          <cell r="GA118"/>
          <cell r="GB118"/>
          <cell r="GC118">
            <v>116.6</v>
          </cell>
          <cell r="GD118"/>
          <cell r="GE118">
            <v>965.1</v>
          </cell>
          <cell r="GF118"/>
          <cell r="GG118"/>
          <cell r="GH118"/>
          <cell r="GI118"/>
        </row>
        <row r="119">
          <cell r="BO119">
            <v>51.7</v>
          </cell>
          <cell r="BP119">
            <v>51.7</v>
          </cell>
          <cell r="BQ119">
            <v>1977.1000000000001</v>
          </cell>
          <cell r="BR119">
            <v>51.7</v>
          </cell>
          <cell r="BS119">
            <v>114.7</v>
          </cell>
          <cell r="BT119">
            <v>1688.5</v>
          </cell>
          <cell r="BU119">
            <v>51.7</v>
          </cell>
          <cell r="BV119">
            <v>51.7</v>
          </cell>
          <cell r="BW119">
            <v>595</v>
          </cell>
          <cell r="BX119">
            <v>51.7</v>
          </cell>
          <cell r="BY119">
            <v>1022.6</v>
          </cell>
          <cell r="BZ119">
            <v>51.7</v>
          </cell>
          <cell r="CA119">
            <v>510.5</v>
          </cell>
          <cell r="CB119">
            <v>493.59999999999997</v>
          </cell>
          <cell r="CD119">
            <v>51.7</v>
          </cell>
          <cell r="CE119">
            <v>51.7</v>
          </cell>
          <cell r="CF119">
            <v>51.7</v>
          </cell>
          <cell r="CG119">
            <v>241.8</v>
          </cell>
          <cell r="CH119">
            <v>363.59999999999997</v>
          </cell>
          <cell r="CI119">
            <v>547.1</v>
          </cell>
          <cell r="CJ119">
            <v>51.7</v>
          </cell>
          <cell r="CK119">
            <v>194.5</v>
          </cell>
          <cell r="CL119">
            <v>304.2</v>
          </cell>
          <cell r="CM119">
            <v>123</v>
          </cell>
          <cell r="CN119">
            <v>197.7</v>
          </cell>
          <cell r="CO119">
            <v>406.3</v>
          </cell>
          <cell r="CP119">
            <v>51.7</v>
          </cell>
          <cell r="CQ119">
            <v>51.7</v>
          </cell>
          <cell r="CR119">
            <v>982.90000000000009</v>
          </cell>
          <cell r="CS119">
            <v>797.1</v>
          </cell>
          <cell r="CT119">
            <v>574.1</v>
          </cell>
          <cell r="CU119">
            <v>1426.3</v>
          </cell>
          <cell r="CV119">
            <v>51.7</v>
          </cell>
          <cell r="CW119">
            <v>909</v>
          </cell>
          <cell r="CX119">
            <v>51.7</v>
          </cell>
          <cell r="CY119">
            <v>51.7</v>
          </cell>
          <cell r="CZ119">
            <v>51.7</v>
          </cell>
          <cell r="DA119">
            <v>214.39999999999998</v>
          </cell>
          <cell r="DB119">
            <v>51.7</v>
          </cell>
          <cell r="DC119">
            <v>51.7</v>
          </cell>
          <cell r="DD119">
            <v>51.7</v>
          </cell>
          <cell r="DE119">
            <v>51.7</v>
          </cell>
          <cell r="DF119">
            <v>1907.1000000000001</v>
          </cell>
          <cell r="DG119">
            <v>1048.2</v>
          </cell>
          <cell r="DH119">
            <v>85.5</v>
          </cell>
          <cell r="DI119">
            <v>753.6</v>
          </cell>
          <cell r="DJ119">
            <v>4752.8</v>
          </cell>
          <cell r="DK119">
            <v>51.7</v>
          </cell>
          <cell r="DL119">
            <v>51.7</v>
          </cell>
          <cell r="DM119">
            <v>535.30000000000007</v>
          </cell>
          <cell r="DN119">
            <v>51.7</v>
          </cell>
          <cell r="DO119">
            <v>51.7</v>
          </cell>
          <cell r="DP119">
            <v>51.7</v>
          </cell>
          <cell r="DQ119">
            <v>172.9</v>
          </cell>
          <cell r="DR119">
            <v>51.7</v>
          </cell>
          <cell r="DS119">
            <v>830.6</v>
          </cell>
          <cell r="DT119">
            <v>63.5</v>
          </cell>
          <cell r="DU119">
            <v>555.30000000000007</v>
          </cell>
          <cell r="DV119">
            <v>165.7</v>
          </cell>
          <cell r="DW119">
            <v>1198.7</v>
          </cell>
          <cell r="EA119"/>
          <cell r="EB119"/>
          <cell r="EC119">
            <v>2197.1999999999998</v>
          </cell>
          <cell r="ED119"/>
          <cell r="EE119">
            <v>64.400000000000006</v>
          </cell>
          <cell r="EF119">
            <v>2958.2</v>
          </cell>
          <cell r="EG119"/>
          <cell r="EH119"/>
          <cell r="EI119">
            <v>535.6</v>
          </cell>
          <cell r="EJ119"/>
          <cell r="EK119"/>
          <cell r="EL119"/>
          <cell r="EM119"/>
          <cell r="EN119"/>
          <cell r="EO119"/>
          <cell r="EP119"/>
          <cell r="EQ119"/>
          <cell r="ER119"/>
          <cell r="ES119">
            <v>226.7</v>
          </cell>
          <cell r="ET119">
            <v>319.5</v>
          </cell>
          <cell r="EU119">
            <v>513.79999999999995</v>
          </cell>
          <cell r="EV119"/>
          <cell r="EW119">
            <v>135.5</v>
          </cell>
          <cell r="EX119">
            <v>263.10000000000002</v>
          </cell>
          <cell r="EY119">
            <v>77.900000000000006</v>
          </cell>
          <cell r="EZ119">
            <v>141.30000000000001</v>
          </cell>
          <cell r="FA119">
            <v>389.7</v>
          </cell>
          <cell r="FB119"/>
          <cell r="FC119"/>
          <cell r="FD119">
            <v>994.9</v>
          </cell>
          <cell r="FE119">
            <v>960.9</v>
          </cell>
          <cell r="FF119">
            <v>624.5</v>
          </cell>
          <cell r="FG119">
            <v>1386.2</v>
          </cell>
          <cell r="FH119"/>
          <cell r="FI119">
            <v>982.6</v>
          </cell>
          <cell r="FJ119"/>
          <cell r="FK119"/>
          <cell r="FL119"/>
          <cell r="FM119">
            <v>154.6</v>
          </cell>
          <cell r="FN119"/>
          <cell r="FO119"/>
          <cell r="FP119"/>
          <cell r="FQ119"/>
          <cell r="FR119"/>
          <cell r="FS119"/>
          <cell r="FT119">
            <v>43.9</v>
          </cell>
          <cell r="FU119">
            <v>645.09999999999991</v>
          </cell>
          <cell r="FV119">
            <v>4386.2</v>
          </cell>
          <cell r="FW119"/>
          <cell r="FX119"/>
          <cell r="FY119">
            <v>462.7</v>
          </cell>
          <cell r="FZ119"/>
          <cell r="GA119"/>
          <cell r="GB119"/>
          <cell r="GC119">
            <v>116.6</v>
          </cell>
          <cell r="GD119"/>
          <cell r="GE119">
            <v>965.1</v>
          </cell>
          <cell r="GF119"/>
          <cell r="GG119"/>
          <cell r="GH119"/>
          <cell r="GI119"/>
        </row>
        <row r="120">
          <cell r="BO120"/>
          <cell r="BP120"/>
          <cell r="BQ120">
            <v>1925.4</v>
          </cell>
          <cell r="BR120"/>
          <cell r="BS120">
            <v>63</v>
          </cell>
          <cell r="BT120">
            <v>1636.8</v>
          </cell>
          <cell r="BU120"/>
          <cell r="BV120"/>
          <cell r="BW120">
            <v>543.29999999999995</v>
          </cell>
          <cell r="BX120"/>
          <cell r="BY120">
            <v>970.9</v>
          </cell>
          <cell r="BZ120"/>
          <cell r="CA120">
            <v>458.8</v>
          </cell>
          <cell r="CB120">
            <v>441.9</v>
          </cell>
          <cell r="CC120">
            <v>51.7</v>
          </cell>
          <cell r="CE120"/>
          <cell r="CF120"/>
          <cell r="CG120">
            <v>190.1</v>
          </cell>
          <cell r="CH120">
            <v>311.89999999999998</v>
          </cell>
          <cell r="CI120">
            <v>495.4</v>
          </cell>
          <cell r="CJ120"/>
          <cell r="CK120">
            <v>142.80000000000001</v>
          </cell>
          <cell r="CL120">
            <v>252.5</v>
          </cell>
          <cell r="CM120">
            <v>71.3</v>
          </cell>
          <cell r="CN120">
            <v>146</v>
          </cell>
          <cell r="CO120">
            <v>354.6</v>
          </cell>
          <cell r="CP120"/>
          <cell r="CQ120"/>
          <cell r="CR120">
            <v>931.2</v>
          </cell>
          <cell r="CS120">
            <v>745.4</v>
          </cell>
          <cell r="CT120">
            <v>522.4</v>
          </cell>
          <cell r="CU120">
            <v>1374.6</v>
          </cell>
          <cell r="CV120"/>
          <cell r="CW120">
            <v>857.3</v>
          </cell>
          <cell r="CX120"/>
          <cell r="CY120"/>
          <cell r="CZ120"/>
          <cell r="DA120">
            <v>162.69999999999999</v>
          </cell>
          <cell r="DB120"/>
          <cell r="DC120"/>
          <cell r="DD120"/>
          <cell r="DE120"/>
          <cell r="DF120">
            <v>1855.4</v>
          </cell>
          <cell r="DG120">
            <v>996.5</v>
          </cell>
          <cell r="DH120">
            <v>33.799999999999997</v>
          </cell>
          <cell r="DI120">
            <v>701.9</v>
          </cell>
          <cell r="DJ120">
            <v>4701.1000000000004</v>
          </cell>
          <cell r="DK120"/>
          <cell r="DL120"/>
          <cell r="DM120">
            <v>483.6</v>
          </cell>
          <cell r="DN120"/>
          <cell r="DO120"/>
          <cell r="DP120"/>
          <cell r="DQ120">
            <v>121.2</v>
          </cell>
          <cell r="DR120"/>
          <cell r="DS120">
            <v>778.9</v>
          </cell>
          <cell r="DT120">
            <v>11.8</v>
          </cell>
          <cell r="DU120">
            <v>503.6</v>
          </cell>
          <cell r="DV120">
            <v>114</v>
          </cell>
          <cell r="DW120">
            <v>1147</v>
          </cell>
          <cell r="EA120"/>
          <cell r="EB120"/>
          <cell r="EC120">
            <v>2197.1999999999998</v>
          </cell>
          <cell r="ED120"/>
          <cell r="EE120">
            <v>64.400000000000006</v>
          </cell>
          <cell r="EF120">
            <v>2958.2</v>
          </cell>
          <cell r="EG120"/>
          <cell r="EH120"/>
          <cell r="EI120">
            <v>535.6</v>
          </cell>
          <cell r="EJ120"/>
          <cell r="EK120"/>
          <cell r="EL120"/>
          <cell r="EM120"/>
          <cell r="EN120"/>
          <cell r="EO120"/>
          <cell r="EP120"/>
          <cell r="EQ120"/>
          <cell r="ER120"/>
          <cell r="ES120">
            <v>226.7</v>
          </cell>
          <cell r="ET120">
            <v>319.5</v>
          </cell>
          <cell r="EU120">
            <v>513.79999999999995</v>
          </cell>
          <cell r="EV120"/>
          <cell r="EW120">
            <v>135.5</v>
          </cell>
          <cell r="EX120">
            <v>263.10000000000002</v>
          </cell>
          <cell r="EY120">
            <v>77.900000000000006</v>
          </cell>
          <cell r="EZ120">
            <v>141.30000000000001</v>
          </cell>
          <cell r="FA120">
            <v>389.7</v>
          </cell>
          <cell r="FB120"/>
          <cell r="FC120"/>
          <cell r="FD120">
            <v>994.9</v>
          </cell>
          <cell r="FE120">
            <v>960.9</v>
          </cell>
          <cell r="FF120">
            <v>624.5</v>
          </cell>
          <cell r="FG120">
            <v>1386.2</v>
          </cell>
          <cell r="FH120"/>
          <cell r="FI120">
            <v>982.6</v>
          </cell>
          <cell r="FJ120"/>
          <cell r="FK120"/>
          <cell r="FL120"/>
          <cell r="FM120">
            <v>154.6</v>
          </cell>
          <cell r="FN120"/>
          <cell r="FO120"/>
          <cell r="FP120"/>
          <cell r="FQ120"/>
          <cell r="FR120"/>
          <cell r="FS120"/>
          <cell r="FT120">
            <v>43.9</v>
          </cell>
          <cell r="FU120">
            <v>645.09999999999991</v>
          </cell>
          <cell r="FV120">
            <v>4386.2</v>
          </cell>
          <cell r="FW120"/>
          <cell r="FX120"/>
          <cell r="FY120">
            <v>462.7</v>
          </cell>
          <cell r="FZ120"/>
          <cell r="GA120"/>
          <cell r="GB120"/>
          <cell r="GC120">
            <v>116.6</v>
          </cell>
          <cell r="GD120"/>
          <cell r="GE120">
            <v>965.1</v>
          </cell>
          <cell r="GF120"/>
          <cell r="GG120"/>
          <cell r="GH120"/>
          <cell r="GI120"/>
        </row>
        <row r="121">
          <cell r="BO121"/>
          <cell r="BP121"/>
          <cell r="BQ121">
            <v>1925.4</v>
          </cell>
          <cell r="BR121"/>
          <cell r="BS121">
            <v>63</v>
          </cell>
          <cell r="BT121">
            <v>1636.8</v>
          </cell>
          <cell r="BU121"/>
          <cell r="BV121"/>
          <cell r="BW121">
            <v>543.29999999999995</v>
          </cell>
          <cell r="BX121"/>
          <cell r="BY121">
            <v>970.9</v>
          </cell>
          <cell r="BZ121"/>
          <cell r="CA121">
            <v>458.8</v>
          </cell>
          <cell r="CB121">
            <v>441.9</v>
          </cell>
          <cell r="CC121">
            <v>51.7</v>
          </cell>
          <cell r="CD121"/>
          <cell r="CF121"/>
          <cell r="CG121">
            <v>190.1</v>
          </cell>
          <cell r="CH121">
            <v>311.89999999999998</v>
          </cell>
          <cell r="CI121">
            <v>495.4</v>
          </cell>
          <cell r="CJ121"/>
          <cell r="CK121">
            <v>142.80000000000001</v>
          </cell>
          <cell r="CL121">
            <v>252.5</v>
          </cell>
          <cell r="CM121">
            <v>71.3</v>
          </cell>
          <cell r="CN121">
            <v>146</v>
          </cell>
          <cell r="CO121">
            <v>354.6</v>
          </cell>
          <cell r="CP121"/>
          <cell r="CQ121"/>
          <cell r="CR121">
            <v>931.2</v>
          </cell>
          <cell r="CS121">
            <v>745.4</v>
          </cell>
          <cell r="CT121">
            <v>522.4</v>
          </cell>
          <cell r="CU121">
            <v>1374.6</v>
          </cell>
          <cell r="CV121"/>
          <cell r="CW121">
            <v>857.3</v>
          </cell>
          <cell r="CX121"/>
          <cell r="CY121"/>
          <cell r="CZ121"/>
          <cell r="DA121">
            <v>162.69999999999999</v>
          </cell>
          <cell r="DB121"/>
          <cell r="DC121"/>
          <cell r="DD121"/>
          <cell r="DE121"/>
          <cell r="DF121">
            <v>1855.4</v>
          </cell>
          <cell r="DG121">
            <v>996.5</v>
          </cell>
          <cell r="DH121">
            <v>33.799999999999997</v>
          </cell>
          <cell r="DI121">
            <v>701.9</v>
          </cell>
          <cell r="DJ121">
            <v>4701.1000000000004</v>
          </cell>
          <cell r="DK121"/>
          <cell r="DL121"/>
          <cell r="DM121">
            <v>483.6</v>
          </cell>
          <cell r="DN121"/>
          <cell r="DO121"/>
          <cell r="DP121"/>
          <cell r="DQ121">
            <v>121.2</v>
          </cell>
          <cell r="DR121"/>
          <cell r="DS121">
            <v>778.9</v>
          </cell>
          <cell r="DT121">
            <v>11.8</v>
          </cell>
          <cell r="DU121">
            <v>503.6</v>
          </cell>
          <cell r="DV121">
            <v>114</v>
          </cell>
          <cell r="DW121">
            <v>1147</v>
          </cell>
          <cell r="EA121"/>
          <cell r="EB121"/>
          <cell r="EC121">
            <v>2197.1999999999998</v>
          </cell>
          <cell r="ED121"/>
          <cell r="EE121">
            <v>64.400000000000006</v>
          </cell>
          <cell r="EF121">
            <v>2958.2</v>
          </cell>
          <cell r="EG121"/>
          <cell r="EH121"/>
          <cell r="EI121">
            <v>535.6</v>
          </cell>
          <cell r="EJ121"/>
          <cell r="EK121"/>
          <cell r="EL121"/>
          <cell r="EM121"/>
          <cell r="EN121"/>
          <cell r="EO121"/>
          <cell r="EP121"/>
          <cell r="EQ121"/>
          <cell r="ER121"/>
          <cell r="ES121">
            <v>226.7</v>
          </cell>
          <cell r="ET121">
            <v>319.5</v>
          </cell>
          <cell r="EU121">
            <v>513.79999999999995</v>
          </cell>
          <cell r="EV121"/>
          <cell r="EW121">
            <v>135.5</v>
          </cell>
          <cell r="EX121">
            <v>263.10000000000002</v>
          </cell>
          <cell r="EY121">
            <v>77.900000000000006</v>
          </cell>
          <cell r="EZ121">
            <v>141.30000000000001</v>
          </cell>
          <cell r="FA121">
            <v>389.7</v>
          </cell>
          <cell r="FB121"/>
          <cell r="FC121"/>
          <cell r="FD121">
            <v>994.9</v>
          </cell>
          <cell r="FE121">
            <v>960.9</v>
          </cell>
          <cell r="FF121">
            <v>624.5</v>
          </cell>
          <cell r="FG121">
            <v>1386.2</v>
          </cell>
          <cell r="FH121"/>
          <cell r="FI121">
            <v>982.6</v>
          </cell>
          <cell r="FJ121"/>
          <cell r="FK121"/>
          <cell r="FL121"/>
          <cell r="FM121">
            <v>154.6</v>
          </cell>
          <cell r="FN121"/>
          <cell r="FO121"/>
          <cell r="FP121"/>
          <cell r="FQ121"/>
          <cell r="FR121"/>
          <cell r="FS121"/>
          <cell r="FT121">
            <v>43.9</v>
          </cell>
          <cell r="FU121">
            <v>645.09999999999991</v>
          </cell>
          <cell r="FV121">
            <v>4386.2</v>
          </cell>
          <cell r="FW121"/>
          <cell r="FX121"/>
          <cell r="FY121">
            <v>462.7</v>
          </cell>
          <cell r="FZ121"/>
          <cell r="GA121"/>
          <cell r="GB121"/>
          <cell r="GC121">
            <v>116.6</v>
          </cell>
          <cell r="GD121"/>
          <cell r="GE121">
            <v>965.1</v>
          </cell>
          <cell r="GF121"/>
          <cell r="GG121"/>
          <cell r="GH121"/>
          <cell r="GI121"/>
        </row>
        <row r="122">
          <cell r="BO122"/>
          <cell r="BP122"/>
          <cell r="BQ122">
            <v>1925.4</v>
          </cell>
          <cell r="BR122"/>
          <cell r="BS122">
            <v>63</v>
          </cell>
          <cell r="BT122">
            <v>1636.8</v>
          </cell>
          <cell r="BU122"/>
          <cell r="BV122"/>
          <cell r="BW122">
            <v>543.29999999999995</v>
          </cell>
          <cell r="BX122"/>
          <cell r="BY122">
            <v>970.9</v>
          </cell>
          <cell r="BZ122"/>
          <cell r="CA122">
            <v>458.8</v>
          </cell>
          <cell r="CB122">
            <v>441.9</v>
          </cell>
          <cell r="CC122">
            <v>51.7</v>
          </cell>
          <cell r="CD122"/>
          <cell r="CE122"/>
          <cell r="CG122">
            <v>190.1</v>
          </cell>
          <cell r="CH122">
            <v>311.89999999999998</v>
          </cell>
          <cell r="CI122">
            <v>495.4</v>
          </cell>
          <cell r="CJ122"/>
          <cell r="CK122">
            <v>142.80000000000001</v>
          </cell>
          <cell r="CL122">
            <v>252.5</v>
          </cell>
          <cell r="CM122">
            <v>71.3</v>
          </cell>
          <cell r="CN122">
            <v>146</v>
          </cell>
          <cell r="CO122">
            <v>354.6</v>
          </cell>
          <cell r="CP122"/>
          <cell r="CQ122"/>
          <cell r="CR122">
            <v>931.2</v>
          </cell>
          <cell r="CS122">
            <v>745.4</v>
          </cell>
          <cell r="CT122">
            <v>522.4</v>
          </cell>
          <cell r="CU122">
            <v>1374.6</v>
          </cell>
          <cell r="CV122"/>
          <cell r="CW122">
            <v>857.3</v>
          </cell>
          <cell r="CX122"/>
          <cell r="CY122"/>
          <cell r="CZ122"/>
          <cell r="DA122">
            <v>162.69999999999999</v>
          </cell>
          <cell r="DB122"/>
          <cell r="DC122"/>
          <cell r="DD122"/>
          <cell r="DE122"/>
          <cell r="DF122">
            <v>1855.4</v>
          </cell>
          <cell r="DG122">
            <v>996.5</v>
          </cell>
          <cell r="DH122">
            <v>33.799999999999997</v>
          </cell>
          <cell r="DI122">
            <v>701.9</v>
          </cell>
          <cell r="DJ122">
            <v>4701.1000000000004</v>
          </cell>
          <cell r="DK122"/>
          <cell r="DL122"/>
          <cell r="DM122">
            <v>483.6</v>
          </cell>
          <cell r="DN122"/>
          <cell r="DO122"/>
          <cell r="DP122"/>
          <cell r="DQ122">
            <v>121.2</v>
          </cell>
          <cell r="DR122"/>
          <cell r="DS122">
            <v>778.9</v>
          </cell>
          <cell r="DT122">
            <v>11.8</v>
          </cell>
          <cell r="DU122">
            <v>503.6</v>
          </cell>
          <cell r="DV122">
            <v>114</v>
          </cell>
          <cell r="DW122">
            <v>1147</v>
          </cell>
          <cell r="EA122"/>
          <cell r="EB122"/>
          <cell r="EC122">
            <v>2197.1999999999998</v>
          </cell>
          <cell r="ED122"/>
          <cell r="EE122">
            <v>64.400000000000006</v>
          </cell>
          <cell r="EF122">
            <v>2958.2</v>
          </cell>
          <cell r="EG122"/>
          <cell r="EH122"/>
          <cell r="EI122">
            <v>535.6</v>
          </cell>
          <cell r="EJ122"/>
          <cell r="EK122"/>
          <cell r="EL122"/>
          <cell r="EM122"/>
          <cell r="EN122"/>
          <cell r="EO122"/>
          <cell r="EP122"/>
          <cell r="EQ122"/>
          <cell r="ER122"/>
          <cell r="ES122">
            <v>226.7</v>
          </cell>
          <cell r="ET122">
            <v>319.5</v>
          </cell>
          <cell r="EU122">
            <v>513.79999999999995</v>
          </cell>
          <cell r="EV122"/>
          <cell r="EW122">
            <v>135.5</v>
          </cell>
          <cell r="EX122">
            <v>263.10000000000002</v>
          </cell>
          <cell r="EY122">
            <v>77.900000000000006</v>
          </cell>
          <cell r="EZ122">
            <v>141.30000000000001</v>
          </cell>
          <cell r="FA122">
            <v>389.7</v>
          </cell>
          <cell r="FB122"/>
          <cell r="FC122"/>
          <cell r="FD122">
            <v>994.9</v>
          </cell>
          <cell r="FE122">
            <v>960.9</v>
          </cell>
          <cell r="FF122">
            <v>624.5</v>
          </cell>
          <cell r="FG122">
            <v>1386.2</v>
          </cell>
          <cell r="FH122"/>
          <cell r="FI122">
            <v>982.6</v>
          </cell>
          <cell r="FJ122"/>
          <cell r="FK122"/>
          <cell r="FL122"/>
          <cell r="FM122">
            <v>154.6</v>
          </cell>
          <cell r="FN122"/>
          <cell r="FO122"/>
          <cell r="FP122"/>
          <cell r="FQ122"/>
          <cell r="FR122"/>
          <cell r="FS122"/>
          <cell r="FT122">
            <v>43.9</v>
          </cell>
          <cell r="FU122">
            <v>645.09999999999991</v>
          </cell>
          <cell r="FV122">
            <v>4386.2</v>
          </cell>
          <cell r="FW122"/>
          <cell r="FX122"/>
          <cell r="FY122">
            <v>462.7</v>
          </cell>
          <cell r="FZ122"/>
          <cell r="GA122"/>
          <cell r="GB122"/>
          <cell r="GC122">
            <v>116.6</v>
          </cell>
          <cell r="GD122"/>
          <cell r="GE122">
            <v>965.1</v>
          </cell>
          <cell r="GF122"/>
          <cell r="GG122"/>
          <cell r="GH122"/>
          <cell r="GI122"/>
        </row>
        <row r="123">
          <cell r="BO123">
            <v>190.1</v>
          </cell>
          <cell r="BP123">
            <v>190.1</v>
          </cell>
          <cell r="BQ123">
            <v>2115.5</v>
          </cell>
          <cell r="BR123">
            <v>190.1</v>
          </cell>
          <cell r="BS123">
            <v>253.1</v>
          </cell>
          <cell r="BT123">
            <v>1826.8999999999999</v>
          </cell>
          <cell r="BU123">
            <v>190.1</v>
          </cell>
          <cell r="BV123">
            <v>190.1</v>
          </cell>
          <cell r="BW123">
            <v>733.4</v>
          </cell>
          <cell r="BX123">
            <v>190.1</v>
          </cell>
          <cell r="BY123">
            <v>1161</v>
          </cell>
          <cell r="BZ123">
            <v>190.1</v>
          </cell>
          <cell r="CA123">
            <v>648.9</v>
          </cell>
          <cell r="CB123">
            <v>632</v>
          </cell>
          <cell r="CC123">
            <v>241.8</v>
          </cell>
          <cell r="CD123">
            <v>190.1</v>
          </cell>
          <cell r="CE123">
            <v>190.1</v>
          </cell>
          <cell r="CF123">
            <v>190.1</v>
          </cell>
          <cell r="CH123">
            <v>502</v>
          </cell>
          <cell r="CI123">
            <v>685.5</v>
          </cell>
          <cell r="CJ123">
            <v>190.1</v>
          </cell>
          <cell r="CK123">
            <v>332.9</v>
          </cell>
          <cell r="CL123">
            <v>442.6</v>
          </cell>
          <cell r="CM123">
            <v>261.39999999999998</v>
          </cell>
          <cell r="CN123">
            <v>336.1</v>
          </cell>
          <cell r="CO123">
            <v>544.70000000000005</v>
          </cell>
          <cell r="CP123">
            <v>190.1</v>
          </cell>
          <cell r="CQ123">
            <v>190.1</v>
          </cell>
          <cell r="CR123">
            <v>1121.3</v>
          </cell>
          <cell r="CS123">
            <v>935.5</v>
          </cell>
          <cell r="CT123">
            <v>712.5</v>
          </cell>
          <cell r="CU123">
            <v>1564.6999999999998</v>
          </cell>
          <cell r="CV123">
            <v>190.1</v>
          </cell>
          <cell r="CW123">
            <v>1047.3999999999999</v>
          </cell>
          <cell r="CX123">
            <v>190.1</v>
          </cell>
          <cell r="CY123">
            <v>190.1</v>
          </cell>
          <cell r="CZ123">
            <v>190.1</v>
          </cell>
          <cell r="DA123">
            <v>352.79999999999995</v>
          </cell>
          <cell r="DB123">
            <v>190.1</v>
          </cell>
          <cell r="DC123">
            <v>190.1</v>
          </cell>
          <cell r="DD123">
            <v>190.1</v>
          </cell>
          <cell r="DE123">
            <v>190.1</v>
          </cell>
          <cell r="DF123">
            <v>2045.5</v>
          </cell>
          <cell r="DG123">
            <v>1186.5999999999999</v>
          </cell>
          <cell r="DH123">
            <v>223.89999999999998</v>
          </cell>
          <cell r="DI123">
            <v>892</v>
          </cell>
          <cell r="DJ123">
            <v>4891.2000000000007</v>
          </cell>
          <cell r="DK123">
            <v>190.1</v>
          </cell>
          <cell r="DL123">
            <v>190.1</v>
          </cell>
          <cell r="DM123">
            <v>673.7</v>
          </cell>
          <cell r="DN123">
            <v>190.1</v>
          </cell>
          <cell r="DO123">
            <v>190.1</v>
          </cell>
          <cell r="DP123">
            <v>190.1</v>
          </cell>
          <cell r="DQ123">
            <v>311.3</v>
          </cell>
          <cell r="DR123">
            <v>190.1</v>
          </cell>
          <cell r="DS123">
            <v>969</v>
          </cell>
          <cell r="DT123">
            <v>201.9</v>
          </cell>
          <cell r="DU123">
            <v>693.7</v>
          </cell>
          <cell r="DV123">
            <v>304.10000000000002</v>
          </cell>
          <cell r="DW123">
            <v>1337.1</v>
          </cell>
          <cell r="EA123">
            <v>226.7</v>
          </cell>
          <cell r="EB123">
            <v>226.7</v>
          </cell>
          <cell r="EC123">
            <v>2423.8999999999996</v>
          </cell>
          <cell r="ED123">
            <v>226.7</v>
          </cell>
          <cell r="EE123">
            <v>291.10000000000002</v>
          </cell>
          <cell r="EF123">
            <v>3184.8999999999996</v>
          </cell>
          <cell r="EG123">
            <v>226.7</v>
          </cell>
          <cell r="EH123">
            <v>226.7</v>
          </cell>
          <cell r="EI123">
            <v>762.3</v>
          </cell>
          <cell r="EJ123">
            <v>226.7</v>
          </cell>
          <cell r="EK123">
            <v>226.7</v>
          </cell>
          <cell r="EL123">
            <v>226.7</v>
          </cell>
          <cell r="EM123">
            <v>226.7</v>
          </cell>
          <cell r="EN123">
            <v>226.7</v>
          </cell>
          <cell r="EO123">
            <v>226.7</v>
          </cell>
          <cell r="EP123">
            <v>226.7</v>
          </cell>
          <cell r="EQ123">
            <v>226.7</v>
          </cell>
          <cell r="ER123">
            <v>226.7</v>
          </cell>
          <cell r="ET123">
            <v>546.20000000000005</v>
          </cell>
          <cell r="EU123">
            <v>740.5</v>
          </cell>
          <cell r="EV123">
            <v>226.7</v>
          </cell>
          <cell r="EW123">
            <v>362.2</v>
          </cell>
          <cell r="EX123">
            <v>489.8</v>
          </cell>
          <cell r="EY123">
            <v>304.60000000000002</v>
          </cell>
          <cell r="EZ123">
            <v>368</v>
          </cell>
          <cell r="FA123">
            <v>616.4</v>
          </cell>
          <cell r="FB123">
            <v>226.7</v>
          </cell>
          <cell r="FC123">
            <v>226.7</v>
          </cell>
          <cell r="FD123">
            <v>1221.5999999999999</v>
          </cell>
          <cell r="FE123">
            <v>1187.5999999999999</v>
          </cell>
          <cell r="FF123">
            <v>851.2</v>
          </cell>
          <cell r="FG123">
            <v>1612.9</v>
          </cell>
          <cell r="FH123">
            <v>226.7</v>
          </cell>
          <cell r="FI123">
            <v>1209.3</v>
          </cell>
          <cell r="FJ123">
            <v>226.7</v>
          </cell>
          <cell r="FK123">
            <v>226.7</v>
          </cell>
          <cell r="FL123">
            <v>226.7</v>
          </cell>
          <cell r="FM123">
            <v>381.29999999999995</v>
          </cell>
          <cell r="FN123">
            <v>226.7</v>
          </cell>
          <cell r="FO123">
            <v>226.7</v>
          </cell>
          <cell r="FP123">
            <v>226.7</v>
          </cell>
          <cell r="FQ123">
            <v>226.7</v>
          </cell>
          <cell r="FR123">
            <v>226.7</v>
          </cell>
          <cell r="FS123">
            <v>226.7</v>
          </cell>
          <cell r="FT123">
            <v>270.59999999999997</v>
          </cell>
          <cell r="FU123">
            <v>871.8</v>
          </cell>
          <cell r="FV123">
            <v>4612.8999999999996</v>
          </cell>
          <cell r="FW123">
            <v>226.7</v>
          </cell>
          <cell r="FX123">
            <v>226.7</v>
          </cell>
          <cell r="FY123">
            <v>689.4</v>
          </cell>
          <cell r="FZ123">
            <v>226.7</v>
          </cell>
          <cell r="GA123">
            <v>226.7</v>
          </cell>
          <cell r="GB123">
            <v>226.7</v>
          </cell>
          <cell r="GC123">
            <v>343.29999999999995</v>
          </cell>
          <cell r="GD123">
            <v>226.7</v>
          </cell>
          <cell r="GE123">
            <v>1191.8</v>
          </cell>
          <cell r="GF123">
            <v>226.7</v>
          </cell>
          <cell r="GG123">
            <v>226.7</v>
          </cell>
          <cell r="GH123">
            <v>226.7</v>
          </cell>
          <cell r="GI123">
            <v>226.7</v>
          </cell>
        </row>
        <row r="124">
          <cell r="BO124">
            <v>311.89999999999998</v>
          </cell>
          <cell r="BP124">
            <v>311.89999999999998</v>
          </cell>
          <cell r="BQ124">
            <v>2237.3000000000002</v>
          </cell>
          <cell r="BR124">
            <v>311.89999999999998</v>
          </cell>
          <cell r="BS124">
            <v>374.9</v>
          </cell>
          <cell r="BT124">
            <v>1948.6999999999998</v>
          </cell>
          <cell r="BU124">
            <v>311.89999999999998</v>
          </cell>
          <cell r="BV124">
            <v>311.89999999999998</v>
          </cell>
          <cell r="BW124">
            <v>855.19999999999993</v>
          </cell>
          <cell r="BX124">
            <v>311.89999999999998</v>
          </cell>
          <cell r="BY124">
            <v>1282.8</v>
          </cell>
          <cell r="BZ124">
            <v>311.89999999999998</v>
          </cell>
          <cell r="CA124">
            <v>770.7</v>
          </cell>
          <cell r="CB124">
            <v>753.8</v>
          </cell>
          <cell r="CC124">
            <v>363.59999999999997</v>
          </cell>
          <cell r="CD124">
            <v>311.89999999999998</v>
          </cell>
          <cell r="CE124">
            <v>311.89999999999998</v>
          </cell>
          <cell r="CF124">
            <v>311.89999999999998</v>
          </cell>
          <cell r="CG124">
            <v>502</v>
          </cell>
          <cell r="CI124">
            <v>807.3</v>
          </cell>
          <cell r="CJ124">
            <v>311.89999999999998</v>
          </cell>
          <cell r="CK124">
            <v>454.7</v>
          </cell>
          <cell r="CL124">
            <v>564.4</v>
          </cell>
          <cell r="CM124">
            <v>383.2</v>
          </cell>
          <cell r="CN124">
            <v>457.9</v>
          </cell>
          <cell r="CO124">
            <v>666.5</v>
          </cell>
          <cell r="CP124">
            <v>311.89999999999998</v>
          </cell>
          <cell r="CQ124">
            <v>311.89999999999998</v>
          </cell>
          <cell r="CR124">
            <v>1243.0999999999999</v>
          </cell>
          <cell r="CS124">
            <v>1057.3</v>
          </cell>
          <cell r="CT124">
            <v>834.3</v>
          </cell>
          <cell r="CU124">
            <v>1686.5</v>
          </cell>
          <cell r="CV124">
            <v>311.89999999999998</v>
          </cell>
          <cell r="CW124">
            <v>1169.1999999999998</v>
          </cell>
          <cell r="CX124">
            <v>311.89999999999998</v>
          </cell>
          <cell r="CY124">
            <v>311.89999999999998</v>
          </cell>
          <cell r="CZ124">
            <v>311.89999999999998</v>
          </cell>
          <cell r="DA124">
            <v>474.59999999999997</v>
          </cell>
          <cell r="DB124">
            <v>311.89999999999998</v>
          </cell>
          <cell r="DC124">
            <v>311.89999999999998</v>
          </cell>
          <cell r="DD124">
            <v>311.89999999999998</v>
          </cell>
          <cell r="DE124">
            <v>311.89999999999998</v>
          </cell>
          <cell r="DF124">
            <v>2167.3000000000002</v>
          </cell>
          <cell r="DG124">
            <v>1308.4000000000001</v>
          </cell>
          <cell r="DH124">
            <v>345.7</v>
          </cell>
          <cell r="DI124">
            <v>1013.8</v>
          </cell>
          <cell r="DJ124">
            <v>5013</v>
          </cell>
          <cell r="DK124">
            <v>311.89999999999998</v>
          </cell>
          <cell r="DL124">
            <v>311.89999999999998</v>
          </cell>
          <cell r="DM124">
            <v>795.5</v>
          </cell>
          <cell r="DN124">
            <v>311.89999999999998</v>
          </cell>
          <cell r="DO124">
            <v>311.89999999999998</v>
          </cell>
          <cell r="DP124">
            <v>311.89999999999998</v>
          </cell>
          <cell r="DQ124">
            <v>433.09999999999997</v>
          </cell>
          <cell r="DR124">
            <v>311.89999999999998</v>
          </cell>
          <cell r="DS124">
            <v>1090.8</v>
          </cell>
          <cell r="DT124">
            <v>323.7</v>
          </cell>
          <cell r="DU124">
            <v>815.5</v>
          </cell>
          <cell r="DV124">
            <v>425.9</v>
          </cell>
          <cell r="DW124">
            <v>1458.9</v>
          </cell>
          <cell r="EA124">
            <v>319.5</v>
          </cell>
          <cell r="EB124">
            <v>319.5</v>
          </cell>
          <cell r="EC124">
            <v>2516.6999999999998</v>
          </cell>
          <cell r="ED124">
            <v>319.5</v>
          </cell>
          <cell r="EE124">
            <v>383.9</v>
          </cell>
          <cell r="EF124">
            <v>3277.7</v>
          </cell>
          <cell r="EG124">
            <v>319.5</v>
          </cell>
          <cell r="EH124">
            <v>319.5</v>
          </cell>
          <cell r="EI124">
            <v>855.1</v>
          </cell>
          <cell r="EJ124">
            <v>319.5</v>
          </cell>
          <cell r="EK124">
            <v>319.5</v>
          </cell>
          <cell r="EL124">
            <v>319.5</v>
          </cell>
          <cell r="EM124">
            <v>319.5</v>
          </cell>
          <cell r="EN124">
            <v>319.5</v>
          </cell>
          <cell r="EO124">
            <v>319.5</v>
          </cell>
          <cell r="EP124">
            <v>319.5</v>
          </cell>
          <cell r="EQ124">
            <v>319.5</v>
          </cell>
          <cell r="ER124">
            <v>319.5</v>
          </cell>
          <cell r="ES124">
            <v>546.20000000000005</v>
          </cell>
          <cell r="EU124">
            <v>833.3</v>
          </cell>
          <cell r="EV124">
            <v>319.5</v>
          </cell>
          <cell r="EW124">
            <v>455</v>
          </cell>
          <cell r="EX124">
            <v>582.6</v>
          </cell>
          <cell r="EY124">
            <v>397.4</v>
          </cell>
          <cell r="EZ124">
            <v>460.8</v>
          </cell>
          <cell r="FA124">
            <v>709.2</v>
          </cell>
          <cell r="FB124">
            <v>319.5</v>
          </cell>
          <cell r="FC124">
            <v>319.5</v>
          </cell>
          <cell r="FD124">
            <v>1314.4</v>
          </cell>
          <cell r="FE124">
            <v>1280.4000000000001</v>
          </cell>
          <cell r="FF124">
            <v>944</v>
          </cell>
          <cell r="FG124">
            <v>1705.7</v>
          </cell>
          <cell r="FH124">
            <v>319.5</v>
          </cell>
          <cell r="FI124">
            <v>1302.0999999999999</v>
          </cell>
          <cell r="FJ124">
            <v>319.5</v>
          </cell>
          <cell r="FK124">
            <v>319.5</v>
          </cell>
          <cell r="FL124">
            <v>319.5</v>
          </cell>
          <cell r="FM124">
            <v>474.1</v>
          </cell>
          <cell r="FN124">
            <v>319.5</v>
          </cell>
          <cell r="FO124">
            <v>319.5</v>
          </cell>
          <cell r="FP124">
            <v>319.5</v>
          </cell>
          <cell r="FQ124">
            <v>319.5</v>
          </cell>
          <cell r="FR124">
            <v>319.5</v>
          </cell>
          <cell r="FS124">
            <v>319.5</v>
          </cell>
          <cell r="FT124">
            <v>363.4</v>
          </cell>
          <cell r="FU124">
            <v>964.59999999999991</v>
          </cell>
          <cell r="FV124">
            <v>4705.7</v>
          </cell>
          <cell r="FW124">
            <v>319.5</v>
          </cell>
          <cell r="FX124">
            <v>319.5</v>
          </cell>
          <cell r="FY124">
            <v>782.2</v>
          </cell>
          <cell r="FZ124">
            <v>319.5</v>
          </cell>
          <cell r="GA124">
            <v>319.5</v>
          </cell>
          <cell r="GB124">
            <v>319.5</v>
          </cell>
          <cell r="GC124">
            <v>436.1</v>
          </cell>
          <cell r="GD124">
            <v>319.5</v>
          </cell>
          <cell r="GE124">
            <v>1284.5999999999999</v>
          </cell>
          <cell r="GF124">
            <v>319.5</v>
          </cell>
          <cell r="GG124">
            <v>319.5</v>
          </cell>
          <cell r="GH124">
            <v>319.5</v>
          </cell>
          <cell r="GI124">
            <v>319.5</v>
          </cell>
        </row>
        <row r="125">
          <cell r="BO125">
            <v>495.4</v>
          </cell>
          <cell r="BP125">
            <v>495.4</v>
          </cell>
          <cell r="BQ125">
            <v>2420.8000000000002</v>
          </cell>
          <cell r="BR125">
            <v>495.4</v>
          </cell>
          <cell r="BS125">
            <v>558.4</v>
          </cell>
          <cell r="BT125">
            <v>2132.1999999999998</v>
          </cell>
          <cell r="BU125">
            <v>495.4</v>
          </cell>
          <cell r="BV125">
            <v>495.4</v>
          </cell>
          <cell r="BW125">
            <v>1038.6999999999998</v>
          </cell>
          <cell r="BX125">
            <v>495.4</v>
          </cell>
          <cell r="BY125">
            <v>1466.3</v>
          </cell>
          <cell r="BZ125">
            <v>495.4</v>
          </cell>
          <cell r="CA125">
            <v>954.2</v>
          </cell>
          <cell r="CB125">
            <v>937.3</v>
          </cell>
          <cell r="CC125">
            <v>547.1</v>
          </cell>
          <cell r="CD125">
            <v>495.4</v>
          </cell>
          <cell r="CE125">
            <v>495.4</v>
          </cell>
          <cell r="CF125">
            <v>495.4</v>
          </cell>
          <cell r="CG125">
            <v>685.5</v>
          </cell>
          <cell r="CH125">
            <v>807.3</v>
          </cell>
          <cell r="CJ125">
            <v>495.4</v>
          </cell>
          <cell r="CK125">
            <v>638.20000000000005</v>
          </cell>
          <cell r="CL125">
            <v>747.9</v>
          </cell>
          <cell r="CM125">
            <v>566.69999999999993</v>
          </cell>
          <cell r="CN125">
            <v>641.4</v>
          </cell>
          <cell r="CO125">
            <v>850</v>
          </cell>
          <cell r="CP125">
            <v>495.4</v>
          </cell>
          <cell r="CQ125">
            <v>495.4</v>
          </cell>
          <cell r="CR125">
            <v>1426.6</v>
          </cell>
          <cell r="CS125">
            <v>1240.8</v>
          </cell>
          <cell r="CT125">
            <v>1017.8</v>
          </cell>
          <cell r="CU125">
            <v>1870</v>
          </cell>
          <cell r="CV125">
            <v>495.4</v>
          </cell>
          <cell r="CW125">
            <v>1352.6999999999998</v>
          </cell>
          <cell r="CX125">
            <v>495.4</v>
          </cell>
          <cell r="CY125">
            <v>495.4</v>
          </cell>
          <cell r="CZ125">
            <v>495.4</v>
          </cell>
          <cell r="DA125">
            <v>658.09999999999991</v>
          </cell>
          <cell r="DB125">
            <v>495.4</v>
          </cell>
          <cell r="DC125">
            <v>495.4</v>
          </cell>
          <cell r="DD125">
            <v>495.4</v>
          </cell>
          <cell r="DE125">
            <v>495.4</v>
          </cell>
          <cell r="DF125">
            <v>2350.8000000000002</v>
          </cell>
          <cell r="DG125">
            <v>1491.9</v>
          </cell>
          <cell r="DH125">
            <v>529.19999999999993</v>
          </cell>
          <cell r="DI125">
            <v>1197.3</v>
          </cell>
          <cell r="DJ125">
            <v>5196.5</v>
          </cell>
          <cell r="DK125">
            <v>495.4</v>
          </cell>
          <cell r="DL125">
            <v>495.4</v>
          </cell>
          <cell r="DM125">
            <v>979</v>
          </cell>
          <cell r="DN125">
            <v>495.4</v>
          </cell>
          <cell r="DO125">
            <v>495.4</v>
          </cell>
          <cell r="DP125">
            <v>495.4</v>
          </cell>
          <cell r="DQ125">
            <v>616.6</v>
          </cell>
          <cell r="DR125">
            <v>495.4</v>
          </cell>
          <cell r="DS125">
            <v>1274.3</v>
          </cell>
          <cell r="DT125">
            <v>507.2</v>
          </cell>
          <cell r="DU125">
            <v>999</v>
          </cell>
          <cell r="DV125">
            <v>609.4</v>
          </cell>
          <cell r="DW125">
            <v>1642.4</v>
          </cell>
          <cell r="EA125">
            <v>513.79999999999995</v>
          </cell>
          <cell r="EB125">
            <v>513.79999999999995</v>
          </cell>
          <cell r="EC125">
            <v>2711</v>
          </cell>
          <cell r="ED125">
            <v>513.79999999999995</v>
          </cell>
          <cell r="EE125">
            <v>578.19999999999993</v>
          </cell>
          <cell r="EF125">
            <v>3472</v>
          </cell>
          <cell r="EG125">
            <v>513.79999999999995</v>
          </cell>
          <cell r="EH125">
            <v>513.79999999999995</v>
          </cell>
          <cell r="EI125">
            <v>1049.4000000000001</v>
          </cell>
          <cell r="EJ125">
            <v>513.79999999999995</v>
          </cell>
          <cell r="EK125">
            <v>513.79999999999995</v>
          </cell>
          <cell r="EL125">
            <v>513.79999999999995</v>
          </cell>
          <cell r="EM125">
            <v>513.79999999999995</v>
          </cell>
          <cell r="EN125">
            <v>513.79999999999995</v>
          </cell>
          <cell r="EO125">
            <v>513.79999999999995</v>
          </cell>
          <cell r="EP125">
            <v>513.79999999999995</v>
          </cell>
          <cell r="EQ125">
            <v>513.79999999999995</v>
          </cell>
          <cell r="ER125">
            <v>513.79999999999995</v>
          </cell>
          <cell r="ES125">
            <v>740.5</v>
          </cell>
          <cell r="ET125">
            <v>833.3</v>
          </cell>
          <cell r="EV125">
            <v>513.79999999999995</v>
          </cell>
          <cell r="EW125">
            <v>649.29999999999995</v>
          </cell>
          <cell r="EX125">
            <v>776.9</v>
          </cell>
          <cell r="EY125">
            <v>591.69999999999993</v>
          </cell>
          <cell r="EZ125">
            <v>655.09999999999991</v>
          </cell>
          <cell r="FA125">
            <v>903.5</v>
          </cell>
          <cell r="FB125">
            <v>513.79999999999995</v>
          </cell>
          <cell r="FC125">
            <v>513.79999999999995</v>
          </cell>
          <cell r="FD125">
            <v>1508.6999999999998</v>
          </cell>
          <cell r="FE125">
            <v>1474.6999999999998</v>
          </cell>
          <cell r="FF125">
            <v>1138.3</v>
          </cell>
          <cell r="FG125">
            <v>1900</v>
          </cell>
          <cell r="FH125">
            <v>513.79999999999995</v>
          </cell>
          <cell r="FI125">
            <v>1496.4</v>
          </cell>
          <cell r="FJ125">
            <v>513.79999999999995</v>
          </cell>
          <cell r="FK125">
            <v>513.79999999999995</v>
          </cell>
          <cell r="FL125">
            <v>513.79999999999995</v>
          </cell>
          <cell r="FM125">
            <v>668.4</v>
          </cell>
          <cell r="FN125">
            <v>513.79999999999995</v>
          </cell>
          <cell r="FO125">
            <v>513.79999999999995</v>
          </cell>
          <cell r="FP125">
            <v>513.79999999999995</v>
          </cell>
          <cell r="FQ125">
            <v>513.79999999999995</v>
          </cell>
          <cell r="FR125">
            <v>513.79999999999995</v>
          </cell>
          <cell r="FS125">
            <v>513.79999999999995</v>
          </cell>
          <cell r="FT125">
            <v>557.69999999999993</v>
          </cell>
          <cell r="FU125">
            <v>1158.8999999999999</v>
          </cell>
          <cell r="FV125">
            <v>4900</v>
          </cell>
          <cell r="FW125">
            <v>513.79999999999995</v>
          </cell>
          <cell r="FX125">
            <v>513.79999999999995</v>
          </cell>
          <cell r="FY125">
            <v>976.5</v>
          </cell>
          <cell r="FZ125">
            <v>513.79999999999995</v>
          </cell>
          <cell r="GA125">
            <v>513.79999999999995</v>
          </cell>
          <cell r="GB125">
            <v>513.79999999999995</v>
          </cell>
          <cell r="GC125">
            <v>630.4</v>
          </cell>
          <cell r="GD125">
            <v>513.79999999999995</v>
          </cell>
          <cell r="GE125">
            <v>1478.9</v>
          </cell>
          <cell r="GF125">
            <v>513.79999999999995</v>
          </cell>
          <cell r="GG125">
            <v>513.79999999999995</v>
          </cell>
          <cell r="GH125">
            <v>513.79999999999995</v>
          </cell>
          <cell r="GI125">
            <v>513.79999999999995</v>
          </cell>
        </row>
        <row r="126">
          <cell r="BO126"/>
          <cell r="BP126"/>
          <cell r="BQ126">
            <v>1925.4</v>
          </cell>
          <cell r="BR126"/>
          <cell r="BS126">
            <v>63</v>
          </cell>
          <cell r="BT126">
            <v>1636.8</v>
          </cell>
          <cell r="BU126"/>
          <cell r="BV126"/>
          <cell r="BW126">
            <v>543.29999999999995</v>
          </cell>
          <cell r="BX126"/>
          <cell r="BY126">
            <v>970.9</v>
          </cell>
          <cell r="BZ126"/>
          <cell r="CA126">
            <v>458.8</v>
          </cell>
          <cell r="CB126">
            <v>441.9</v>
          </cell>
          <cell r="CC126">
            <v>51.7</v>
          </cell>
          <cell r="CD126"/>
          <cell r="CE126"/>
          <cell r="CF126"/>
          <cell r="CG126">
            <v>190.1</v>
          </cell>
          <cell r="CH126">
            <v>311.89999999999998</v>
          </cell>
          <cell r="CI126">
            <v>495.4</v>
          </cell>
          <cell r="CK126">
            <v>142.80000000000001</v>
          </cell>
          <cell r="CL126">
            <v>252.5</v>
          </cell>
          <cell r="CM126">
            <v>71.3</v>
          </cell>
          <cell r="CN126">
            <v>146</v>
          </cell>
          <cell r="CO126">
            <v>354.6</v>
          </cell>
          <cell r="CP126"/>
          <cell r="CQ126"/>
          <cell r="CR126">
            <v>931.2</v>
          </cell>
          <cell r="CS126">
            <v>745.4</v>
          </cell>
          <cell r="CT126">
            <v>522.4</v>
          </cell>
          <cell r="CU126">
            <v>1374.6</v>
          </cell>
          <cell r="CV126"/>
          <cell r="CW126">
            <v>857.3</v>
          </cell>
          <cell r="CX126"/>
          <cell r="CY126"/>
          <cell r="CZ126"/>
          <cell r="DA126">
            <v>162.69999999999999</v>
          </cell>
          <cell r="DB126"/>
          <cell r="DC126"/>
          <cell r="DD126"/>
          <cell r="DE126"/>
          <cell r="DF126">
            <v>1855.4</v>
          </cell>
          <cell r="DG126">
            <v>996.5</v>
          </cell>
          <cell r="DH126">
            <v>33.799999999999997</v>
          </cell>
          <cell r="DI126">
            <v>701.9</v>
          </cell>
          <cell r="DJ126">
            <v>4701.1000000000004</v>
          </cell>
          <cell r="DK126"/>
          <cell r="DL126"/>
          <cell r="DM126">
            <v>483.6</v>
          </cell>
          <cell r="DN126"/>
          <cell r="DO126"/>
          <cell r="DP126"/>
          <cell r="DQ126">
            <v>121.2</v>
          </cell>
          <cell r="DR126"/>
          <cell r="DS126">
            <v>778.9</v>
          </cell>
          <cell r="DT126">
            <v>11.8</v>
          </cell>
          <cell r="DU126">
            <v>503.6</v>
          </cell>
          <cell r="DV126">
            <v>114</v>
          </cell>
          <cell r="DW126">
            <v>1147</v>
          </cell>
          <cell r="EA126"/>
          <cell r="EB126"/>
          <cell r="EC126">
            <v>2197.1999999999998</v>
          </cell>
          <cell r="ED126"/>
          <cell r="EE126">
            <v>64.400000000000006</v>
          </cell>
          <cell r="EF126">
            <v>2958.2</v>
          </cell>
          <cell r="EG126"/>
          <cell r="EH126"/>
          <cell r="EI126">
            <v>535.6</v>
          </cell>
          <cell r="EJ126"/>
          <cell r="EK126"/>
          <cell r="EL126"/>
          <cell r="EM126"/>
          <cell r="EN126"/>
          <cell r="EO126"/>
          <cell r="EP126"/>
          <cell r="EQ126"/>
          <cell r="ER126"/>
          <cell r="ES126">
            <v>226.7</v>
          </cell>
          <cell r="ET126">
            <v>319.5</v>
          </cell>
          <cell r="EU126">
            <v>513.79999999999995</v>
          </cell>
          <cell r="EV126"/>
          <cell r="EW126">
            <v>135.5</v>
          </cell>
          <cell r="EX126">
            <v>263.10000000000002</v>
          </cell>
          <cell r="EY126">
            <v>77.900000000000006</v>
          </cell>
          <cell r="EZ126">
            <v>141.30000000000001</v>
          </cell>
          <cell r="FA126">
            <v>389.7</v>
          </cell>
          <cell r="FB126"/>
          <cell r="FC126"/>
          <cell r="FD126">
            <v>994.9</v>
          </cell>
          <cell r="FE126">
            <v>960.9</v>
          </cell>
          <cell r="FF126">
            <v>624.5</v>
          </cell>
          <cell r="FG126">
            <v>1386.2</v>
          </cell>
          <cell r="FH126"/>
          <cell r="FI126">
            <v>982.6</v>
          </cell>
          <cell r="FJ126"/>
          <cell r="FK126"/>
          <cell r="FL126"/>
          <cell r="FM126">
            <v>154.6</v>
          </cell>
          <cell r="FN126"/>
          <cell r="FO126"/>
          <cell r="FP126"/>
          <cell r="FQ126"/>
          <cell r="FR126"/>
          <cell r="FS126"/>
          <cell r="FT126">
            <v>43.9</v>
          </cell>
          <cell r="FU126">
            <v>645.09999999999991</v>
          </cell>
          <cell r="FV126">
            <v>4386.2</v>
          </cell>
          <cell r="FW126"/>
          <cell r="FX126"/>
          <cell r="FY126">
            <v>462.7</v>
          </cell>
          <cell r="FZ126"/>
          <cell r="GA126"/>
          <cell r="GB126"/>
          <cell r="GC126">
            <v>116.6</v>
          </cell>
          <cell r="GD126"/>
          <cell r="GE126">
            <v>965.1</v>
          </cell>
          <cell r="GF126"/>
          <cell r="GG126"/>
          <cell r="GH126"/>
          <cell r="GI126"/>
        </row>
        <row r="127">
          <cell r="BO127">
            <v>142.80000000000001</v>
          </cell>
          <cell r="BP127">
            <v>142.80000000000001</v>
          </cell>
          <cell r="BQ127">
            <v>2068.2000000000003</v>
          </cell>
          <cell r="BR127">
            <v>142.80000000000001</v>
          </cell>
          <cell r="BS127">
            <v>205.8</v>
          </cell>
          <cell r="BT127">
            <v>1779.6</v>
          </cell>
          <cell r="BU127">
            <v>142.80000000000001</v>
          </cell>
          <cell r="BV127">
            <v>142.80000000000001</v>
          </cell>
          <cell r="BW127">
            <v>686.09999999999991</v>
          </cell>
          <cell r="BX127">
            <v>142.80000000000001</v>
          </cell>
          <cell r="BY127">
            <v>1113.7</v>
          </cell>
          <cell r="BZ127">
            <v>142.80000000000001</v>
          </cell>
          <cell r="CA127">
            <v>601.6</v>
          </cell>
          <cell r="CB127">
            <v>584.70000000000005</v>
          </cell>
          <cell r="CC127">
            <v>194.5</v>
          </cell>
          <cell r="CD127">
            <v>142.80000000000001</v>
          </cell>
          <cell r="CE127">
            <v>142.80000000000001</v>
          </cell>
          <cell r="CF127">
            <v>142.80000000000001</v>
          </cell>
          <cell r="CG127">
            <v>332.9</v>
          </cell>
          <cell r="CH127">
            <v>454.7</v>
          </cell>
          <cell r="CI127">
            <v>638.20000000000005</v>
          </cell>
          <cell r="CJ127">
            <v>142.80000000000001</v>
          </cell>
          <cell r="CL127">
            <v>395.3</v>
          </cell>
          <cell r="CM127">
            <v>214.10000000000002</v>
          </cell>
          <cell r="CN127">
            <v>288.8</v>
          </cell>
          <cell r="CO127">
            <v>497.40000000000003</v>
          </cell>
          <cell r="CP127">
            <v>142.80000000000001</v>
          </cell>
          <cell r="CQ127">
            <v>142.80000000000001</v>
          </cell>
          <cell r="CR127">
            <v>1074</v>
          </cell>
          <cell r="CS127">
            <v>888.2</v>
          </cell>
          <cell r="CT127">
            <v>665.2</v>
          </cell>
          <cell r="CU127">
            <v>1517.3999999999999</v>
          </cell>
          <cell r="CV127">
            <v>142.80000000000001</v>
          </cell>
          <cell r="CW127">
            <v>1000.0999999999999</v>
          </cell>
          <cell r="CX127">
            <v>142.80000000000001</v>
          </cell>
          <cell r="CY127">
            <v>142.80000000000001</v>
          </cell>
          <cell r="CZ127">
            <v>142.80000000000001</v>
          </cell>
          <cell r="DA127">
            <v>305.5</v>
          </cell>
          <cell r="DB127">
            <v>142.80000000000001</v>
          </cell>
          <cell r="DC127">
            <v>142.80000000000001</v>
          </cell>
          <cell r="DD127">
            <v>142.80000000000001</v>
          </cell>
          <cell r="DE127">
            <v>142.80000000000001</v>
          </cell>
          <cell r="DF127">
            <v>1998.2</v>
          </cell>
          <cell r="DG127">
            <v>1139.3</v>
          </cell>
          <cell r="DH127">
            <v>176.60000000000002</v>
          </cell>
          <cell r="DI127">
            <v>844.7</v>
          </cell>
          <cell r="DJ127">
            <v>4843.9000000000005</v>
          </cell>
          <cell r="DK127">
            <v>142.80000000000001</v>
          </cell>
          <cell r="DL127">
            <v>142.80000000000001</v>
          </cell>
          <cell r="DM127">
            <v>626.40000000000009</v>
          </cell>
          <cell r="DN127">
            <v>142.80000000000001</v>
          </cell>
          <cell r="DO127">
            <v>142.80000000000001</v>
          </cell>
          <cell r="DP127">
            <v>142.80000000000001</v>
          </cell>
          <cell r="DQ127">
            <v>264</v>
          </cell>
          <cell r="DR127">
            <v>142.80000000000001</v>
          </cell>
          <cell r="DS127">
            <v>921.7</v>
          </cell>
          <cell r="DT127">
            <v>154.60000000000002</v>
          </cell>
          <cell r="DU127">
            <v>646.40000000000009</v>
          </cell>
          <cell r="DV127">
            <v>256.8</v>
          </cell>
          <cell r="DW127">
            <v>1289.8</v>
          </cell>
          <cell r="EA127">
            <v>135.5</v>
          </cell>
          <cell r="EB127">
            <v>135.5</v>
          </cell>
          <cell r="EC127">
            <v>2332.6999999999998</v>
          </cell>
          <cell r="ED127">
            <v>135.5</v>
          </cell>
          <cell r="EE127">
            <v>199.9</v>
          </cell>
          <cell r="EF127">
            <v>3093.7</v>
          </cell>
          <cell r="EG127">
            <v>135.5</v>
          </cell>
          <cell r="EH127">
            <v>135.5</v>
          </cell>
          <cell r="EI127">
            <v>671.1</v>
          </cell>
          <cell r="EJ127">
            <v>135.5</v>
          </cell>
          <cell r="EK127">
            <v>135.5</v>
          </cell>
          <cell r="EL127">
            <v>135.5</v>
          </cell>
          <cell r="EM127">
            <v>135.5</v>
          </cell>
          <cell r="EN127">
            <v>135.5</v>
          </cell>
          <cell r="EO127">
            <v>135.5</v>
          </cell>
          <cell r="EP127">
            <v>135.5</v>
          </cell>
          <cell r="EQ127">
            <v>135.5</v>
          </cell>
          <cell r="ER127">
            <v>135.5</v>
          </cell>
          <cell r="ES127">
            <v>362.2</v>
          </cell>
          <cell r="ET127">
            <v>455</v>
          </cell>
          <cell r="EU127">
            <v>649.29999999999995</v>
          </cell>
          <cell r="EV127">
            <v>135.5</v>
          </cell>
          <cell r="EX127">
            <v>398.6</v>
          </cell>
          <cell r="EY127">
            <v>213.4</v>
          </cell>
          <cell r="EZ127">
            <v>276.8</v>
          </cell>
          <cell r="FA127">
            <v>525.20000000000005</v>
          </cell>
          <cell r="FB127">
            <v>135.5</v>
          </cell>
          <cell r="FC127">
            <v>135.5</v>
          </cell>
          <cell r="FD127">
            <v>1130.4000000000001</v>
          </cell>
          <cell r="FE127">
            <v>1096.4000000000001</v>
          </cell>
          <cell r="FF127">
            <v>760</v>
          </cell>
          <cell r="FG127">
            <v>1521.7</v>
          </cell>
          <cell r="FH127">
            <v>135.5</v>
          </cell>
          <cell r="FI127">
            <v>1118.0999999999999</v>
          </cell>
          <cell r="FJ127">
            <v>135.5</v>
          </cell>
          <cell r="FK127">
            <v>135.5</v>
          </cell>
          <cell r="FL127">
            <v>135.5</v>
          </cell>
          <cell r="FM127">
            <v>290.10000000000002</v>
          </cell>
          <cell r="FN127">
            <v>135.5</v>
          </cell>
          <cell r="FO127">
            <v>135.5</v>
          </cell>
          <cell r="FP127">
            <v>135.5</v>
          </cell>
          <cell r="FQ127">
            <v>135.5</v>
          </cell>
          <cell r="FR127">
            <v>135.5</v>
          </cell>
          <cell r="FS127">
            <v>135.5</v>
          </cell>
          <cell r="FT127">
            <v>179.4</v>
          </cell>
          <cell r="FU127">
            <v>780.59999999999991</v>
          </cell>
          <cell r="FV127">
            <v>4521.7</v>
          </cell>
          <cell r="FW127">
            <v>135.5</v>
          </cell>
          <cell r="FX127">
            <v>135.5</v>
          </cell>
          <cell r="FY127">
            <v>598.20000000000005</v>
          </cell>
          <cell r="FZ127">
            <v>135.5</v>
          </cell>
          <cell r="GA127">
            <v>135.5</v>
          </cell>
          <cell r="GB127">
            <v>135.5</v>
          </cell>
          <cell r="GC127">
            <v>252.1</v>
          </cell>
          <cell r="GD127">
            <v>135.5</v>
          </cell>
          <cell r="GE127">
            <v>1100.5999999999999</v>
          </cell>
          <cell r="GF127">
            <v>135.5</v>
          </cell>
          <cell r="GG127">
            <v>135.5</v>
          </cell>
          <cell r="GH127">
            <v>135.5</v>
          </cell>
          <cell r="GI127">
            <v>135.5</v>
          </cell>
        </row>
        <row r="128">
          <cell r="BO128">
            <v>252.5</v>
          </cell>
          <cell r="BP128">
            <v>252.5</v>
          </cell>
          <cell r="BQ128">
            <v>2177.9</v>
          </cell>
          <cell r="BR128">
            <v>252.5</v>
          </cell>
          <cell r="BS128">
            <v>315.5</v>
          </cell>
          <cell r="BT128">
            <v>1889.3</v>
          </cell>
          <cell r="BU128">
            <v>252.5</v>
          </cell>
          <cell r="BV128">
            <v>252.5</v>
          </cell>
          <cell r="BW128">
            <v>795.8</v>
          </cell>
          <cell r="BX128">
            <v>252.5</v>
          </cell>
          <cell r="BY128">
            <v>1223.4000000000001</v>
          </cell>
          <cell r="BZ128">
            <v>252.5</v>
          </cell>
          <cell r="CA128">
            <v>711.3</v>
          </cell>
          <cell r="CB128">
            <v>694.4</v>
          </cell>
          <cell r="CC128">
            <v>304.2</v>
          </cell>
          <cell r="CD128">
            <v>252.5</v>
          </cell>
          <cell r="CE128">
            <v>252.5</v>
          </cell>
          <cell r="CF128">
            <v>252.5</v>
          </cell>
          <cell r="CG128">
            <v>442.6</v>
          </cell>
          <cell r="CH128">
            <v>564.4</v>
          </cell>
          <cell r="CI128">
            <v>747.9</v>
          </cell>
          <cell r="CJ128">
            <v>252.5</v>
          </cell>
          <cell r="CK128">
            <v>395.3</v>
          </cell>
          <cell r="CM128">
            <v>323.8</v>
          </cell>
          <cell r="CN128">
            <v>398.5</v>
          </cell>
          <cell r="CO128">
            <v>607.1</v>
          </cell>
          <cell r="CP128">
            <v>252.5</v>
          </cell>
          <cell r="CQ128">
            <v>252.5</v>
          </cell>
          <cell r="CR128">
            <v>1183.7</v>
          </cell>
          <cell r="CS128">
            <v>997.9</v>
          </cell>
          <cell r="CT128">
            <v>774.9</v>
          </cell>
          <cell r="CU128">
            <v>1627.1</v>
          </cell>
          <cell r="CV128">
            <v>252.5</v>
          </cell>
          <cell r="CW128">
            <v>1109.8</v>
          </cell>
          <cell r="CX128">
            <v>252.5</v>
          </cell>
          <cell r="CY128">
            <v>252.5</v>
          </cell>
          <cell r="CZ128">
            <v>252.5</v>
          </cell>
          <cell r="DA128">
            <v>415.2</v>
          </cell>
          <cell r="DB128">
            <v>252.5</v>
          </cell>
          <cell r="DC128">
            <v>252.5</v>
          </cell>
          <cell r="DD128">
            <v>252.5</v>
          </cell>
          <cell r="DE128">
            <v>252.5</v>
          </cell>
          <cell r="DF128">
            <v>2107.9</v>
          </cell>
          <cell r="DG128">
            <v>1249</v>
          </cell>
          <cell r="DH128">
            <v>286.3</v>
          </cell>
          <cell r="DI128">
            <v>954.4</v>
          </cell>
          <cell r="DJ128">
            <v>4953.6000000000004</v>
          </cell>
          <cell r="DK128">
            <v>252.5</v>
          </cell>
          <cell r="DL128">
            <v>252.5</v>
          </cell>
          <cell r="DM128">
            <v>736.1</v>
          </cell>
          <cell r="DN128">
            <v>252.5</v>
          </cell>
          <cell r="DO128">
            <v>252.5</v>
          </cell>
          <cell r="DP128">
            <v>252.5</v>
          </cell>
          <cell r="DQ128">
            <v>373.7</v>
          </cell>
          <cell r="DR128">
            <v>252.5</v>
          </cell>
          <cell r="DS128">
            <v>1031.4000000000001</v>
          </cell>
          <cell r="DT128">
            <v>264.3</v>
          </cell>
          <cell r="DU128">
            <v>756.1</v>
          </cell>
          <cell r="DV128">
            <v>366.5</v>
          </cell>
          <cell r="DW128">
            <v>1399.5</v>
          </cell>
          <cell r="EA128">
            <v>263.10000000000002</v>
          </cell>
          <cell r="EB128">
            <v>263.10000000000002</v>
          </cell>
          <cell r="EC128">
            <v>2460.2999999999997</v>
          </cell>
          <cell r="ED128">
            <v>263.10000000000002</v>
          </cell>
          <cell r="EE128">
            <v>327.5</v>
          </cell>
          <cell r="EF128">
            <v>3221.2999999999997</v>
          </cell>
          <cell r="EG128">
            <v>263.10000000000002</v>
          </cell>
          <cell r="EH128">
            <v>263.10000000000002</v>
          </cell>
          <cell r="EI128">
            <v>798.7</v>
          </cell>
          <cell r="EJ128">
            <v>263.10000000000002</v>
          </cell>
          <cell r="EK128">
            <v>263.10000000000002</v>
          </cell>
          <cell r="EL128">
            <v>263.10000000000002</v>
          </cell>
          <cell r="EM128">
            <v>263.10000000000002</v>
          </cell>
          <cell r="EN128">
            <v>263.10000000000002</v>
          </cell>
          <cell r="EO128">
            <v>263.10000000000002</v>
          </cell>
          <cell r="EP128">
            <v>263.10000000000002</v>
          </cell>
          <cell r="EQ128">
            <v>263.10000000000002</v>
          </cell>
          <cell r="ER128">
            <v>263.10000000000002</v>
          </cell>
          <cell r="ES128">
            <v>489.8</v>
          </cell>
          <cell r="ET128">
            <v>582.6</v>
          </cell>
          <cell r="EU128">
            <v>776.9</v>
          </cell>
          <cell r="EV128">
            <v>263.10000000000002</v>
          </cell>
          <cell r="EW128">
            <v>398.6</v>
          </cell>
          <cell r="EY128">
            <v>341</v>
          </cell>
          <cell r="EZ128">
            <v>404.40000000000003</v>
          </cell>
          <cell r="FA128">
            <v>652.79999999999995</v>
          </cell>
          <cell r="FB128">
            <v>263.10000000000002</v>
          </cell>
          <cell r="FC128">
            <v>263.10000000000002</v>
          </cell>
          <cell r="FD128">
            <v>1258</v>
          </cell>
          <cell r="FE128">
            <v>1224</v>
          </cell>
          <cell r="FF128">
            <v>887.6</v>
          </cell>
          <cell r="FG128">
            <v>1649.3000000000002</v>
          </cell>
          <cell r="FH128">
            <v>263.10000000000002</v>
          </cell>
          <cell r="FI128">
            <v>1245.7</v>
          </cell>
          <cell r="FJ128">
            <v>263.10000000000002</v>
          </cell>
          <cell r="FK128">
            <v>263.10000000000002</v>
          </cell>
          <cell r="FL128">
            <v>263.10000000000002</v>
          </cell>
          <cell r="FM128">
            <v>417.70000000000005</v>
          </cell>
          <cell r="FN128">
            <v>263.10000000000002</v>
          </cell>
          <cell r="FO128">
            <v>263.10000000000002</v>
          </cell>
          <cell r="FP128">
            <v>263.10000000000002</v>
          </cell>
          <cell r="FQ128">
            <v>263.10000000000002</v>
          </cell>
          <cell r="FR128">
            <v>263.10000000000002</v>
          </cell>
          <cell r="FS128">
            <v>263.10000000000002</v>
          </cell>
          <cell r="FT128">
            <v>307</v>
          </cell>
          <cell r="FU128">
            <v>908.2</v>
          </cell>
          <cell r="FV128">
            <v>4649.3</v>
          </cell>
          <cell r="FW128">
            <v>263.10000000000002</v>
          </cell>
          <cell r="FX128">
            <v>263.10000000000002</v>
          </cell>
          <cell r="FY128">
            <v>725.8</v>
          </cell>
          <cell r="FZ128">
            <v>263.10000000000002</v>
          </cell>
          <cell r="GA128">
            <v>263.10000000000002</v>
          </cell>
          <cell r="GB128">
            <v>263.10000000000002</v>
          </cell>
          <cell r="GC128">
            <v>379.70000000000005</v>
          </cell>
          <cell r="GD128">
            <v>263.10000000000002</v>
          </cell>
          <cell r="GE128">
            <v>1228.2</v>
          </cell>
          <cell r="GF128">
            <v>263.10000000000002</v>
          </cell>
          <cell r="GG128">
            <v>263.10000000000002</v>
          </cell>
          <cell r="GH128">
            <v>263.10000000000002</v>
          </cell>
          <cell r="GI128">
            <v>263.10000000000002</v>
          </cell>
        </row>
        <row r="129">
          <cell r="BO129">
            <v>71.3</v>
          </cell>
          <cell r="BP129">
            <v>71.3</v>
          </cell>
          <cell r="BQ129">
            <v>1996.7</v>
          </cell>
          <cell r="BR129">
            <v>71.3</v>
          </cell>
          <cell r="BS129">
            <v>134.30000000000001</v>
          </cell>
          <cell r="BT129">
            <v>1708.1</v>
          </cell>
          <cell r="BU129">
            <v>71.3</v>
          </cell>
          <cell r="BV129">
            <v>71.3</v>
          </cell>
          <cell r="BW129">
            <v>614.59999999999991</v>
          </cell>
          <cell r="BX129">
            <v>71.3</v>
          </cell>
          <cell r="BY129">
            <v>1042.2</v>
          </cell>
          <cell r="BZ129">
            <v>71.3</v>
          </cell>
          <cell r="CA129">
            <v>530.1</v>
          </cell>
          <cell r="CB129">
            <v>513.19999999999993</v>
          </cell>
          <cell r="CC129">
            <v>123</v>
          </cell>
          <cell r="CD129">
            <v>71.3</v>
          </cell>
          <cell r="CE129">
            <v>71.3</v>
          </cell>
          <cell r="CF129">
            <v>71.3</v>
          </cell>
          <cell r="CG129">
            <v>261.39999999999998</v>
          </cell>
          <cell r="CH129">
            <v>383.2</v>
          </cell>
          <cell r="CI129">
            <v>566.69999999999993</v>
          </cell>
          <cell r="CJ129">
            <v>71.3</v>
          </cell>
          <cell r="CK129">
            <v>214.10000000000002</v>
          </cell>
          <cell r="CL129">
            <v>323.8</v>
          </cell>
          <cell r="CN129">
            <v>217.3</v>
          </cell>
          <cell r="CO129">
            <v>425.90000000000003</v>
          </cell>
          <cell r="CP129">
            <v>71.3</v>
          </cell>
          <cell r="CQ129">
            <v>71.3</v>
          </cell>
          <cell r="CR129">
            <v>1002.5</v>
          </cell>
          <cell r="CS129">
            <v>816.69999999999993</v>
          </cell>
          <cell r="CT129">
            <v>593.69999999999993</v>
          </cell>
          <cell r="CU129">
            <v>1445.8999999999999</v>
          </cell>
          <cell r="CV129">
            <v>71.3</v>
          </cell>
          <cell r="CW129">
            <v>928.59999999999991</v>
          </cell>
          <cell r="CX129">
            <v>71.3</v>
          </cell>
          <cell r="CY129">
            <v>71.3</v>
          </cell>
          <cell r="CZ129">
            <v>71.3</v>
          </cell>
          <cell r="DA129">
            <v>234</v>
          </cell>
          <cell r="DB129">
            <v>71.3</v>
          </cell>
          <cell r="DC129">
            <v>71.3</v>
          </cell>
          <cell r="DD129">
            <v>71.3</v>
          </cell>
          <cell r="DE129">
            <v>71.3</v>
          </cell>
          <cell r="DF129">
            <v>1926.7</v>
          </cell>
          <cell r="DG129">
            <v>1067.8</v>
          </cell>
          <cell r="DH129">
            <v>105.1</v>
          </cell>
          <cell r="DI129">
            <v>773.19999999999993</v>
          </cell>
          <cell r="DJ129">
            <v>4772.4000000000005</v>
          </cell>
          <cell r="DK129">
            <v>71.3</v>
          </cell>
          <cell r="DL129">
            <v>71.3</v>
          </cell>
          <cell r="DM129">
            <v>554.9</v>
          </cell>
          <cell r="DN129">
            <v>71.3</v>
          </cell>
          <cell r="DO129">
            <v>71.3</v>
          </cell>
          <cell r="DP129">
            <v>71.3</v>
          </cell>
          <cell r="DQ129">
            <v>192.5</v>
          </cell>
          <cell r="DR129">
            <v>71.3</v>
          </cell>
          <cell r="DS129">
            <v>850.19999999999993</v>
          </cell>
          <cell r="DT129">
            <v>83.1</v>
          </cell>
          <cell r="DU129">
            <v>574.9</v>
          </cell>
          <cell r="DV129">
            <v>185.3</v>
          </cell>
          <cell r="DW129">
            <v>1218.3</v>
          </cell>
          <cell r="EA129">
            <v>77.900000000000006</v>
          </cell>
          <cell r="EB129">
            <v>77.900000000000006</v>
          </cell>
          <cell r="EC129">
            <v>2275.1</v>
          </cell>
          <cell r="ED129">
            <v>77.900000000000006</v>
          </cell>
          <cell r="EE129">
            <v>142.30000000000001</v>
          </cell>
          <cell r="EF129">
            <v>3036.1</v>
          </cell>
          <cell r="EG129">
            <v>77.900000000000006</v>
          </cell>
          <cell r="EH129">
            <v>77.900000000000006</v>
          </cell>
          <cell r="EI129">
            <v>613.5</v>
          </cell>
          <cell r="EJ129">
            <v>77.900000000000006</v>
          </cell>
          <cell r="EK129">
            <v>77.900000000000006</v>
          </cell>
          <cell r="EL129">
            <v>77.900000000000006</v>
          </cell>
          <cell r="EM129">
            <v>77.900000000000006</v>
          </cell>
          <cell r="EN129">
            <v>77.900000000000006</v>
          </cell>
          <cell r="EO129">
            <v>77.900000000000006</v>
          </cell>
          <cell r="EP129">
            <v>77.900000000000006</v>
          </cell>
          <cell r="EQ129">
            <v>77.900000000000006</v>
          </cell>
          <cell r="ER129">
            <v>77.900000000000006</v>
          </cell>
          <cell r="ES129">
            <v>304.60000000000002</v>
          </cell>
          <cell r="ET129">
            <v>397.4</v>
          </cell>
          <cell r="EU129">
            <v>591.69999999999993</v>
          </cell>
          <cell r="EV129">
            <v>77.900000000000006</v>
          </cell>
          <cell r="EW129">
            <v>213.4</v>
          </cell>
          <cell r="EX129">
            <v>341</v>
          </cell>
          <cell r="EZ129">
            <v>219.20000000000002</v>
          </cell>
          <cell r="FA129">
            <v>467.6</v>
          </cell>
          <cell r="FB129">
            <v>77.900000000000006</v>
          </cell>
          <cell r="FC129">
            <v>77.900000000000006</v>
          </cell>
          <cell r="FD129">
            <v>1072.8</v>
          </cell>
          <cell r="FE129">
            <v>1038.8</v>
          </cell>
          <cell r="FF129">
            <v>702.4</v>
          </cell>
          <cell r="FG129">
            <v>1464.1000000000001</v>
          </cell>
          <cell r="FH129">
            <v>77.900000000000006</v>
          </cell>
          <cell r="FI129">
            <v>1060.5</v>
          </cell>
          <cell r="FJ129">
            <v>77.900000000000006</v>
          </cell>
          <cell r="FK129">
            <v>77.900000000000006</v>
          </cell>
          <cell r="FL129">
            <v>77.900000000000006</v>
          </cell>
          <cell r="FM129">
            <v>232.5</v>
          </cell>
          <cell r="FN129">
            <v>77.900000000000006</v>
          </cell>
          <cell r="FO129">
            <v>77.900000000000006</v>
          </cell>
          <cell r="FP129">
            <v>77.900000000000006</v>
          </cell>
          <cell r="FQ129">
            <v>77.900000000000006</v>
          </cell>
          <cell r="FR129">
            <v>77.900000000000006</v>
          </cell>
          <cell r="FS129">
            <v>77.900000000000006</v>
          </cell>
          <cell r="FT129">
            <v>121.80000000000001</v>
          </cell>
          <cell r="FU129">
            <v>723</v>
          </cell>
          <cell r="FV129">
            <v>4464.1000000000004</v>
          </cell>
          <cell r="FW129">
            <v>77.900000000000006</v>
          </cell>
          <cell r="FX129">
            <v>77.900000000000006</v>
          </cell>
          <cell r="FY129">
            <v>540.6</v>
          </cell>
          <cell r="FZ129">
            <v>77.900000000000006</v>
          </cell>
          <cell r="GA129">
            <v>77.900000000000006</v>
          </cell>
          <cell r="GB129">
            <v>77.900000000000006</v>
          </cell>
          <cell r="GC129">
            <v>194.5</v>
          </cell>
          <cell r="GD129">
            <v>77.900000000000006</v>
          </cell>
          <cell r="GE129">
            <v>1043</v>
          </cell>
          <cell r="GF129">
            <v>77.900000000000006</v>
          </cell>
          <cell r="GG129">
            <v>77.900000000000006</v>
          </cell>
          <cell r="GH129">
            <v>77.900000000000006</v>
          </cell>
          <cell r="GI129">
            <v>77.900000000000006</v>
          </cell>
        </row>
        <row r="130">
          <cell r="BO130">
            <v>146</v>
          </cell>
          <cell r="BP130">
            <v>146</v>
          </cell>
          <cell r="BQ130">
            <v>2071.4</v>
          </cell>
          <cell r="BR130">
            <v>146</v>
          </cell>
          <cell r="BS130">
            <v>209</v>
          </cell>
          <cell r="BT130">
            <v>1782.8</v>
          </cell>
          <cell r="BU130">
            <v>146</v>
          </cell>
          <cell r="BV130">
            <v>146</v>
          </cell>
          <cell r="BW130">
            <v>689.3</v>
          </cell>
          <cell r="BX130">
            <v>146</v>
          </cell>
          <cell r="BY130">
            <v>1116.9000000000001</v>
          </cell>
          <cell r="BZ130">
            <v>146</v>
          </cell>
          <cell r="CA130">
            <v>604.79999999999995</v>
          </cell>
          <cell r="CB130">
            <v>587.9</v>
          </cell>
          <cell r="CC130">
            <v>197.7</v>
          </cell>
          <cell r="CD130">
            <v>146</v>
          </cell>
          <cell r="CE130">
            <v>146</v>
          </cell>
          <cell r="CF130">
            <v>146</v>
          </cell>
          <cell r="CG130">
            <v>336.1</v>
          </cell>
          <cell r="CH130">
            <v>457.9</v>
          </cell>
          <cell r="CI130">
            <v>641.4</v>
          </cell>
          <cell r="CJ130">
            <v>146</v>
          </cell>
          <cell r="CK130">
            <v>288.8</v>
          </cell>
          <cell r="CL130">
            <v>398.5</v>
          </cell>
          <cell r="CM130">
            <v>217.3</v>
          </cell>
          <cell r="CO130">
            <v>500.6</v>
          </cell>
          <cell r="CP130">
            <v>146</v>
          </cell>
          <cell r="CQ130">
            <v>146</v>
          </cell>
          <cell r="CR130">
            <v>1077.2</v>
          </cell>
          <cell r="CS130">
            <v>891.4</v>
          </cell>
          <cell r="CT130">
            <v>668.4</v>
          </cell>
          <cell r="CU130">
            <v>1520.6</v>
          </cell>
          <cell r="CV130">
            <v>146</v>
          </cell>
          <cell r="CW130">
            <v>1003.3</v>
          </cell>
          <cell r="CX130">
            <v>146</v>
          </cell>
          <cell r="CY130">
            <v>146</v>
          </cell>
          <cell r="CZ130">
            <v>146</v>
          </cell>
          <cell r="DA130">
            <v>308.7</v>
          </cell>
          <cell r="DB130">
            <v>146</v>
          </cell>
          <cell r="DC130">
            <v>146</v>
          </cell>
          <cell r="DD130">
            <v>146</v>
          </cell>
          <cell r="DE130">
            <v>146</v>
          </cell>
          <cell r="DF130">
            <v>2001.4</v>
          </cell>
          <cell r="DG130">
            <v>1142.5</v>
          </cell>
          <cell r="DH130">
            <v>179.8</v>
          </cell>
          <cell r="DI130">
            <v>847.9</v>
          </cell>
          <cell r="DJ130">
            <v>4701.1000000000004</v>
          </cell>
          <cell r="DK130">
            <v>146</v>
          </cell>
          <cell r="DL130">
            <v>146</v>
          </cell>
          <cell r="DM130">
            <v>629.6</v>
          </cell>
          <cell r="DN130">
            <v>146</v>
          </cell>
          <cell r="DO130">
            <v>146</v>
          </cell>
          <cell r="DP130">
            <v>146</v>
          </cell>
          <cell r="DQ130">
            <v>267.2</v>
          </cell>
          <cell r="DR130">
            <v>146</v>
          </cell>
          <cell r="DS130">
            <v>924.9</v>
          </cell>
          <cell r="DT130">
            <v>157.80000000000001</v>
          </cell>
          <cell r="DU130">
            <v>649.6</v>
          </cell>
          <cell r="DV130">
            <v>260</v>
          </cell>
          <cell r="DW130">
            <v>1293</v>
          </cell>
          <cell r="EA130">
            <v>141.30000000000001</v>
          </cell>
          <cell r="EB130">
            <v>141.30000000000001</v>
          </cell>
          <cell r="EC130">
            <v>2338.5</v>
          </cell>
          <cell r="ED130">
            <v>141.30000000000001</v>
          </cell>
          <cell r="EE130">
            <v>205.70000000000002</v>
          </cell>
          <cell r="EF130">
            <v>3099.5</v>
          </cell>
          <cell r="EG130">
            <v>141.30000000000001</v>
          </cell>
          <cell r="EH130">
            <v>141.30000000000001</v>
          </cell>
          <cell r="EI130">
            <v>676.90000000000009</v>
          </cell>
          <cell r="EJ130">
            <v>141.30000000000001</v>
          </cell>
          <cell r="EK130">
            <v>141.30000000000001</v>
          </cell>
          <cell r="EL130">
            <v>141.30000000000001</v>
          </cell>
          <cell r="EM130">
            <v>141.30000000000001</v>
          </cell>
          <cell r="EN130">
            <v>141.30000000000001</v>
          </cell>
          <cell r="EO130">
            <v>141.30000000000001</v>
          </cell>
          <cell r="EP130">
            <v>141.30000000000001</v>
          </cell>
          <cell r="EQ130">
            <v>141.30000000000001</v>
          </cell>
          <cell r="ER130">
            <v>141.30000000000001</v>
          </cell>
          <cell r="ES130">
            <v>368</v>
          </cell>
          <cell r="ET130">
            <v>460.8</v>
          </cell>
          <cell r="EU130">
            <v>655.09999999999991</v>
          </cell>
          <cell r="EV130">
            <v>141.30000000000001</v>
          </cell>
          <cell r="EW130">
            <v>276.8</v>
          </cell>
          <cell r="EX130">
            <v>404.40000000000003</v>
          </cell>
          <cell r="EY130">
            <v>219.20000000000002</v>
          </cell>
          <cell r="FA130">
            <v>531</v>
          </cell>
          <cell r="FB130">
            <v>141.30000000000001</v>
          </cell>
          <cell r="FC130">
            <v>141.30000000000001</v>
          </cell>
          <cell r="FD130">
            <v>1136.2</v>
          </cell>
          <cell r="FE130">
            <v>1102.2</v>
          </cell>
          <cell r="FF130">
            <v>765.8</v>
          </cell>
          <cell r="FG130">
            <v>1527.5</v>
          </cell>
          <cell r="FH130">
            <v>141.30000000000001</v>
          </cell>
          <cell r="FI130">
            <v>1123.9000000000001</v>
          </cell>
          <cell r="FJ130">
            <v>141.30000000000001</v>
          </cell>
          <cell r="FK130">
            <v>141.30000000000001</v>
          </cell>
          <cell r="FL130">
            <v>141.30000000000001</v>
          </cell>
          <cell r="FM130">
            <v>295.89999999999998</v>
          </cell>
          <cell r="FN130">
            <v>141.30000000000001</v>
          </cell>
          <cell r="FO130">
            <v>141.30000000000001</v>
          </cell>
          <cell r="FP130">
            <v>141.30000000000001</v>
          </cell>
          <cell r="FQ130">
            <v>141.30000000000001</v>
          </cell>
          <cell r="FR130">
            <v>141.30000000000001</v>
          </cell>
          <cell r="FS130">
            <v>141.30000000000001</v>
          </cell>
          <cell r="FT130">
            <v>185.20000000000002</v>
          </cell>
          <cell r="FU130">
            <v>786.4</v>
          </cell>
          <cell r="FV130">
            <v>4527.5</v>
          </cell>
          <cell r="FW130">
            <v>141.30000000000001</v>
          </cell>
          <cell r="FX130">
            <v>141.30000000000001</v>
          </cell>
          <cell r="FY130">
            <v>604</v>
          </cell>
          <cell r="FZ130">
            <v>141.30000000000001</v>
          </cell>
          <cell r="GA130">
            <v>141.30000000000001</v>
          </cell>
          <cell r="GB130">
            <v>141.30000000000001</v>
          </cell>
          <cell r="GC130">
            <v>257.89999999999998</v>
          </cell>
          <cell r="GD130">
            <v>141.30000000000001</v>
          </cell>
          <cell r="GE130">
            <v>1106.4000000000001</v>
          </cell>
          <cell r="GF130">
            <v>141.30000000000001</v>
          </cell>
          <cell r="GG130">
            <v>141.30000000000001</v>
          </cell>
          <cell r="GH130">
            <v>141.30000000000001</v>
          </cell>
          <cell r="GI130">
            <v>141.30000000000001</v>
          </cell>
        </row>
        <row r="131">
          <cell r="BO131">
            <v>354.6</v>
          </cell>
          <cell r="BP131">
            <v>354.6</v>
          </cell>
          <cell r="BQ131">
            <v>2280</v>
          </cell>
          <cell r="BR131">
            <v>354.6</v>
          </cell>
          <cell r="BS131">
            <v>417.6</v>
          </cell>
          <cell r="BT131">
            <v>1991.4</v>
          </cell>
          <cell r="BU131">
            <v>354.6</v>
          </cell>
          <cell r="BV131">
            <v>354.6</v>
          </cell>
          <cell r="BW131">
            <v>897.9</v>
          </cell>
          <cell r="BX131">
            <v>354.6</v>
          </cell>
          <cell r="BY131">
            <v>1325.5</v>
          </cell>
          <cell r="BZ131">
            <v>354.6</v>
          </cell>
          <cell r="CA131">
            <v>813.40000000000009</v>
          </cell>
          <cell r="CB131">
            <v>796.5</v>
          </cell>
          <cell r="CC131">
            <v>406.3</v>
          </cell>
          <cell r="CD131">
            <v>354.6</v>
          </cell>
          <cell r="CE131">
            <v>354.6</v>
          </cell>
          <cell r="CF131">
            <v>354.6</v>
          </cell>
          <cell r="CG131">
            <v>544.70000000000005</v>
          </cell>
          <cell r="CH131">
            <v>666.5</v>
          </cell>
          <cell r="CI131">
            <v>850</v>
          </cell>
          <cell r="CJ131">
            <v>354.6</v>
          </cell>
          <cell r="CK131">
            <v>497.40000000000003</v>
          </cell>
          <cell r="CL131">
            <v>607.1</v>
          </cell>
          <cell r="CM131">
            <v>425.90000000000003</v>
          </cell>
          <cell r="CN131">
            <v>500.6</v>
          </cell>
          <cell r="CP131">
            <v>354.6</v>
          </cell>
          <cell r="CQ131">
            <v>354.6</v>
          </cell>
          <cell r="CR131">
            <v>1285.8000000000002</v>
          </cell>
          <cell r="CS131">
            <v>1100</v>
          </cell>
          <cell r="CT131">
            <v>877</v>
          </cell>
          <cell r="CU131">
            <v>1729.1999999999998</v>
          </cell>
          <cell r="CV131">
            <v>354.6</v>
          </cell>
          <cell r="CW131">
            <v>1211.9000000000001</v>
          </cell>
          <cell r="CX131">
            <v>354.6</v>
          </cell>
          <cell r="CY131">
            <v>354.6</v>
          </cell>
          <cell r="CZ131">
            <v>354.6</v>
          </cell>
          <cell r="DA131">
            <v>517.29999999999995</v>
          </cell>
          <cell r="DB131">
            <v>354.6</v>
          </cell>
          <cell r="DC131">
            <v>354.6</v>
          </cell>
          <cell r="DD131">
            <v>354.6</v>
          </cell>
          <cell r="DE131">
            <v>354.6</v>
          </cell>
          <cell r="DF131">
            <v>2210</v>
          </cell>
          <cell r="DG131">
            <v>1351.1</v>
          </cell>
          <cell r="DH131">
            <v>388.40000000000003</v>
          </cell>
          <cell r="DI131">
            <v>1056.5</v>
          </cell>
          <cell r="DJ131">
            <v>5055.7000000000007</v>
          </cell>
          <cell r="DK131">
            <v>354.6</v>
          </cell>
          <cell r="DL131">
            <v>354.6</v>
          </cell>
          <cell r="DM131">
            <v>838.2</v>
          </cell>
          <cell r="DN131">
            <v>354.6</v>
          </cell>
          <cell r="DO131">
            <v>354.6</v>
          </cell>
          <cell r="DP131">
            <v>354.6</v>
          </cell>
          <cell r="DQ131">
            <v>475.8</v>
          </cell>
          <cell r="DR131">
            <v>354.6</v>
          </cell>
          <cell r="DS131">
            <v>1133.5</v>
          </cell>
          <cell r="DT131">
            <v>366.40000000000003</v>
          </cell>
          <cell r="DU131">
            <v>858.2</v>
          </cell>
          <cell r="DV131">
            <v>468.6</v>
          </cell>
          <cell r="DW131">
            <v>1501.6</v>
          </cell>
          <cell r="EA131">
            <v>389.7</v>
          </cell>
          <cell r="EB131">
            <v>389.7</v>
          </cell>
          <cell r="EC131">
            <v>2586.8999999999996</v>
          </cell>
          <cell r="ED131">
            <v>389.7</v>
          </cell>
          <cell r="EE131">
            <v>454.1</v>
          </cell>
          <cell r="EF131">
            <v>3347.8999999999996</v>
          </cell>
          <cell r="EG131">
            <v>389.7</v>
          </cell>
          <cell r="EH131">
            <v>389.7</v>
          </cell>
          <cell r="EI131">
            <v>925.3</v>
          </cell>
          <cell r="EJ131">
            <v>389.7</v>
          </cell>
          <cell r="EK131">
            <v>389.7</v>
          </cell>
          <cell r="EL131">
            <v>389.7</v>
          </cell>
          <cell r="EM131">
            <v>389.7</v>
          </cell>
          <cell r="EN131">
            <v>389.7</v>
          </cell>
          <cell r="EO131">
            <v>389.7</v>
          </cell>
          <cell r="EP131">
            <v>389.7</v>
          </cell>
          <cell r="EQ131">
            <v>389.7</v>
          </cell>
          <cell r="ER131">
            <v>389.7</v>
          </cell>
          <cell r="ES131">
            <v>616.4</v>
          </cell>
          <cell r="ET131">
            <v>709.2</v>
          </cell>
          <cell r="EU131">
            <v>903.5</v>
          </cell>
          <cell r="EV131">
            <v>389.7</v>
          </cell>
          <cell r="EW131">
            <v>525.20000000000005</v>
          </cell>
          <cell r="EX131">
            <v>652.79999999999995</v>
          </cell>
          <cell r="EY131">
            <v>467.6</v>
          </cell>
          <cell r="EZ131">
            <v>531</v>
          </cell>
          <cell r="FB131">
            <v>389.7</v>
          </cell>
          <cell r="FC131">
            <v>389.7</v>
          </cell>
          <cell r="FD131">
            <v>1384.6</v>
          </cell>
          <cell r="FE131">
            <v>1350.6</v>
          </cell>
          <cell r="FF131">
            <v>1014.2</v>
          </cell>
          <cell r="FG131">
            <v>1775.9</v>
          </cell>
          <cell r="FH131">
            <v>389.7</v>
          </cell>
          <cell r="FI131">
            <v>1372.3</v>
          </cell>
          <cell r="FJ131">
            <v>389.7</v>
          </cell>
          <cell r="FK131">
            <v>389.7</v>
          </cell>
          <cell r="FL131">
            <v>389.7</v>
          </cell>
          <cell r="FM131">
            <v>544.29999999999995</v>
          </cell>
          <cell r="FN131">
            <v>389.7</v>
          </cell>
          <cell r="FO131">
            <v>389.7</v>
          </cell>
          <cell r="FP131">
            <v>389.7</v>
          </cell>
          <cell r="FQ131">
            <v>389.7</v>
          </cell>
          <cell r="FR131">
            <v>389.7</v>
          </cell>
          <cell r="FS131">
            <v>389.7</v>
          </cell>
          <cell r="FT131">
            <v>433.59999999999997</v>
          </cell>
          <cell r="FU131">
            <v>1034.8</v>
          </cell>
          <cell r="FV131">
            <v>4775.8999999999996</v>
          </cell>
          <cell r="FW131">
            <v>389.7</v>
          </cell>
          <cell r="FX131">
            <v>389.7</v>
          </cell>
          <cell r="FY131">
            <v>852.4</v>
          </cell>
          <cell r="FZ131">
            <v>389.7</v>
          </cell>
          <cell r="GA131">
            <v>389.7</v>
          </cell>
          <cell r="GB131">
            <v>389.7</v>
          </cell>
          <cell r="GC131">
            <v>506.29999999999995</v>
          </cell>
          <cell r="GD131">
            <v>389.7</v>
          </cell>
          <cell r="GE131">
            <v>1354.8</v>
          </cell>
          <cell r="GF131">
            <v>389.7</v>
          </cell>
          <cell r="GG131">
            <v>389.7</v>
          </cell>
          <cell r="GH131">
            <v>389.7</v>
          </cell>
          <cell r="GI131">
            <v>389.7</v>
          </cell>
        </row>
        <row r="132">
          <cell r="BO132"/>
          <cell r="BP132"/>
          <cell r="BQ132">
            <v>1925.4</v>
          </cell>
          <cell r="BR132"/>
          <cell r="BS132">
            <v>63</v>
          </cell>
          <cell r="BT132">
            <v>1636.8</v>
          </cell>
          <cell r="BU132"/>
          <cell r="BV132"/>
          <cell r="BW132">
            <v>543.29999999999995</v>
          </cell>
          <cell r="BX132"/>
          <cell r="BY132">
            <v>970.9</v>
          </cell>
          <cell r="BZ132"/>
          <cell r="CA132">
            <v>458.8</v>
          </cell>
          <cell r="CB132">
            <v>441.9</v>
          </cell>
          <cell r="CC132">
            <v>51.7</v>
          </cell>
          <cell r="CD132"/>
          <cell r="CE132"/>
          <cell r="CF132"/>
          <cell r="CG132">
            <v>190.1</v>
          </cell>
          <cell r="CH132">
            <v>311.89999999999998</v>
          </cell>
          <cell r="CI132">
            <v>495.4</v>
          </cell>
          <cell r="CJ132"/>
          <cell r="CK132">
            <v>142.80000000000001</v>
          </cell>
          <cell r="CL132">
            <v>252.5</v>
          </cell>
          <cell r="CM132">
            <v>71.3</v>
          </cell>
          <cell r="CN132">
            <v>146</v>
          </cell>
          <cell r="CO132">
            <v>354.6</v>
          </cell>
          <cell r="CQ132"/>
          <cell r="CR132">
            <v>931.2</v>
          </cell>
          <cell r="CS132">
            <v>745.4</v>
          </cell>
          <cell r="CT132">
            <v>522.4</v>
          </cell>
          <cell r="CU132">
            <v>1374.6</v>
          </cell>
          <cell r="CV132"/>
          <cell r="CW132">
            <v>857.3</v>
          </cell>
          <cell r="CX132"/>
          <cell r="CY132"/>
          <cell r="CZ132"/>
          <cell r="DA132">
            <v>162.69999999999999</v>
          </cell>
          <cell r="DB132"/>
          <cell r="DC132"/>
          <cell r="DD132"/>
          <cell r="DE132"/>
          <cell r="DF132">
            <v>1855.4</v>
          </cell>
          <cell r="DG132">
            <v>996.5</v>
          </cell>
          <cell r="DH132">
            <v>33.799999999999997</v>
          </cell>
          <cell r="DI132">
            <v>701.9</v>
          </cell>
          <cell r="DJ132">
            <v>4701.1000000000004</v>
          </cell>
          <cell r="DK132"/>
          <cell r="DL132"/>
          <cell r="DM132">
            <v>483.6</v>
          </cell>
          <cell r="DN132"/>
          <cell r="DO132"/>
          <cell r="DP132"/>
          <cell r="DQ132">
            <v>121.2</v>
          </cell>
          <cell r="DR132"/>
          <cell r="DS132">
            <v>778.9</v>
          </cell>
          <cell r="DT132">
            <v>11.8</v>
          </cell>
          <cell r="DU132">
            <v>503.6</v>
          </cell>
          <cell r="DV132">
            <v>114</v>
          </cell>
          <cell r="DW132">
            <v>1147</v>
          </cell>
          <cell r="EA132"/>
          <cell r="EB132"/>
          <cell r="EC132">
            <v>2197.1999999999998</v>
          </cell>
          <cell r="ED132"/>
          <cell r="EE132">
            <v>64.400000000000006</v>
          </cell>
          <cell r="EF132">
            <v>2958.2</v>
          </cell>
          <cell r="EG132"/>
          <cell r="EH132"/>
          <cell r="EI132">
            <v>535.6</v>
          </cell>
          <cell r="EJ132"/>
          <cell r="EK132"/>
          <cell r="EL132"/>
          <cell r="EM132"/>
          <cell r="EN132"/>
          <cell r="EO132"/>
          <cell r="EP132"/>
          <cell r="EQ132"/>
          <cell r="ER132"/>
          <cell r="ES132">
            <v>226.7</v>
          </cell>
          <cell r="ET132">
            <v>319.5</v>
          </cell>
          <cell r="EU132">
            <v>513.79999999999995</v>
          </cell>
          <cell r="EV132"/>
          <cell r="EW132">
            <v>135.5</v>
          </cell>
          <cell r="EX132">
            <v>263.10000000000002</v>
          </cell>
          <cell r="EY132">
            <v>77.900000000000006</v>
          </cell>
          <cell r="EZ132">
            <v>141.30000000000001</v>
          </cell>
          <cell r="FA132">
            <v>389.7</v>
          </cell>
          <cell r="FB132"/>
          <cell r="FC132"/>
          <cell r="FD132">
            <v>994.9</v>
          </cell>
          <cell r="FE132">
            <v>960.9</v>
          </cell>
          <cell r="FF132">
            <v>624.5</v>
          </cell>
          <cell r="FG132">
            <v>1386.2</v>
          </cell>
          <cell r="FH132"/>
          <cell r="FI132">
            <v>982.6</v>
          </cell>
          <cell r="FJ132"/>
          <cell r="FK132"/>
          <cell r="FL132"/>
          <cell r="FM132">
            <v>154.6</v>
          </cell>
          <cell r="FN132"/>
          <cell r="FO132"/>
          <cell r="FP132"/>
          <cell r="FQ132"/>
          <cell r="FR132"/>
          <cell r="FS132"/>
          <cell r="FT132">
            <v>43.9</v>
          </cell>
          <cell r="FU132">
            <v>645.09999999999991</v>
          </cell>
          <cell r="FV132">
            <v>4386.2</v>
          </cell>
          <cell r="FW132"/>
          <cell r="FX132"/>
          <cell r="FY132">
            <v>462.7</v>
          </cell>
          <cell r="FZ132"/>
          <cell r="GA132"/>
          <cell r="GB132"/>
          <cell r="GC132">
            <v>116.6</v>
          </cell>
          <cell r="GD132"/>
          <cell r="GE132">
            <v>965.1</v>
          </cell>
          <cell r="GF132"/>
          <cell r="GG132"/>
          <cell r="GH132"/>
          <cell r="GI132"/>
        </row>
        <row r="133">
          <cell r="BO133"/>
          <cell r="BP133"/>
          <cell r="BQ133">
            <v>1925.4</v>
          </cell>
          <cell r="BR133"/>
          <cell r="BS133">
            <v>63</v>
          </cell>
          <cell r="BT133">
            <v>1636.8</v>
          </cell>
          <cell r="BU133"/>
          <cell r="BV133"/>
          <cell r="BW133">
            <v>543.29999999999995</v>
          </cell>
          <cell r="BX133"/>
          <cell r="BY133">
            <v>970.9</v>
          </cell>
          <cell r="BZ133"/>
          <cell r="CA133">
            <v>458.8</v>
          </cell>
          <cell r="CB133">
            <v>441.9</v>
          </cell>
          <cell r="CC133">
            <v>51.7</v>
          </cell>
          <cell r="CD133"/>
          <cell r="CE133"/>
          <cell r="CF133"/>
          <cell r="CG133">
            <v>190.1</v>
          </cell>
          <cell r="CH133">
            <v>311.89999999999998</v>
          </cell>
          <cell r="CI133">
            <v>495.4</v>
          </cell>
          <cell r="CJ133"/>
          <cell r="CL133">
            <v>252.5</v>
          </cell>
          <cell r="CM133">
            <v>71.3</v>
          </cell>
          <cell r="CN133">
            <v>146</v>
          </cell>
          <cell r="CO133">
            <v>354.6</v>
          </cell>
          <cell r="CP133"/>
          <cell r="CR133">
            <v>931.2</v>
          </cell>
          <cell r="CS133">
            <v>745.4</v>
          </cell>
          <cell r="CT133">
            <v>522.4</v>
          </cell>
          <cell r="CU133">
            <v>1374.6</v>
          </cell>
          <cell r="CV133"/>
          <cell r="CW133">
            <v>857.3</v>
          </cell>
          <cell r="CX133"/>
          <cell r="CY133"/>
          <cell r="CZ133"/>
          <cell r="DA133">
            <v>162.69999999999999</v>
          </cell>
          <cell r="DB133"/>
          <cell r="DC133"/>
          <cell r="DD133"/>
          <cell r="DE133"/>
          <cell r="DF133">
            <v>1855.4</v>
          </cell>
          <cell r="DG133">
            <v>996.5</v>
          </cell>
          <cell r="DH133">
            <v>33.799999999999997</v>
          </cell>
          <cell r="DI133">
            <v>701.9</v>
          </cell>
          <cell r="DJ133">
            <v>4701.1000000000004</v>
          </cell>
          <cell r="DK133"/>
          <cell r="DL133"/>
          <cell r="DM133">
            <v>483.6</v>
          </cell>
          <cell r="DN133"/>
          <cell r="DO133"/>
          <cell r="DP133"/>
          <cell r="DQ133">
            <v>121.2</v>
          </cell>
          <cell r="DR133"/>
          <cell r="DS133">
            <v>778.9</v>
          </cell>
          <cell r="DT133">
            <v>11.8</v>
          </cell>
          <cell r="DU133">
            <v>503.6</v>
          </cell>
          <cell r="DV133">
            <v>114</v>
          </cell>
          <cell r="DW133">
            <v>1147</v>
          </cell>
          <cell r="EA133"/>
          <cell r="EB133"/>
          <cell r="EC133">
            <v>2197.1999999999998</v>
          </cell>
          <cell r="ED133"/>
          <cell r="EE133">
            <v>64.400000000000006</v>
          </cell>
          <cell r="EF133">
            <v>2958.2</v>
          </cell>
          <cell r="EG133"/>
          <cell r="EH133"/>
          <cell r="EI133">
            <v>535.6</v>
          </cell>
          <cell r="EJ133"/>
          <cell r="EK133"/>
          <cell r="EL133"/>
          <cell r="EM133"/>
          <cell r="EN133"/>
          <cell r="EO133"/>
          <cell r="EP133"/>
          <cell r="EQ133"/>
          <cell r="ER133"/>
          <cell r="ES133">
            <v>226.7</v>
          </cell>
          <cell r="ET133">
            <v>319.5</v>
          </cell>
          <cell r="EU133">
            <v>513.79999999999995</v>
          </cell>
          <cell r="EV133"/>
          <cell r="EW133">
            <v>135.5</v>
          </cell>
          <cell r="EX133">
            <v>263.10000000000002</v>
          </cell>
          <cell r="EY133">
            <v>77.900000000000006</v>
          </cell>
          <cell r="EZ133">
            <v>141.30000000000001</v>
          </cell>
          <cell r="FA133">
            <v>389.7</v>
          </cell>
          <cell r="FB133"/>
          <cell r="FC133"/>
          <cell r="FD133">
            <v>994.9</v>
          </cell>
          <cell r="FE133">
            <v>960.9</v>
          </cell>
          <cell r="FF133">
            <v>624.5</v>
          </cell>
          <cell r="FG133">
            <v>1386.2</v>
          </cell>
          <cell r="FH133"/>
          <cell r="FI133">
            <v>982.6</v>
          </cell>
          <cell r="FJ133"/>
          <cell r="FK133"/>
          <cell r="FL133"/>
          <cell r="FM133">
            <v>154.6</v>
          </cell>
          <cell r="FN133"/>
          <cell r="FO133"/>
          <cell r="FP133"/>
          <cell r="FQ133"/>
          <cell r="FR133"/>
          <cell r="FS133"/>
          <cell r="FT133">
            <v>43.9</v>
          </cell>
          <cell r="FU133">
            <v>645.09999999999991</v>
          </cell>
          <cell r="FV133">
            <v>4386.2</v>
          </cell>
          <cell r="FW133"/>
          <cell r="FX133"/>
          <cell r="FY133">
            <v>462.7</v>
          </cell>
          <cell r="FZ133"/>
          <cell r="GA133"/>
          <cell r="GB133"/>
          <cell r="GC133">
            <v>116.6</v>
          </cell>
          <cell r="GD133"/>
          <cell r="GE133">
            <v>965.1</v>
          </cell>
          <cell r="GF133"/>
          <cell r="GG133"/>
          <cell r="GH133"/>
          <cell r="GI133"/>
        </row>
        <row r="134">
          <cell r="BO134">
            <v>931.2</v>
          </cell>
          <cell r="BP134">
            <v>931.2</v>
          </cell>
          <cell r="BQ134">
            <v>2856.6000000000004</v>
          </cell>
          <cell r="BR134">
            <v>931.2</v>
          </cell>
          <cell r="BS134">
            <v>994.2</v>
          </cell>
          <cell r="BT134">
            <v>2568</v>
          </cell>
          <cell r="BU134">
            <v>931.2</v>
          </cell>
          <cell r="BV134">
            <v>931.2</v>
          </cell>
          <cell r="BW134">
            <v>1474.5</v>
          </cell>
          <cell r="BX134">
            <v>931.2</v>
          </cell>
          <cell r="BY134">
            <v>1902.1</v>
          </cell>
          <cell r="BZ134">
            <v>931.2</v>
          </cell>
          <cell r="CA134">
            <v>1390</v>
          </cell>
          <cell r="CB134">
            <v>1373.1</v>
          </cell>
          <cell r="CC134">
            <v>982.90000000000009</v>
          </cell>
          <cell r="CD134">
            <v>931.2</v>
          </cell>
          <cell r="CE134">
            <v>931.2</v>
          </cell>
          <cell r="CF134">
            <v>931.2</v>
          </cell>
          <cell r="CG134">
            <v>1121.3</v>
          </cell>
          <cell r="CH134">
            <v>1243.0999999999999</v>
          </cell>
          <cell r="CI134">
            <v>1426.6</v>
          </cell>
          <cell r="CJ134">
            <v>931.2</v>
          </cell>
          <cell r="CK134">
            <v>1074</v>
          </cell>
          <cell r="CL134">
            <v>1183.7</v>
          </cell>
          <cell r="CM134">
            <v>1002.5</v>
          </cell>
          <cell r="CN134">
            <v>1077.2</v>
          </cell>
          <cell r="CO134">
            <v>1285.8000000000002</v>
          </cell>
          <cell r="CP134">
            <v>931.2</v>
          </cell>
          <cell r="CQ134">
            <v>931.2</v>
          </cell>
          <cell r="CS134">
            <v>1676.6</v>
          </cell>
          <cell r="CT134">
            <v>1453.6</v>
          </cell>
          <cell r="CU134">
            <v>2305.8000000000002</v>
          </cell>
          <cell r="CV134">
            <v>931.2</v>
          </cell>
          <cell r="CW134">
            <v>1788.5</v>
          </cell>
          <cell r="CX134">
            <v>931.2</v>
          </cell>
          <cell r="CY134">
            <v>931.2</v>
          </cell>
          <cell r="CZ134">
            <v>931.2</v>
          </cell>
          <cell r="DA134">
            <v>1093.9000000000001</v>
          </cell>
          <cell r="DB134">
            <v>931.2</v>
          </cell>
          <cell r="DC134">
            <v>931.2</v>
          </cell>
          <cell r="DD134">
            <v>931.2</v>
          </cell>
          <cell r="DE134">
            <v>931.2</v>
          </cell>
          <cell r="DF134">
            <v>2786.6000000000004</v>
          </cell>
          <cell r="DG134">
            <v>1927.7</v>
          </cell>
          <cell r="DH134">
            <v>965</v>
          </cell>
          <cell r="DI134">
            <v>1633.1</v>
          </cell>
          <cell r="DJ134">
            <v>5632.3</v>
          </cell>
          <cell r="DK134">
            <v>931.2</v>
          </cell>
          <cell r="DL134">
            <v>931.2</v>
          </cell>
          <cell r="DM134">
            <v>1414.8000000000002</v>
          </cell>
          <cell r="DN134">
            <v>931.2</v>
          </cell>
          <cell r="DO134">
            <v>931.2</v>
          </cell>
          <cell r="DP134">
            <v>931.2</v>
          </cell>
          <cell r="DQ134">
            <v>1052.4000000000001</v>
          </cell>
          <cell r="DR134">
            <v>931.2</v>
          </cell>
          <cell r="DS134">
            <v>1710.1</v>
          </cell>
          <cell r="DT134">
            <v>943</v>
          </cell>
          <cell r="DU134">
            <v>1434.8000000000002</v>
          </cell>
          <cell r="DV134">
            <v>1045.2</v>
          </cell>
          <cell r="DW134">
            <v>2078.1999999999998</v>
          </cell>
          <cell r="EA134">
            <v>994.90000000000009</v>
          </cell>
          <cell r="EB134">
            <v>994.90000000000009</v>
          </cell>
          <cell r="EC134">
            <v>3192.1</v>
          </cell>
          <cell r="ED134">
            <v>994.90000000000009</v>
          </cell>
          <cell r="EE134">
            <v>1059.3000000000002</v>
          </cell>
          <cell r="EF134">
            <v>3953.1</v>
          </cell>
          <cell r="EG134">
            <v>994.90000000000009</v>
          </cell>
          <cell r="EH134">
            <v>994.90000000000009</v>
          </cell>
          <cell r="EI134">
            <v>1530.5</v>
          </cell>
          <cell r="EJ134">
            <v>994.90000000000009</v>
          </cell>
          <cell r="EK134">
            <v>994.90000000000009</v>
          </cell>
          <cell r="EL134">
            <v>994.90000000000009</v>
          </cell>
          <cell r="EM134">
            <v>994.90000000000009</v>
          </cell>
          <cell r="EN134">
            <v>994.90000000000009</v>
          </cell>
          <cell r="EO134">
            <v>994.90000000000009</v>
          </cell>
          <cell r="EP134">
            <v>994.90000000000009</v>
          </cell>
          <cell r="EQ134">
            <v>994.90000000000009</v>
          </cell>
          <cell r="ER134">
            <v>994.90000000000009</v>
          </cell>
          <cell r="ES134">
            <v>1221.6000000000001</v>
          </cell>
          <cell r="ET134">
            <v>1314.4</v>
          </cell>
          <cell r="EU134">
            <v>1508.7</v>
          </cell>
          <cell r="EV134">
            <v>994.90000000000009</v>
          </cell>
          <cell r="EW134">
            <v>1130.4000000000001</v>
          </cell>
          <cell r="EX134">
            <v>1258</v>
          </cell>
          <cell r="EY134">
            <v>1072.8000000000002</v>
          </cell>
          <cell r="EZ134">
            <v>1136.2</v>
          </cell>
          <cell r="FA134">
            <v>1384.6000000000001</v>
          </cell>
          <cell r="FB134">
            <v>994.90000000000009</v>
          </cell>
          <cell r="FC134">
            <v>994.90000000000009</v>
          </cell>
          <cell r="FE134">
            <v>1955.8000000000002</v>
          </cell>
          <cell r="FF134">
            <v>1619.4</v>
          </cell>
          <cell r="FG134">
            <v>2381.1000000000004</v>
          </cell>
          <cell r="FH134">
            <v>994.90000000000009</v>
          </cell>
          <cell r="FI134">
            <v>1977.5</v>
          </cell>
          <cell r="FJ134">
            <v>994.90000000000009</v>
          </cell>
          <cell r="FK134">
            <v>994.90000000000009</v>
          </cell>
          <cell r="FL134">
            <v>994.90000000000009</v>
          </cell>
          <cell r="FM134">
            <v>1149.5</v>
          </cell>
          <cell r="FN134">
            <v>994.90000000000009</v>
          </cell>
          <cell r="FO134">
            <v>994.90000000000009</v>
          </cell>
          <cell r="FP134">
            <v>994.90000000000009</v>
          </cell>
          <cell r="FQ134">
            <v>994.90000000000009</v>
          </cell>
          <cell r="FR134">
            <v>994.90000000000009</v>
          </cell>
          <cell r="FS134">
            <v>994.90000000000009</v>
          </cell>
          <cell r="FT134">
            <v>1038.8000000000002</v>
          </cell>
          <cell r="FU134">
            <v>1640</v>
          </cell>
          <cell r="FV134">
            <v>5381.1</v>
          </cell>
          <cell r="FW134">
            <v>994.90000000000009</v>
          </cell>
          <cell r="FX134">
            <v>994.90000000000009</v>
          </cell>
          <cell r="FY134">
            <v>1457.6000000000001</v>
          </cell>
          <cell r="FZ134">
            <v>994.90000000000009</v>
          </cell>
          <cell r="GA134">
            <v>994.90000000000009</v>
          </cell>
          <cell r="GB134">
            <v>994.90000000000009</v>
          </cell>
          <cell r="GC134">
            <v>1111.5</v>
          </cell>
          <cell r="GD134">
            <v>994.90000000000009</v>
          </cell>
          <cell r="GE134">
            <v>1960</v>
          </cell>
          <cell r="GF134">
            <v>994.90000000000009</v>
          </cell>
          <cell r="GG134">
            <v>994.90000000000009</v>
          </cell>
          <cell r="GH134">
            <v>994.90000000000009</v>
          </cell>
          <cell r="GI134">
            <v>994.90000000000009</v>
          </cell>
        </row>
        <row r="135">
          <cell r="BO135">
            <v>745.4</v>
          </cell>
          <cell r="BP135">
            <v>745.4</v>
          </cell>
          <cell r="BQ135">
            <v>2670.8</v>
          </cell>
          <cell r="BR135">
            <v>745.4</v>
          </cell>
          <cell r="BS135">
            <v>808.4</v>
          </cell>
          <cell r="BT135">
            <v>2382.1999999999998</v>
          </cell>
          <cell r="BU135">
            <v>745.4</v>
          </cell>
          <cell r="BV135">
            <v>745.4</v>
          </cell>
          <cell r="BW135">
            <v>1288.6999999999998</v>
          </cell>
          <cell r="BX135">
            <v>745.4</v>
          </cell>
          <cell r="BY135">
            <v>1716.3</v>
          </cell>
          <cell r="BZ135">
            <v>745.4</v>
          </cell>
          <cell r="CA135">
            <v>1204.2</v>
          </cell>
          <cell r="CB135">
            <v>1187.3</v>
          </cell>
          <cell r="CC135">
            <v>797.1</v>
          </cell>
          <cell r="CD135">
            <v>745.4</v>
          </cell>
          <cell r="CE135">
            <v>745.4</v>
          </cell>
          <cell r="CF135">
            <v>745.4</v>
          </cell>
          <cell r="CG135">
            <v>935.5</v>
          </cell>
          <cell r="CH135">
            <v>1057.3</v>
          </cell>
          <cell r="CI135">
            <v>1240.8</v>
          </cell>
          <cell r="CJ135">
            <v>745.4</v>
          </cell>
          <cell r="CK135">
            <v>888.2</v>
          </cell>
          <cell r="CL135">
            <v>997.9</v>
          </cell>
          <cell r="CM135">
            <v>816.69999999999993</v>
          </cell>
          <cell r="CN135">
            <v>891.4</v>
          </cell>
          <cell r="CO135">
            <v>1100</v>
          </cell>
          <cell r="CP135">
            <v>745.4</v>
          </cell>
          <cell r="CQ135">
            <v>745.4</v>
          </cell>
          <cell r="CR135">
            <v>1676.6</v>
          </cell>
          <cell r="CT135">
            <v>1267.8</v>
          </cell>
          <cell r="CU135">
            <v>2120</v>
          </cell>
          <cell r="CV135">
            <v>745.4</v>
          </cell>
          <cell r="CW135">
            <v>1602.6999999999998</v>
          </cell>
          <cell r="CX135">
            <v>745.4</v>
          </cell>
          <cell r="CY135">
            <v>745.4</v>
          </cell>
          <cell r="CZ135">
            <v>745.4</v>
          </cell>
          <cell r="DA135">
            <v>908.09999999999991</v>
          </cell>
          <cell r="DB135">
            <v>745.4</v>
          </cell>
          <cell r="DC135">
            <v>745.4</v>
          </cell>
          <cell r="DD135">
            <v>745.4</v>
          </cell>
          <cell r="DE135">
            <v>745.4</v>
          </cell>
          <cell r="DF135">
            <v>2600.8000000000002</v>
          </cell>
          <cell r="DG135">
            <v>1741.9</v>
          </cell>
          <cell r="DH135">
            <v>779.19999999999993</v>
          </cell>
          <cell r="DI135">
            <v>1447.3</v>
          </cell>
          <cell r="DJ135">
            <v>5446.5</v>
          </cell>
          <cell r="DK135">
            <v>745.4</v>
          </cell>
          <cell r="DL135">
            <v>745.4</v>
          </cell>
          <cell r="DM135">
            <v>1229</v>
          </cell>
          <cell r="DN135">
            <v>745.4</v>
          </cell>
          <cell r="DO135">
            <v>745.4</v>
          </cell>
          <cell r="DP135">
            <v>745.4</v>
          </cell>
          <cell r="DQ135">
            <v>866.6</v>
          </cell>
          <cell r="DR135">
            <v>745.4</v>
          </cell>
          <cell r="DS135">
            <v>1524.3</v>
          </cell>
          <cell r="DT135">
            <v>757.19999999999993</v>
          </cell>
          <cell r="DU135">
            <v>1249</v>
          </cell>
          <cell r="DV135">
            <v>859.4</v>
          </cell>
          <cell r="DW135">
            <v>1892.4</v>
          </cell>
          <cell r="EA135">
            <v>960.90000000000009</v>
          </cell>
          <cell r="EB135">
            <v>960.90000000000009</v>
          </cell>
          <cell r="EC135">
            <v>3158.1</v>
          </cell>
          <cell r="ED135">
            <v>960.90000000000009</v>
          </cell>
          <cell r="EE135">
            <v>1025.3000000000002</v>
          </cell>
          <cell r="EF135">
            <v>3919.1</v>
          </cell>
          <cell r="EG135">
            <v>960.90000000000009</v>
          </cell>
          <cell r="EH135">
            <v>960.90000000000009</v>
          </cell>
          <cell r="EI135">
            <v>1496.5</v>
          </cell>
          <cell r="EJ135">
            <v>960.90000000000009</v>
          </cell>
          <cell r="EK135">
            <v>960.90000000000009</v>
          </cell>
          <cell r="EL135">
            <v>960.90000000000009</v>
          </cell>
          <cell r="EM135">
            <v>960.90000000000009</v>
          </cell>
          <cell r="EN135">
            <v>960.90000000000009</v>
          </cell>
          <cell r="EO135">
            <v>960.90000000000009</v>
          </cell>
          <cell r="EP135">
            <v>960.90000000000009</v>
          </cell>
          <cell r="EQ135">
            <v>960.90000000000009</v>
          </cell>
          <cell r="ER135">
            <v>960.90000000000009</v>
          </cell>
          <cell r="ES135">
            <v>1187.6000000000001</v>
          </cell>
          <cell r="ET135">
            <v>1280.4000000000001</v>
          </cell>
          <cell r="EU135">
            <v>1474.7</v>
          </cell>
          <cell r="EV135">
            <v>960.90000000000009</v>
          </cell>
          <cell r="EW135">
            <v>1096.4000000000001</v>
          </cell>
          <cell r="EX135">
            <v>1224</v>
          </cell>
          <cell r="EY135">
            <v>1038.8000000000002</v>
          </cell>
          <cell r="EZ135">
            <v>1102.2</v>
          </cell>
          <cell r="FA135">
            <v>1350.6000000000001</v>
          </cell>
          <cell r="FB135">
            <v>960.90000000000009</v>
          </cell>
          <cell r="FC135">
            <v>960.90000000000009</v>
          </cell>
          <cell r="FD135">
            <v>1955.8000000000002</v>
          </cell>
          <cell r="FF135">
            <v>1585.4</v>
          </cell>
          <cell r="FG135">
            <v>2347.1000000000004</v>
          </cell>
          <cell r="FH135">
            <v>960.90000000000009</v>
          </cell>
          <cell r="FI135">
            <v>1943.5</v>
          </cell>
          <cell r="FJ135">
            <v>960.90000000000009</v>
          </cell>
          <cell r="FK135">
            <v>960.90000000000009</v>
          </cell>
          <cell r="FL135">
            <v>960.90000000000009</v>
          </cell>
          <cell r="FM135">
            <v>1115.5</v>
          </cell>
          <cell r="FN135">
            <v>960.90000000000009</v>
          </cell>
          <cell r="FO135">
            <v>960.90000000000009</v>
          </cell>
          <cell r="FP135">
            <v>960.90000000000009</v>
          </cell>
          <cell r="FQ135">
            <v>960.90000000000009</v>
          </cell>
          <cell r="FR135">
            <v>960.90000000000009</v>
          </cell>
          <cell r="FS135">
            <v>960.90000000000009</v>
          </cell>
          <cell r="FT135">
            <v>1004.8000000000001</v>
          </cell>
          <cell r="FU135">
            <v>1606</v>
          </cell>
          <cell r="FV135">
            <v>5347.1</v>
          </cell>
          <cell r="FW135">
            <v>960.90000000000009</v>
          </cell>
          <cell r="FX135">
            <v>960.90000000000009</v>
          </cell>
          <cell r="FY135">
            <v>1423.6000000000001</v>
          </cell>
          <cell r="FZ135">
            <v>960.90000000000009</v>
          </cell>
          <cell r="GA135">
            <v>960.90000000000009</v>
          </cell>
          <cell r="GB135">
            <v>960.90000000000009</v>
          </cell>
          <cell r="GC135">
            <v>1077.5</v>
          </cell>
          <cell r="GD135">
            <v>960.90000000000009</v>
          </cell>
          <cell r="GE135">
            <v>1926</v>
          </cell>
          <cell r="GF135">
            <v>960.90000000000009</v>
          </cell>
          <cell r="GG135">
            <v>960.90000000000009</v>
          </cell>
          <cell r="GH135">
            <v>960.90000000000009</v>
          </cell>
          <cell r="GI135">
            <v>960.90000000000009</v>
          </cell>
        </row>
        <row r="136">
          <cell r="BO136">
            <v>522.4</v>
          </cell>
          <cell r="BP136">
            <v>522.4</v>
          </cell>
          <cell r="BQ136">
            <v>2447.8000000000002</v>
          </cell>
          <cell r="BR136">
            <v>522.4</v>
          </cell>
          <cell r="BS136">
            <v>585.4</v>
          </cell>
          <cell r="BT136">
            <v>2159.1999999999998</v>
          </cell>
          <cell r="BU136">
            <v>522.4</v>
          </cell>
          <cell r="BV136">
            <v>522.4</v>
          </cell>
          <cell r="BW136">
            <v>1065.6999999999998</v>
          </cell>
          <cell r="BX136">
            <v>522.4</v>
          </cell>
          <cell r="BY136">
            <v>1493.3</v>
          </cell>
          <cell r="BZ136">
            <v>522.4</v>
          </cell>
          <cell r="CA136">
            <v>981.2</v>
          </cell>
          <cell r="CB136">
            <v>964.3</v>
          </cell>
          <cell r="CC136">
            <v>574.1</v>
          </cell>
          <cell r="CD136">
            <v>522.4</v>
          </cell>
          <cell r="CE136">
            <v>522.4</v>
          </cell>
          <cell r="CF136">
            <v>522.4</v>
          </cell>
          <cell r="CG136">
            <v>712.5</v>
          </cell>
          <cell r="CH136">
            <v>834.3</v>
          </cell>
          <cell r="CI136">
            <v>1017.8</v>
          </cell>
          <cell r="CJ136">
            <v>522.4</v>
          </cell>
          <cell r="CK136">
            <v>665.2</v>
          </cell>
          <cell r="CL136">
            <v>774.9</v>
          </cell>
          <cell r="CM136">
            <v>593.69999999999993</v>
          </cell>
          <cell r="CN136">
            <v>668.4</v>
          </cell>
          <cell r="CO136">
            <v>877</v>
          </cell>
          <cell r="CP136">
            <v>522.4</v>
          </cell>
          <cell r="CQ136">
            <v>522.4</v>
          </cell>
          <cell r="CR136">
            <v>1453.6</v>
          </cell>
          <cell r="CS136">
            <v>1267.8</v>
          </cell>
          <cell r="CU136">
            <v>1897</v>
          </cell>
          <cell r="CV136">
            <v>522.4</v>
          </cell>
          <cell r="CW136">
            <v>1379.6999999999998</v>
          </cell>
          <cell r="CX136">
            <v>522.4</v>
          </cell>
          <cell r="CY136">
            <v>522.4</v>
          </cell>
          <cell r="CZ136">
            <v>522.4</v>
          </cell>
          <cell r="DA136">
            <v>685.09999999999991</v>
          </cell>
          <cell r="DB136">
            <v>522.4</v>
          </cell>
          <cell r="DC136">
            <v>522.4</v>
          </cell>
          <cell r="DD136">
            <v>522.4</v>
          </cell>
          <cell r="DE136">
            <v>522.4</v>
          </cell>
          <cell r="DF136">
            <v>2377.8000000000002</v>
          </cell>
          <cell r="DG136">
            <v>1518.9</v>
          </cell>
          <cell r="DH136">
            <v>556.19999999999993</v>
          </cell>
          <cell r="DI136">
            <v>1224.3</v>
          </cell>
          <cell r="DJ136">
            <v>5223.5</v>
          </cell>
          <cell r="DK136">
            <v>522.4</v>
          </cell>
          <cell r="DL136">
            <v>522.4</v>
          </cell>
          <cell r="DM136">
            <v>1006</v>
          </cell>
          <cell r="DN136">
            <v>522.4</v>
          </cell>
          <cell r="DO136">
            <v>522.4</v>
          </cell>
          <cell r="DP136">
            <v>522.4</v>
          </cell>
          <cell r="DQ136">
            <v>643.6</v>
          </cell>
          <cell r="DR136">
            <v>522.4</v>
          </cell>
          <cell r="DS136">
            <v>1301.3</v>
          </cell>
          <cell r="DT136">
            <v>534.19999999999993</v>
          </cell>
          <cell r="DU136">
            <v>1026</v>
          </cell>
          <cell r="DV136">
            <v>636.4</v>
          </cell>
          <cell r="DW136">
            <v>1669.4</v>
          </cell>
          <cell r="EA136">
            <v>624.5</v>
          </cell>
          <cell r="EB136">
            <v>624.5</v>
          </cell>
          <cell r="EC136">
            <v>2821.7</v>
          </cell>
          <cell r="ED136">
            <v>624.5</v>
          </cell>
          <cell r="EE136">
            <v>688.9</v>
          </cell>
          <cell r="EF136">
            <v>3582.7</v>
          </cell>
          <cell r="EG136">
            <v>624.5</v>
          </cell>
          <cell r="EH136">
            <v>624.5</v>
          </cell>
          <cell r="EI136">
            <v>1160.0999999999999</v>
          </cell>
          <cell r="EJ136">
            <v>624.5</v>
          </cell>
          <cell r="EK136">
            <v>624.5</v>
          </cell>
          <cell r="EL136">
            <v>624.5</v>
          </cell>
          <cell r="EM136">
            <v>624.5</v>
          </cell>
          <cell r="EN136">
            <v>624.5</v>
          </cell>
          <cell r="EO136">
            <v>624.5</v>
          </cell>
          <cell r="EP136">
            <v>624.5</v>
          </cell>
          <cell r="EQ136">
            <v>624.5</v>
          </cell>
          <cell r="ER136">
            <v>624.5</v>
          </cell>
          <cell r="ES136">
            <v>851.2</v>
          </cell>
          <cell r="ET136">
            <v>944</v>
          </cell>
          <cell r="EU136">
            <v>1138.3</v>
          </cell>
          <cell r="EV136">
            <v>624.5</v>
          </cell>
          <cell r="EW136">
            <v>760</v>
          </cell>
          <cell r="EX136">
            <v>887.6</v>
          </cell>
          <cell r="EY136">
            <v>702.4</v>
          </cell>
          <cell r="EZ136">
            <v>765.8</v>
          </cell>
          <cell r="FA136">
            <v>1014.2</v>
          </cell>
          <cell r="FB136">
            <v>624.5</v>
          </cell>
          <cell r="FC136">
            <v>624.5</v>
          </cell>
          <cell r="FD136">
            <v>1619.4</v>
          </cell>
          <cell r="FE136">
            <v>1585.4</v>
          </cell>
          <cell r="FG136">
            <v>2010.7</v>
          </cell>
          <cell r="FH136">
            <v>624.5</v>
          </cell>
          <cell r="FI136">
            <v>1607.1</v>
          </cell>
          <cell r="FJ136">
            <v>624.5</v>
          </cell>
          <cell r="FK136">
            <v>624.5</v>
          </cell>
          <cell r="FL136">
            <v>624.5</v>
          </cell>
          <cell r="FM136">
            <v>779.1</v>
          </cell>
          <cell r="FN136">
            <v>624.5</v>
          </cell>
          <cell r="FO136">
            <v>624.5</v>
          </cell>
          <cell r="FP136">
            <v>624.5</v>
          </cell>
          <cell r="FQ136">
            <v>624.5</v>
          </cell>
          <cell r="FR136">
            <v>624.5</v>
          </cell>
          <cell r="FS136">
            <v>624.5</v>
          </cell>
          <cell r="FT136">
            <v>668.4</v>
          </cell>
          <cell r="FU136">
            <v>1269.5999999999999</v>
          </cell>
          <cell r="FV136">
            <v>5010.7</v>
          </cell>
          <cell r="FW136">
            <v>624.5</v>
          </cell>
          <cell r="FX136">
            <v>624.5</v>
          </cell>
          <cell r="FY136">
            <v>1087.2</v>
          </cell>
          <cell r="FZ136">
            <v>624.5</v>
          </cell>
          <cell r="GA136">
            <v>624.5</v>
          </cell>
          <cell r="GB136">
            <v>624.5</v>
          </cell>
          <cell r="GC136">
            <v>741.1</v>
          </cell>
          <cell r="GD136">
            <v>624.5</v>
          </cell>
          <cell r="GE136">
            <v>1589.6</v>
          </cell>
          <cell r="GF136">
            <v>624.5</v>
          </cell>
          <cell r="GG136">
            <v>624.5</v>
          </cell>
          <cell r="GH136">
            <v>624.5</v>
          </cell>
          <cell r="GI136">
            <v>624.5</v>
          </cell>
        </row>
        <row r="137">
          <cell r="BO137">
            <v>1374.6</v>
          </cell>
          <cell r="BP137">
            <v>1374.6</v>
          </cell>
          <cell r="BQ137">
            <v>3300</v>
          </cell>
          <cell r="BR137">
            <v>1374.6</v>
          </cell>
          <cell r="BS137">
            <v>1437.6</v>
          </cell>
          <cell r="BT137">
            <v>3011.3999999999996</v>
          </cell>
          <cell r="BU137">
            <v>1374.6</v>
          </cell>
          <cell r="BV137">
            <v>1374.6</v>
          </cell>
          <cell r="BW137">
            <v>1917.8999999999999</v>
          </cell>
          <cell r="BX137">
            <v>1374.6</v>
          </cell>
          <cell r="BY137">
            <v>2345.5</v>
          </cell>
          <cell r="BZ137">
            <v>1374.6</v>
          </cell>
          <cell r="CA137">
            <v>1833.3999999999999</v>
          </cell>
          <cell r="CB137">
            <v>1816.5</v>
          </cell>
          <cell r="CC137">
            <v>1426.3</v>
          </cell>
          <cell r="CD137">
            <v>1374.6</v>
          </cell>
          <cell r="CE137">
            <v>1374.6</v>
          </cell>
          <cell r="CF137">
            <v>1374.6</v>
          </cell>
          <cell r="CG137">
            <v>1564.6999999999998</v>
          </cell>
          <cell r="CH137">
            <v>1686.5</v>
          </cell>
          <cell r="CI137">
            <v>1870</v>
          </cell>
          <cell r="CJ137">
            <v>1374.6</v>
          </cell>
          <cell r="CK137">
            <v>1517.3999999999999</v>
          </cell>
          <cell r="CL137">
            <v>1627.1</v>
          </cell>
          <cell r="CM137">
            <v>1445.8999999999999</v>
          </cell>
          <cell r="CN137">
            <v>1520.6</v>
          </cell>
          <cell r="CO137">
            <v>1729.1999999999998</v>
          </cell>
          <cell r="CP137">
            <v>1374.6</v>
          </cell>
          <cell r="CQ137">
            <v>1374.6</v>
          </cell>
          <cell r="CR137">
            <v>2305.8000000000002</v>
          </cell>
          <cell r="CS137">
            <v>2120</v>
          </cell>
          <cell r="CT137">
            <v>1897</v>
          </cell>
          <cell r="CV137">
            <v>1374.6</v>
          </cell>
          <cell r="CW137">
            <v>2231.8999999999996</v>
          </cell>
          <cell r="CX137">
            <v>1374.6</v>
          </cell>
          <cell r="CY137">
            <v>1374.6</v>
          </cell>
          <cell r="CZ137">
            <v>1374.6</v>
          </cell>
          <cell r="DA137">
            <v>1537.3</v>
          </cell>
          <cell r="DB137">
            <v>1374.6</v>
          </cell>
          <cell r="DC137">
            <v>1374.6</v>
          </cell>
          <cell r="DD137">
            <v>1374.6</v>
          </cell>
          <cell r="DE137">
            <v>1374.6</v>
          </cell>
          <cell r="DF137">
            <v>3230</v>
          </cell>
          <cell r="DG137">
            <v>2371.1</v>
          </cell>
          <cell r="DH137">
            <v>1408.3999999999999</v>
          </cell>
          <cell r="DI137">
            <v>2076.5</v>
          </cell>
          <cell r="DJ137">
            <v>6075.7000000000007</v>
          </cell>
          <cell r="DK137">
            <v>1374.6</v>
          </cell>
          <cell r="DL137">
            <v>1374.6</v>
          </cell>
          <cell r="DM137">
            <v>1858.1999999999998</v>
          </cell>
          <cell r="DN137">
            <v>1374.6</v>
          </cell>
          <cell r="DO137">
            <v>1374.6</v>
          </cell>
          <cell r="DP137">
            <v>1374.6</v>
          </cell>
          <cell r="DQ137">
            <v>1495.8</v>
          </cell>
          <cell r="DR137">
            <v>1374.6</v>
          </cell>
          <cell r="DS137">
            <v>2153.5</v>
          </cell>
          <cell r="DT137">
            <v>1386.3999999999999</v>
          </cell>
          <cell r="DU137">
            <v>1878.1999999999998</v>
          </cell>
          <cell r="DV137">
            <v>1488.6</v>
          </cell>
          <cell r="DW137">
            <v>2521.6</v>
          </cell>
          <cell r="EA137">
            <v>1386.2</v>
          </cell>
          <cell r="EB137">
            <v>1386.2</v>
          </cell>
          <cell r="EC137">
            <v>3583.3999999999996</v>
          </cell>
          <cell r="ED137">
            <v>1386.2</v>
          </cell>
          <cell r="EE137">
            <v>1450.6000000000001</v>
          </cell>
          <cell r="EF137">
            <v>4344.3999999999996</v>
          </cell>
          <cell r="EG137">
            <v>1386.2</v>
          </cell>
          <cell r="EH137">
            <v>1386.2</v>
          </cell>
          <cell r="EI137">
            <v>1921.8000000000002</v>
          </cell>
          <cell r="EJ137">
            <v>1386.2</v>
          </cell>
          <cell r="EK137">
            <v>1386.2</v>
          </cell>
          <cell r="EL137">
            <v>1386.2</v>
          </cell>
          <cell r="EM137">
            <v>1386.2</v>
          </cell>
          <cell r="EN137">
            <v>1386.2</v>
          </cell>
          <cell r="EO137">
            <v>1386.2</v>
          </cell>
          <cell r="EP137">
            <v>1386.2</v>
          </cell>
          <cell r="EQ137">
            <v>1386.2</v>
          </cell>
          <cell r="ER137">
            <v>1386.2</v>
          </cell>
          <cell r="ES137">
            <v>1612.9</v>
          </cell>
          <cell r="ET137">
            <v>1705.7</v>
          </cell>
          <cell r="EU137">
            <v>1900</v>
          </cell>
          <cell r="EV137">
            <v>1386.2</v>
          </cell>
          <cell r="EW137">
            <v>1521.7</v>
          </cell>
          <cell r="EX137">
            <v>1649.3000000000002</v>
          </cell>
          <cell r="EY137">
            <v>1464.1000000000001</v>
          </cell>
          <cell r="EZ137">
            <v>1527.5</v>
          </cell>
          <cell r="FA137">
            <v>1775.9</v>
          </cell>
          <cell r="FB137">
            <v>1386.2</v>
          </cell>
          <cell r="FC137">
            <v>1386.2</v>
          </cell>
          <cell r="FD137">
            <v>2381.1</v>
          </cell>
          <cell r="FE137">
            <v>2347.1</v>
          </cell>
          <cell r="FF137">
            <v>2010.7</v>
          </cell>
          <cell r="FH137">
            <v>1386.2</v>
          </cell>
          <cell r="FI137">
            <v>2368.8000000000002</v>
          </cell>
          <cell r="FJ137">
            <v>1386.2</v>
          </cell>
          <cell r="FK137">
            <v>1386.2</v>
          </cell>
          <cell r="FL137">
            <v>1386.2</v>
          </cell>
          <cell r="FM137">
            <v>1540.8</v>
          </cell>
          <cell r="FN137">
            <v>1386.2</v>
          </cell>
          <cell r="FO137">
            <v>1386.2</v>
          </cell>
          <cell r="FP137">
            <v>1386.2</v>
          </cell>
          <cell r="FQ137">
            <v>1386.2</v>
          </cell>
          <cell r="FR137">
            <v>1386.2</v>
          </cell>
          <cell r="FS137">
            <v>1386.2</v>
          </cell>
          <cell r="FT137">
            <v>1430.1000000000001</v>
          </cell>
          <cell r="FU137">
            <v>2031.3</v>
          </cell>
          <cell r="FV137">
            <v>5772.4000000000005</v>
          </cell>
          <cell r="FW137">
            <v>1386.2</v>
          </cell>
          <cell r="FX137">
            <v>1386.2</v>
          </cell>
          <cell r="FY137">
            <v>1848.9</v>
          </cell>
          <cell r="FZ137">
            <v>1386.2</v>
          </cell>
          <cell r="GA137">
            <v>1386.2</v>
          </cell>
          <cell r="GB137">
            <v>1386.2</v>
          </cell>
          <cell r="GC137">
            <v>1502.8</v>
          </cell>
          <cell r="GD137">
            <v>1386.2</v>
          </cell>
          <cell r="GE137">
            <v>2351.3000000000002</v>
          </cell>
          <cell r="GF137">
            <v>1386.2</v>
          </cell>
          <cell r="GG137">
            <v>1386.2</v>
          </cell>
          <cell r="GH137">
            <v>1386.2</v>
          </cell>
          <cell r="GI137">
            <v>1386.2</v>
          </cell>
        </row>
        <row r="138">
          <cell r="BO138"/>
          <cell r="BP138"/>
          <cell r="BQ138">
            <v>1925.4</v>
          </cell>
          <cell r="BR138"/>
          <cell r="BS138">
            <v>63</v>
          </cell>
          <cell r="BT138">
            <v>1636.8</v>
          </cell>
          <cell r="BU138"/>
          <cell r="BV138"/>
          <cell r="BW138">
            <v>543.29999999999995</v>
          </cell>
          <cell r="BX138"/>
          <cell r="BY138">
            <v>970.9</v>
          </cell>
          <cell r="BZ138"/>
          <cell r="CA138">
            <v>458.8</v>
          </cell>
          <cell r="CB138">
            <v>441.9</v>
          </cell>
          <cell r="CC138">
            <v>51.7</v>
          </cell>
          <cell r="CD138"/>
          <cell r="CE138"/>
          <cell r="CF138"/>
          <cell r="CG138">
            <v>190.1</v>
          </cell>
          <cell r="CH138">
            <v>311.89999999999998</v>
          </cell>
          <cell r="CI138">
            <v>495.4</v>
          </cell>
          <cell r="CJ138"/>
          <cell r="CK138">
            <v>142.80000000000001</v>
          </cell>
          <cell r="CL138">
            <v>252.5</v>
          </cell>
          <cell r="CM138">
            <v>71.3</v>
          </cell>
          <cell r="CN138">
            <v>146</v>
          </cell>
          <cell r="CO138">
            <v>354.6</v>
          </cell>
          <cell r="CP138"/>
          <cell r="CQ138"/>
          <cell r="CR138">
            <v>931.2</v>
          </cell>
          <cell r="CS138">
            <v>745.4</v>
          </cell>
          <cell r="CT138">
            <v>522.4</v>
          </cell>
          <cell r="CU138">
            <v>1374.6</v>
          </cell>
          <cell r="CW138">
            <v>857.3</v>
          </cell>
          <cell r="CX138"/>
          <cell r="CY138"/>
          <cell r="CZ138"/>
          <cell r="DA138">
            <v>162.69999999999999</v>
          </cell>
          <cell r="DB138"/>
          <cell r="DC138"/>
          <cell r="DD138"/>
          <cell r="DE138"/>
          <cell r="DF138">
            <v>1855.4</v>
          </cell>
          <cell r="DG138">
            <v>996.5</v>
          </cell>
          <cell r="DH138">
            <v>33.799999999999997</v>
          </cell>
          <cell r="DI138">
            <v>701.9</v>
          </cell>
          <cell r="DJ138">
            <v>4701.1000000000004</v>
          </cell>
          <cell r="DK138"/>
          <cell r="DL138"/>
          <cell r="DM138">
            <v>483.6</v>
          </cell>
          <cell r="DN138"/>
          <cell r="DO138"/>
          <cell r="DP138"/>
          <cell r="DQ138">
            <v>121.2</v>
          </cell>
          <cell r="DR138"/>
          <cell r="DS138">
            <v>778.9</v>
          </cell>
          <cell r="DT138">
            <v>11.8</v>
          </cell>
          <cell r="DU138">
            <v>503.6</v>
          </cell>
          <cell r="DV138">
            <v>114</v>
          </cell>
          <cell r="DW138">
            <v>1147</v>
          </cell>
          <cell r="EA138"/>
          <cell r="EB138"/>
          <cell r="EC138">
            <v>2197.1999999999998</v>
          </cell>
          <cell r="ED138"/>
          <cell r="EE138">
            <v>64.400000000000006</v>
          </cell>
          <cell r="EF138">
            <v>2958.2</v>
          </cell>
          <cell r="EG138"/>
          <cell r="EH138"/>
          <cell r="EI138">
            <v>535.6</v>
          </cell>
          <cell r="EJ138"/>
          <cell r="EK138"/>
          <cell r="EL138"/>
          <cell r="EM138"/>
          <cell r="EN138"/>
          <cell r="EO138"/>
          <cell r="EP138"/>
          <cell r="EQ138"/>
          <cell r="ER138"/>
          <cell r="ES138">
            <v>226.7</v>
          </cell>
          <cell r="ET138">
            <v>319.5</v>
          </cell>
          <cell r="EU138">
            <v>513.79999999999995</v>
          </cell>
          <cell r="EV138"/>
          <cell r="EW138">
            <v>135.5</v>
          </cell>
          <cell r="EX138">
            <v>263.10000000000002</v>
          </cell>
          <cell r="EY138">
            <v>77.900000000000006</v>
          </cell>
          <cell r="EZ138">
            <v>141.30000000000001</v>
          </cell>
          <cell r="FA138">
            <v>389.7</v>
          </cell>
          <cell r="FB138"/>
          <cell r="FC138"/>
          <cell r="FD138">
            <v>994.9</v>
          </cell>
          <cell r="FE138">
            <v>960.9</v>
          </cell>
          <cell r="FF138">
            <v>624.5</v>
          </cell>
          <cell r="FG138">
            <v>1386.2</v>
          </cell>
          <cell r="FH138"/>
          <cell r="FI138">
            <v>982.6</v>
          </cell>
          <cell r="FJ138"/>
          <cell r="FK138"/>
          <cell r="FL138"/>
          <cell r="FM138">
            <v>154.6</v>
          </cell>
          <cell r="FN138"/>
          <cell r="FO138"/>
          <cell r="FP138"/>
          <cell r="FQ138"/>
          <cell r="FR138"/>
          <cell r="FS138"/>
          <cell r="FT138">
            <v>43.9</v>
          </cell>
          <cell r="FU138">
            <v>645.09999999999991</v>
          </cell>
          <cell r="FV138">
            <v>4386.2</v>
          </cell>
          <cell r="FW138"/>
          <cell r="FX138"/>
          <cell r="FY138">
            <v>462.7</v>
          </cell>
          <cell r="FZ138"/>
          <cell r="GA138"/>
          <cell r="GB138"/>
          <cell r="GC138">
            <v>116.6</v>
          </cell>
          <cell r="GD138"/>
          <cell r="GE138">
            <v>965.1</v>
          </cell>
          <cell r="GF138"/>
          <cell r="GG138"/>
          <cell r="GH138"/>
          <cell r="GI138"/>
        </row>
        <row r="139">
          <cell r="BO139">
            <v>857.3</v>
          </cell>
          <cell r="BP139">
            <v>857.3</v>
          </cell>
          <cell r="BQ139">
            <v>2782.7</v>
          </cell>
          <cell r="BR139">
            <v>857.3</v>
          </cell>
          <cell r="BS139">
            <v>920.3</v>
          </cell>
          <cell r="BT139">
            <v>2494.1</v>
          </cell>
          <cell r="BU139">
            <v>857.3</v>
          </cell>
          <cell r="BV139">
            <v>857.3</v>
          </cell>
          <cell r="BW139">
            <v>1400.6</v>
          </cell>
          <cell r="BX139">
            <v>857.3</v>
          </cell>
          <cell r="BY139">
            <v>1828.1999999999998</v>
          </cell>
          <cell r="BZ139">
            <v>857.3</v>
          </cell>
          <cell r="CA139">
            <v>1316.1</v>
          </cell>
          <cell r="CB139">
            <v>1299.1999999999998</v>
          </cell>
          <cell r="CC139">
            <v>909</v>
          </cell>
          <cell r="CD139">
            <v>857.3</v>
          </cell>
          <cell r="CE139">
            <v>857.3</v>
          </cell>
          <cell r="CF139">
            <v>857.3</v>
          </cell>
          <cell r="CG139">
            <v>1047.3999999999999</v>
          </cell>
          <cell r="CH139">
            <v>1169.1999999999998</v>
          </cell>
          <cell r="CI139">
            <v>1352.6999999999998</v>
          </cell>
          <cell r="CJ139">
            <v>857.3</v>
          </cell>
          <cell r="CK139">
            <v>1000.0999999999999</v>
          </cell>
          <cell r="CL139">
            <v>1109.8</v>
          </cell>
          <cell r="CM139">
            <v>928.59999999999991</v>
          </cell>
          <cell r="CN139">
            <v>1003.3</v>
          </cell>
          <cell r="CO139">
            <v>1211.9000000000001</v>
          </cell>
          <cell r="CP139">
            <v>857.3</v>
          </cell>
          <cell r="CQ139">
            <v>857.3</v>
          </cell>
          <cell r="CR139">
            <v>1788.5</v>
          </cell>
          <cell r="CS139">
            <v>1602.6999999999998</v>
          </cell>
          <cell r="CT139">
            <v>1379.6999999999998</v>
          </cell>
          <cell r="CU139">
            <v>2231.8999999999996</v>
          </cell>
          <cell r="CV139">
            <v>857.3</v>
          </cell>
          <cell r="CX139">
            <v>857.3</v>
          </cell>
          <cell r="CY139">
            <v>857.3</v>
          </cell>
          <cell r="CZ139">
            <v>857.3</v>
          </cell>
          <cell r="DA139">
            <v>1020</v>
          </cell>
          <cell r="DB139">
            <v>857.3</v>
          </cell>
          <cell r="DC139">
            <v>857.3</v>
          </cell>
          <cell r="DD139">
            <v>857.3</v>
          </cell>
          <cell r="DE139">
            <v>857.3</v>
          </cell>
          <cell r="DF139">
            <v>2712.7</v>
          </cell>
          <cell r="DG139">
            <v>1853.8</v>
          </cell>
          <cell r="DH139">
            <v>891.09999999999991</v>
          </cell>
          <cell r="DI139">
            <v>1559.1999999999998</v>
          </cell>
          <cell r="DJ139">
            <v>5558.4000000000005</v>
          </cell>
          <cell r="DK139">
            <v>857.3</v>
          </cell>
          <cell r="DL139">
            <v>857.3</v>
          </cell>
          <cell r="DM139">
            <v>1340.9</v>
          </cell>
          <cell r="DN139">
            <v>857.3</v>
          </cell>
          <cell r="DO139">
            <v>857.3</v>
          </cell>
          <cell r="DP139">
            <v>857.3</v>
          </cell>
          <cell r="DQ139">
            <v>978.5</v>
          </cell>
          <cell r="DR139">
            <v>857.3</v>
          </cell>
          <cell r="DS139">
            <v>1636.1999999999998</v>
          </cell>
          <cell r="DT139">
            <v>869.09999999999991</v>
          </cell>
          <cell r="DU139">
            <v>1360.9</v>
          </cell>
          <cell r="DV139">
            <v>971.3</v>
          </cell>
          <cell r="DW139">
            <v>2004.3</v>
          </cell>
          <cell r="EA139">
            <v>982.59999999999991</v>
          </cell>
          <cell r="EB139">
            <v>982.59999999999991</v>
          </cell>
          <cell r="EC139">
            <v>3179.7999999999997</v>
          </cell>
          <cell r="ED139">
            <v>982.59999999999991</v>
          </cell>
          <cell r="EE139">
            <v>1047</v>
          </cell>
          <cell r="EF139">
            <v>3940.7999999999997</v>
          </cell>
          <cell r="EG139">
            <v>982.59999999999991</v>
          </cell>
          <cell r="EH139">
            <v>982.59999999999991</v>
          </cell>
          <cell r="EI139">
            <v>1518.1999999999998</v>
          </cell>
          <cell r="EJ139">
            <v>982.59999999999991</v>
          </cell>
          <cell r="EK139">
            <v>982.59999999999991</v>
          </cell>
          <cell r="EL139">
            <v>982.59999999999991</v>
          </cell>
          <cell r="EM139">
            <v>982.59999999999991</v>
          </cell>
          <cell r="EN139">
            <v>982.59999999999991</v>
          </cell>
          <cell r="EO139">
            <v>982.59999999999991</v>
          </cell>
          <cell r="EP139">
            <v>982.59999999999991</v>
          </cell>
          <cell r="EQ139">
            <v>982.59999999999991</v>
          </cell>
          <cell r="ER139">
            <v>982.59999999999991</v>
          </cell>
          <cell r="ES139">
            <v>1209.3</v>
          </cell>
          <cell r="ET139">
            <v>1302.0999999999999</v>
          </cell>
          <cell r="EU139">
            <v>1496.3999999999999</v>
          </cell>
          <cell r="EV139">
            <v>982.59999999999991</v>
          </cell>
          <cell r="EW139">
            <v>1118.0999999999999</v>
          </cell>
          <cell r="EX139">
            <v>1245.6999999999998</v>
          </cell>
          <cell r="EY139">
            <v>1060.5</v>
          </cell>
          <cell r="EZ139">
            <v>1123.8999999999999</v>
          </cell>
          <cell r="FA139">
            <v>1372.3</v>
          </cell>
          <cell r="FB139">
            <v>982.59999999999991</v>
          </cell>
          <cell r="FC139">
            <v>982.59999999999991</v>
          </cell>
          <cell r="FD139">
            <v>1977.5</v>
          </cell>
          <cell r="FE139">
            <v>1943.5</v>
          </cell>
          <cell r="FF139">
            <v>1607.1</v>
          </cell>
          <cell r="FG139">
            <v>2368.8000000000002</v>
          </cell>
          <cell r="FH139">
            <v>982.59999999999991</v>
          </cell>
          <cell r="FI139"/>
          <cell r="FJ139">
            <v>982.59999999999991</v>
          </cell>
          <cell r="FK139">
            <v>982.59999999999991</v>
          </cell>
          <cell r="FL139">
            <v>982.59999999999991</v>
          </cell>
          <cell r="FM139">
            <v>1137.1999999999998</v>
          </cell>
          <cell r="FN139">
            <v>982.59999999999991</v>
          </cell>
          <cell r="FO139">
            <v>982.59999999999991</v>
          </cell>
          <cell r="FP139">
            <v>982.59999999999991</v>
          </cell>
          <cell r="FQ139">
            <v>982.59999999999991</v>
          </cell>
          <cell r="FR139">
            <v>982.59999999999991</v>
          </cell>
          <cell r="FS139">
            <v>982.59999999999991</v>
          </cell>
          <cell r="FT139">
            <v>1026.5</v>
          </cell>
          <cell r="FU139">
            <v>1627.6999999999998</v>
          </cell>
          <cell r="FV139">
            <v>5368.8</v>
          </cell>
          <cell r="FW139">
            <v>982.59999999999991</v>
          </cell>
          <cell r="FX139">
            <v>982.59999999999991</v>
          </cell>
          <cell r="FY139">
            <v>1445.3</v>
          </cell>
          <cell r="FZ139">
            <v>982.59999999999991</v>
          </cell>
          <cell r="GA139">
            <v>982.59999999999991</v>
          </cell>
          <cell r="GB139">
            <v>982.59999999999991</v>
          </cell>
          <cell r="GC139">
            <v>1215.7999999999997</v>
          </cell>
          <cell r="GD139">
            <v>982.59999999999991</v>
          </cell>
          <cell r="GE139">
            <v>1947.6999999999998</v>
          </cell>
          <cell r="GF139">
            <v>982.59999999999991</v>
          </cell>
          <cell r="GG139">
            <v>982.59999999999991</v>
          </cell>
          <cell r="GH139">
            <v>982.59999999999991</v>
          </cell>
          <cell r="GI139">
            <v>982.59999999999991</v>
          </cell>
        </row>
        <row r="140">
          <cell r="BO140"/>
          <cell r="BP140"/>
          <cell r="BQ140">
            <v>1925.4</v>
          </cell>
          <cell r="BR140"/>
          <cell r="BS140">
            <v>63</v>
          </cell>
          <cell r="BT140">
            <v>1636.8</v>
          </cell>
          <cell r="BU140"/>
          <cell r="BV140"/>
          <cell r="BW140">
            <v>543.29999999999995</v>
          </cell>
          <cell r="BX140"/>
          <cell r="BY140">
            <v>970.9</v>
          </cell>
          <cell r="BZ140"/>
          <cell r="CA140">
            <v>458.8</v>
          </cell>
          <cell r="CB140">
            <v>441.9</v>
          </cell>
          <cell r="CC140">
            <v>51.7</v>
          </cell>
          <cell r="CD140"/>
          <cell r="CE140"/>
          <cell r="CF140"/>
          <cell r="CG140">
            <v>190.1</v>
          </cell>
          <cell r="CH140">
            <v>311.89999999999998</v>
          </cell>
          <cell r="CI140">
            <v>495.4</v>
          </cell>
          <cell r="CJ140"/>
          <cell r="CK140">
            <v>142.80000000000001</v>
          </cell>
          <cell r="CL140">
            <v>252.5</v>
          </cell>
          <cell r="CM140">
            <v>71.3</v>
          </cell>
          <cell r="CN140">
            <v>146</v>
          </cell>
          <cell r="CO140">
            <v>354.6</v>
          </cell>
          <cell r="CP140"/>
          <cell r="CQ140"/>
          <cell r="CR140">
            <v>931.2</v>
          </cell>
          <cell r="CS140">
            <v>745.4</v>
          </cell>
          <cell r="CT140">
            <v>522.4</v>
          </cell>
          <cell r="CU140">
            <v>1374.6</v>
          </cell>
          <cell r="CV140"/>
          <cell r="CW140">
            <v>857.3</v>
          </cell>
          <cell r="CY140"/>
          <cell r="CZ140"/>
          <cell r="DA140">
            <v>162.69999999999999</v>
          </cell>
          <cell r="DB140"/>
          <cell r="DC140"/>
          <cell r="DD140"/>
          <cell r="DE140"/>
          <cell r="DF140">
            <v>1855.4</v>
          </cell>
          <cell r="DG140">
            <v>996.5</v>
          </cell>
          <cell r="DH140">
            <v>33.799999999999997</v>
          </cell>
          <cell r="DI140">
            <v>701.9</v>
          </cell>
          <cell r="DJ140">
            <v>4701.1000000000004</v>
          </cell>
          <cell r="DK140"/>
          <cell r="DL140"/>
          <cell r="DM140">
            <v>483.6</v>
          </cell>
          <cell r="DN140"/>
          <cell r="DO140"/>
          <cell r="DP140"/>
          <cell r="DQ140">
            <v>121.2</v>
          </cell>
          <cell r="DR140"/>
          <cell r="DS140">
            <v>778.9</v>
          </cell>
          <cell r="DT140">
            <v>11.8</v>
          </cell>
          <cell r="DU140">
            <v>503.6</v>
          </cell>
          <cell r="DV140">
            <v>114</v>
          </cell>
          <cell r="DW140">
            <v>1147</v>
          </cell>
          <cell r="EA140"/>
          <cell r="EB140"/>
          <cell r="EC140">
            <v>2197.1999999999998</v>
          </cell>
          <cell r="ED140"/>
          <cell r="EE140">
            <v>64.400000000000006</v>
          </cell>
          <cell r="EF140">
            <v>2958.2</v>
          </cell>
          <cell r="EG140"/>
          <cell r="EH140"/>
          <cell r="EI140">
            <v>535.6</v>
          </cell>
          <cell r="EJ140"/>
          <cell r="EK140"/>
          <cell r="EL140"/>
          <cell r="EM140"/>
          <cell r="EN140"/>
          <cell r="EO140"/>
          <cell r="EP140"/>
          <cell r="EQ140"/>
          <cell r="ER140"/>
          <cell r="ES140">
            <v>226.7</v>
          </cell>
          <cell r="ET140">
            <v>319.5</v>
          </cell>
          <cell r="EU140">
            <v>513.79999999999995</v>
          </cell>
          <cell r="EV140"/>
          <cell r="EW140">
            <v>135.5</v>
          </cell>
          <cell r="EX140">
            <v>263.10000000000002</v>
          </cell>
          <cell r="EY140">
            <v>77.900000000000006</v>
          </cell>
          <cell r="EZ140">
            <v>141.30000000000001</v>
          </cell>
          <cell r="FA140">
            <v>389.7</v>
          </cell>
          <cell r="FB140"/>
          <cell r="FC140"/>
          <cell r="FD140">
            <v>994.9</v>
          </cell>
          <cell r="FE140">
            <v>960.9</v>
          </cell>
          <cell r="FF140">
            <v>624.5</v>
          </cell>
          <cell r="FG140">
            <v>1386.2</v>
          </cell>
          <cell r="FH140"/>
          <cell r="FI140">
            <v>982.6</v>
          </cell>
          <cell r="FJ140"/>
          <cell r="FK140"/>
          <cell r="FL140"/>
          <cell r="FM140">
            <v>154.6</v>
          </cell>
          <cell r="FN140"/>
          <cell r="FO140"/>
          <cell r="FP140"/>
          <cell r="FQ140"/>
          <cell r="FR140"/>
          <cell r="FS140"/>
          <cell r="FT140">
            <v>43.9</v>
          </cell>
          <cell r="FU140">
            <v>645.09999999999991</v>
          </cell>
          <cell r="FV140">
            <v>4386.2</v>
          </cell>
          <cell r="FW140"/>
          <cell r="FX140"/>
          <cell r="FY140">
            <v>462.7</v>
          </cell>
          <cell r="FZ140"/>
          <cell r="GA140"/>
          <cell r="GB140"/>
          <cell r="GC140">
            <v>116.6</v>
          </cell>
          <cell r="GD140"/>
          <cell r="GE140">
            <v>965.1</v>
          </cell>
          <cell r="GF140"/>
          <cell r="GG140"/>
          <cell r="GH140"/>
          <cell r="GI140"/>
        </row>
        <row r="141">
          <cell r="BO141"/>
          <cell r="BP141"/>
          <cell r="BQ141">
            <v>1925.4</v>
          </cell>
          <cell r="BR141"/>
          <cell r="BS141">
            <v>63</v>
          </cell>
          <cell r="BT141">
            <v>1636.8</v>
          </cell>
          <cell r="BU141"/>
          <cell r="BV141"/>
          <cell r="BW141">
            <v>543.29999999999995</v>
          </cell>
          <cell r="BX141"/>
          <cell r="BY141">
            <v>970.9</v>
          </cell>
          <cell r="BZ141"/>
          <cell r="CA141">
            <v>458.8</v>
          </cell>
          <cell r="CB141">
            <v>441.9</v>
          </cell>
          <cell r="CC141">
            <v>51.7</v>
          </cell>
          <cell r="CD141"/>
          <cell r="CE141"/>
          <cell r="CF141"/>
          <cell r="CG141">
            <v>190.1</v>
          </cell>
          <cell r="CH141">
            <v>311.89999999999998</v>
          </cell>
          <cell r="CI141">
            <v>495.4</v>
          </cell>
          <cell r="CJ141"/>
          <cell r="CK141">
            <v>142.80000000000001</v>
          </cell>
          <cell r="CL141">
            <v>252.5</v>
          </cell>
          <cell r="CM141">
            <v>71.3</v>
          </cell>
          <cell r="CN141">
            <v>146</v>
          </cell>
          <cell r="CP141"/>
          <cell r="CQ141"/>
          <cell r="CR141">
            <v>931.2</v>
          </cell>
          <cell r="CS141">
            <v>745.4</v>
          </cell>
          <cell r="CT141">
            <v>522.4</v>
          </cell>
          <cell r="CU141">
            <v>1374.6</v>
          </cell>
          <cell r="CV141"/>
          <cell r="CW141">
            <v>857.3</v>
          </cell>
          <cell r="CX141"/>
          <cell r="CZ141"/>
          <cell r="DA141">
            <v>162.69999999999999</v>
          </cell>
          <cell r="DB141"/>
          <cell r="DC141"/>
          <cell r="DD141"/>
          <cell r="DE141"/>
          <cell r="DF141">
            <v>1855.4</v>
          </cell>
          <cell r="DG141">
            <v>996.5</v>
          </cell>
          <cell r="DH141">
            <v>33.799999999999997</v>
          </cell>
          <cell r="DI141">
            <v>701.9</v>
          </cell>
          <cell r="DJ141">
            <v>4701.1000000000004</v>
          </cell>
          <cell r="DK141"/>
          <cell r="DL141"/>
          <cell r="DM141">
            <v>483.6</v>
          </cell>
          <cell r="DN141"/>
          <cell r="DO141"/>
          <cell r="DP141"/>
          <cell r="DQ141">
            <v>121.2</v>
          </cell>
          <cell r="DR141"/>
          <cell r="DS141">
            <v>778.9</v>
          </cell>
          <cell r="DT141">
            <v>11.8</v>
          </cell>
          <cell r="DU141">
            <v>503.6</v>
          </cell>
          <cell r="DV141">
            <v>114</v>
          </cell>
          <cell r="DW141">
            <v>1147</v>
          </cell>
          <cell r="EA141"/>
          <cell r="EB141"/>
          <cell r="EC141">
            <v>2197.1999999999998</v>
          </cell>
          <cell r="ED141"/>
          <cell r="EE141">
            <v>64.400000000000006</v>
          </cell>
          <cell r="EF141">
            <v>2958.2</v>
          </cell>
          <cell r="EG141"/>
          <cell r="EH141"/>
          <cell r="EI141">
            <v>535.6</v>
          </cell>
          <cell r="EJ141"/>
          <cell r="EK141"/>
          <cell r="EL141"/>
          <cell r="EM141"/>
          <cell r="EN141"/>
          <cell r="EO141"/>
          <cell r="EP141"/>
          <cell r="EQ141"/>
          <cell r="ER141"/>
          <cell r="ES141">
            <v>226.7</v>
          </cell>
          <cell r="ET141">
            <v>319.5</v>
          </cell>
          <cell r="EU141">
            <v>513.79999999999995</v>
          </cell>
          <cell r="EV141"/>
          <cell r="EW141">
            <v>135.5</v>
          </cell>
          <cell r="EX141">
            <v>263.10000000000002</v>
          </cell>
          <cell r="EY141">
            <v>77.900000000000006</v>
          </cell>
          <cell r="EZ141">
            <v>141.30000000000001</v>
          </cell>
          <cell r="FA141">
            <v>389.7</v>
          </cell>
          <cell r="FB141"/>
          <cell r="FC141"/>
          <cell r="FD141">
            <v>994.9</v>
          </cell>
          <cell r="FE141">
            <v>960.9</v>
          </cell>
          <cell r="FF141">
            <v>624.5</v>
          </cell>
          <cell r="FG141">
            <v>1386.2</v>
          </cell>
          <cell r="FH141"/>
          <cell r="FI141">
            <v>982.6</v>
          </cell>
          <cell r="FJ141"/>
          <cell r="FK141"/>
          <cell r="FL141"/>
          <cell r="FM141">
            <v>154.6</v>
          </cell>
          <cell r="FN141"/>
          <cell r="FO141"/>
          <cell r="FP141"/>
          <cell r="FQ141"/>
          <cell r="FR141"/>
          <cell r="FS141"/>
          <cell r="FT141">
            <v>43.9</v>
          </cell>
          <cell r="FU141">
            <v>645.09999999999991</v>
          </cell>
          <cell r="FV141">
            <v>4386.2</v>
          </cell>
          <cell r="FW141"/>
          <cell r="FX141"/>
          <cell r="FY141">
            <v>462.7</v>
          </cell>
          <cell r="FZ141"/>
          <cell r="GA141"/>
          <cell r="GB141"/>
          <cell r="GC141">
            <v>116.6</v>
          </cell>
          <cell r="GD141"/>
          <cell r="GE141">
            <v>965.1</v>
          </cell>
          <cell r="GF141"/>
          <cell r="GG141"/>
          <cell r="GH141"/>
          <cell r="GI141"/>
        </row>
        <row r="142">
          <cell r="BO142"/>
          <cell r="BP142"/>
          <cell r="BQ142">
            <v>1925.4</v>
          </cell>
          <cell r="BR142"/>
          <cell r="BS142">
            <v>63</v>
          </cell>
          <cell r="BT142">
            <v>1636.8</v>
          </cell>
          <cell r="BU142"/>
          <cell r="BV142"/>
          <cell r="BW142">
            <v>543.29999999999995</v>
          </cell>
          <cell r="BX142"/>
          <cell r="BY142">
            <v>970.9</v>
          </cell>
          <cell r="BZ142"/>
          <cell r="CA142">
            <v>458.8</v>
          </cell>
          <cell r="CB142">
            <v>441.9</v>
          </cell>
          <cell r="CC142">
            <v>51.7</v>
          </cell>
          <cell r="CD142"/>
          <cell r="CE142"/>
          <cell r="CF142"/>
          <cell r="CG142">
            <v>190.1</v>
          </cell>
          <cell r="CH142">
            <v>311.89999999999998</v>
          </cell>
          <cell r="CI142">
            <v>495.4</v>
          </cell>
          <cell r="CJ142"/>
          <cell r="CK142">
            <v>142.80000000000001</v>
          </cell>
          <cell r="CL142">
            <v>252.5</v>
          </cell>
          <cell r="CM142">
            <v>71.3</v>
          </cell>
          <cell r="CN142">
            <v>146</v>
          </cell>
          <cell r="CO142">
            <v>354.6</v>
          </cell>
          <cell r="CP142"/>
          <cell r="CQ142"/>
          <cell r="CR142">
            <v>931.2</v>
          </cell>
          <cell r="CS142">
            <v>745.4</v>
          </cell>
          <cell r="CT142">
            <v>522.4</v>
          </cell>
          <cell r="CU142">
            <v>1374.6</v>
          </cell>
          <cell r="CV142"/>
          <cell r="CW142">
            <v>857.3</v>
          </cell>
          <cell r="CX142"/>
          <cell r="CY142"/>
          <cell r="DA142">
            <v>162.69999999999999</v>
          </cell>
          <cell r="DB142"/>
          <cell r="DC142"/>
          <cell r="DD142"/>
          <cell r="DE142"/>
          <cell r="DF142">
            <v>1855.4</v>
          </cell>
          <cell r="DG142">
            <v>996.5</v>
          </cell>
          <cell r="DH142">
            <v>33.799999999999997</v>
          </cell>
          <cell r="DI142">
            <v>701.9</v>
          </cell>
          <cell r="DJ142">
            <v>4701.1000000000004</v>
          </cell>
          <cell r="DK142"/>
          <cell r="DL142"/>
          <cell r="DM142">
            <v>483.6</v>
          </cell>
          <cell r="DN142"/>
          <cell r="DO142"/>
          <cell r="DP142"/>
          <cell r="DQ142">
            <v>121.2</v>
          </cell>
          <cell r="DR142"/>
          <cell r="DS142">
            <v>778.9</v>
          </cell>
          <cell r="DT142">
            <v>11.8</v>
          </cell>
          <cell r="DU142">
            <v>503.6</v>
          </cell>
          <cell r="DV142">
            <v>114</v>
          </cell>
          <cell r="DW142">
            <v>1147</v>
          </cell>
          <cell r="EA142"/>
          <cell r="EB142"/>
          <cell r="EC142">
            <v>2197.1999999999998</v>
          </cell>
          <cell r="ED142"/>
          <cell r="EE142">
            <v>64.400000000000006</v>
          </cell>
          <cell r="EF142">
            <v>2958.2</v>
          </cell>
          <cell r="EG142"/>
          <cell r="EH142"/>
          <cell r="EI142">
            <v>535.6</v>
          </cell>
          <cell r="EJ142"/>
          <cell r="EK142"/>
          <cell r="EL142"/>
          <cell r="EM142"/>
          <cell r="EN142"/>
          <cell r="EO142"/>
          <cell r="EP142"/>
          <cell r="EQ142"/>
          <cell r="ER142"/>
          <cell r="ES142">
            <v>226.7</v>
          </cell>
          <cell r="ET142">
            <v>319.5</v>
          </cell>
          <cell r="EU142">
            <v>513.79999999999995</v>
          </cell>
          <cell r="EV142"/>
          <cell r="EW142">
            <v>135.5</v>
          </cell>
          <cell r="EX142">
            <v>263.10000000000002</v>
          </cell>
          <cell r="EY142">
            <v>77.900000000000006</v>
          </cell>
          <cell r="EZ142">
            <v>141.30000000000001</v>
          </cell>
          <cell r="FA142">
            <v>389.7</v>
          </cell>
          <cell r="FB142"/>
          <cell r="FC142"/>
          <cell r="FD142">
            <v>994.9</v>
          </cell>
          <cell r="FE142">
            <v>960.9</v>
          </cell>
          <cell r="FF142">
            <v>624.5</v>
          </cell>
          <cell r="FG142">
            <v>1386.2</v>
          </cell>
          <cell r="FH142"/>
          <cell r="FI142">
            <v>982.6</v>
          </cell>
          <cell r="FJ142"/>
          <cell r="FK142"/>
          <cell r="FL142"/>
          <cell r="FM142">
            <v>154.6</v>
          </cell>
          <cell r="FN142"/>
          <cell r="FO142"/>
          <cell r="FP142"/>
          <cell r="FQ142"/>
          <cell r="FR142"/>
          <cell r="FS142"/>
          <cell r="FT142">
            <v>43.9</v>
          </cell>
          <cell r="FU142">
            <v>645.09999999999991</v>
          </cell>
          <cell r="FV142">
            <v>4386.2</v>
          </cell>
          <cell r="FW142"/>
          <cell r="FX142"/>
          <cell r="FY142">
            <v>462.7</v>
          </cell>
          <cell r="FZ142"/>
          <cell r="GA142"/>
          <cell r="GB142"/>
          <cell r="GC142">
            <v>116.6</v>
          </cell>
          <cell r="GD142"/>
          <cell r="GE142">
            <v>965.1</v>
          </cell>
          <cell r="GF142"/>
          <cell r="GG142"/>
          <cell r="GH142"/>
          <cell r="GI142"/>
        </row>
        <row r="143">
          <cell r="BO143">
            <v>162.69999999999999</v>
          </cell>
          <cell r="BP143">
            <v>162.69999999999999</v>
          </cell>
          <cell r="BQ143">
            <v>2088.1</v>
          </cell>
          <cell r="BR143">
            <v>162.69999999999999</v>
          </cell>
          <cell r="BS143">
            <v>225.7</v>
          </cell>
          <cell r="BT143">
            <v>1799.5</v>
          </cell>
          <cell r="BU143">
            <v>162.69999999999999</v>
          </cell>
          <cell r="BV143">
            <v>162.69999999999999</v>
          </cell>
          <cell r="BW143">
            <v>706</v>
          </cell>
          <cell r="BX143">
            <v>162.69999999999999</v>
          </cell>
          <cell r="BY143">
            <v>1133.5999999999999</v>
          </cell>
          <cell r="BZ143">
            <v>162.69999999999999</v>
          </cell>
          <cell r="CA143">
            <v>621.5</v>
          </cell>
          <cell r="CB143">
            <v>604.59999999999991</v>
          </cell>
          <cell r="CC143">
            <v>214.39999999999998</v>
          </cell>
          <cell r="CD143">
            <v>162.69999999999999</v>
          </cell>
          <cell r="CE143">
            <v>162.69999999999999</v>
          </cell>
          <cell r="CF143">
            <v>162.69999999999999</v>
          </cell>
          <cell r="CG143">
            <v>352.79999999999995</v>
          </cell>
          <cell r="CH143">
            <v>474.59999999999997</v>
          </cell>
          <cell r="CI143">
            <v>658.09999999999991</v>
          </cell>
          <cell r="CJ143">
            <v>162.69999999999999</v>
          </cell>
          <cell r="CK143">
            <v>305.5</v>
          </cell>
          <cell r="CL143">
            <v>415.2</v>
          </cell>
          <cell r="CM143">
            <v>234</v>
          </cell>
          <cell r="CN143">
            <v>308.7</v>
          </cell>
          <cell r="CO143">
            <v>517.29999999999995</v>
          </cell>
          <cell r="CP143">
            <v>162.69999999999999</v>
          </cell>
          <cell r="CQ143">
            <v>162.69999999999999</v>
          </cell>
          <cell r="CR143">
            <v>1093.9000000000001</v>
          </cell>
          <cell r="CS143">
            <v>908.09999999999991</v>
          </cell>
          <cell r="CT143">
            <v>685.09999999999991</v>
          </cell>
          <cell r="CU143">
            <v>1537.3</v>
          </cell>
          <cell r="CV143">
            <v>162.69999999999999</v>
          </cell>
          <cell r="CW143">
            <v>1020</v>
          </cell>
          <cell r="CX143">
            <v>162.69999999999999</v>
          </cell>
          <cell r="CY143">
            <v>162.69999999999999</v>
          </cell>
          <cell r="CZ143">
            <v>162.69999999999999</v>
          </cell>
          <cell r="DB143">
            <v>162.69999999999999</v>
          </cell>
          <cell r="DC143">
            <v>162.69999999999999</v>
          </cell>
          <cell r="DD143">
            <v>162.69999999999999</v>
          </cell>
          <cell r="DE143">
            <v>162.69999999999999</v>
          </cell>
          <cell r="DF143">
            <v>2018.1000000000001</v>
          </cell>
          <cell r="DG143">
            <v>1159.2</v>
          </cell>
          <cell r="DH143">
            <v>196.5</v>
          </cell>
          <cell r="DI143">
            <v>864.59999999999991</v>
          </cell>
          <cell r="DJ143">
            <v>4863.8</v>
          </cell>
          <cell r="DK143">
            <v>162.69999999999999</v>
          </cell>
          <cell r="DL143">
            <v>162.69999999999999</v>
          </cell>
          <cell r="DM143">
            <v>646.29999999999995</v>
          </cell>
          <cell r="DN143">
            <v>162.69999999999999</v>
          </cell>
          <cell r="DO143">
            <v>162.69999999999999</v>
          </cell>
          <cell r="DP143">
            <v>162.69999999999999</v>
          </cell>
          <cell r="DQ143">
            <v>283.89999999999998</v>
          </cell>
          <cell r="DR143">
            <v>162.69999999999999</v>
          </cell>
          <cell r="DS143">
            <v>941.59999999999991</v>
          </cell>
          <cell r="DT143">
            <v>174.5</v>
          </cell>
          <cell r="DU143">
            <v>666.3</v>
          </cell>
          <cell r="DV143">
            <v>276.7</v>
          </cell>
          <cell r="DW143">
            <v>1309.7</v>
          </cell>
          <cell r="EA143">
            <v>154.6</v>
          </cell>
          <cell r="EB143">
            <v>154.6</v>
          </cell>
          <cell r="EC143">
            <v>2351.7999999999997</v>
          </cell>
          <cell r="ED143">
            <v>154.6</v>
          </cell>
          <cell r="EE143">
            <v>219</v>
          </cell>
          <cell r="EF143">
            <v>3112.7999999999997</v>
          </cell>
          <cell r="EG143">
            <v>154.6</v>
          </cell>
          <cell r="EH143">
            <v>154.6</v>
          </cell>
          <cell r="EI143">
            <v>690.2</v>
          </cell>
          <cell r="EJ143">
            <v>154.6</v>
          </cell>
          <cell r="EK143">
            <v>154.6</v>
          </cell>
          <cell r="EL143">
            <v>154.6</v>
          </cell>
          <cell r="EM143">
            <v>154.6</v>
          </cell>
          <cell r="EN143">
            <v>154.6</v>
          </cell>
          <cell r="EO143">
            <v>154.6</v>
          </cell>
          <cell r="EP143">
            <v>154.6</v>
          </cell>
          <cell r="EQ143">
            <v>154.6</v>
          </cell>
          <cell r="ER143">
            <v>154.6</v>
          </cell>
          <cell r="ES143">
            <v>381.29999999999995</v>
          </cell>
          <cell r="ET143">
            <v>474.1</v>
          </cell>
          <cell r="EU143">
            <v>668.4</v>
          </cell>
          <cell r="EV143">
            <v>154.6</v>
          </cell>
          <cell r="EW143">
            <v>290.10000000000002</v>
          </cell>
          <cell r="EX143">
            <v>417.70000000000005</v>
          </cell>
          <cell r="EY143">
            <v>232.5</v>
          </cell>
          <cell r="EZ143">
            <v>295.89999999999998</v>
          </cell>
          <cell r="FA143">
            <v>544.29999999999995</v>
          </cell>
          <cell r="FB143">
            <v>154.6</v>
          </cell>
          <cell r="FC143">
            <v>154.6</v>
          </cell>
          <cell r="FD143">
            <v>1149.5</v>
          </cell>
          <cell r="FE143">
            <v>1115.5</v>
          </cell>
          <cell r="FF143">
            <v>779.1</v>
          </cell>
          <cell r="FG143">
            <v>1540.8</v>
          </cell>
          <cell r="FH143">
            <v>154.6</v>
          </cell>
          <cell r="FI143">
            <v>1137.2</v>
          </cell>
          <cell r="FJ143">
            <v>154.6</v>
          </cell>
          <cell r="FK143">
            <v>154.6</v>
          </cell>
          <cell r="FL143">
            <v>154.6</v>
          </cell>
          <cell r="FN143">
            <v>154.6</v>
          </cell>
          <cell r="FO143">
            <v>154.6</v>
          </cell>
          <cell r="FP143">
            <v>154.6</v>
          </cell>
          <cell r="FQ143">
            <v>154.6</v>
          </cell>
          <cell r="FR143">
            <v>154.6</v>
          </cell>
          <cell r="FS143">
            <v>154.6</v>
          </cell>
          <cell r="FT143">
            <v>198.5</v>
          </cell>
          <cell r="FU143">
            <v>799.69999999999993</v>
          </cell>
          <cell r="FV143">
            <v>4540.8</v>
          </cell>
          <cell r="FW143">
            <v>154.6</v>
          </cell>
          <cell r="FX143">
            <v>154.6</v>
          </cell>
          <cell r="FY143">
            <v>617.29999999999995</v>
          </cell>
          <cell r="FZ143">
            <v>154.6</v>
          </cell>
          <cell r="GA143">
            <v>154.6</v>
          </cell>
          <cell r="GB143">
            <v>154.6</v>
          </cell>
          <cell r="GC143">
            <v>271.2</v>
          </cell>
          <cell r="GD143">
            <v>154.6</v>
          </cell>
          <cell r="GE143">
            <v>1119.7</v>
          </cell>
          <cell r="GF143">
            <v>154.6</v>
          </cell>
          <cell r="GG143">
            <v>154.6</v>
          </cell>
          <cell r="GH143">
            <v>154.6</v>
          </cell>
          <cell r="GI143">
            <v>154.6</v>
          </cell>
        </row>
        <row r="144">
          <cell r="BO144"/>
          <cell r="BP144"/>
          <cell r="BQ144">
            <v>1925.4</v>
          </cell>
          <cell r="BR144"/>
          <cell r="BS144">
            <v>63</v>
          </cell>
          <cell r="BT144">
            <v>1636.8</v>
          </cell>
          <cell r="BU144"/>
          <cell r="BV144"/>
          <cell r="BW144">
            <v>543.29999999999995</v>
          </cell>
          <cell r="BX144"/>
          <cell r="BY144">
            <v>970.9</v>
          </cell>
          <cell r="BZ144"/>
          <cell r="CA144">
            <v>458.8</v>
          </cell>
          <cell r="CB144">
            <v>441.9</v>
          </cell>
          <cell r="CC144">
            <v>51.7</v>
          </cell>
          <cell r="CD144"/>
          <cell r="CE144"/>
          <cell r="CF144"/>
          <cell r="CG144">
            <v>190.1</v>
          </cell>
          <cell r="CH144">
            <v>311.89999999999998</v>
          </cell>
          <cell r="CI144">
            <v>495.4</v>
          </cell>
          <cell r="CJ144"/>
          <cell r="CK144">
            <v>142.80000000000001</v>
          </cell>
          <cell r="CL144">
            <v>252.5</v>
          </cell>
          <cell r="CM144">
            <v>71.3</v>
          </cell>
          <cell r="CN144">
            <v>146</v>
          </cell>
          <cell r="CO144">
            <v>354.6</v>
          </cell>
          <cell r="CP144"/>
          <cell r="CQ144"/>
          <cell r="CR144">
            <v>931.2</v>
          </cell>
          <cell r="CS144">
            <v>745.4</v>
          </cell>
          <cell r="CT144">
            <v>522.4</v>
          </cell>
          <cell r="CU144">
            <v>1374.6</v>
          </cell>
          <cell r="CV144"/>
          <cell r="CW144">
            <v>857.3</v>
          </cell>
          <cell r="CX144"/>
          <cell r="CY144"/>
          <cell r="CZ144"/>
          <cell r="DA144">
            <v>162.69999999999999</v>
          </cell>
          <cell r="DC144"/>
          <cell r="DD144"/>
          <cell r="DE144"/>
          <cell r="DF144">
            <v>1855.4</v>
          </cell>
          <cell r="DG144">
            <v>996.5</v>
          </cell>
          <cell r="DH144">
            <v>33.799999999999997</v>
          </cell>
          <cell r="DI144">
            <v>701.9</v>
          </cell>
          <cell r="DJ144">
            <v>4701.1000000000004</v>
          </cell>
          <cell r="DK144"/>
          <cell r="DL144"/>
          <cell r="DM144">
            <v>483.6</v>
          </cell>
          <cell r="DN144"/>
          <cell r="DO144"/>
          <cell r="DP144"/>
          <cell r="DQ144">
            <v>121.2</v>
          </cell>
          <cell r="DR144"/>
          <cell r="DS144">
            <v>778.9</v>
          </cell>
          <cell r="DT144">
            <v>11.8</v>
          </cell>
          <cell r="DU144">
            <v>503.6</v>
          </cell>
          <cell r="DV144">
            <v>114</v>
          </cell>
          <cell r="DW144">
            <v>1147</v>
          </cell>
          <cell r="EA144"/>
          <cell r="EB144"/>
          <cell r="EC144">
            <v>2197.1999999999998</v>
          </cell>
          <cell r="ED144"/>
          <cell r="EE144">
            <v>64.400000000000006</v>
          </cell>
          <cell r="EF144">
            <v>2958.2</v>
          </cell>
          <cell r="EG144"/>
          <cell r="EH144"/>
          <cell r="EI144">
            <v>535.6</v>
          </cell>
          <cell r="EJ144"/>
          <cell r="EK144"/>
          <cell r="EL144"/>
          <cell r="EM144"/>
          <cell r="EN144"/>
          <cell r="EO144"/>
          <cell r="EP144"/>
          <cell r="EQ144"/>
          <cell r="ER144"/>
          <cell r="ES144">
            <v>226.7</v>
          </cell>
          <cell r="ET144">
            <v>319.5</v>
          </cell>
          <cell r="EU144">
            <v>513.79999999999995</v>
          </cell>
          <cell r="EV144"/>
          <cell r="EW144">
            <v>135.5</v>
          </cell>
          <cell r="EX144">
            <v>263.10000000000002</v>
          </cell>
          <cell r="EY144">
            <v>77.900000000000006</v>
          </cell>
          <cell r="EZ144">
            <v>141.30000000000001</v>
          </cell>
          <cell r="FA144">
            <v>389.7</v>
          </cell>
          <cell r="FB144"/>
          <cell r="FC144"/>
          <cell r="FD144">
            <v>994.9</v>
          </cell>
          <cell r="FE144">
            <v>960.9</v>
          </cell>
          <cell r="FF144">
            <v>624.5</v>
          </cell>
          <cell r="FG144">
            <v>1386.2</v>
          </cell>
          <cell r="FH144"/>
          <cell r="FI144">
            <v>982.6</v>
          </cell>
          <cell r="FJ144"/>
          <cell r="FK144"/>
          <cell r="FL144"/>
          <cell r="FM144">
            <v>154.6</v>
          </cell>
          <cell r="FN144"/>
          <cell r="FO144"/>
          <cell r="FP144"/>
          <cell r="FQ144"/>
          <cell r="FR144"/>
          <cell r="FS144"/>
          <cell r="FT144">
            <v>43.9</v>
          </cell>
          <cell r="FU144">
            <v>645.09999999999991</v>
          </cell>
          <cell r="FV144">
            <v>4386.2</v>
          </cell>
          <cell r="FW144"/>
          <cell r="FX144"/>
          <cell r="FY144">
            <v>462.7</v>
          </cell>
          <cell r="FZ144"/>
          <cell r="GA144"/>
          <cell r="GB144"/>
          <cell r="GC144">
            <v>116.6</v>
          </cell>
          <cell r="GD144"/>
          <cell r="GE144">
            <v>965.1</v>
          </cell>
          <cell r="GF144"/>
          <cell r="GG144"/>
          <cell r="GH144"/>
          <cell r="GI144"/>
        </row>
        <row r="145">
          <cell r="BO145"/>
          <cell r="BP145"/>
          <cell r="BQ145">
            <v>1925.4</v>
          </cell>
          <cell r="BR145"/>
          <cell r="BS145">
            <v>63</v>
          </cell>
          <cell r="BT145">
            <v>1636.8</v>
          </cell>
          <cell r="BU145"/>
          <cell r="BV145"/>
          <cell r="BW145">
            <v>543.29999999999995</v>
          </cell>
          <cell r="BX145"/>
          <cell r="BY145">
            <v>970.9</v>
          </cell>
          <cell r="BZ145"/>
          <cell r="CA145">
            <v>458.8</v>
          </cell>
          <cell r="CB145">
            <v>441.9</v>
          </cell>
          <cell r="CC145">
            <v>51.7</v>
          </cell>
          <cell r="CD145"/>
          <cell r="CE145"/>
          <cell r="CF145"/>
          <cell r="CG145">
            <v>190.1</v>
          </cell>
          <cell r="CH145">
            <v>311.89999999999998</v>
          </cell>
          <cell r="CI145">
            <v>495.4</v>
          </cell>
          <cell r="CJ145"/>
          <cell r="CK145">
            <v>142.80000000000001</v>
          </cell>
          <cell r="CL145">
            <v>252.5</v>
          </cell>
          <cell r="CM145">
            <v>71.3</v>
          </cell>
          <cell r="CN145">
            <v>146</v>
          </cell>
          <cell r="CO145">
            <v>354.6</v>
          </cell>
          <cell r="CP145"/>
          <cell r="CQ145"/>
          <cell r="CR145">
            <v>931.2</v>
          </cell>
          <cell r="CS145">
            <v>745.4</v>
          </cell>
          <cell r="CT145">
            <v>522.4</v>
          </cell>
          <cell r="CU145">
            <v>1374.6</v>
          </cell>
          <cell r="CV145"/>
          <cell r="CW145">
            <v>857.3</v>
          </cell>
          <cell r="CX145"/>
          <cell r="CY145"/>
          <cell r="CZ145"/>
          <cell r="DA145">
            <v>162.69999999999999</v>
          </cell>
          <cell r="DB145"/>
          <cell r="DD145"/>
          <cell r="DE145"/>
          <cell r="DF145">
            <v>1855.4</v>
          </cell>
          <cell r="DG145">
            <v>996.5</v>
          </cell>
          <cell r="DH145">
            <v>33.799999999999997</v>
          </cell>
          <cell r="DI145">
            <v>701.9</v>
          </cell>
          <cell r="DJ145">
            <v>4701.1000000000004</v>
          </cell>
          <cell r="DK145"/>
          <cell r="DL145"/>
          <cell r="DM145">
            <v>483.6</v>
          </cell>
          <cell r="DN145"/>
          <cell r="DO145"/>
          <cell r="DP145"/>
          <cell r="DQ145">
            <v>121.2</v>
          </cell>
          <cell r="DR145"/>
          <cell r="DS145">
            <v>778.9</v>
          </cell>
          <cell r="DT145">
            <v>11.8</v>
          </cell>
          <cell r="DU145">
            <v>503.6</v>
          </cell>
          <cell r="DV145">
            <v>114</v>
          </cell>
          <cell r="DW145">
            <v>1147</v>
          </cell>
          <cell r="EA145"/>
          <cell r="EB145"/>
          <cell r="EC145">
            <v>2197.1999999999998</v>
          </cell>
          <cell r="ED145"/>
          <cell r="EE145">
            <v>64.400000000000006</v>
          </cell>
          <cell r="EF145">
            <v>2958.2</v>
          </cell>
          <cell r="EG145"/>
          <cell r="EH145"/>
          <cell r="EI145">
            <v>535.6</v>
          </cell>
          <cell r="EJ145"/>
          <cell r="EK145"/>
          <cell r="EL145"/>
          <cell r="EM145"/>
          <cell r="EN145"/>
          <cell r="EO145"/>
          <cell r="EP145"/>
          <cell r="EQ145"/>
          <cell r="ER145"/>
          <cell r="ES145">
            <v>226.7</v>
          </cell>
          <cell r="ET145">
            <v>319.5</v>
          </cell>
          <cell r="EU145">
            <v>513.79999999999995</v>
          </cell>
          <cell r="EV145"/>
          <cell r="EW145">
            <v>135.5</v>
          </cell>
          <cell r="EX145">
            <v>263.10000000000002</v>
          </cell>
          <cell r="EY145">
            <v>77.900000000000006</v>
          </cell>
          <cell r="EZ145">
            <v>141.30000000000001</v>
          </cell>
          <cell r="FA145">
            <v>389.7</v>
          </cell>
          <cell r="FB145"/>
          <cell r="FC145"/>
          <cell r="FD145">
            <v>994.9</v>
          </cell>
          <cell r="FE145">
            <v>960.9</v>
          </cell>
          <cell r="FF145">
            <v>624.5</v>
          </cell>
          <cell r="FG145">
            <v>1386.2</v>
          </cell>
          <cell r="FH145"/>
          <cell r="FI145">
            <v>982.6</v>
          </cell>
          <cell r="FJ145"/>
          <cell r="FK145"/>
          <cell r="FL145"/>
          <cell r="FM145">
            <v>154.6</v>
          </cell>
          <cell r="FN145"/>
          <cell r="FO145"/>
          <cell r="FP145"/>
          <cell r="FQ145"/>
          <cell r="FR145"/>
          <cell r="FS145"/>
          <cell r="FT145">
            <v>43.9</v>
          </cell>
          <cell r="FU145">
            <v>645.09999999999991</v>
          </cell>
          <cell r="FV145">
            <v>4386.2</v>
          </cell>
          <cell r="FW145"/>
          <cell r="FX145"/>
          <cell r="FY145">
            <v>462.7</v>
          </cell>
          <cell r="FZ145"/>
          <cell r="GA145"/>
          <cell r="GB145"/>
          <cell r="GC145">
            <v>116.6</v>
          </cell>
          <cell r="GD145"/>
          <cell r="GE145">
            <v>965.1</v>
          </cell>
          <cell r="GF145"/>
          <cell r="GG145"/>
          <cell r="GH145"/>
          <cell r="GI145"/>
        </row>
        <row r="146">
          <cell r="BO146"/>
          <cell r="BP146"/>
          <cell r="BQ146">
            <v>1925.4</v>
          </cell>
          <cell r="BR146"/>
          <cell r="BS146">
            <v>63</v>
          </cell>
          <cell r="BT146">
            <v>1636.8</v>
          </cell>
          <cell r="BU146"/>
          <cell r="BV146"/>
          <cell r="BW146">
            <v>543.29999999999995</v>
          </cell>
          <cell r="BX146"/>
          <cell r="BY146">
            <v>970.9</v>
          </cell>
          <cell r="BZ146"/>
          <cell r="CA146">
            <v>458.8</v>
          </cell>
          <cell r="CB146">
            <v>441.9</v>
          </cell>
          <cell r="CC146">
            <v>51.7</v>
          </cell>
          <cell r="CD146"/>
          <cell r="CE146"/>
          <cell r="CF146"/>
          <cell r="CG146">
            <v>190.1</v>
          </cell>
          <cell r="CH146">
            <v>311.89999999999998</v>
          </cell>
          <cell r="CI146">
            <v>495.4</v>
          </cell>
          <cell r="CJ146"/>
          <cell r="CK146">
            <v>142.80000000000001</v>
          </cell>
          <cell r="CL146">
            <v>252.5</v>
          </cell>
          <cell r="CM146">
            <v>71.3</v>
          </cell>
          <cell r="CN146">
            <v>146</v>
          </cell>
          <cell r="CO146">
            <v>354.6</v>
          </cell>
          <cell r="CP146"/>
          <cell r="CQ146"/>
          <cell r="CR146">
            <v>931.2</v>
          </cell>
          <cell r="CS146">
            <v>745.4</v>
          </cell>
          <cell r="CT146">
            <v>522.4</v>
          </cell>
          <cell r="CU146">
            <v>1374.6</v>
          </cell>
          <cell r="CV146"/>
          <cell r="CW146">
            <v>857.3</v>
          </cell>
          <cell r="CX146"/>
          <cell r="CY146"/>
          <cell r="CZ146"/>
          <cell r="DA146">
            <v>162.69999999999999</v>
          </cell>
          <cell r="DB146"/>
          <cell r="DC146"/>
          <cell r="DE146"/>
          <cell r="DF146">
            <v>1855.4</v>
          </cell>
          <cell r="DG146">
            <v>996.5</v>
          </cell>
          <cell r="DH146">
            <v>33.799999999999997</v>
          </cell>
          <cell r="DI146">
            <v>701.9</v>
          </cell>
          <cell r="DJ146">
            <v>4701.1000000000004</v>
          </cell>
          <cell r="DK146"/>
          <cell r="DL146"/>
          <cell r="DM146">
            <v>483.6</v>
          </cell>
          <cell r="DN146"/>
          <cell r="DO146"/>
          <cell r="DP146"/>
          <cell r="DQ146">
            <v>121.2</v>
          </cell>
          <cell r="DR146"/>
          <cell r="DS146">
            <v>778.9</v>
          </cell>
          <cell r="DT146">
            <v>11.8</v>
          </cell>
          <cell r="DU146">
            <v>503.6</v>
          </cell>
          <cell r="DV146">
            <v>114</v>
          </cell>
          <cell r="DW146">
            <v>1147</v>
          </cell>
          <cell r="EA146"/>
          <cell r="EB146"/>
          <cell r="EC146">
            <v>2197.1999999999998</v>
          </cell>
          <cell r="ED146"/>
          <cell r="EE146">
            <v>64.400000000000006</v>
          </cell>
          <cell r="EF146">
            <v>2958.2</v>
          </cell>
          <cell r="EG146"/>
          <cell r="EH146"/>
          <cell r="EI146">
            <v>535.6</v>
          </cell>
          <cell r="EJ146"/>
          <cell r="EK146"/>
          <cell r="EL146"/>
          <cell r="EM146"/>
          <cell r="EN146"/>
          <cell r="EO146"/>
          <cell r="EP146"/>
          <cell r="EQ146"/>
          <cell r="ER146"/>
          <cell r="ES146">
            <v>226.7</v>
          </cell>
          <cell r="ET146">
            <v>319.5</v>
          </cell>
          <cell r="EU146">
            <v>513.79999999999995</v>
          </cell>
          <cell r="EV146"/>
          <cell r="EW146">
            <v>135.5</v>
          </cell>
          <cell r="EX146">
            <v>263.10000000000002</v>
          </cell>
          <cell r="EY146">
            <v>77.900000000000006</v>
          </cell>
          <cell r="EZ146">
            <v>141.30000000000001</v>
          </cell>
          <cell r="FA146">
            <v>389.7</v>
          </cell>
          <cell r="FB146"/>
          <cell r="FC146"/>
          <cell r="FD146">
            <v>994.9</v>
          </cell>
          <cell r="FE146">
            <v>960.9</v>
          </cell>
          <cell r="FF146">
            <v>624.5</v>
          </cell>
          <cell r="FG146">
            <v>1386.2</v>
          </cell>
          <cell r="FH146"/>
          <cell r="FI146">
            <v>982.6</v>
          </cell>
          <cell r="FJ146"/>
          <cell r="FK146"/>
          <cell r="FL146"/>
          <cell r="FM146">
            <v>154.6</v>
          </cell>
          <cell r="FN146"/>
          <cell r="FO146"/>
          <cell r="FP146"/>
          <cell r="FQ146"/>
          <cell r="FR146"/>
          <cell r="FS146"/>
          <cell r="FT146">
            <v>43.9</v>
          </cell>
          <cell r="FU146">
            <v>645.09999999999991</v>
          </cell>
          <cell r="FV146">
            <v>4386.2</v>
          </cell>
          <cell r="FW146"/>
          <cell r="FX146"/>
          <cell r="FY146">
            <v>462.7</v>
          </cell>
          <cell r="FZ146"/>
          <cell r="GA146"/>
          <cell r="GB146"/>
          <cell r="GC146">
            <v>116.6</v>
          </cell>
          <cell r="GD146"/>
          <cell r="GE146">
            <v>965.1</v>
          </cell>
          <cell r="GF146"/>
          <cell r="GG146"/>
          <cell r="GH146"/>
          <cell r="GI146"/>
        </row>
        <row r="147">
          <cell r="BO147"/>
          <cell r="BP147"/>
          <cell r="BQ147">
            <v>1925.4</v>
          </cell>
          <cell r="BR147"/>
          <cell r="BS147">
            <v>63</v>
          </cell>
          <cell r="BT147">
            <v>1636.8</v>
          </cell>
          <cell r="BU147"/>
          <cell r="BV147"/>
          <cell r="BW147">
            <v>543.29999999999995</v>
          </cell>
          <cell r="BX147"/>
          <cell r="BY147">
            <v>970.9</v>
          </cell>
          <cell r="BZ147"/>
          <cell r="CA147">
            <v>458.8</v>
          </cell>
          <cell r="CB147">
            <v>441.9</v>
          </cell>
          <cell r="CC147">
            <v>51.7</v>
          </cell>
          <cell r="CD147"/>
          <cell r="CE147"/>
          <cell r="CF147"/>
          <cell r="CG147">
            <v>190.1</v>
          </cell>
          <cell r="CH147">
            <v>311.89999999999998</v>
          </cell>
          <cell r="CI147">
            <v>495.4</v>
          </cell>
          <cell r="CJ147"/>
          <cell r="CK147">
            <v>142.80000000000001</v>
          </cell>
          <cell r="CL147">
            <v>252.5</v>
          </cell>
          <cell r="CM147">
            <v>71.3</v>
          </cell>
          <cell r="CN147">
            <v>146</v>
          </cell>
          <cell r="CO147">
            <v>354.6</v>
          </cell>
          <cell r="CP147"/>
          <cell r="CQ147"/>
          <cell r="CR147">
            <v>931.2</v>
          </cell>
          <cell r="CS147">
            <v>745.4</v>
          </cell>
          <cell r="CT147">
            <v>522.4</v>
          </cell>
          <cell r="CU147">
            <v>1374.6</v>
          </cell>
          <cell r="CV147"/>
          <cell r="CW147">
            <v>857.3</v>
          </cell>
          <cell r="CX147"/>
          <cell r="CY147"/>
          <cell r="CZ147"/>
          <cell r="DA147">
            <v>162.69999999999999</v>
          </cell>
          <cell r="DB147"/>
          <cell r="DC147"/>
          <cell r="DD147"/>
          <cell r="DF147">
            <v>1855.4</v>
          </cell>
          <cell r="DG147">
            <v>996.5</v>
          </cell>
          <cell r="DH147">
            <v>33.799999999999997</v>
          </cell>
          <cell r="DI147">
            <v>701.9</v>
          </cell>
          <cell r="DJ147">
            <v>4701.1000000000004</v>
          </cell>
          <cell r="DK147"/>
          <cell r="DL147"/>
          <cell r="DM147">
            <v>483.6</v>
          </cell>
          <cell r="DN147"/>
          <cell r="DO147"/>
          <cell r="DP147"/>
          <cell r="DQ147">
            <v>121.2</v>
          </cell>
          <cell r="DR147"/>
          <cell r="DS147">
            <v>778.9</v>
          </cell>
          <cell r="DT147">
            <v>11.8</v>
          </cell>
          <cell r="DU147">
            <v>503.6</v>
          </cell>
          <cell r="DV147">
            <v>114</v>
          </cell>
          <cell r="DW147">
            <v>1147</v>
          </cell>
          <cell r="EA147"/>
          <cell r="EB147"/>
          <cell r="EC147">
            <v>2197.1999999999998</v>
          </cell>
          <cell r="ED147"/>
          <cell r="EE147">
            <v>64.400000000000006</v>
          </cell>
          <cell r="EF147">
            <v>2958.2</v>
          </cell>
          <cell r="EG147"/>
          <cell r="EH147"/>
          <cell r="EI147">
            <v>535.6</v>
          </cell>
          <cell r="EJ147"/>
          <cell r="EK147"/>
          <cell r="EL147"/>
          <cell r="EM147"/>
          <cell r="EN147"/>
          <cell r="EO147"/>
          <cell r="EP147"/>
          <cell r="EQ147"/>
          <cell r="ER147"/>
          <cell r="ES147">
            <v>226.7</v>
          </cell>
          <cell r="ET147">
            <v>319.5</v>
          </cell>
          <cell r="EU147">
            <v>513.79999999999995</v>
          </cell>
          <cell r="EV147"/>
          <cell r="EW147">
            <v>135.5</v>
          </cell>
          <cell r="EX147">
            <v>263.10000000000002</v>
          </cell>
          <cell r="EY147">
            <v>77.900000000000006</v>
          </cell>
          <cell r="EZ147">
            <v>141.30000000000001</v>
          </cell>
          <cell r="FA147">
            <v>389.7</v>
          </cell>
          <cell r="FB147"/>
          <cell r="FC147"/>
          <cell r="FD147">
            <v>994.9</v>
          </cell>
          <cell r="FE147">
            <v>960.9</v>
          </cell>
          <cell r="FF147">
            <v>624.5</v>
          </cell>
          <cell r="FG147">
            <v>1386.2</v>
          </cell>
          <cell r="FH147"/>
          <cell r="FI147">
            <v>982.6</v>
          </cell>
          <cell r="FJ147"/>
          <cell r="FK147"/>
          <cell r="FL147"/>
          <cell r="FM147">
            <v>154.6</v>
          </cell>
          <cell r="FN147"/>
          <cell r="FO147"/>
          <cell r="FP147"/>
          <cell r="FQ147"/>
          <cell r="FR147"/>
          <cell r="FS147"/>
          <cell r="FT147">
            <v>43.9</v>
          </cell>
          <cell r="FU147">
            <v>645.09999999999991</v>
          </cell>
          <cell r="FV147">
            <v>4386.2</v>
          </cell>
          <cell r="FW147"/>
          <cell r="FX147"/>
          <cell r="FY147">
            <v>462.7</v>
          </cell>
          <cell r="FZ147"/>
          <cell r="GA147"/>
          <cell r="GB147"/>
          <cell r="GC147">
            <v>116.6</v>
          </cell>
          <cell r="GD147"/>
          <cell r="GE147">
            <v>965.1</v>
          </cell>
          <cell r="GF147"/>
          <cell r="GG147"/>
          <cell r="GH147"/>
          <cell r="GI147"/>
        </row>
        <row r="148">
          <cell r="BO148">
            <v>1855.4</v>
          </cell>
          <cell r="BP148">
            <v>1855.4</v>
          </cell>
          <cell r="BQ148">
            <v>3780.8</v>
          </cell>
          <cell r="BR148">
            <v>1855.4</v>
          </cell>
          <cell r="BS148">
            <v>1918.4</v>
          </cell>
          <cell r="BT148">
            <v>3492.2</v>
          </cell>
          <cell r="BU148">
            <v>1855.4</v>
          </cell>
          <cell r="BV148">
            <v>1855.4</v>
          </cell>
          <cell r="BW148">
            <v>2398.6999999999998</v>
          </cell>
          <cell r="BX148">
            <v>1855.4</v>
          </cell>
          <cell r="BY148">
            <v>2826.3</v>
          </cell>
          <cell r="BZ148">
            <v>1855.4</v>
          </cell>
          <cell r="CA148">
            <v>2314.2000000000003</v>
          </cell>
          <cell r="CB148">
            <v>2297.3000000000002</v>
          </cell>
          <cell r="CC148">
            <v>1907.1000000000001</v>
          </cell>
          <cell r="CD148">
            <v>1855.4</v>
          </cell>
          <cell r="CE148">
            <v>1855.4</v>
          </cell>
          <cell r="CF148">
            <v>1855.4</v>
          </cell>
          <cell r="CG148">
            <v>2045.5</v>
          </cell>
          <cell r="CH148">
            <v>2167.3000000000002</v>
          </cell>
          <cell r="CI148">
            <v>2350.8000000000002</v>
          </cell>
          <cell r="CJ148">
            <v>1855.4</v>
          </cell>
          <cell r="CK148">
            <v>1998.2</v>
          </cell>
          <cell r="CL148">
            <v>2107.9</v>
          </cell>
          <cell r="CM148">
            <v>1926.7</v>
          </cell>
          <cell r="CN148">
            <v>2001.4</v>
          </cell>
          <cell r="CO148">
            <v>2210</v>
          </cell>
          <cell r="CP148">
            <v>1855.4</v>
          </cell>
          <cell r="CQ148">
            <v>1855.4</v>
          </cell>
          <cell r="CR148">
            <v>2786.6000000000004</v>
          </cell>
          <cell r="CS148">
            <v>2600.8000000000002</v>
          </cell>
          <cell r="CT148">
            <v>2377.8000000000002</v>
          </cell>
          <cell r="CU148">
            <v>3230</v>
          </cell>
          <cell r="CV148">
            <v>1855.4</v>
          </cell>
          <cell r="CW148">
            <v>2712.7</v>
          </cell>
          <cell r="CX148">
            <v>1855.4</v>
          </cell>
          <cell r="CY148">
            <v>1855.4</v>
          </cell>
          <cell r="CZ148">
            <v>1855.4</v>
          </cell>
          <cell r="DA148">
            <v>2018.1000000000001</v>
          </cell>
          <cell r="DB148">
            <v>1855.4</v>
          </cell>
          <cell r="DC148">
            <v>1855.4</v>
          </cell>
          <cell r="DD148">
            <v>1855.4</v>
          </cell>
          <cell r="DE148">
            <v>1855.4</v>
          </cell>
          <cell r="DG148">
            <v>2851.9</v>
          </cell>
          <cell r="DH148">
            <v>1889.2</v>
          </cell>
          <cell r="DI148">
            <v>2557.3000000000002</v>
          </cell>
          <cell r="DJ148">
            <v>6556.5</v>
          </cell>
          <cell r="DK148">
            <v>1855.4</v>
          </cell>
          <cell r="DL148">
            <v>1855.4</v>
          </cell>
          <cell r="DM148">
            <v>2339</v>
          </cell>
          <cell r="DN148">
            <v>1855.4</v>
          </cell>
          <cell r="DO148">
            <v>1855.4</v>
          </cell>
          <cell r="DP148">
            <v>1855.4</v>
          </cell>
          <cell r="DQ148">
            <v>1976.6000000000001</v>
          </cell>
          <cell r="DR148">
            <v>1855.4</v>
          </cell>
          <cell r="DS148">
            <v>2634.3</v>
          </cell>
          <cell r="DT148">
            <v>1867.2</v>
          </cell>
          <cell r="DU148">
            <v>2359</v>
          </cell>
          <cell r="DV148">
            <v>1969.4</v>
          </cell>
          <cell r="DW148">
            <v>3002.4</v>
          </cell>
          <cell r="EA148"/>
          <cell r="EB148"/>
          <cell r="EC148">
            <v>2197.1999999999998</v>
          </cell>
          <cell r="ED148"/>
          <cell r="EE148">
            <v>64.400000000000006</v>
          </cell>
          <cell r="EF148">
            <v>2958.2</v>
          </cell>
          <cell r="EG148"/>
          <cell r="EH148"/>
          <cell r="EI148">
            <v>535.6</v>
          </cell>
          <cell r="EJ148"/>
          <cell r="EK148"/>
          <cell r="EL148"/>
          <cell r="EM148"/>
          <cell r="EN148"/>
          <cell r="EO148"/>
          <cell r="EP148"/>
          <cell r="EQ148"/>
          <cell r="ER148"/>
          <cell r="ES148">
            <v>226.7</v>
          </cell>
          <cell r="ET148">
            <v>319.5</v>
          </cell>
          <cell r="EU148">
            <v>513.79999999999995</v>
          </cell>
          <cell r="EV148"/>
          <cell r="EW148">
            <v>135.5</v>
          </cell>
          <cell r="EX148">
            <v>263.10000000000002</v>
          </cell>
          <cell r="EY148">
            <v>77.900000000000006</v>
          </cell>
          <cell r="EZ148">
            <v>141.30000000000001</v>
          </cell>
          <cell r="FA148">
            <v>389.7</v>
          </cell>
          <cell r="FB148"/>
          <cell r="FC148"/>
          <cell r="FD148">
            <v>994.9</v>
          </cell>
          <cell r="FE148">
            <v>960.9</v>
          </cell>
          <cell r="FF148">
            <v>624.5</v>
          </cell>
          <cell r="FG148">
            <v>1386.2</v>
          </cell>
          <cell r="FH148"/>
          <cell r="FI148">
            <v>982.6</v>
          </cell>
          <cell r="FJ148"/>
          <cell r="FK148"/>
          <cell r="FL148"/>
          <cell r="FM148">
            <v>154.6</v>
          </cell>
          <cell r="FN148"/>
          <cell r="FO148"/>
          <cell r="FP148"/>
          <cell r="FQ148"/>
          <cell r="FR148"/>
          <cell r="FS148"/>
          <cell r="FT148">
            <v>43.9</v>
          </cell>
          <cell r="FU148">
            <v>645.09999999999991</v>
          </cell>
          <cell r="FV148">
            <v>4386.2</v>
          </cell>
          <cell r="FW148"/>
          <cell r="FX148"/>
          <cell r="FY148">
            <v>462.7</v>
          </cell>
          <cell r="FZ148"/>
          <cell r="GA148"/>
          <cell r="GB148"/>
          <cell r="GC148">
            <v>116.6</v>
          </cell>
          <cell r="GD148"/>
          <cell r="GE148">
            <v>965.1</v>
          </cell>
          <cell r="GF148"/>
          <cell r="GG148"/>
          <cell r="GH148"/>
          <cell r="GI148"/>
        </row>
        <row r="149">
          <cell r="BO149">
            <v>996.5</v>
          </cell>
          <cell r="BP149">
            <v>996.5</v>
          </cell>
          <cell r="BQ149">
            <v>2921.9</v>
          </cell>
          <cell r="BR149">
            <v>996.5</v>
          </cell>
          <cell r="BS149">
            <v>1059.5</v>
          </cell>
          <cell r="BT149">
            <v>2633.3</v>
          </cell>
          <cell r="BU149">
            <v>996.5</v>
          </cell>
          <cell r="BV149">
            <v>996.5</v>
          </cell>
          <cell r="BW149">
            <v>1539.8</v>
          </cell>
          <cell r="BX149">
            <v>996.5</v>
          </cell>
          <cell r="BY149">
            <v>1967.4</v>
          </cell>
          <cell r="BZ149">
            <v>996.5</v>
          </cell>
          <cell r="CA149">
            <v>1455.3</v>
          </cell>
          <cell r="CB149">
            <v>1438.4</v>
          </cell>
          <cell r="CC149">
            <v>1048.2</v>
          </cell>
          <cell r="CD149">
            <v>996.5</v>
          </cell>
          <cell r="CE149">
            <v>996.5</v>
          </cell>
          <cell r="CF149">
            <v>996.5</v>
          </cell>
          <cell r="CG149">
            <v>1186.5999999999999</v>
          </cell>
          <cell r="CH149">
            <v>1308.4000000000001</v>
          </cell>
          <cell r="CI149">
            <v>1491.9</v>
          </cell>
          <cell r="CJ149">
            <v>996.5</v>
          </cell>
          <cell r="CK149">
            <v>1139.3</v>
          </cell>
          <cell r="CL149">
            <v>1249</v>
          </cell>
          <cell r="CM149">
            <v>1067.8</v>
          </cell>
          <cell r="CN149">
            <v>1142.5</v>
          </cell>
          <cell r="CO149">
            <v>1351.1</v>
          </cell>
          <cell r="CP149">
            <v>996.5</v>
          </cell>
          <cell r="CQ149">
            <v>996.5</v>
          </cell>
          <cell r="CR149">
            <v>1927.7</v>
          </cell>
          <cell r="CS149">
            <v>1741.9</v>
          </cell>
          <cell r="CT149">
            <v>1518.9</v>
          </cell>
          <cell r="CU149">
            <v>2371.1</v>
          </cell>
          <cell r="CV149">
            <v>996.5</v>
          </cell>
          <cell r="CW149">
            <v>1853.8</v>
          </cell>
          <cell r="CX149">
            <v>996.5</v>
          </cell>
          <cell r="CY149">
            <v>996.5</v>
          </cell>
          <cell r="CZ149">
            <v>996.5</v>
          </cell>
          <cell r="DA149">
            <v>1159.2</v>
          </cell>
          <cell r="DB149">
            <v>996.5</v>
          </cell>
          <cell r="DC149">
            <v>996.5</v>
          </cell>
          <cell r="DD149">
            <v>996.5</v>
          </cell>
          <cell r="DE149">
            <v>996.5</v>
          </cell>
          <cell r="DF149">
            <v>2851.9</v>
          </cell>
          <cell r="DH149">
            <v>1030.3</v>
          </cell>
          <cell r="DI149">
            <v>1698.4</v>
          </cell>
          <cell r="DJ149">
            <v>5697.6</v>
          </cell>
          <cell r="DK149">
            <v>996.5</v>
          </cell>
          <cell r="DL149">
            <v>996.5</v>
          </cell>
          <cell r="DM149">
            <v>1480.1</v>
          </cell>
          <cell r="DN149">
            <v>996.5</v>
          </cell>
          <cell r="DO149">
            <v>996.5</v>
          </cell>
          <cell r="DP149">
            <v>996.5</v>
          </cell>
          <cell r="DQ149">
            <v>1117.7</v>
          </cell>
          <cell r="DR149">
            <v>996.5</v>
          </cell>
          <cell r="DS149">
            <v>1775.4</v>
          </cell>
          <cell r="DT149">
            <v>1008.3</v>
          </cell>
          <cell r="DU149">
            <v>1500.1</v>
          </cell>
          <cell r="DV149">
            <v>1110.5</v>
          </cell>
          <cell r="DW149">
            <v>2143.5</v>
          </cell>
          <cell r="EA149"/>
          <cell r="EB149"/>
          <cell r="EC149">
            <v>2197.1999999999998</v>
          </cell>
          <cell r="ED149"/>
          <cell r="EE149">
            <v>64.400000000000006</v>
          </cell>
          <cell r="EF149">
            <v>2958.2</v>
          </cell>
          <cell r="EG149"/>
          <cell r="EH149"/>
          <cell r="EI149">
            <v>535.6</v>
          </cell>
          <cell r="EJ149"/>
          <cell r="EK149"/>
          <cell r="EL149"/>
          <cell r="EM149"/>
          <cell r="EN149"/>
          <cell r="EO149"/>
          <cell r="EP149"/>
          <cell r="EQ149"/>
          <cell r="ER149"/>
          <cell r="ES149">
            <v>226.7</v>
          </cell>
          <cell r="ET149">
            <v>319.5</v>
          </cell>
          <cell r="EU149">
            <v>513.79999999999995</v>
          </cell>
          <cell r="EV149"/>
          <cell r="EW149">
            <v>135.5</v>
          </cell>
          <cell r="EX149">
            <v>263.10000000000002</v>
          </cell>
          <cell r="EY149">
            <v>77.900000000000006</v>
          </cell>
          <cell r="EZ149">
            <v>141.30000000000001</v>
          </cell>
          <cell r="FA149">
            <v>389.7</v>
          </cell>
          <cell r="FB149"/>
          <cell r="FC149"/>
          <cell r="FD149">
            <v>994.9</v>
          </cell>
          <cell r="FE149">
            <v>960.9</v>
          </cell>
          <cell r="FF149">
            <v>624.5</v>
          </cell>
          <cell r="FG149">
            <v>1386.2</v>
          </cell>
          <cell r="FH149"/>
          <cell r="FI149">
            <v>982.6</v>
          </cell>
          <cell r="FJ149"/>
          <cell r="FK149"/>
          <cell r="FL149"/>
          <cell r="FM149">
            <v>154.6</v>
          </cell>
          <cell r="FN149"/>
          <cell r="FO149"/>
          <cell r="FP149"/>
          <cell r="FQ149"/>
          <cell r="FR149"/>
          <cell r="FS149"/>
          <cell r="FT149">
            <v>43.9</v>
          </cell>
          <cell r="FU149">
            <v>645.09999999999991</v>
          </cell>
          <cell r="FV149">
            <v>4386.2</v>
          </cell>
          <cell r="FW149"/>
          <cell r="FX149"/>
          <cell r="FY149">
            <v>462.7</v>
          </cell>
          <cell r="FZ149"/>
          <cell r="GA149"/>
          <cell r="GB149"/>
          <cell r="GC149">
            <v>116.6</v>
          </cell>
          <cell r="GD149"/>
          <cell r="GE149">
            <v>965.1</v>
          </cell>
          <cell r="GF149"/>
          <cell r="GG149"/>
          <cell r="GH149"/>
          <cell r="GI149"/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199"/>
  <sheetViews>
    <sheetView zoomScale="84" zoomScaleNormal="60" workbookViewId="0">
      <selection activeCell="F166" sqref="F166"/>
    </sheetView>
  </sheetViews>
  <sheetFormatPr baseColWidth="10" defaultRowHeight="14.4" x14ac:dyDescent="0.3"/>
  <cols>
    <col min="1" max="1" width="18.21875" customWidth="1"/>
    <col min="2" max="2" width="17.88671875" customWidth="1"/>
    <col min="3" max="3" width="13.6640625" customWidth="1"/>
    <col min="64" max="64" width="13.88671875" customWidth="1"/>
    <col min="65" max="65" width="15.44140625" customWidth="1"/>
    <col min="66" max="66" width="13.6640625" customWidth="1"/>
    <col min="127" max="127" width="14.33203125" customWidth="1"/>
    <col min="129" max="129" width="13.6640625" customWidth="1"/>
    <col min="190" max="190" width="16.6640625" customWidth="1"/>
    <col min="192" max="192" width="13.33203125" customWidth="1"/>
    <col min="207" max="207" width="16.6640625" customWidth="1"/>
    <col min="208" max="208" width="14.33203125" customWidth="1"/>
    <col min="209" max="209" width="13.88671875" customWidth="1"/>
    <col min="210" max="210" width="12.33203125" customWidth="1"/>
    <col min="211" max="211" width="13" customWidth="1"/>
    <col min="212" max="212" width="16.44140625" customWidth="1"/>
  </cols>
  <sheetData>
    <row r="1" spans="1:62" ht="26.4" customHeight="1" x14ac:dyDescent="0.3">
      <c r="A1" s="55" t="s">
        <v>105</v>
      </c>
      <c r="B1" s="56"/>
    </row>
    <row r="3" spans="1:62" ht="27.6" customHeigh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3" t="s">
        <v>52</v>
      </c>
      <c r="BB3" s="3" t="s">
        <v>53</v>
      </c>
      <c r="BC3" s="3" t="s">
        <v>54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4" t="s">
        <v>61</v>
      </c>
    </row>
    <row r="4" spans="1:62" x14ac:dyDescent="0.3">
      <c r="A4" s="5" t="s">
        <v>1</v>
      </c>
      <c r="B4" s="6">
        <v>0</v>
      </c>
      <c r="C4" s="7">
        <v>1387.6</v>
      </c>
      <c r="D4" s="7">
        <v>2882</v>
      </c>
      <c r="E4" s="7">
        <v>2214.9</v>
      </c>
      <c r="F4" s="7">
        <v>1695.7</v>
      </c>
      <c r="G4" s="7">
        <v>3319.9</v>
      </c>
      <c r="H4" s="7">
        <v>5350.5</v>
      </c>
      <c r="I4" s="7">
        <v>4396.3</v>
      </c>
      <c r="J4" s="7">
        <v>2358.6999999999998</v>
      </c>
      <c r="K4" s="7">
        <v>2633.2</v>
      </c>
      <c r="L4" s="7">
        <v>4948.7</v>
      </c>
      <c r="M4" s="7">
        <v>5569.9</v>
      </c>
      <c r="N4" s="7">
        <v>3548.6</v>
      </c>
      <c r="O4" s="8" t="s">
        <v>62</v>
      </c>
      <c r="P4" s="8" t="s">
        <v>62</v>
      </c>
      <c r="Q4" s="8" t="s">
        <v>62</v>
      </c>
      <c r="R4" s="8" t="s">
        <v>62</v>
      </c>
      <c r="S4" s="8" t="s">
        <v>62</v>
      </c>
      <c r="T4" s="8" t="s">
        <v>62</v>
      </c>
      <c r="U4" s="8" t="s">
        <v>62</v>
      </c>
      <c r="V4" s="8" t="s">
        <v>62</v>
      </c>
      <c r="W4" s="8" t="s">
        <v>62</v>
      </c>
      <c r="X4" s="8" t="s">
        <v>62</v>
      </c>
      <c r="Y4" s="8" t="s">
        <v>62</v>
      </c>
      <c r="Z4" s="8" t="s">
        <v>62</v>
      </c>
      <c r="AA4" s="8" t="s">
        <v>62</v>
      </c>
      <c r="AB4" s="8" t="s">
        <v>62</v>
      </c>
      <c r="AC4" s="8" t="s">
        <v>62</v>
      </c>
      <c r="AD4" s="8" t="s">
        <v>62</v>
      </c>
      <c r="AE4" s="8" t="s">
        <v>62</v>
      </c>
      <c r="AF4" s="8" t="s">
        <v>62</v>
      </c>
      <c r="AG4" s="8" t="s">
        <v>62</v>
      </c>
      <c r="AH4" s="8" t="s">
        <v>62</v>
      </c>
      <c r="AI4" s="8" t="s">
        <v>62</v>
      </c>
      <c r="AJ4" s="8" t="s">
        <v>62</v>
      </c>
      <c r="AK4" s="8" t="s">
        <v>62</v>
      </c>
      <c r="AL4" s="8" t="s">
        <v>62</v>
      </c>
      <c r="AM4" s="8" t="s">
        <v>62</v>
      </c>
      <c r="AN4" s="8" t="s">
        <v>62</v>
      </c>
      <c r="AO4" s="8" t="s">
        <v>62</v>
      </c>
      <c r="AP4" s="8" t="s">
        <v>62</v>
      </c>
      <c r="AQ4" s="8" t="s">
        <v>62</v>
      </c>
      <c r="AR4" s="8" t="s">
        <v>62</v>
      </c>
      <c r="AS4" s="8" t="s">
        <v>62</v>
      </c>
      <c r="AT4" s="8" t="s">
        <v>62</v>
      </c>
      <c r="AU4" s="8" t="s">
        <v>62</v>
      </c>
      <c r="AV4" s="8" t="s">
        <v>62</v>
      </c>
      <c r="AW4" s="8" t="s">
        <v>62</v>
      </c>
      <c r="AX4" s="8" t="s">
        <v>62</v>
      </c>
      <c r="AY4" s="8" t="s">
        <v>62</v>
      </c>
      <c r="AZ4" s="8" t="s">
        <v>62</v>
      </c>
      <c r="BA4" s="8" t="s">
        <v>62</v>
      </c>
      <c r="BB4" s="8" t="s">
        <v>62</v>
      </c>
      <c r="BC4" s="8" t="s">
        <v>62</v>
      </c>
      <c r="BD4" s="8" t="s">
        <v>62</v>
      </c>
      <c r="BE4" s="8" t="s">
        <v>62</v>
      </c>
      <c r="BF4" s="8" t="s">
        <v>62</v>
      </c>
      <c r="BG4" s="8" t="s">
        <v>62</v>
      </c>
      <c r="BH4" s="8" t="s">
        <v>62</v>
      </c>
      <c r="BI4" s="8" t="s">
        <v>62</v>
      </c>
      <c r="BJ4" s="9" t="s">
        <v>62</v>
      </c>
    </row>
    <row r="5" spans="1:62" x14ac:dyDescent="0.3">
      <c r="A5" s="10" t="s">
        <v>2</v>
      </c>
      <c r="B5" s="11">
        <v>1387.6</v>
      </c>
      <c r="C5" s="12">
        <v>0</v>
      </c>
      <c r="D5" s="13">
        <v>1923.9</v>
      </c>
      <c r="E5" s="13">
        <v>1488.3</v>
      </c>
      <c r="F5" s="13">
        <v>1743.9</v>
      </c>
      <c r="G5" s="13">
        <v>2247.6999999999998</v>
      </c>
      <c r="H5" s="13">
        <v>4360.3999999999996</v>
      </c>
      <c r="I5" s="13">
        <v>3046.7</v>
      </c>
      <c r="J5" s="13">
        <v>2054</v>
      </c>
      <c r="K5" s="13">
        <v>2614.9</v>
      </c>
      <c r="L5" s="13">
        <v>3997.6</v>
      </c>
      <c r="M5" s="13">
        <v>4579.8999999999996</v>
      </c>
      <c r="N5" s="13">
        <v>2199</v>
      </c>
      <c r="O5" s="14" t="s">
        <v>62</v>
      </c>
      <c r="P5" s="14" t="s">
        <v>62</v>
      </c>
      <c r="Q5" s="14" t="s">
        <v>62</v>
      </c>
      <c r="R5" s="14" t="s">
        <v>62</v>
      </c>
      <c r="S5" s="14" t="s">
        <v>62</v>
      </c>
      <c r="T5" s="14" t="s">
        <v>62</v>
      </c>
      <c r="U5" s="14" t="s">
        <v>62</v>
      </c>
      <c r="V5" s="14" t="s">
        <v>62</v>
      </c>
      <c r="W5" s="14" t="s">
        <v>62</v>
      </c>
      <c r="X5" s="14" t="s">
        <v>62</v>
      </c>
      <c r="Y5" s="14" t="s">
        <v>62</v>
      </c>
      <c r="Z5" s="14" t="s">
        <v>62</v>
      </c>
      <c r="AA5" s="14" t="s">
        <v>62</v>
      </c>
      <c r="AB5" s="14" t="s">
        <v>62</v>
      </c>
      <c r="AC5" s="14" t="s">
        <v>62</v>
      </c>
      <c r="AD5" s="14" t="s">
        <v>62</v>
      </c>
      <c r="AE5" s="14" t="s">
        <v>62</v>
      </c>
      <c r="AF5" s="14" t="s">
        <v>62</v>
      </c>
      <c r="AG5" s="14" t="s">
        <v>62</v>
      </c>
      <c r="AH5" s="14" t="s">
        <v>62</v>
      </c>
      <c r="AI5" s="14" t="s">
        <v>62</v>
      </c>
      <c r="AJ5" s="14" t="s">
        <v>62</v>
      </c>
      <c r="AK5" s="14" t="s">
        <v>62</v>
      </c>
      <c r="AL5" s="14" t="s">
        <v>62</v>
      </c>
      <c r="AM5" s="14" t="s">
        <v>62</v>
      </c>
      <c r="AN5" s="14" t="s">
        <v>62</v>
      </c>
      <c r="AO5" s="14" t="s">
        <v>62</v>
      </c>
      <c r="AP5" s="14" t="s">
        <v>62</v>
      </c>
      <c r="AQ5" s="14" t="s">
        <v>62</v>
      </c>
      <c r="AR5" s="14" t="s">
        <v>62</v>
      </c>
      <c r="AS5" s="14" t="s">
        <v>62</v>
      </c>
      <c r="AT5" s="14" t="s">
        <v>62</v>
      </c>
      <c r="AU5" s="14" t="s">
        <v>62</v>
      </c>
      <c r="AV5" s="14" t="s">
        <v>62</v>
      </c>
      <c r="AW5" s="14" t="s">
        <v>62</v>
      </c>
      <c r="AX5" s="14" t="s">
        <v>62</v>
      </c>
      <c r="AY5" s="14" t="s">
        <v>62</v>
      </c>
      <c r="AZ5" s="14" t="s">
        <v>62</v>
      </c>
      <c r="BA5" s="14" t="s">
        <v>62</v>
      </c>
      <c r="BB5" s="14" t="s">
        <v>62</v>
      </c>
      <c r="BC5" s="14" t="s">
        <v>62</v>
      </c>
      <c r="BD5" s="14" t="s">
        <v>62</v>
      </c>
      <c r="BE5" s="14" t="s">
        <v>62</v>
      </c>
      <c r="BF5" s="14" t="s">
        <v>62</v>
      </c>
      <c r="BG5" s="14" t="s">
        <v>62</v>
      </c>
      <c r="BH5" s="14" t="s">
        <v>62</v>
      </c>
      <c r="BI5" s="14" t="s">
        <v>62</v>
      </c>
      <c r="BJ5" s="15" t="s">
        <v>62</v>
      </c>
    </row>
    <row r="6" spans="1:62" x14ac:dyDescent="0.3">
      <c r="A6" s="10" t="s">
        <v>3</v>
      </c>
      <c r="B6" s="11">
        <v>2882</v>
      </c>
      <c r="C6" s="13">
        <v>1923.9</v>
      </c>
      <c r="D6" s="12">
        <v>0</v>
      </c>
      <c r="E6" s="13">
        <v>657.5</v>
      </c>
      <c r="F6" s="13">
        <v>1775.7</v>
      </c>
      <c r="G6" s="13">
        <v>1385.6</v>
      </c>
      <c r="H6" s="13">
        <v>2665.3</v>
      </c>
      <c r="I6" s="13">
        <v>3015.2</v>
      </c>
      <c r="J6" s="13">
        <v>1467.1</v>
      </c>
      <c r="K6" s="13">
        <v>2021.5</v>
      </c>
      <c r="L6" s="13">
        <v>2068.3000000000002</v>
      </c>
      <c r="M6" s="13">
        <v>2884.8</v>
      </c>
      <c r="N6" s="13">
        <v>3367.2</v>
      </c>
      <c r="O6" s="14" t="s">
        <v>62</v>
      </c>
      <c r="P6" s="14" t="s">
        <v>62</v>
      </c>
      <c r="Q6" s="14" t="s">
        <v>62</v>
      </c>
      <c r="R6" s="14" t="s">
        <v>62</v>
      </c>
      <c r="S6" s="14" t="s">
        <v>62</v>
      </c>
      <c r="T6" s="14" t="s">
        <v>62</v>
      </c>
      <c r="U6" s="14" t="s">
        <v>62</v>
      </c>
      <c r="V6" s="14" t="s">
        <v>62</v>
      </c>
      <c r="W6" s="14" t="s">
        <v>62</v>
      </c>
      <c r="X6" s="14" t="s">
        <v>62</v>
      </c>
      <c r="Y6" s="14" t="s">
        <v>62</v>
      </c>
      <c r="Z6" s="14" t="s">
        <v>62</v>
      </c>
      <c r="AA6" s="14" t="s">
        <v>62</v>
      </c>
      <c r="AB6" s="14" t="s">
        <v>62</v>
      </c>
      <c r="AC6" s="14" t="s">
        <v>62</v>
      </c>
      <c r="AD6" s="14" t="s">
        <v>62</v>
      </c>
      <c r="AE6" s="14" t="s">
        <v>62</v>
      </c>
      <c r="AF6" s="14" t="s">
        <v>62</v>
      </c>
      <c r="AG6" s="14" t="s">
        <v>62</v>
      </c>
      <c r="AH6" s="14" t="s">
        <v>62</v>
      </c>
      <c r="AI6" s="14" t="s">
        <v>62</v>
      </c>
      <c r="AJ6" s="14" t="s">
        <v>62</v>
      </c>
      <c r="AK6" s="14" t="s">
        <v>62</v>
      </c>
      <c r="AL6" s="14" t="s">
        <v>62</v>
      </c>
      <c r="AM6" s="14" t="s">
        <v>62</v>
      </c>
      <c r="AN6" s="14" t="s">
        <v>62</v>
      </c>
      <c r="AO6" s="14" t="s">
        <v>62</v>
      </c>
      <c r="AP6" s="14" t="s">
        <v>62</v>
      </c>
      <c r="AQ6" s="14" t="s">
        <v>62</v>
      </c>
      <c r="AR6" s="14" t="s">
        <v>62</v>
      </c>
      <c r="AS6" s="14" t="s">
        <v>62</v>
      </c>
      <c r="AT6" s="14" t="s">
        <v>62</v>
      </c>
      <c r="AU6" s="14" t="s">
        <v>62</v>
      </c>
      <c r="AV6" s="14" t="s">
        <v>62</v>
      </c>
      <c r="AW6" s="14" t="s">
        <v>62</v>
      </c>
      <c r="AX6" s="14" t="s">
        <v>62</v>
      </c>
      <c r="AY6" s="14" t="s">
        <v>62</v>
      </c>
      <c r="AZ6" s="14" t="s">
        <v>62</v>
      </c>
      <c r="BA6" s="14" t="s">
        <v>62</v>
      </c>
      <c r="BB6" s="14" t="s">
        <v>62</v>
      </c>
      <c r="BC6" s="14" t="s">
        <v>62</v>
      </c>
      <c r="BD6" s="14" t="s">
        <v>62</v>
      </c>
      <c r="BE6" s="14" t="s">
        <v>62</v>
      </c>
      <c r="BF6" s="14" t="s">
        <v>62</v>
      </c>
      <c r="BG6" s="14" t="s">
        <v>62</v>
      </c>
      <c r="BH6" s="14" t="s">
        <v>62</v>
      </c>
      <c r="BI6" s="14" t="s">
        <v>62</v>
      </c>
      <c r="BJ6" s="15" t="s">
        <v>62</v>
      </c>
    </row>
    <row r="7" spans="1:62" x14ac:dyDescent="0.3">
      <c r="A7" s="10" t="s">
        <v>4</v>
      </c>
      <c r="B7" s="11">
        <v>2214.9</v>
      </c>
      <c r="C7" s="13">
        <f>1488.3</f>
        <v>1488.3</v>
      </c>
      <c r="D7" s="13">
        <v>657.5</v>
      </c>
      <c r="E7" s="12">
        <v>0</v>
      </c>
      <c r="F7" s="13">
        <v>1119.0999999999999</v>
      </c>
      <c r="G7" s="13">
        <v>1613.1</v>
      </c>
      <c r="H7" s="13">
        <v>3376.6</v>
      </c>
      <c r="I7" s="13">
        <v>3242.8</v>
      </c>
      <c r="J7" s="13">
        <v>836</v>
      </c>
      <c r="K7" s="13">
        <v>1364.9</v>
      </c>
      <c r="L7" s="13">
        <v>2724</v>
      </c>
      <c r="M7" s="13">
        <v>3596.1</v>
      </c>
      <c r="N7" s="13">
        <v>3282</v>
      </c>
      <c r="O7" s="14" t="s">
        <v>62</v>
      </c>
      <c r="P7" s="14" t="s">
        <v>62</v>
      </c>
      <c r="Q7" s="14" t="s">
        <v>62</v>
      </c>
      <c r="R7" s="14" t="s">
        <v>62</v>
      </c>
      <c r="S7" s="14" t="s">
        <v>62</v>
      </c>
      <c r="T7" s="14" t="s">
        <v>62</v>
      </c>
      <c r="U7" s="14" t="s">
        <v>62</v>
      </c>
      <c r="V7" s="14" t="s">
        <v>62</v>
      </c>
      <c r="W7" s="14" t="s">
        <v>62</v>
      </c>
      <c r="X7" s="14" t="s">
        <v>62</v>
      </c>
      <c r="Y7" s="14" t="s">
        <v>62</v>
      </c>
      <c r="Z7" s="14" t="s">
        <v>62</v>
      </c>
      <c r="AA7" s="14" t="s">
        <v>62</v>
      </c>
      <c r="AB7" s="14" t="s">
        <v>62</v>
      </c>
      <c r="AC7" s="14" t="s">
        <v>62</v>
      </c>
      <c r="AD7" s="14" t="s">
        <v>62</v>
      </c>
      <c r="AE7" s="14" t="s">
        <v>62</v>
      </c>
      <c r="AF7" s="14" t="s">
        <v>62</v>
      </c>
      <c r="AG7" s="14" t="s">
        <v>62</v>
      </c>
      <c r="AH7" s="14" t="s">
        <v>62</v>
      </c>
      <c r="AI7" s="14" t="s">
        <v>62</v>
      </c>
      <c r="AJ7" s="14" t="s">
        <v>62</v>
      </c>
      <c r="AK7" s="14" t="s">
        <v>62</v>
      </c>
      <c r="AL7" s="14" t="s">
        <v>62</v>
      </c>
      <c r="AM7" s="14" t="s">
        <v>62</v>
      </c>
      <c r="AN7" s="14" t="s">
        <v>62</v>
      </c>
      <c r="AO7" s="14" t="s">
        <v>62</v>
      </c>
      <c r="AP7" s="14" t="s">
        <v>62</v>
      </c>
      <c r="AQ7" s="14" t="s">
        <v>62</v>
      </c>
      <c r="AR7" s="14" t="s">
        <v>62</v>
      </c>
      <c r="AS7" s="14" t="s">
        <v>62</v>
      </c>
      <c r="AT7" s="14" t="s">
        <v>62</v>
      </c>
      <c r="AU7" s="14" t="s">
        <v>62</v>
      </c>
      <c r="AV7" s="14" t="s">
        <v>62</v>
      </c>
      <c r="AW7" s="14" t="s">
        <v>62</v>
      </c>
      <c r="AX7" s="14" t="s">
        <v>62</v>
      </c>
      <c r="AY7" s="14" t="s">
        <v>62</v>
      </c>
      <c r="AZ7" s="14" t="s">
        <v>62</v>
      </c>
      <c r="BA7" s="14" t="s">
        <v>62</v>
      </c>
      <c r="BB7" s="14" t="s">
        <v>62</v>
      </c>
      <c r="BC7" s="14" t="s">
        <v>62</v>
      </c>
      <c r="BD7" s="14" t="s">
        <v>62</v>
      </c>
      <c r="BE7" s="14" t="s">
        <v>62</v>
      </c>
      <c r="BF7" s="14" t="s">
        <v>62</v>
      </c>
      <c r="BG7" s="14" t="s">
        <v>62</v>
      </c>
      <c r="BH7" s="14" t="s">
        <v>62</v>
      </c>
      <c r="BI7" s="14" t="s">
        <v>62</v>
      </c>
      <c r="BJ7" s="15" t="s">
        <v>62</v>
      </c>
    </row>
    <row r="8" spans="1:62" x14ac:dyDescent="0.3">
      <c r="A8" s="10" t="s">
        <v>5</v>
      </c>
      <c r="B8" s="11">
        <v>1695.7</v>
      </c>
      <c r="C8" s="13">
        <v>1743.9</v>
      </c>
      <c r="D8" s="13">
        <v>1775.7</v>
      </c>
      <c r="E8" s="13">
        <v>1119.0999999999999</v>
      </c>
      <c r="F8" s="12">
        <v>0</v>
      </c>
      <c r="G8" s="13">
        <v>2683.2</v>
      </c>
      <c r="H8" s="13">
        <v>4495.3999999999996</v>
      </c>
      <c r="I8" s="13">
        <v>4266.2</v>
      </c>
      <c r="J8" s="13">
        <v>748.2</v>
      </c>
      <c r="K8" s="13">
        <v>937.6</v>
      </c>
      <c r="L8" s="13">
        <v>3842.8</v>
      </c>
      <c r="M8" s="13">
        <v>4714.8</v>
      </c>
      <c r="N8" s="13">
        <v>3928.7</v>
      </c>
      <c r="O8" s="14" t="s">
        <v>62</v>
      </c>
      <c r="P8" s="14" t="s">
        <v>62</v>
      </c>
      <c r="Q8" s="14" t="s">
        <v>62</v>
      </c>
      <c r="R8" s="14" t="s">
        <v>62</v>
      </c>
      <c r="S8" s="14" t="s">
        <v>62</v>
      </c>
      <c r="T8" s="14" t="s">
        <v>62</v>
      </c>
      <c r="U8" s="14" t="s">
        <v>62</v>
      </c>
      <c r="V8" s="14" t="s">
        <v>62</v>
      </c>
      <c r="W8" s="14" t="s">
        <v>62</v>
      </c>
      <c r="X8" s="14" t="s">
        <v>62</v>
      </c>
      <c r="Y8" s="14" t="s">
        <v>62</v>
      </c>
      <c r="Z8" s="14" t="s">
        <v>62</v>
      </c>
      <c r="AA8" s="14" t="s">
        <v>62</v>
      </c>
      <c r="AB8" s="14" t="s">
        <v>62</v>
      </c>
      <c r="AC8" s="14" t="s">
        <v>62</v>
      </c>
      <c r="AD8" s="14" t="s">
        <v>62</v>
      </c>
      <c r="AE8" s="14" t="s">
        <v>62</v>
      </c>
      <c r="AF8" s="14" t="s">
        <v>62</v>
      </c>
      <c r="AG8" s="14" t="s">
        <v>62</v>
      </c>
      <c r="AH8" s="14" t="s">
        <v>62</v>
      </c>
      <c r="AI8" s="14" t="s">
        <v>62</v>
      </c>
      <c r="AJ8" s="14" t="s">
        <v>62</v>
      </c>
      <c r="AK8" s="14" t="s">
        <v>62</v>
      </c>
      <c r="AL8" s="14" t="s">
        <v>62</v>
      </c>
      <c r="AM8" s="14" t="s">
        <v>62</v>
      </c>
      <c r="AN8" s="14" t="s">
        <v>62</v>
      </c>
      <c r="AO8" s="14" t="s">
        <v>62</v>
      </c>
      <c r="AP8" s="14" t="s">
        <v>62</v>
      </c>
      <c r="AQ8" s="14" t="s">
        <v>62</v>
      </c>
      <c r="AR8" s="14" t="s">
        <v>62</v>
      </c>
      <c r="AS8" s="14" t="s">
        <v>62</v>
      </c>
      <c r="AT8" s="14" t="s">
        <v>62</v>
      </c>
      <c r="AU8" s="14" t="s">
        <v>62</v>
      </c>
      <c r="AV8" s="14" t="s">
        <v>62</v>
      </c>
      <c r="AW8" s="14" t="s">
        <v>62</v>
      </c>
      <c r="AX8" s="14" t="s">
        <v>62</v>
      </c>
      <c r="AY8" s="14" t="s">
        <v>62</v>
      </c>
      <c r="AZ8" s="14" t="s">
        <v>62</v>
      </c>
      <c r="BA8" s="14" t="s">
        <v>62</v>
      </c>
      <c r="BB8" s="14" t="s">
        <v>62</v>
      </c>
      <c r="BC8" s="14" t="s">
        <v>62</v>
      </c>
      <c r="BD8" s="14" t="s">
        <v>62</v>
      </c>
      <c r="BE8" s="14" t="s">
        <v>62</v>
      </c>
      <c r="BF8" s="14" t="s">
        <v>62</v>
      </c>
      <c r="BG8" s="14" t="s">
        <v>62</v>
      </c>
      <c r="BH8" s="14" t="s">
        <v>62</v>
      </c>
      <c r="BI8" s="14" t="s">
        <v>62</v>
      </c>
      <c r="BJ8" s="15" t="s">
        <v>62</v>
      </c>
    </row>
    <row r="9" spans="1:62" x14ac:dyDescent="0.3">
      <c r="A9" s="10" t="s">
        <v>6</v>
      </c>
      <c r="B9" s="11">
        <v>3319.9</v>
      </c>
      <c r="C9" s="13">
        <v>2247.6999999999998</v>
      </c>
      <c r="D9" s="13">
        <v>1385.6</v>
      </c>
      <c r="E9" s="13">
        <v>1613.1</v>
      </c>
      <c r="F9" s="13">
        <v>2683.2</v>
      </c>
      <c r="G9" s="12">
        <v>0</v>
      </c>
      <c r="H9" s="13">
        <v>2127.1999999999998</v>
      </c>
      <c r="I9" s="13">
        <v>1636.8</v>
      </c>
      <c r="J9" s="13">
        <v>2399.1999999999998</v>
      </c>
      <c r="K9" s="13">
        <v>2953.6</v>
      </c>
      <c r="L9" s="13">
        <v>1764.4</v>
      </c>
      <c r="M9" s="13">
        <v>2346.6</v>
      </c>
      <c r="N9" s="13">
        <v>2820.4</v>
      </c>
      <c r="O9" s="14" t="s">
        <v>62</v>
      </c>
      <c r="P9" s="14" t="s">
        <v>62</v>
      </c>
      <c r="Q9" s="14" t="s">
        <v>62</v>
      </c>
      <c r="R9" s="14" t="s">
        <v>62</v>
      </c>
      <c r="S9" s="14" t="s">
        <v>62</v>
      </c>
      <c r="T9" s="14" t="s">
        <v>62</v>
      </c>
      <c r="U9" s="14" t="s">
        <v>62</v>
      </c>
      <c r="V9" s="14" t="s">
        <v>62</v>
      </c>
      <c r="W9" s="14" t="s">
        <v>62</v>
      </c>
      <c r="X9" s="14" t="s">
        <v>62</v>
      </c>
      <c r="Y9" s="14" t="s">
        <v>62</v>
      </c>
      <c r="Z9" s="14" t="s">
        <v>62</v>
      </c>
      <c r="AA9" s="14" t="s">
        <v>62</v>
      </c>
      <c r="AB9" s="14" t="s">
        <v>62</v>
      </c>
      <c r="AC9" s="14" t="s">
        <v>62</v>
      </c>
      <c r="AD9" s="14" t="s">
        <v>62</v>
      </c>
      <c r="AE9" s="14" t="s">
        <v>62</v>
      </c>
      <c r="AF9" s="14" t="s">
        <v>62</v>
      </c>
      <c r="AG9" s="14" t="s">
        <v>62</v>
      </c>
      <c r="AH9" s="14" t="s">
        <v>62</v>
      </c>
      <c r="AI9" s="14" t="s">
        <v>62</v>
      </c>
      <c r="AJ9" s="14" t="s">
        <v>62</v>
      </c>
      <c r="AK9" s="14" t="s">
        <v>62</v>
      </c>
      <c r="AL9" s="14" t="s">
        <v>62</v>
      </c>
      <c r="AM9" s="14" t="s">
        <v>62</v>
      </c>
      <c r="AN9" s="14" t="s">
        <v>62</v>
      </c>
      <c r="AO9" s="14" t="s">
        <v>62</v>
      </c>
      <c r="AP9" s="14" t="s">
        <v>62</v>
      </c>
      <c r="AQ9" s="14" t="s">
        <v>62</v>
      </c>
      <c r="AR9" s="14" t="s">
        <v>62</v>
      </c>
      <c r="AS9" s="14" t="s">
        <v>62</v>
      </c>
      <c r="AT9" s="14" t="s">
        <v>62</v>
      </c>
      <c r="AU9" s="14" t="s">
        <v>62</v>
      </c>
      <c r="AV9" s="14" t="s">
        <v>62</v>
      </c>
      <c r="AW9" s="14" t="s">
        <v>62</v>
      </c>
      <c r="AX9" s="14" t="s">
        <v>62</v>
      </c>
      <c r="AY9" s="14" t="s">
        <v>62</v>
      </c>
      <c r="AZ9" s="14" t="s">
        <v>62</v>
      </c>
      <c r="BA9" s="14" t="s">
        <v>62</v>
      </c>
      <c r="BB9" s="14" t="s">
        <v>62</v>
      </c>
      <c r="BC9" s="14" t="s">
        <v>62</v>
      </c>
      <c r="BD9" s="14" t="s">
        <v>62</v>
      </c>
      <c r="BE9" s="14" t="s">
        <v>62</v>
      </c>
      <c r="BF9" s="14" t="s">
        <v>62</v>
      </c>
      <c r="BG9" s="14" t="s">
        <v>62</v>
      </c>
      <c r="BH9" s="14" t="s">
        <v>62</v>
      </c>
      <c r="BI9" s="14" t="s">
        <v>62</v>
      </c>
      <c r="BJ9" s="15" t="s">
        <v>62</v>
      </c>
    </row>
    <row r="10" spans="1:62" x14ac:dyDescent="0.3">
      <c r="A10" s="10" t="s">
        <v>63</v>
      </c>
      <c r="B10" s="11">
        <v>5350.5</v>
      </c>
      <c r="C10" s="13">
        <v>4360.3999999999996</v>
      </c>
      <c r="D10" s="13">
        <v>2665.3</v>
      </c>
      <c r="E10" s="13">
        <v>3376.6</v>
      </c>
      <c r="F10" s="13">
        <v>4495.3999999999996</v>
      </c>
      <c r="G10" s="13">
        <v>2127.1999999999998</v>
      </c>
      <c r="H10" s="12">
        <v>0</v>
      </c>
      <c r="I10" s="13">
        <v>1826.7</v>
      </c>
      <c r="J10" s="13">
        <v>4185.8</v>
      </c>
      <c r="K10" s="13">
        <v>4740.2</v>
      </c>
      <c r="L10" s="13">
        <v>1080</v>
      </c>
      <c r="M10" s="13">
        <v>230.2</v>
      </c>
      <c r="N10" s="13">
        <v>4499</v>
      </c>
      <c r="O10" s="14" t="s">
        <v>62</v>
      </c>
      <c r="P10" s="14" t="s">
        <v>62</v>
      </c>
      <c r="Q10" s="14" t="s">
        <v>62</v>
      </c>
      <c r="R10" s="14" t="s">
        <v>62</v>
      </c>
      <c r="S10" s="14" t="s">
        <v>62</v>
      </c>
      <c r="T10" s="14" t="s">
        <v>62</v>
      </c>
      <c r="U10" s="14" t="s">
        <v>62</v>
      </c>
      <c r="V10" s="14" t="s">
        <v>62</v>
      </c>
      <c r="W10" s="14" t="s">
        <v>62</v>
      </c>
      <c r="X10" s="14" t="s">
        <v>62</v>
      </c>
      <c r="Y10" s="14" t="s">
        <v>62</v>
      </c>
      <c r="Z10" s="14" t="s">
        <v>62</v>
      </c>
      <c r="AA10" s="14" t="s">
        <v>62</v>
      </c>
      <c r="AB10" s="14" t="s">
        <v>62</v>
      </c>
      <c r="AC10" s="14" t="s">
        <v>62</v>
      </c>
      <c r="AD10" s="14" t="s">
        <v>62</v>
      </c>
      <c r="AE10" s="14" t="s">
        <v>62</v>
      </c>
      <c r="AF10" s="14" t="s">
        <v>62</v>
      </c>
      <c r="AG10" s="14" t="s">
        <v>62</v>
      </c>
      <c r="AH10" s="14" t="s">
        <v>62</v>
      </c>
      <c r="AI10" s="14" t="s">
        <v>62</v>
      </c>
      <c r="AJ10" s="14" t="s">
        <v>62</v>
      </c>
      <c r="AK10" s="14" t="s">
        <v>62</v>
      </c>
      <c r="AL10" s="14" t="s">
        <v>62</v>
      </c>
      <c r="AM10" s="14" t="s">
        <v>62</v>
      </c>
      <c r="AN10" s="14" t="s">
        <v>62</v>
      </c>
      <c r="AO10" s="14" t="s">
        <v>62</v>
      </c>
      <c r="AP10" s="14" t="s">
        <v>62</v>
      </c>
      <c r="AQ10" s="14" t="s">
        <v>62</v>
      </c>
      <c r="AR10" s="14" t="s">
        <v>62</v>
      </c>
      <c r="AS10" s="14" t="s">
        <v>62</v>
      </c>
      <c r="AT10" s="14" t="s">
        <v>62</v>
      </c>
      <c r="AU10" s="14" t="s">
        <v>62</v>
      </c>
      <c r="AV10" s="14" t="s">
        <v>62</v>
      </c>
      <c r="AW10" s="14" t="s">
        <v>62</v>
      </c>
      <c r="AX10" s="14" t="s">
        <v>62</v>
      </c>
      <c r="AY10" s="14" t="s">
        <v>62</v>
      </c>
      <c r="AZ10" s="14" t="s">
        <v>62</v>
      </c>
      <c r="BA10" s="14" t="s">
        <v>62</v>
      </c>
      <c r="BB10" s="14" t="s">
        <v>62</v>
      </c>
      <c r="BC10" s="14" t="s">
        <v>62</v>
      </c>
      <c r="BD10" s="14" t="s">
        <v>62</v>
      </c>
      <c r="BE10" s="14" t="s">
        <v>62</v>
      </c>
      <c r="BF10" s="14" t="s">
        <v>62</v>
      </c>
      <c r="BG10" s="14" t="s">
        <v>62</v>
      </c>
      <c r="BH10" s="14" t="s">
        <v>62</v>
      </c>
      <c r="BI10" s="14" t="s">
        <v>62</v>
      </c>
      <c r="BJ10" s="15" t="s">
        <v>62</v>
      </c>
    </row>
    <row r="11" spans="1:62" x14ac:dyDescent="0.3">
      <c r="A11" s="10" t="s">
        <v>8</v>
      </c>
      <c r="B11" s="11">
        <v>4396.3</v>
      </c>
      <c r="C11" s="13">
        <v>3046.7</v>
      </c>
      <c r="D11" s="13">
        <v>3015.2</v>
      </c>
      <c r="E11" s="13">
        <v>3242.8</v>
      </c>
      <c r="F11" s="13">
        <v>4266.2</v>
      </c>
      <c r="G11" s="13">
        <v>1636.8</v>
      </c>
      <c r="H11" s="13">
        <v>1826.7</v>
      </c>
      <c r="I11" s="12">
        <v>0</v>
      </c>
      <c r="J11" s="13">
        <v>4028.8</v>
      </c>
      <c r="K11" s="13">
        <v>4583.1000000000004</v>
      </c>
      <c r="L11" s="13">
        <v>2526.4</v>
      </c>
      <c r="M11" s="13">
        <v>2056.4</v>
      </c>
      <c r="N11" s="13">
        <v>3023</v>
      </c>
      <c r="O11" s="14" t="s">
        <v>62</v>
      </c>
      <c r="P11" s="14" t="s">
        <v>62</v>
      </c>
      <c r="Q11" s="14" t="s">
        <v>62</v>
      </c>
      <c r="R11" s="14" t="s">
        <v>62</v>
      </c>
      <c r="S11" s="14" t="s">
        <v>62</v>
      </c>
      <c r="T11" s="14" t="s">
        <v>62</v>
      </c>
      <c r="U11" s="14" t="s">
        <v>62</v>
      </c>
      <c r="V11" s="14" t="s">
        <v>62</v>
      </c>
      <c r="W11" s="14" t="s">
        <v>62</v>
      </c>
      <c r="X11" s="14" t="s">
        <v>62</v>
      </c>
      <c r="Y11" s="14" t="s">
        <v>62</v>
      </c>
      <c r="Z11" s="14" t="s">
        <v>62</v>
      </c>
      <c r="AA11" s="14" t="s">
        <v>62</v>
      </c>
      <c r="AB11" s="14" t="s">
        <v>62</v>
      </c>
      <c r="AC11" s="14" t="s">
        <v>62</v>
      </c>
      <c r="AD11" s="14" t="s">
        <v>62</v>
      </c>
      <c r="AE11" s="14" t="s">
        <v>62</v>
      </c>
      <c r="AF11" s="14" t="s">
        <v>62</v>
      </c>
      <c r="AG11" s="14" t="s">
        <v>62</v>
      </c>
      <c r="AH11" s="14" t="s">
        <v>62</v>
      </c>
      <c r="AI11" s="14" t="s">
        <v>62</v>
      </c>
      <c r="AJ11" s="14" t="s">
        <v>62</v>
      </c>
      <c r="AK11" s="14" t="s">
        <v>62</v>
      </c>
      <c r="AL11" s="14" t="s">
        <v>62</v>
      </c>
      <c r="AM11" s="14" t="s">
        <v>62</v>
      </c>
      <c r="AN11" s="14" t="s">
        <v>62</v>
      </c>
      <c r="AO11" s="14" t="s">
        <v>62</v>
      </c>
      <c r="AP11" s="14" t="s">
        <v>62</v>
      </c>
      <c r="AQ11" s="14" t="s">
        <v>62</v>
      </c>
      <c r="AR11" s="14" t="s">
        <v>62</v>
      </c>
      <c r="AS11" s="14" t="s">
        <v>62</v>
      </c>
      <c r="AT11" s="14" t="s">
        <v>62</v>
      </c>
      <c r="AU11" s="14" t="s">
        <v>62</v>
      </c>
      <c r="AV11" s="14" t="s">
        <v>62</v>
      </c>
      <c r="AW11" s="14" t="s">
        <v>62</v>
      </c>
      <c r="AX11" s="14" t="s">
        <v>62</v>
      </c>
      <c r="AY11" s="14" t="s">
        <v>62</v>
      </c>
      <c r="AZ11" s="14" t="s">
        <v>62</v>
      </c>
      <c r="BA11" s="14" t="s">
        <v>62</v>
      </c>
      <c r="BB11" s="14" t="s">
        <v>62</v>
      </c>
      <c r="BC11" s="14" t="s">
        <v>62</v>
      </c>
      <c r="BD11" s="14" t="s">
        <v>62</v>
      </c>
      <c r="BE11" s="14" t="s">
        <v>62</v>
      </c>
      <c r="BF11" s="14" t="s">
        <v>62</v>
      </c>
      <c r="BG11" s="14" t="s">
        <v>62</v>
      </c>
      <c r="BH11" s="14" t="s">
        <v>62</v>
      </c>
      <c r="BI11" s="14" t="s">
        <v>62</v>
      </c>
      <c r="BJ11" s="15" t="s">
        <v>62</v>
      </c>
    </row>
    <row r="12" spans="1:62" x14ac:dyDescent="0.3">
      <c r="A12" s="10" t="s">
        <v>64</v>
      </c>
      <c r="B12" s="11">
        <v>2358.6999999999998</v>
      </c>
      <c r="C12" s="13">
        <v>2054</v>
      </c>
      <c r="D12" s="13">
        <v>1467.1</v>
      </c>
      <c r="E12" s="13">
        <v>836</v>
      </c>
      <c r="F12" s="13">
        <f>748.2</f>
        <v>748.2</v>
      </c>
      <c r="G12" s="13">
        <v>2399.1999999999998</v>
      </c>
      <c r="H12" s="13">
        <v>4185.8</v>
      </c>
      <c r="I12" s="13">
        <v>4028.8</v>
      </c>
      <c r="J12" s="12">
        <v>0</v>
      </c>
      <c r="K12" s="13">
        <v>565.5</v>
      </c>
      <c r="L12" s="13">
        <v>3534.2</v>
      </c>
      <c r="M12" s="13">
        <v>4406.2</v>
      </c>
      <c r="N12" s="13">
        <v>4033</v>
      </c>
      <c r="O12" s="14" t="s">
        <v>62</v>
      </c>
      <c r="P12" s="14" t="s">
        <v>62</v>
      </c>
      <c r="Q12" s="14" t="s">
        <v>62</v>
      </c>
      <c r="R12" s="14" t="s">
        <v>62</v>
      </c>
      <c r="S12" s="14" t="s">
        <v>62</v>
      </c>
      <c r="T12" s="14" t="s">
        <v>62</v>
      </c>
      <c r="U12" s="14" t="s">
        <v>62</v>
      </c>
      <c r="V12" s="14" t="s">
        <v>62</v>
      </c>
      <c r="W12" s="14" t="s">
        <v>62</v>
      </c>
      <c r="X12" s="14" t="s">
        <v>62</v>
      </c>
      <c r="Y12" s="14" t="s">
        <v>62</v>
      </c>
      <c r="Z12" s="14" t="s">
        <v>62</v>
      </c>
      <c r="AA12" s="14" t="s">
        <v>62</v>
      </c>
      <c r="AB12" s="14" t="s">
        <v>62</v>
      </c>
      <c r="AC12" s="14" t="s">
        <v>62</v>
      </c>
      <c r="AD12" s="14" t="s">
        <v>62</v>
      </c>
      <c r="AE12" s="14" t="s">
        <v>62</v>
      </c>
      <c r="AF12" s="14" t="s">
        <v>62</v>
      </c>
      <c r="AG12" s="14" t="s">
        <v>62</v>
      </c>
      <c r="AH12" s="14" t="s">
        <v>62</v>
      </c>
      <c r="AI12" s="14" t="s">
        <v>62</v>
      </c>
      <c r="AJ12" s="14" t="s">
        <v>62</v>
      </c>
      <c r="AK12" s="14" t="s">
        <v>62</v>
      </c>
      <c r="AL12" s="14" t="s">
        <v>62</v>
      </c>
      <c r="AM12" s="14" t="s">
        <v>62</v>
      </c>
      <c r="AN12" s="14" t="s">
        <v>62</v>
      </c>
      <c r="AO12" s="14" t="s">
        <v>62</v>
      </c>
      <c r="AP12" s="14" t="s">
        <v>62</v>
      </c>
      <c r="AQ12" s="14" t="s">
        <v>62</v>
      </c>
      <c r="AR12" s="14" t="s">
        <v>62</v>
      </c>
      <c r="AS12" s="14" t="s">
        <v>62</v>
      </c>
      <c r="AT12" s="14" t="s">
        <v>62</v>
      </c>
      <c r="AU12" s="14" t="s">
        <v>62</v>
      </c>
      <c r="AV12" s="14" t="s">
        <v>62</v>
      </c>
      <c r="AW12" s="14" t="s">
        <v>62</v>
      </c>
      <c r="AX12" s="14" t="s">
        <v>62</v>
      </c>
      <c r="AY12" s="14" t="s">
        <v>62</v>
      </c>
      <c r="AZ12" s="14" t="s">
        <v>62</v>
      </c>
      <c r="BA12" s="14" t="s">
        <v>62</v>
      </c>
      <c r="BB12" s="14" t="s">
        <v>62</v>
      </c>
      <c r="BC12" s="14" t="s">
        <v>62</v>
      </c>
      <c r="BD12" s="14" t="s">
        <v>62</v>
      </c>
      <c r="BE12" s="14" t="s">
        <v>62</v>
      </c>
      <c r="BF12" s="14" t="s">
        <v>62</v>
      </c>
      <c r="BG12" s="14" t="s">
        <v>62</v>
      </c>
      <c r="BH12" s="14" t="s">
        <v>62</v>
      </c>
      <c r="BI12" s="14" t="s">
        <v>62</v>
      </c>
      <c r="BJ12" s="15" t="s">
        <v>62</v>
      </c>
    </row>
    <row r="13" spans="1:62" x14ac:dyDescent="0.3">
      <c r="A13" s="10" t="s">
        <v>10</v>
      </c>
      <c r="B13" s="11">
        <v>2633.2</v>
      </c>
      <c r="C13" s="13">
        <v>2614.9</v>
      </c>
      <c r="D13" s="13">
        <v>2021.5</v>
      </c>
      <c r="E13" s="13">
        <v>1364.9</v>
      </c>
      <c r="F13" s="13">
        <v>937.6</v>
      </c>
      <c r="G13" s="13">
        <v>2953.6</v>
      </c>
      <c r="H13" s="13">
        <v>4740.2</v>
      </c>
      <c r="I13" s="13">
        <v>4583.1000000000004</v>
      </c>
      <c r="J13" s="13">
        <v>565.5</v>
      </c>
      <c r="K13" s="12">
        <v>0</v>
      </c>
      <c r="L13" s="13">
        <v>4087.7</v>
      </c>
      <c r="M13" s="13">
        <v>4959.7</v>
      </c>
      <c r="N13" s="13">
        <v>4613.1000000000004</v>
      </c>
      <c r="O13" s="14" t="s">
        <v>62</v>
      </c>
      <c r="P13" s="14" t="s">
        <v>62</v>
      </c>
      <c r="Q13" s="14" t="s">
        <v>62</v>
      </c>
      <c r="R13" s="14" t="s">
        <v>62</v>
      </c>
      <c r="S13" s="14" t="s">
        <v>62</v>
      </c>
      <c r="T13" s="14" t="s">
        <v>62</v>
      </c>
      <c r="U13" s="14" t="s">
        <v>62</v>
      </c>
      <c r="V13" s="14" t="s">
        <v>62</v>
      </c>
      <c r="W13" s="14" t="s">
        <v>62</v>
      </c>
      <c r="X13" s="14" t="s">
        <v>62</v>
      </c>
      <c r="Y13" s="14" t="s">
        <v>62</v>
      </c>
      <c r="Z13" s="14" t="s">
        <v>62</v>
      </c>
      <c r="AA13" s="14" t="s">
        <v>62</v>
      </c>
      <c r="AB13" s="14" t="s">
        <v>62</v>
      </c>
      <c r="AC13" s="14" t="s">
        <v>62</v>
      </c>
      <c r="AD13" s="14" t="s">
        <v>62</v>
      </c>
      <c r="AE13" s="14" t="s">
        <v>62</v>
      </c>
      <c r="AF13" s="14" t="s">
        <v>62</v>
      </c>
      <c r="AG13" s="14" t="s">
        <v>62</v>
      </c>
      <c r="AH13" s="14" t="s">
        <v>62</v>
      </c>
      <c r="AI13" s="14" t="s">
        <v>62</v>
      </c>
      <c r="AJ13" s="14" t="s">
        <v>62</v>
      </c>
      <c r="AK13" s="14" t="s">
        <v>62</v>
      </c>
      <c r="AL13" s="14" t="s">
        <v>62</v>
      </c>
      <c r="AM13" s="14" t="s">
        <v>62</v>
      </c>
      <c r="AN13" s="14" t="s">
        <v>62</v>
      </c>
      <c r="AO13" s="14" t="s">
        <v>62</v>
      </c>
      <c r="AP13" s="14" t="s">
        <v>62</v>
      </c>
      <c r="AQ13" s="14" t="s">
        <v>62</v>
      </c>
      <c r="AR13" s="14" t="s">
        <v>62</v>
      </c>
      <c r="AS13" s="14" t="s">
        <v>62</v>
      </c>
      <c r="AT13" s="14" t="s">
        <v>62</v>
      </c>
      <c r="AU13" s="14" t="s">
        <v>62</v>
      </c>
      <c r="AV13" s="14" t="s">
        <v>62</v>
      </c>
      <c r="AW13" s="14" t="s">
        <v>62</v>
      </c>
      <c r="AX13" s="14" t="s">
        <v>62</v>
      </c>
      <c r="AY13" s="14" t="s">
        <v>62</v>
      </c>
      <c r="AZ13" s="14" t="s">
        <v>62</v>
      </c>
      <c r="BA13" s="14" t="s">
        <v>62</v>
      </c>
      <c r="BB13" s="14" t="s">
        <v>62</v>
      </c>
      <c r="BC13" s="14" t="s">
        <v>62</v>
      </c>
      <c r="BD13" s="14" t="s">
        <v>62</v>
      </c>
      <c r="BE13" s="14" t="s">
        <v>62</v>
      </c>
      <c r="BF13" s="14" t="s">
        <v>62</v>
      </c>
      <c r="BG13" s="14" t="s">
        <v>62</v>
      </c>
      <c r="BH13" s="14" t="s">
        <v>62</v>
      </c>
      <c r="BI13" s="14" t="s">
        <v>62</v>
      </c>
      <c r="BJ13" s="15" t="s">
        <v>62</v>
      </c>
    </row>
    <row r="14" spans="1:62" x14ac:dyDescent="0.3">
      <c r="A14" s="10" t="s">
        <v>11</v>
      </c>
      <c r="B14" s="11">
        <v>4948.7</v>
      </c>
      <c r="C14" s="13">
        <v>3997.6</v>
      </c>
      <c r="D14" s="13">
        <v>2068.3000000000002</v>
      </c>
      <c r="E14" s="13">
        <v>2724</v>
      </c>
      <c r="F14" s="13">
        <v>3842.8</v>
      </c>
      <c r="G14" s="13">
        <v>1764.4</v>
      </c>
      <c r="H14" s="13">
        <v>1080</v>
      </c>
      <c r="I14" s="13">
        <v>2526.4</v>
      </c>
      <c r="J14" s="13">
        <v>3534.2</v>
      </c>
      <c r="K14" s="13">
        <v>4087.7</v>
      </c>
      <c r="L14" s="12">
        <v>0</v>
      </c>
      <c r="M14" s="13">
        <v>970.9</v>
      </c>
      <c r="N14" s="13">
        <v>4585.7</v>
      </c>
      <c r="O14" s="14" t="s">
        <v>62</v>
      </c>
      <c r="P14" s="14" t="s">
        <v>62</v>
      </c>
      <c r="Q14" s="14" t="s">
        <v>62</v>
      </c>
      <c r="R14" s="14" t="s">
        <v>62</v>
      </c>
      <c r="S14" s="14" t="s">
        <v>62</v>
      </c>
      <c r="T14" s="14" t="s">
        <v>62</v>
      </c>
      <c r="U14" s="14" t="s">
        <v>62</v>
      </c>
      <c r="V14" s="14" t="s">
        <v>62</v>
      </c>
      <c r="W14" s="14" t="s">
        <v>62</v>
      </c>
      <c r="X14" s="14" t="s">
        <v>62</v>
      </c>
      <c r="Y14" s="14" t="s">
        <v>62</v>
      </c>
      <c r="Z14" s="14" t="s">
        <v>62</v>
      </c>
      <c r="AA14" s="14" t="s">
        <v>62</v>
      </c>
      <c r="AB14" s="14" t="s">
        <v>62</v>
      </c>
      <c r="AC14" s="14" t="s">
        <v>62</v>
      </c>
      <c r="AD14" s="14" t="s">
        <v>62</v>
      </c>
      <c r="AE14" s="14" t="s">
        <v>62</v>
      </c>
      <c r="AF14" s="14" t="s">
        <v>62</v>
      </c>
      <c r="AG14" s="14" t="s">
        <v>62</v>
      </c>
      <c r="AH14" s="14" t="s">
        <v>62</v>
      </c>
      <c r="AI14" s="14" t="s">
        <v>62</v>
      </c>
      <c r="AJ14" s="14" t="s">
        <v>62</v>
      </c>
      <c r="AK14" s="14" t="s">
        <v>62</v>
      </c>
      <c r="AL14" s="14" t="s">
        <v>62</v>
      </c>
      <c r="AM14" s="14" t="s">
        <v>62</v>
      </c>
      <c r="AN14" s="14" t="s">
        <v>62</v>
      </c>
      <c r="AO14" s="14" t="s">
        <v>62</v>
      </c>
      <c r="AP14" s="14" t="s">
        <v>62</v>
      </c>
      <c r="AQ14" s="14" t="s">
        <v>62</v>
      </c>
      <c r="AR14" s="14" t="s">
        <v>62</v>
      </c>
      <c r="AS14" s="14" t="s">
        <v>62</v>
      </c>
      <c r="AT14" s="14" t="s">
        <v>62</v>
      </c>
      <c r="AU14" s="14" t="s">
        <v>62</v>
      </c>
      <c r="AV14" s="14" t="s">
        <v>62</v>
      </c>
      <c r="AW14" s="14" t="s">
        <v>62</v>
      </c>
      <c r="AX14" s="14" t="s">
        <v>62</v>
      </c>
      <c r="AY14" s="14" t="s">
        <v>62</v>
      </c>
      <c r="AZ14" s="14" t="s">
        <v>62</v>
      </c>
      <c r="BA14" s="14" t="s">
        <v>62</v>
      </c>
      <c r="BB14" s="14" t="s">
        <v>62</v>
      </c>
      <c r="BC14" s="14" t="s">
        <v>62</v>
      </c>
      <c r="BD14" s="14" t="s">
        <v>62</v>
      </c>
      <c r="BE14" s="14" t="s">
        <v>62</v>
      </c>
      <c r="BF14" s="14" t="s">
        <v>62</v>
      </c>
      <c r="BG14" s="14" t="s">
        <v>62</v>
      </c>
      <c r="BH14" s="14" t="s">
        <v>62</v>
      </c>
      <c r="BI14" s="14" t="s">
        <v>62</v>
      </c>
      <c r="BJ14" s="15" t="s">
        <v>62</v>
      </c>
    </row>
    <row r="15" spans="1:62" x14ac:dyDescent="0.3">
      <c r="A15" s="10" t="s">
        <v>12</v>
      </c>
      <c r="B15" s="11">
        <v>5569.9</v>
      </c>
      <c r="C15" s="13">
        <v>4579.8999999999996</v>
      </c>
      <c r="D15" s="13">
        <v>2884.8</v>
      </c>
      <c r="E15" s="13">
        <v>3596.1</v>
      </c>
      <c r="F15" s="13">
        <v>4714.8</v>
      </c>
      <c r="G15" s="13">
        <v>2346.6</v>
      </c>
      <c r="H15" s="13">
        <v>230.2</v>
      </c>
      <c r="I15" s="13">
        <v>2056.4</v>
      </c>
      <c r="J15" s="13">
        <v>4406.2</v>
      </c>
      <c r="K15" s="13">
        <v>4959.7</v>
      </c>
      <c r="L15" s="13">
        <v>970.9</v>
      </c>
      <c r="M15" s="12">
        <v>0</v>
      </c>
      <c r="N15" s="13">
        <v>4717.5</v>
      </c>
      <c r="O15" s="14" t="s">
        <v>62</v>
      </c>
      <c r="P15" s="14" t="s">
        <v>62</v>
      </c>
      <c r="Q15" s="14" t="s">
        <v>62</v>
      </c>
      <c r="R15" s="14" t="s">
        <v>62</v>
      </c>
      <c r="S15" s="14" t="s">
        <v>62</v>
      </c>
      <c r="T15" s="14" t="s">
        <v>62</v>
      </c>
      <c r="U15" s="14" t="s">
        <v>62</v>
      </c>
      <c r="V15" s="14" t="s">
        <v>62</v>
      </c>
      <c r="W15" s="14" t="s">
        <v>62</v>
      </c>
      <c r="X15" s="14" t="s">
        <v>62</v>
      </c>
      <c r="Y15" s="14" t="s">
        <v>62</v>
      </c>
      <c r="Z15" s="14" t="s">
        <v>62</v>
      </c>
      <c r="AA15" s="14" t="s">
        <v>62</v>
      </c>
      <c r="AB15" s="14" t="s">
        <v>62</v>
      </c>
      <c r="AC15" s="14" t="s">
        <v>62</v>
      </c>
      <c r="AD15" s="14" t="s">
        <v>62</v>
      </c>
      <c r="AE15" s="14" t="s">
        <v>62</v>
      </c>
      <c r="AF15" s="14" t="s">
        <v>62</v>
      </c>
      <c r="AG15" s="14" t="s">
        <v>62</v>
      </c>
      <c r="AH15" s="14" t="s">
        <v>62</v>
      </c>
      <c r="AI15" s="14" t="s">
        <v>62</v>
      </c>
      <c r="AJ15" s="14" t="s">
        <v>62</v>
      </c>
      <c r="AK15" s="14" t="s">
        <v>62</v>
      </c>
      <c r="AL15" s="14" t="s">
        <v>62</v>
      </c>
      <c r="AM15" s="14" t="s">
        <v>62</v>
      </c>
      <c r="AN15" s="14" t="s">
        <v>62</v>
      </c>
      <c r="AO15" s="14" t="s">
        <v>62</v>
      </c>
      <c r="AP15" s="14" t="s">
        <v>62</v>
      </c>
      <c r="AQ15" s="14" t="s">
        <v>62</v>
      </c>
      <c r="AR15" s="14" t="s">
        <v>62</v>
      </c>
      <c r="AS15" s="14" t="s">
        <v>62</v>
      </c>
      <c r="AT15" s="14" t="s">
        <v>62</v>
      </c>
      <c r="AU15" s="14" t="s">
        <v>62</v>
      </c>
      <c r="AV15" s="14" t="s">
        <v>62</v>
      </c>
      <c r="AW15" s="14" t="s">
        <v>62</v>
      </c>
      <c r="AX15" s="14" t="s">
        <v>62</v>
      </c>
      <c r="AY15" s="14" t="s">
        <v>62</v>
      </c>
      <c r="AZ15" s="14" t="s">
        <v>62</v>
      </c>
      <c r="BA15" s="14" t="s">
        <v>62</v>
      </c>
      <c r="BB15" s="14" t="s">
        <v>62</v>
      </c>
      <c r="BC15" s="14" t="s">
        <v>62</v>
      </c>
      <c r="BD15" s="14" t="s">
        <v>62</v>
      </c>
      <c r="BE15" s="14" t="s">
        <v>62</v>
      </c>
      <c r="BF15" s="14" t="s">
        <v>62</v>
      </c>
      <c r="BG15" s="14" t="s">
        <v>62</v>
      </c>
      <c r="BH15" s="14" t="s">
        <v>62</v>
      </c>
      <c r="BI15" s="14" t="s">
        <v>62</v>
      </c>
      <c r="BJ15" s="15" t="s">
        <v>62</v>
      </c>
    </row>
    <row r="16" spans="1:62" x14ac:dyDescent="0.3">
      <c r="A16" s="10" t="s">
        <v>13</v>
      </c>
      <c r="B16" s="11">
        <v>3548.6</v>
      </c>
      <c r="C16" s="13">
        <v>2199</v>
      </c>
      <c r="D16" s="13">
        <v>3367.2</v>
      </c>
      <c r="E16" s="13">
        <v>3282</v>
      </c>
      <c r="F16" s="13">
        <v>3928.7</v>
      </c>
      <c r="G16" s="13">
        <v>2820.4</v>
      </c>
      <c r="H16" s="13">
        <v>4499</v>
      </c>
      <c r="I16" s="13">
        <v>3023</v>
      </c>
      <c r="J16" s="13">
        <v>4033</v>
      </c>
      <c r="K16" s="13">
        <v>4613.1000000000004</v>
      </c>
      <c r="L16" s="13">
        <v>4585.7</v>
      </c>
      <c r="M16" s="13">
        <v>4717.5</v>
      </c>
      <c r="N16" s="12">
        <v>0</v>
      </c>
      <c r="O16" s="14" t="s">
        <v>62</v>
      </c>
      <c r="P16" s="14" t="s">
        <v>62</v>
      </c>
      <c r="Q16" s="14" t="s">
        <v>62</v>
      </c>
      <c r="R16" s="14" t="s">
        <v>62</v>
      </c>
      <c r="S16" s="14" t="s">
        <v>62</v>
      </c>
      <c r="T16" s="14" t="s">
        <v>62</v>
      </c>
      <c r="U16" s="14" t="s">
        <v>62</v>
      </c>
      <c r="V16" s="14" t="s">
        <v>62</v>
      </c>
      <c r="W16" s="14" t="s">
        <v>62</v>
      </c>
      <c r="X16" s="14" t="s">
        <v>62</v>
      </c>
      <c r="Y16" s="14" t="s">
        <v>62</v>
      </c>
      <c r="Z16" s="14" t="s">
        <v>62</v>
      </c>
      <c r="AA16" s="14" t="s">
        <v>62</v>
      </c>
      <c r="AB16" s="14" t="s">
        <v>62</v>
      </c>
      <c r="AC16" s="14" t="s">
        <v>62</v>
      </c>
      <c r="AD16" s="14" t="s">
        <v>62</v>
      </c>
      <c r="AE16" s="14" t="s">
        <v>62</v>
      </c>
      <c r="AF16" s="14" t="s">
        <v>62</v>
      </c>
      <c r="AG16" s="14" t="s">
        <v>62</v>
      </c>
      <c r="AH16" s="14" t="s">
        <v>62</v>
      </c>
      <c r="AI16" s="14" t="s">
        <v>62</v>
      </c>
      <c r="AJ16" s="14" t="s">
        <v>62</v>
      </c>
      <c r="AK16" s="14" t="s">
        <v>62</v>
      </c>
      <c r="AL16" s="14" t="s">
        <v>62</v>
      </c>
      <c r="AM16" s="14" t="s">
        <v>62</v>
      </c>
      <c r="AN16" s="14" t="s">
        <v>62</v>
      </c>
      <c r="AO16" s="14" t="s">
        <v>62</v>
      </c>
      <c r="AP16" s="14" t="s">
        <v>62</v>
      </c>
      <c r="AQ16" s="14" t="s">
        <v>62</v>
      </c>
      <c r="AR16" s="14" t="s">
        <v>62</v>
      </c>
      <c r="AS16" s="14" t="s">
        <v>62</v>
      </c>
      <c r="AT16" s="14" t="s">
        <v>62</v>
      </c>
      <c r="AU16" s="14" t="s">
        <v>62</v>
      </c>
      <c r="AV16" s="14" t="s">
        <v>62</v>
      </c>
      <c r="AW16" s="14" t="s">
        <v>62</v>
      </c>
      <c r="AX16" s="14" t="s">
        <v>62</v>
      </c>
      <c r="AY16" s="14" t="s">
        <v>62</v>
      </c>
      <c r="AZ16" s="14" t="s">
        <v>62</v>
      </c>
      <c r="BA16" s="14" t="s">
        <v>62</v>
      </c>
      <c r="BB16" s="14" t="s">
        <v>62</v>
      </c>
      <c r="BC16" s="14" t="s">
        <v>62</v>
      </c>
      <c r="BD16" s="14" t="s">
        <v>62</v>
      </c>
      <c r="BE16" s="14" t="s">
        <v>62</v>
      </c>
      <c r="BF16" s="14" t="s">
        <v>62</v>
      </c>
      <c r="BG16" s="14" t="s">
        <v>62</v>
      </c>
      <c r="BH16" s="14" t="s">
        <v>62</v>
      </c>
      <c r="BI16" s="14" t="s">
        <v>62</v>
      </c>
      <c r="BJ16" s="15" t="s">
        <v>62</v>
      </c>
    </row>
    <row r="17" spans="1:62" x14ac:dyDescent="0.3">
      <c r="A17" s="10" t="s">
        <v>14</v>
      </c>
      <c r="B17" s="16" t="s">
        <v>62</v>
      </c>
      <c r="C17" s="14" t="s">
        <v>62</v>
      </c>
      <c r="D17" s="14" t="s">
        <v>62</v>
      </c>
      <c r="E17" s="14" t="s">
        <v>62</v>
      </c>
      <c r="F17" s="14" t="s">
        <v>62</v>
      </c>
      <c r="G17" s="14" t="s">
        <v>62</v>
      </c>
      <c r="H17" s="14" t="s">
        <v>62</v>
      </c>
      <c r="I17" s="14" t="s">
        <v>62</v>
      </c>
      <c r="J17" s="14" t="s">
        <v>62</v>
      </c>
      <c r="K17" s="14" t="s">
        <v>62</v>
      </c>
      <c r="L17" s="14" t="s">
        <v>62</v>
      </c>
      <c r="M17" s="14" t="s">
        <v>62</v>
      </c>
      <c r="N17" s="14" t="s">
        <v>62</v>
      </c>
      <c r="O17" s="12">
        <v>0</v>
      </c>
      <c r="P17" s="13">
        <v>2611</v>
      </c>
      <c r="Q17" s="14" t="s">
        <v>62</v>
      </c>
      <c r="R17" s="14" t="s">
        <v>62</v>
      </c>
      <c r="S17" s="14" t="s">
        <v>62</v>
      </c>
      <c r="T17" s="14" t="s">
        <v>62</v>
      </c>
      <c r="U17" s="14" t="s">
        <v>62</v>
      </c>
      <c r="V17" s="14" t="s">
        <v>62</v>
      </c>
      <c r="W17" s="14" t="s">
        <v>62</v>
      </c>
      <c r="X17" s="14" t="s">
        <v>62</v>
      </c>
      <c r="Y17" s="14" t="s">
        <v>62</v>
      </c>
      <c r="Z17" s="14" t="s">
        <v>62</v>
      </c>
      <c r="AA17" s="14" t="s">
        <v>62</v>
      </c>
      <c r="AB17" s="14" t="s">
        <v>62</v>
      </c>
      <c r="AC17" s="14" t="s">
        <v>62</v>
      </c>
      <c r="AD17" s="14" t="s">
        <v>62</v>
      </c>
      <c r="AE17" s="14" t="s">
        <v>62</v>
      </c>
      <c r="AF17" s="14" t="s">
        <v>62</v>
      </c>
      <c r="AG17" s="14" t="s">
        <v>62</v>
      </c>
      <c r="AH17" s="14" t="s">
        <v>62</v>
      </c>
      <c r="AI17" s="14" t="s">
        <v>62</v>
      </c>
      <c r="AJ17" s="14" t="s">
        <v>62</v>
      </c>
      <c r="AK17" s="14" t="s">
        <v>62</v>
      </c>
      <c r="AL17" s="14" t="s">
        <v>62</v>
      </c>
      <c r="AM17" s="14" t="s">
        <v>62</v>
      </c>
      <c r="AN17" s="14" t="s">
        <v>62</v>
      </c>
      <c r="AO17" s="14" t="s">
        <v>62</v>
      </c>
      <c r="AP17" s="14" t="s">
        <v>62</v>
      </c>
      <c r="AQ17" s="14" t="s">
        <v>62</v>
      </c>
      <c r="AR17" s="14" t="s">
        <v>62</v>
      </c>
      <c r="AS17" s="14" t="s">
        <v>62</v>
      </c>
      <c r="AT17" s="14" t="s">
        <v>62</v>
      </c>
      <c r="AU17" s="14" t="s">
        <v>62</v>
      </c>
      <c r="AV17" s="14" t="s">
        <v>62</v>
      </c>
      <c r="AW17" s="14" t="s">
        <v>62</v>
      </c>
      <c r="AX17" s="14" t="s">
        <v>62</v>
      </c>
      <c r="AY17" s="14" t="s">
        <v>62</v>
      </c>
      <c r="AZ17" s="14" t="s">
        <v>62</v>
      </c>
      <c r="BA17" s="14" t="s">
        <v>62</v>
      </c>
      <c r="BB17" s="14" t="s">
        <v>62</v>
      </c>
      <c r="BC17" s="14" t="s">
        <v>62</v>
      </c>
      <c r="BD17" s="14" t="s">
        <v>62</v>
      </c>
      <c r="BE17" s="14" t="s">
        <v>62</v>
      </c>
      <c r="BF17" s="14" t="s">
        <v>62</v>
      </c>
      <c r="BG17" s="14" t="s">
        <v>62</v>
      </c>
      <c r="BH17" s="12">
        <v>7266.2</v>
      </c>
      <c r="BI17" s="12">
        <v>3514.2</v>
      </c>
      <c r="BJ17" s="17">
        <v>2462.1</v>
      </c>
    </row>
    <row r="18" spans="1:62" x14ac:dyDescent="0.3">
      <c r="A18" s="10" t="s">
        <v>15</v>
      </c>
      <c r="B18" s="16" t="s">
        <v>62</v>
      </c>
      <c r="C18" s="14" t="s">
        <v>62</v>
      </c>
      <c r="D18" s="14" t="s">
        <v>62</v>
      </c>
      <c r="E18" s="14" t="s">
        <v>62</v>
      </c>
      <c r="F18" s="14" t="s">
        <v>62</v>
      </c>
      <c r="G18" s="14" t="s">
        <v>62</v>
      </c>
      <c r="H18" s="14" t="s">
        <v>62</v>
      </c>
      <c r="I18" s="14" t="s">
        <v>62</v>
      </c>
      <c r="J18" s="14" t="s">
        <v>62</v>
      </c>
      <c r="K18" s="14" t="s">
        <v>62</v>
      </c>
      <c r="L18" s="14" t="s">
        <v>62</v>
      </c>
      <c r="M18" s="14" t="s">
        <v>62</v>
      </c>
      <c r="N18" s="14" t="s">
        <v>62</v>
      </c>
      <c r="O18" s="13">
        <v>2611</v>
      </c>
      <c r="P18" s="12">
        <v>0</v>
      </c>
      <c r="Q18" s="14" t="s">
        <v>62</v>
      </c>
      <c r="R18" s="14" t="s">
        <v>62</v>
      </c>
      <c r="S18" s="14" t="s">
        <v>62</v>
      </c>
      <c r="T18" s="14" t="s">
        <v>62</v>
      </c>
      <c r="U18" s="14" t="s">
        <v>62</v>
      </c>
      <c r="V18" s="14" t="s">
        <v>62</v>
      </c>
      <c r="W18" s="14" t="s">
        <v>62</v>
      </c>
      <c r="X18" s="14" t="s">
        <v>62</v>
      </c>
      <c r="Y18" s="14" t="s">
        <v>62</v>
      </c>
      <c r="Z18" s="14" t="s">
        <v>62</v>
      </c>
      <c r="AA18" s="14" t="s">
        <v>62</v>
      </c>
      <c r="AB18" s="14" t="s">
        <v>62</v>
      </c>
      <c r="AC18" s="14" t="s">
        <v>62</v>
      </c>
      <c r="AD18" s="14" t="s">
        <v>62</v>
      </c>
      <c r="AE18" s="14" t="s">
        <v>62</v>
      </c>
      <c r="AF18" s="14" t="s">
        <v>62</v>
      </c>
      <c r="AG18" s="14" t="s">
        <v>62</v>
      </c>
      <c r="AH18" s="14" t="s">
        <v>62</v>
      </c>
      <c r="AI18" s="14" t="s">
        <v>62</v>
      </c>
      <c r="AJ18" s="14" t="s">
        <v>62</v>
      </c>
      <c r="AK18" s="14" t="s">
        <v>62</v>
      </c>
      <c r="AL18" s="14" t="s">
        <v>62</v>
      </c>
      <c r="AM18" s="14" t="s">
        <v>62</v>
      </c>
      <c r="AN18" s="14" t="s">
        <v>62</v>
      </c>
      <c r="AO18" s="14" t="s">
        <v>62</v>
      </c>
      <c r="AP18" s="14" t="s">
        <v>62</v>
      </c>
      <c r="AQ18" s="14" t="s">
        <v>62</v>
      </c>
      <c r="AR18" s="14" t="s">
        <v>62</v>
      </c>
      <c r="AS18" s="14" t="s">
        <v>62</v>
      </c>
      <c r="AT18" s="14" t="s">
        <v>62</v>
      </c>
      <c r="AU18" s="14" t="s">
        <v>62</v>
      </c>
      <c r="AV18" s="14" t="s">
        <v>62</v>
      </c>
      <c r="AW18" s="14" t="s">
        <v>62</v>
      </c>
      <c r="AX18" s="14" t="s">
        <v>62</v>
      </c>
      <c r="AY18" s="14" t="s">
        <v>62</v>
      </c>
      <c r="AZ18" s="14" t="s">
        <v>62</v>
      </c>
      <c r="BA18" s="14" t="s">
        <v>62</v>
      </c>
      <c r="BB18" s="14" t="s">
        <v>62</v>
      </c>
      <c r="BC18" s="14" t="s">
        <v>62</v>
      </c>
      <c r="BD18" s="14" t="s">
        <v>62</v>
      </c>
      <c r="BE18" s="14" t="s">
        <v>62</v>
      </c>
      <c r="BF18" s="14" t="s">
        <v>62</v>
      </c>
      <c r="BG18" s="14" t="s">
        <v>62</v>
      </c>
      <c r="BH18" s="13">
        <v>9451.9</v>
      </c>
      <c r="BI18" s="13">
        <v>5932.6</v>
      </c>
      <c r="BJ18" s="18">
        <v>4880.3999999999996</v>
      </c>
    </row>
    <row r="19" spans="1:62" x14ac:dyDescent="0.3">
      <c r="A19" s="10" t="s">
        <v>16</v>
      </c>
      <c r="B19" s="16" t="s">
        <v>62</v>
      </c>
      <c r="C19" s="14" t="s">
        <v>62</v>
      </c>
      <c r="D19" s="14" t="s">
        <v>62</v>
      </c>
      <c r="E19" s="14" t="s">
        <v>62</v>
      </c>
      <c r="F19" s="14" t="s">
        <v>62</v>
      </c>
      <c r="G19" s="14" t="s">
        <v>62</v>
      </c>
      <c r="H19" s="14" t="s">
        <v>62</v>
      </c>
      <c r="I19" s="14" t="s">
        <v>62</v>
      </c>
      <c r="J19" s="14" t="s">
        <v>62</v>
      </c>
      <c r="K19" s="14" t="s">
        <v>62</v>
      </c>
      <c r="L19" s="14" t="s">
        <v>62</v>
      </c>
      <c r="M19" s="14" t="s">
        <v>62</v>
      </c>
      <c r="N19" s="14" t="s">
        <v>62</v>
      </c>
      <c r="O19" s="14" t="s">
        <v>62</v>
      </c>
      <c r="P19" s="14" t="s">
        <v>62</v>
      </c>
      <c r="Q19" s="12">
        <v>0</v>
      </c>
      <c r="R19" s="13">
        <v>345.9</v>
      </c>
      <c r="S19" s="13">
        <v>597.79999999999995</v>
      </c>
      <c r="T19" s="13" t="s">
        <v>62</v>
      </c>
      <c r="U19" s="13" t="s">
        <v>62</v>
      </c>
      <c r="V19" s="13" t="s">
        <v>62</v>
      </c>
      <c r="W19" s="13" t="s">
        <v>62</v>
      </c>
      <c r="X19" s="13" t="s">
        <v>62</v>
      </c>
      <c r="Y19" s="13" t="s">
        <v>62</v>
      </c>
      <c r="Z19" s="13" t="s">
        <v>62</v>
      </c>
      <c r="AA19" s="13" t="s">
        <v>62</v>
      </c>
      <c r="AB19" s="13" t="s">
        <v>62</v>
      </c>
      <c r="AC19" s="13" t="s">
        <v>62</v>
      </c>
      <c r="AD19" s="13" t="s">
        <v>62</v>
      </c>
      <c r="AE19" s="13" t="s">
        <v>62</v>
      </c>
      <c r="AF19" s="13" t="s">
        <v>62</v>
      </c>
      <c r="AG19" s="13" t="s">
        <v>62</v>
      </c>
      <c r="AH19" s="14" t="s">
        <v>62</v>
      </c>
      <c r="AI19" s="14" t="s">
        <v>62</v>
      </c>
      <c r="AJ19" s="14" t="s">
        <v>62</v>
      </c>
      <c r="AK19" s="14" t="s">
        <v>62</v>
      </c>
      <c r="AL19" s="14" t="s">
        <v>62</v>
      </c>
      <c r="AM19" s="14" t="s">
        <v>62</v>
      </c>
      <c r="AN19" s="14" t="s">
        <v>62</v>
      </c>
      <c r="AO19" s="14" t="s">
        <v>62</v>
      </c>
      <c r="AP19" s="14" t="s">
        <v>62</v>
      </c>
      <c r="AQ19" s="14" t="s">
        <v>62</v>
      </c>
      <c r="AR19" s="14" t="s">
        <v>62</v>
      </c>
      <c r="AS19" s="14" t="s">
        <v>62</v>
      </c>
      <c r="AT19" s="14" t="s">
        <v>62</v>
      </c>
      <c r="AU19" s="14" t="s">
        <v>62</v>
      </c>
      <c r="AV19" s="14" t="s">
        <v>62</v>
      </c>
      <c r="AW19" s="14" t="s">
        <v>62</v>
      </c>
      <c r="AX19" s="14" t="s">
        <v>62</v>
      </c>
      <c r="AY19" s="14" t="s">
        <v>62</v>
      </c>
      <c r="AZ19" s="14" t="s">
        <v>62</v>
      </c>
      <c r="BA19" s="14" t="s">
        <v>62</v>
      </c>
      <c r="BB19" s="14" t="s">
        <v>62</v>
      </c>
      <c r="BC19" s="14" t="s">
        <v>62</v>
      </c>
      <c r="BD19" s="14" t="s">
        <v>62</v>
      </c>
      <c r="BE19" s="14" t="s">
        <v>62</v>
      </c>
      <c r="BF19" s="14" t="s">
        <v>62</v>
      </c>
      <c r="BG19" s="14" t="s">
        <v>62</v>
      </c>
      <c r="BH19" s="14" t="s">
        <v>62</v>
      </c>
      <c r="BI19" s="14" t="s">
        <v>62</v>
      </c>
      <c r="BJ19" s="15" t="s">
        <v>62</v>
      </c>
    </row>
    <row r="20" spans="1:62" x14ac:dyDescent="0.3">
      <c r="A20" s="10" t="s">
        <v>17</v>
      </c>
      <c r="B20" s="16" t="s">
        <v>62</v>
      </c>
      <c r="C20" s="14" t="s">
        <v>62</v>
      </c>
      <c r="D20" s="14" t="s">
        <v>62</v>
      </c>
      <c r="E20" s="14" t="s">
        <v>62</v>
      </c>
      <c r="F20" s="14" t="s">
        <v>62</v>
      </c>
      <c r="G20" s="14" t="s">
        <v>62</v>
      </c>
      <c r="H20" s="14" t="s">
        <v>62</v>
      </c>
      <c r="I20" s="14" t="s">
        <v>62</v>
      </c>
      <c r="J20" s="14" t="s">
        <v>62</v>
      </c>
      <c r="K20" s="14" t="s">
        <v>62</v>
      </c>
      <c r="L20" s="14" t="s">
        <v>62</v>
      </c>
      <c r="M20" s="14" t="s">
        <v>62</v>
      </c>
      <c r="N20" s="14" t="s">
        <v>62</v>
      </c>
      <c r="O20" s="14" t="s">
        <v>62</v>
      </c>
      <c r="P20" s="14" t="s">
        <v>62</v>
      </c>
      <c r="Q20" s="13">
        <v>345.9</v>
      </c>
      <c r="R20" s="12">
        <v>0</v>
      </c>
      <c r="S20" s="13">
        <v>337</v>
      </c>
      <c r="T20" s="13" t="s">
        <v>62</v>
      </c>
      <c r="U20" s="13" t="s">
        <v>62</v>
      </c>
      <c r="V20" s="13" t="s">
        <v>62</v>
      </c>
      <c r="W20" s="13" t="s">
        <v>62</v>
      </c>
      <c r="X20" s="13" t="s">
        <v>62</v>
      </c>
      <c r="Y20" s="13" t="s">
        <v>62</v>
      </c>
      <c r="Z20" s="13" t="s">
        <v>62</v>
      </c>
      <c r="AA20" s="13" t="s">
        <v>62</v>
      </c>
      <c r="AB20" s="13" t="s">
        <v>62</v>
      </c>
      <c r="AC20" s="13" t="s">
        <v>62</v>
      </c>
      <c r="AD20" s="13" t="s">
        <v>62</v>
      </c>
      <c r="AE20" s="13" t="s">
        <v>62</v>
      </c>
      <c r="AF20" s="13" t="s">
        <v>62</v>
      </c>
      <c r="AG20" s="13" t="s">
        <v>62</v>
      </c>
      <c r="AH20" s="14" t="s">
        <v>62</v>
      </c>
      <c r="AI20" s="14" t="s">
        <v>62</v>
      </c>
      <c r="AJ20" s="14" t="s">
        <v>62</v>
      </c>
      <c r="AK20" s="14" t="s">
        <v>62</v>
      </c>
      <c r="AL20" s="14" t="s">
        <v>62</v>
      </c>
      <c r="AM20" s="14" t="s">
        <v>62</v>
      </c>
      <c r="AN20" s="14" t="s">
        <v>62</v>
      </c>
      <c r="AO20" s="14" t="s">
        <v>62</v>
      </c>
      <c r="AP20" s="14" t="s">
        <v>62</v>
      </c>
      <c r="AQ20" s="14" t="s">
        <v>62</v>
      </c>
      <c r="AR20" s="14" t="s">
        <v>62</v>
      </c>
      <c r="AS20" s="14" t="s">
        <v>62</v>
      </c>
      <c r="AT20" s="14" t="s">
        <v>62</v>
      </c>
      <c r="AU20" s="14" t="s">
        <v>62</v>
      </c>
      <c r="AV20" s="14" t="s">
        <v>62</v>
      </c>
      <c r="AW20" s="14" t="s">
        <v>62</v>
      </c>
      <c r="AX20" s="14" t="s">
        <v>62</v>
      </c>
      <c r="AY20" s="14" t="s">
        <v>62</v>
      </c>
      <c r="AZ20" s="14" t="s">
        <v>62</v>
      </c>
      <c r="BA20" s="14" t="s">
        <v>62</v>
      </c>
      <c r="BB20" s="13" t="s">
        <v>62</v>
      </c>
      <c r="BC20" s="14" t="s">
        <v>62</v>
      </c>
      <c r="BD20" s="14" t="s">
        <v>62</v>
      </c>
      <c r="BE20" s="14" t="s">
        <v>62</v>
      </c>
      <c r="BF20" s="13" t="s">
        <v>62</v>
      </c>
      <c r="BG20" s="13" t="s">
        <v>62</v>
      </c>
      <c r="BH20" s="14" t="s">
        <v>62</v>
      </c>
      <c r="BI20" s="14" t="s">
        <v>62</v>
      </c>
      <c r="BJ20" s="15" t="s">
        <v>62</v>
      </c>
    </row>
    <row r="21" spans="1:62" x14ac:dyDescent="0.3">
      <c r="A21" s="10" t="s">
        <v>18</v>
      </c>
      <c r="B21" s="16" t="s">
        <v>62</v>
      </c>
      <c r="C21" s="14" t="s">
        <v>62</v>
      </c>
      <c r="D21" s="14" t="s">
        <v>62</v>
      </c>
      <c r="E21" s="14" t="s">
        <v>62</v>
      </c>
      <c r="F21" s="14" t="s">
        <v>62</v>
      </c>
      <c r="G21" s="14" t="s">
        <v>62</v>
      </c>
      <c r="H21" s="14" t="s">
        <v>62</v>
      </c>
      <c r="I21" s="14" t="s">
        <v>62</v>
      </c>
      <c r="J21" s="14" t="s">
        <v>62</v>
      </c>
      <c r="K21" s="14" t="s">
        <v>62</v>
      </c>
      <c r="L21" s="14" t="s">
        <v>62</v>
      </c>
      <c r="M21" s="14" t="s">
        <v>62</v>
      </c>
      <c r="N21" s="14" t="s">
        <v>62</v>
      </c>
      <c r="O21" s="14" t="s">
        <v>62</v>
      </c>
      <c r="P21" s="14" t="s">
        <v>62</v>
      </c>
      <c r="Q21" s="13">
        <v>597.79999999999995</v>
      </c>
      <c r="R21" s="13">
        <v>337</v>
      </c>
      <c r="S21" s="12">
        <v>0</v>
      </c>
      <c r="T21" s="13" t="s">
        <v>62</v>
      </c>
      <c r="U21" s="13" t="s">
        <v>62</v>
      </c>
      <c r="V21" s="13" t="s">
        <v>62</v>
      </c>
      <c r="W21" s="13" t="s">
        <v>62</v>
      </c>
      <c r="X21" s="13" t="s">
        <v>62</v>
      </c>
      <c r="Y21" s="13" t="s">
        <v>62</v>
      </c>
      <c r="Z21" s="13" t="s">
        <v>62</v>
      </c>
      <c r="AA21" s="13" t="s">
        <v>62</v>
      </c>
      <c r="AB21" s="13" t="s">
        <v>62</v>
      </c>
      <c r="AC21" s="13" t="s">
        <v>62</v>
      </c>
      <c r="AD21" s="13" t="s">
        <v>62</v>
      </c>
      <c r="AE21" s="13" t="s">
        <v>62</v>
      </c>
      <c r="AF21" s="13" t="s">
        <v>62</v>
      </c>
      <c r="AG21" s="13" t="s">
        <v>62</v>
      </c>
      <c r="AH21" s="14" t="s">
        <v>62</v>
      </c>
      <c r="AI21" s="14" t="s">
        <v>62</v>
      </c>
      <c r="AJ21" s="14" t="s">
        <v>62</v>
      </c>
      <c r="AK21" s="14" t="s">
        <v>62</v>
      </c>
      <c r="AL21" s="14" t="s">
        <v>62</v>
      </c>
      <c r="AM21" s="14" t="s">
        <v>62</v>
      </c>
      <c r="AN21" s="14" t="s">
        <v>62</v>
      </c>
      <c r="AO21" s="14" t="s">
        <v>62</v>
      </c>
      <c r="AP21" s="14" t="s">
        <v>62</v>
      </c>
      <c r="AQ21" s="14" t="s">
        <v>62</v>
      </c>
      <c r="AR21" s="14" t="s">
        <v>62</v>
      </c>
      <c r="AS21" s="14" t="s">
        <v>62</v>
      </c>
      <c r="AT21" s="14" t="s">
        <v>62</v>
      </c>
      <c r="AU21" s="14" t="s">
        <v>62</v>
      </c>
      <c r="AV21" s="14" t="s">
        <v>62</v>
      </c>
      <c r="AW21" s="14" t="s">
        <v>62</v>
      </c>
      <c r="AX21" s="14" t="s">
        <v>62</v>
      </c>
      <c r="AY21" s="14" t="s">
        <v>62</v>
      </c>
      <c r="AZ21" s="14" t="s">
        <v>62</v>
      </c>
      <c r="BA21" s="14" t="s">
        <v>62</v>
      </c>
      <c r="BB21" s="13" t="s">
        <v>62</v>
      </c>
      <c r="BC21" s="14" t="s">
        <v>62</v>
      </c>
      <c r="BD21" s="14" t="s">
        <v>62</v>
      </c>
      <c r="BE21" s="14" t="s">
        <v>62</v>
      </c>
      <c r="BF21" s="13" t="s">
        <v>62</v>
      </c>
      <c r="BG21" s="13" t="s">
        <v>62</v>
      </c>
      <c r="BH21" s="14" t="s">
        <v>62</v>
      </c>
      <c r="BI21" s="14" t="s">
        <v>62</v>
      </c>
      <c r="BJ21" s="15" t="s">
        <v>62</v>
      </c>
    </row>
    <row r="22" spans="1:62" x14ac:dyDescent="0.3">
      <c r="A22" s="10" t="s">
        <v>19</v>
      </c>
      <c r="B22" s="16" t="s">
        <v>62</v>
      </c>
      <c r="C22" s="14" t="s">
        <v>62</v>
      </c>
      <c r="D22" s="14" t="s">
        <v>62</v>
      </c>
      <c r="E22" s="14" t="s">
        <v>62</v>
      </c>
      <c r="F22" s="14" t="s">
        <v>62</v>
      </c>
      <c r="G22" s="14" t="s">
        <v>62</v>
      </c>
      <c r="H22" s="14" t="s">
        <v>62</v>
      </c>
      <c r="I22" s="14" t="s">
        <v>62</v>
      </c>
      <c r="J22" s="14" t="s">
        <v>62</v>
      </c>
      <c r="K22" s="14" t="s">
        <v>62</v>
      </c>
      <c r="L22" s="14" t="s">
        <v>62</v>
      </c>
      <c r="M22" s="14" t="s">
        <v>62</v>
      </c>
      <c r="N22" s="14" t="s">
        <v>62</v>
      </c>
      <c r="O22" s="14" t="s">
        <v>62</v>
      </c>
      <c r="P22" s="14" t="s">
        <v>62</v>
      </c>
      <c r="Q22" s="13" t="s">
        <v>62</v>
      </c>
      <c r="R22" s="13" t="s">
        <v>62</v>
      </c>
      <c r="S22" s="13" t="s">
        <v>62</v>
      </c>
      <c r="T22" s="12">
        <v>0</v>
      </c>
      <c r="U22" s="13">
        <v>462.1</v>
      </c>
      <c r="V22" s="13">
        <v>827.9</v>
      </c>
      <c r="W22" s="13">
        <v>896.7</v>
      </c>
      <c r="X22" s="13">
        <v>1041.8</v>
      </c>
      <c r="Y22" s="13">
        <v>560.9</v>
      </c>
      <c r="Z22" s="13">
        <v>1428.7</v>
      </c>
      <c r="AA22" s="13">
        <v>854.2</v>
      </c>
      <c r="AB22" s="13">
        <v>1265.5999999999999</v>
      </c>
      <c r="AC22" s="13">
        <v>1033.8</v>
      </c>
      <c r="AD22" s="13">
        <v>1198.5999999999999</v>
      </c>
      <c r="AE22" s="13">
        <v>1535.4</v>
      </c>
      <c r="AF22" s="13">
        <v>1028.9000000000001</v>
      </c>
      <c r="AG22" s="13">
        <v>1319.3</v>
      </c>
      <c r="AH22" s="14" t="s">
        <v>62</v>
      </c>
      <c r="AI22" s="14">
        <v>9996.1</v>
      </c>
      <c r="AJ22" s="14" t="s">
        <v>62</v>
      </c>
      <c r="AK22" s="14">
        <v>10576.3</v>
      </c>
      <c r="AL22" s="14" t="s">
        <v>62</v>
      </c>
      <c r="AM22" s="14" t="s">
        <v>62</v>
      </c>
      <c r="AN22" s="14" t="s">
        <v>62</v>
      </c>
      <c r="AO22" s="14" t="s">
        <v>62</v>
      </c>
      <c r="AP22" s="14" t="s">
        <v>62</v>
      </c>
      <c r="AQ22" s="14" t="s">
        <v>62</v>
      </c>
      <c r="AR22" s="14" t="s">
        <v>62</v>
      </c>
      <c r="AS22" s="14">
        <v>6049.2</v>
      </c>
      <c r="AT22" s="14">
        <v>5799.3</v>
      </c>
      <c r="AU22" s="14">
        <v>11647.6</v>
      </c>
      <c r="AV22" s="14">
        <v>2834.5</v>
      </c>
      <c r="AW22" s="14">
        <v>6858.6</v>
      </c>
      <c r="AX22" s="14">
        <v>12078.1</v>
      </c>
      <c r="AY22" s="14">
        <v>8836.7999999999993</v>
      </c>
      <c r="AZ22" s="14">
        <v>9483.5</v>
      </c>
      <c r="BA22" s="14">
        <v>12792.7</v>
      </c>
      <c r="BB22" s="13">
        <v>1998.7</v>
      </c>
      <c r="BC22" s="14">
        <v>11848.7</v>
      </c>
      <c r="BD22" s="14">
        <v>10352.4</v>
      </c>
      <c r="BE22" s="14">
        <v>11456.9</v>
      </c>
      <c r="BF22" s="13">
        <v>2399.1999999999998</v>
      </c>
      <c r="BG22" s="13">
        <v>2870.5</v>
      </c>
      <c r="BH22" s="14" t="s">
        <v>62</v>
      </c>
      <c r="BI22" s="14" t="s">
        <v>62</v>
      </c>
      <c r="BJ22" s="15" t="s">
        <v>62</v>
      </c>
    </row>
    <row r="23" spans="1:62" x14ac:dyDescent="0.3">
      <c r="A23" s="10" t="s">
        <v>20</v>
      </c>
      <c r="B23" s="16" t="s">
        <v>62</v>
      </c>
      <c r="C23" s="14" t="s">
        <v>62</v>
      </c>
      <c r="D23" s="14" t="s">
        <v>62</v>
      </c>
      <c r="E23" s="14" t="s">
        <v>62</v>
      </c>
      <c r="F23" s="14" t="s">
        <v>62</v>
      </c>
      <c r="G23" s="14" t="s">
        <v>62</v>
      </c>
      <c r="H23" s="14" t="s">
        <v>62</v>
      </c>
      <c r="I23" s="14" t="s">
        <v>62</v>
      </c>
      <c r="J23" s="14" t="s">
        <v>62</v>
      </c>
      <c r="K23" s="14" t="s">
        <v>62</v>
      </c>
      <c r="L23" s="14" t="s">
        <v>62</v>
      </c>
      <c r="M23" s="14" t="s">
        <v>62</v>
      </c>
      <c r="N23" s="14" t="s">
        <v>62</v>
      </c>
      <c r="O23" s="14" t="s">
        <v>62</v>
      </c>
      <c r="P23" s="14" t="s">
        <v>62</v>
      </c>
      <c r="Q23" s="13" t="s">
        <v>62</v>
      </c>
      <c r="R23" s="13" t="s">
        <v>62</v>
      </c>
      <c r="S23" s="13" t="s">
        <v>62</v>
      </c>
      <c r="T23" s="13">
        <v>462.1</v>
      </c>
      <c r="U23" s="12">
        <v>0</v>
      </c>
      <c r="V23" s="13">
        <v>735.8</v>
      </c>
      <c r="W23" s="13">
        <v>1175.8</v>
      </c>
      <c r="X23" s="13">
        <v>1227.0999999999999</v>
      </c>
      <c r="Y23" s="13">
        <v>815.4</v>
      </c>
      <c r="Z23" s="13">
        <v>983.2</v>
      </c>
      <c r="AA23" s="13">
        <v>437.8</v>
      </c>
      <c r="AB23" s="13">
        <v>1226</v>
      </c>
      <c r="AC23" s="13">
        <v>638</v>
      </c>
      <c r="AD23" s="13">
        <v>1403.4</v>
      </c>
      <c r="AE23" s="13">
        <v>1611.4</v>
      </c>
      <c r="AF23" s="13">
        <v>1075</v>
      </c>
      <c r="AG23" s="13">
        <v>1232.3</v>
      </c>
      <c r="AH23" s="14" t="s">
        <v>62</v>
      </c>
      <c r="AI23" s="14" t="s">
        <v>62</v>
      </c>
      <c r="AJ23" s="14" t="s">
        <v>62</v>
      </c>
      <c r="AK23" s="14">
        <v>10248.9</v>
      </c>
      <c r="AL23" s="14" t="s">
        <v>62</v>
      </c>
      <c r="AM23" s="14" t="s">
        <v>62</v>
      </c>
      <c r="AN23" s="14" t="s">
        <v>62</v>
      </c>
      <c r="AO23" s="14" t="s">
        <v>62</v>
      </c>
      <c r="AP23" s="14" t="s">
        <v>62</v>
      </c>
      <c r="AQ23" s="14" t="s">
        <v>62</v>
      </c>
      <c r="AR23" s="14" t="s">
        <v>62</v>
      </c>
      <c r="AS23" s="14">
        <v>5721.8</v>
      </c>
      <c r="AT23" s="14">
        <v>5472</v>
      </c>
      <c r="AU23" s="14">
        <v>11832.9</v>
      </c>
      <c r="AV23" s="14">
        <v>3019.8</v>
      </c>
      <c r="AW23" s="14">
        <v>7044</v>
      </c>
      <c r="AX23" s="14">
        <v>12263.5</v>
      </c>
      <c r="AY23" s="14">
        <v>8510.1</v>
      </c>
      <c r="AZ23" s="14">
        <v>9156.7999999999993</v>
      </c>
      <c r="BA23" s="14" t="s">
        <v>62</v>
      </c>
      <c r="BB23" s="13">
        <v>2246.5</v>
      </c>
      <c r="BC23" s="14">
        <v>12034</v>
      </c>
      <c r="BD23" s="14">
        <v>10537.8</v>
      </c>
      <c r="BE23" s="14">
        <v>11642.2</v>
      </c>
      <c r="BF23" s="13">
        <v>2475.1999999999998</v>
      </c>
      <c r="BG23" s="13">
        <v>2543.1</v>
      </c>
      <c r="BH23" s="14" t="s">
        <v>62</v>
      </c>
      <c r="BI23" s="14" t="s">
        <v>62</v>
      </c>
      <c r="BJ23" s="15" t="s">
        <v>62</v>
      </c>
    </row>
    <row r="24" spans="1:62" x14ac:dyDescent="0.3">
      <c r="A24" s="10" t="s">
        <v>21</v>
      </c>
      <c r="B24" s="16" t="s">
        <v>62</v>
      </c>
      <c r="C24" s="14" t="s">
        <v>62</v>
      </c>
      <c r="D24" s="14" t="s">
        <v>62</v>
      </c>
      <c r="E24" s="14" t="s">
        <v>62</v>
      </c>
      <c r="F24" s="14" t="s">
        <v>62</v>
      </c>
      <c r="G24" s="14" t="s">
        <v>62</v>
      </c>
      <c r="H24" s="14" t="s">
        <v>62</v>
      </c>
      <c r="I24" s="14" t="s">
        <v>62</v>
      </c>
      <c r="J24" s="14" t="s">
        <v>62</v>
      </c>
      <c r="K24" s="14" t="s">
        <v>62</v>
      </c>
      <c r="L24" s="14" t="s">
        <v>62</v>
      </c>
      <c r="M24" s="14" t="s">
        <v>62</v>
      </c>
      <c r="N24" s="14" t="s">
        <v>62</v>
      </c>
      <c r="O24" s="14" t="s">
        <v>62</v>
      </c>
      <c r="P24" s="14" t="s">
        <v>62</v>
      </c>
      <c r="Q24" s="13" t="s">
        <v>62</v>
      </c>
      <c r="R24" s="13" t="s">
        <v>62</v>
      </c>
      <c r="S24" s="13" t="s">
        <v>62</v>
      </c>
      <c r="T24" s="13">
        <v>827.9</v>
      </c>
      <c r="U24" s="13">
        <v>735.8</v>
      </c>
      <c r="V24" s="12">
        <v>0</v>
      </c>
      <c r="W24" s="13">
        <v>790.9</v>
      </c>
      <c r="X24" s="13">
        <v>582.1</v>
      </c>
      <c r="Y24" s="13">
        <v>692.8</v>
      </c>
      <c r="Z24" s="13">
        <v>914.7</v>
      </c>
      <c r="AA24" s="13">
        <v>493.1</v>
      </c>
      <c r="AB24" s="13">
        <v>1960.5</v>
      </c>
      <c r="AC24" s="13">
        <v>1372.4</v>
      </c>
      <c r="AD24" s="13">
        <v>758.4</v>
      </c>
      <c r="AE24" s="13">
        <v>909.2</v>
      </c>
      <c r="AF24" s="13">
        <v>380.9</v>
      </c>
      <c r="AG24" s="13">
        <v>488</v>
      </c>
      <c r="AH24" s="14" t="s">
        <v>62</v>
      </c>
      <c r="AI24" s="14" t="s">
        <v>62</v>
      </c>
      <c r="AJ24" s="14" t="s">
        <v>62</v>
      </c>
      <c r="AK24" s="14">
        <v>9735.2000000000007</v>
      </c>
      <c r="AL24" s="14" t="s">
        <v>62</v>
      </c>
      <c r="AM24" s="14" t="s">
        <v>62</v>
      </c>
      <c r="AN24" s="14" t="s">
        <v>62</v>
      </c>
      <c r="AO24" s="14" t="s">
        <v>62</v>
      </c>
      <c r="AP24" s="14" t="s">
        <v>62</v>
      </c>
      <c r="AQ24" s="14" t="s">
        <v>62</v>
      </c>
      <c r="AR24" s="14" t="s">
        <v>62</v>
      </c>
      <c r="AS24" s="14">
        <v>5208.1000000000004</v>
      </c>
      <c r="AT24" s="14">
        <v>4958.2</v>
      </c>
      <c r="AU24" s="14">
        <v>11187.9</v>
      </c>
      <c r="AV24" s="14">
        <v>2374.8000000000002</v>
      </c>
      <c r="AW24" s="14">
        <v>6399</v>
      </c>
      <c r="AX24" s="14">
        <v>11618.5</v>
      </c>
      <c r="AY24" s="14">
        <v>7996.4</v>
      </c>
      <c r="AZ24" s="14">
        <v>8643.1</v>
      </c>
      <c r="BA24" s="14" t="s">
        <v>62</v>
      </c>
      <c r="BB24" s="13">
        <v>1903.8</v>
      </c>
      <c r="BC24" s="14">
        <v>11389</v>
      </c>
      <c r="BD24" s="14">
        <v>9892.7999999999993</v>
      </c>
      <c r="BE24" s="14">
        <v>10997.2</v>
      </c>
      <c r="BF24" s="13">
        <v>1773</v>
      </c>
      <c r="BG24" s="13">
        <v>2029.4</v>
      </c>
      <c r="BH24" s="14" t="s">
        <v>62</v>
      </c>
      <c r="BI24" s="14" t="s">
        <v>62</v>
      </c>
      <c r="BJ24" s="15" t="s">
        <v>62</v>
      </c>
    </row>
    <row r="25" spans="1:62" x14ac:dyDescent="0.3">
      <c r="A25" s="10" t="s">
        <v>22</v>
      </c>
      <c r="B25" s="16" t="s">
        <v>62</v>
      </c>
      <c r="C25" s="14" t="s">
        <v>62</v>
      </c>
      <c r="D25" s="14" t="s">
        <v>62</v>
      </c>
      <c r="E25" s="14" t="s">
        <v>62</v>
      </c>
      <c r="F25" s="14" t="s">
        <v>62</v>
      </c>
      <c r="G25" s="14" t="s">
        <v>62</v>
      </c>
      <c r="H25" s="14" t="s">
        <v>62</v>
      </c>
      <c r="I25" s="14" t="s">
        <v>62</v>
      </c>
      <c r="J25" s="14" t="s">
        <v>62</v>
      </c>
      <c r="K25" s="14" t="s">
        <v>62</v>
      </c>
      <c r="L25" s="14" t="s">
        <v>62</v>
      </c>
      <c r="M25" s="14" t="s">
        <v>62</v>
      </c>
      <c r="N25" s="14" t="s">
        <v>62</v>
      </c>
      <c r="O25" s="14" t="s">
        <v>62</v>
      </c>
      <c r="P25" s="14" t="s">
        <v>62</v>
      </c>
      <c r="Q25" s="13" t="s">
        <v>62</v>
      </c>
      <c r="R25" s="13" t="s">
        <v>62</v>
      </c>
      <c r="S25" s="13" t="s">
        <v>62</v>
      </c>
      <c r="T25" s="13">
        <v>896.7</v>
      </c>
      <c r="U25" s="13">
        <v>1175.8</v>
      </c>
      <c r="V25" s="13">
        <v>790.9</v>
      </c>
      <c r="W25" s="12">
        <v>0</v>
      </c>
      <c r="X25" s="13">
        <v>281.2</v>
      </c>
      <c r="Y25" s="13">
        <v>344.2</v>
      </c>
      <c r="Z25" s="13">
        <v>1706.9</v>
      </c>
      <c r="AA25" s="13">
        <v>1108.5999999999999</v>
      </c>
      <c r="AB25" s="13">
        <v>2161.8000000000002</v>
      </c>
      <c r="AC25" s="13">
        <v>1813.7</v>
      </c>
      <c r="AD25" s="13">
        <v>416.6</v>
      </c>
      <c r="AE25" s="13">
        <v>908.2</v>
      </c>
      <c r="AF25" s="13">
        <v>637.9</v>
      </c>
      <c r="AG25" s="13">
        <v>966.3</v>
      </c>
      <c r="AH25" s="14" t="s">
        <v>62</v>
      </c>
      <c r="AI25" s="14">
        <v>8870.5</v>
      </c>
      <c r="AJ25" s="14" t="s">
        <v>62</v>
      </c>
      <c r="AK25" s="14" t="s">
        <v>62</v>
      </c>
      <c r="AL25" s="14" t="s">
        <v>62</v>
      </c>
      <c r="AM25" s="14" t="s">
        <v>62</v>
      </c>
      <c r="AN25" s="14" t="s">
        <v>62</v>
      </c>
      <c r="AO25" s="14" t="s">
        <v>62</v>
      </c>
      <c r="AP25" s="14" t="s">
        <v>62</v>
      </c>
      <c r="AQ25" s="14" t="s">
        <v>62</v>
      </c>
      <c r="AR25" s="14">
        <v>6561.4</v>
      </c>
      <c r="AS25" s="14">
        <v>5801.8</v>
      </c>
      <c r="AT25" s="14">
        <v>5551.9</v>
      </c>
      <c r="AU25" s="14">
        <v>10918.6</v>
      </c>
      <c r="AV25" s="14">
        <v>2105.6</v>
      </c>
      <c r="AW25" s="14">
        <v>6129.7</v>
      </c>
      <c r="AX25" s="14">
        <v>11349.2</v>
      </c>
      <c r="AY25" s="14">
        <v>8590</v>
      </c>
      <c r="AZ25" s="14">
        <v>9236.7000000000007</v>
      </c>
      <c r="BA25" s="14">
        <v>12063.8</v>
      </c>
      <c r="BB25" s="12">
        <v>1113.8</v>
      </c>
      <c r="BC25" s="14">
        <v>11119.7</v>
      </c>
      <c r="BD25" s="14">
        <v>9623.5</v>
      </c>
      <c r="BE25" s="14">
        <v>10727.9</v>
      </c>
      <c r="BF25" s="13">
        <v>1624.1</v>
      </c>
      <c r="BG25" s="13">
        <v>2623.1</v>
      </c>
      <c r="BH25" s="14" t="s">
        <v>62</v>
      </c>
      <c r="BI25" s="14" t="s">
        <v>62</v>
      </c>
      <c r="BJ25" s="15" t="s">
        <v>62</v>
      </c>
    </row>
    <row r="26" spans="1:62" x14ac:dyDescent="0.3">
      <c r="A26" s="10" t="s">
        <v>23</v>
      </c>
      <c r="B26" s="16" t="s">
        <v>62</v>
      </c>
      <c r="C26" s="14" t="s">
        <v>62</v>
      </c>
      <c r="D26" s="14" t="s">
        <v>62</v>
      </c>
      <c r="E26" s="14" t="s">
        <v>62</v>
      </c>
      <c r="F26" s="14" t="s">
        <v>62</v>
      </c>
      <c r="G26" s="14" t="s">
        <v>62</v>
      </c>
      <c r="H26" s="14" t="s">
        <v>62</v>
      </c>
      <c r="I26" s="14" t="s">
        <v>62</v>
      </c>
      <c r="J26" s="14" t="s">
        <v>62</v>
      </c>
      <c r="K26" s="14" t="s">
        <v>62</v>
      </c>
      <c r="L26" s="14" t="s">
        <v>62</v>
      </c>
      <c r="M26" s="14" t="s">
        <v>62</v>
      </c>
      <c r="N26" s="14" t="s">
        <v>62</v>
      </c>
      <c r="O26" s="14" t="s">
        <v>62</v>
      </c>
      <c r="P26" s="14" t="s">
        <v>62</v>
      </c>
      <c r="Q26" s="13" t="s">
        <v>62</v>
      </c>
      <c r="R26" s="13" t="s">
        <v>62</v>
      </c>
      <c r="S26" s="13" t="s">
        <v>62</v>
      </c>
      <c r="T26" s="13">
        <v>1041.8</v>
      </c>
      <c r="U26" s="13">
        <v>1227.0999999999999</v>
      </c>
      <c r="V26" s="13">
        <v>582.1</v>
      </c>
      <c r="W26" s="13">
        <v>281.2</v>
      </c>
      <c r="X26" s="12">
        <v>0</v>
      </c>
      <c r="Y26" s="13">
        <v>490.7</v>
      </c>
      <c r="Z26" s="13">
        <v>1498.9</v>
      </c>
      <c r="AA26" s="13">
        <v>1032.7</v>
      </c>
      <c r="AB26" s="13">
        <v>2369.1</v>
      </c>
      <c r="AC26" s="13">
        <v>1864.9</v>
      </c>
      <c r="AD26" s="13">
        <v>142.80000000000001</v>
      </c>
      <c r="AE26" s="13">
        <v>594.5</v>
      </c>
      <c r="AF26" s="13">
        <v>346</v>
      </c>
      <c r="AG26" s="13">
        <v>674.3</v>
      </c>
      <c r="AH26" s="14" t="s">
        <v>62</v>
      </c>
      <c r="AI26" s="14">
        <v>8590.6</v>
      </c>
      <c r="AJ26" s="14" t="s">
        <v>62</v>
      </c>
      <c r="AK26" s="14" t="s">
        <v>62</v>
      </c>
      <c r="AL26" s="14" t="s">
        <v>62</v>
      </c>
      <c r="AM26" s="14" t="s">
        <v>62</v>
      </c>
      <c r="AN26" s="14" t="s">
        <v>62</v>
      </c>
      <c r="AO26" s="14" t="s">
        <v>62</v>
      </c>
      <c r="AP26" s="14" t="s">
        <v>62</v>
      </c>
      <c r="AQ26" s="14" t="s">
        <v>62</v>
      </c>
      <c r="AR26" s="14">
        <v>6269.4</v>
      </c>
      <c r="AS26" s="14">
        <v>5509.8</v>
      </c>
      <c r="AT26" s="14">
        <v>5259.9</v>
      </c>
      <c r="AU26" s="14">
        <v>10638.8</v>
      </c>
      <c r="AV26" s="14">
        <v>1825.7</v>
      </c>
      <c r="AW26" s="14">
        <v>5849.8</v>
      </c>
      <c r="AX26" s="14">
        <v>11069.3</v>
      </c>
      <c r="AY26" s="14">
        <v>8302.7000000000007</v>
      </c>
      <c r="AZ26" s="14">
        <v>8944.7000000000007</v>
      </c>
      <c r="BA26" s="14">
        <v>11783.9</v>
      </c>
      <c r="BB26" s="13">
        <v>1384.7</v>
      </c>
      <c r="BC26" s="14">
        <v>10839.9</v>
      </c>
      <c r="BD26" s="14">
        <v>9343.6</v>
      </c>
      <c r="BE26" s="14">
        <v>10448</v>
      </c>
      <c r="BF26" s="13">
        <v>1344.3</v>
      </c>
      <c r="BG26" s="13">
        <v>2331.1</v>
      </c>
      <c r="BH26" s="14" t="s">
        <v>62</v>
      </c>
      <c r="BI26" s="14" t="s">
        <v>62</v>
      </c>
      <c r="BJ26" s="15" t="s">
        <v>62</v>
      </c>
    </row>
    <row r="27" spans="1:62" x14ac:dyDescent="0.3">
      <c r="A27" s="10" t="s">
        <v>24</v>
      </c>
      <c r="B27" s="16" t="s">
        <v>62</v>
      </c>
      <c r="C27" s="14" t="s">
        <v>62</v>
      </c>
      <c r="D27" s="14" t="s">
        <v>62</v>
      </c>
      <c r="E27" s="14" t="s">
        <v>62</v>
      </c>
      <c r="F27" s="14" t="s">
        <v>62</v>
      </c>
      <c r="G27" s="14" t="s">
        <v>62</v>
      </c>
      <c r="H27" s="14" t="s">
        <v>62</v>
      </c>
      <c r="I27" s="14" t="s">
        <v>62</v>
      </c>
      <c r="J27" s="14" t="s">
        <v>62</v>
      </c>
      <c r="K27" s="14" t="s">
        <v>62</v>
      </c>
      <c r="L27" s="14" t="s">
        <v>62</v>
      </c>
      <c r="M27" s="14" t="s">
        <v>62</v>
      </c>
      <c r="N27" s="14" t="s">
        <v>62</v>
      </c>
      <c r="O27" s="14" t="s">
        <v>62</v>
      </c>
      <c r="P27" s="14" t="s">
        <v>62</v>
      </c>
      <c r="Q27" s="13" t="s">
        <v>62</v>
      </c>
      <c r="R27" s="13" t="s">
        <v>62</v>
      </c>
      <c r="S27" s="13" t="s">
        <v>62</v>
      </c>
      <c r="T27" s="13">
        <v>560.9</v>
      </c>
      <c r="U27" s="13">
        <v>815.4</v>
      </c>
      <c r="V27" s="13">
        <v>692.8</v>
      </c>
      <c r="W27" s="13">
        <v>344.2</v>
      </c>
      <c r="X27" s="13">
        <v>490.7</v>
      </c>
      <c r="Y27" s="12">
        <v>0</v>
      </c>
      <c r="Z27" s="13">
        <v>1450.5</v>
      </c>
      <c r="AA27" s="13">
        <v>873.3</v>
      </c>
      <c r="AB27" s="13">
        <v>1831.7</v>
      </c>
      <c r="AC27" s="13">
        <v>1450.1</v>
      </c>
      <c r="AD27" s="13">
        <v>647.5</v>
      </c>
      <c r="AE27" s="13">
        <v>1027</v>
      </c>
      <c r="AF27" s="13">
        <v>655.7</v>
      </c>
      <c r="AG27" s="13">
        <v>984</v>
      </c>
      <c r="AH27" s="14" t="s">
        <v>62</v>
      </c>
      <c r="AI27" s="14">
        <v>9048.2999999999993</v>
      </c>
      <c r="AJ27" s="14" t="s">
        <v>62</v>
      </c>
      <c r="AK27" s="14">
        <v>9628.4</v>
      </c>
      <c r="AL27" s="14" t="s">
        <v>62</v>
      </c>
      <c r="AM27" s="14" t="s">
        <v>62</v>
      </c>
      <c r="AN27" s="14" t="s">
        <v>62</v>
      </c>
      <c r="AO27" s="14" t="s">
        <v>62</v>
      </c>
      <c r="AP27" s="14" t="s">
        <v>62</v>
      </c>
      <c r="AQ27" s="14" t="s">
        <v>62</v>
      </c>
      <c r="AR27" s="14">
        <v>6529.7</v>
      </c>
      <c r="AS27" s="14">
        <v>5770.1</v>
      </c>
      <c r="AT27" s="14">
        <v>5520.2</v>
      </c>
      <c r="AU27" s="14">
        <v>11096.5</v>
      </c>
      <c r="AV27" s="14">
        <v>2283.4</v>
      </c>
      <c r="AW27" s="14">
        <v>6307.6</v>
      </c>
      <c r="AX27" s="14">
        <v>11527.1</v>
      </c>
      <c r="AY27" s="14">
        <v>8558.2999999999993</v>
      </c>
      <c r="AZ27" s="14">
        <v>9205</v>
      </c>
      <c r="BA27" s="14">
        <v>12241.6</v>
      </c>
      <c r="BB27" s="13">
        <v>1447.5</v>
      </c>
      <c r="BC27" s="14">
        <v>11297.6</v>
      </c>
      <c r="BD27" s="14">
        <v>9801.4</v>
      </c>
      <c r="BE27" s="14">
        <v>10905.8</v>
      </c>
      <c r="BF27" s="13">
        <v>1890.7</v>
      </c>
      <c r="BG27" s="13">
        <v>2591.4</v>
      </c>
      <c r="BH27" s="14" t="s">
        <v>62</v>
      </c>
      <c r="BI27" s="14" t="s">
        <v>62</v>
      </c>
      <c r="BJ27" s="15" t="s">
        <v>62</v>
      </c>
    </row>
    <row r="28" spans="1:62" x14ac:dyDescent="0.3">
      <c r="A28" s="10" t="s">
        <v>25</v>
      </c>
      <c r="B28" s="16" t="s">
        <v>62</v>
      </c>
      <c r="C28" s="14" t="s">
        <v>62</v>
      </c>
      <c r="D28" s="14" t="s">
        <v>62</v>
      </c>
      <c r="E28" s="14" t="s">
        <v>62</v>
      </c>
      <c r="F28" s="14" t="s">
        <v>62</v>
      </c>
      <c r="G28" s="14" t="s">
        <v>62</v>
      </c>
      <c r="H28" s="14" t="s">
        <v>62</v>
      </c>
      <c r="I28" s="14" t="s">
        <v>62</v>
      </c>
      <c r="J28" s="14" t="s">
        <v>62</v>
      </c>
      <c r="K28" s="14" t="s">
        <v>62</v>
      </c>
      <c r="L28" s="14" t="s">
        <v>62</v>
      </c>
      <c r="M28" s="14" t="s">
        <v>62</v>
      </c>
      <c r="N28" s="14" t="s">
        <v>62</v>
      </c>
      <c r="O28" s="14" t="s">
        <v>62</v>
      </c>
      <c r="P28" s="14" t="s">
        <v>62</v>
      </c>
      <c r="Q28" s="13" t="s">
        <v>62</v>
      </c>
      <c r="R28" s="13" t="s">
        <v>62</v>
      </c>
      <c r="S28" s="13" t="s">
        <v>62</v>
      </c>
      <c r="T28" s="13">
        <v>1428.7</v>
      </c>
      <c r="U28" s="13">
        <v>983.2</v>
      </c>
      <c r="V28" s="13">
        <v>914.7</v>
      </c>
      <c r="W28" s="13">
        <v>1706.9</v>
      </c>
      <c r="X28" s="13">
        <v>1498.9</v>
      </c>
      <c r="Y28" s="13">
        <v>1450.5</v>
      </c>
      <c r="Z28" s="12">
        <v>0</v>
      </c>
      <c r="AA28" s="13">
        <v>573.29999999999995</v>
      </c>
      <c r="AB28" s="13">
        <v>1950.3</v>
      </c>
      <c r="AC28" s="13">
        <v>1362.3</v>
      </c>
      <c r="AD28" s="13">
        <v>1676.6</v>
      </c>
      <c r="AE28" s="13">
        <v>1575.1</v>
      </c>
      <c r="AF28" s="13">
        <v>1299.0999999999999</v>
      </c>
      <c r="AG28" s="13">
        <v>1167.8</v>
      </c>
      <c r="AH28" s="14" t="s">
        <v>62</v>
      </c>
      <c r="AI28" s="14" t="s">
        <v>62</v>
      </c>
      <c r="AJ28" s="14" t="s">
        <v>62</v>
      </c>
      <c r="AK28" s="14" t="s">
        <v>62</v>
      </c>
      <c r="AL28" s="14" t="s">
        <v>62</v>
      </c>
      <c r="AM28" s="14" t="s">
        <v>62</v>
      </c>
      <c r="AN28" s="14" t="s">
        <v>62</v>
      </c>
      <c r="AO28" s="14" t="s">
        <v>62</v>
      </c>
      <c r="AP28" s="14" t="s">
        <v>62</v>
      </c>
      <c r="AQ28" s="14" t="s">
        <v>62</v>
      </c>
      <c r="AR28" s="14" t="s">
        <v>62</v>
      </c>
      <c r="AS28" s="14">
        <v>5549.3</v>
      </c>
      <c r="AT28" s="14" t="s">
        <v>62</v>
      </c>
      <c r="AU28" s="14">
        <v>11875.4</v>
      </c>
      <c r="AV28" s="14">
        <v>3062.4</v>
      </c>
      <c r="AW28" s="14">
        <v>7086.5</v>
      </c>
      <c r="AX28" s="14">
        <v>12306</v>
      </c>
      <c r="AY28" s="14">
        <v>8337.6</v>
      </c>
      <c r="AZ28" s="14">
        <v>8984.2999999999993</v>
      </c>
      <c r="BA28" s="14" t="s">
        <v>62</v>
      </c>
      <c r="BB28" s="13">
        <v>2772.9</v>
      </c>
      <c r="BC28" s="14">
        <v>12076.5</v>
      </c>
      <c r="BD28" s="14">
        <v>10580.3</v>
      </c>
      <c r="BE28" s="14">
        <v>11684.7</v>
      </c>
      <c r="BF28" s="13">
        <v>2438.9</v>
      </c>
      <c r="BG28" s="13" t="s">
        <v>62</v>
      </c>
      <c r="BH28" s="14" t="s">
        <v>62</v>
      </c>
      <c r="BI28" s="14" t="s">
        <v>62</v>
      </c>
      <c r="BJ28" s="15" t="s">
        <v>62</v>
      </c>
    </row>
    <row r="29" spans="1:62" x14ac:dyDescent="0.3">
      <c r="A29" s="10" t="s">
        <v>26</v>
      </c>
      <c r="B29" s="16" t="s">
        <v>62</v>
      </c>
      <c r="C29" s="14" t="s">
        <v>62</v>
      </c>
      <c r="D29" s="14" t="s">
        <v>62</v>
      </c>
      <c r="E29" s="14" t="s">
        <v>62</v>
      </c>
      <c r="F29" s="14" t="s">
        <v>62</v>
      </c>
      <c r="G29" s="14" t="s">
        <v>62</v>
      </c>
      <c r="H29" s="14" t="s">
        <v>62</v>
      </c>
      <c r="I29" s="14" t="s">
        <v>62</v>
      </c>
      <c r="J29" s="14" t="s">
        <v>62</v>
      </c>
      <c r="K29" s="14" t="s">
        <v>62</v>
      </c>
      <c r="L29" s="14" t="s">
        <v>62</v>
      </c>
      <c r="M29" s="14" t="s">
        <v>62</v>
      </c>
      <c r="N29" s="14" t="s">
        <v>62</v>
      </c>
      <c r="O29" s="14" t="s">
        <v>62</v>
      </c>
      <c r="P29" s="14" t="s">
        <v>62</v>
      </c>
      <c r="Q29" s="13" t="s">
        <v>62</v>
      </c>
      <c r="R29" s="13" t="s">
        <v>62</v>
      </c>
      <c r="S29" s="13" t="s">
        <v>62</v>
      </c>
      <c r="T29" s="13">
        <v>854.2</v>
      </c>
      <c r="U29" s="13">
        <v>437.8</v>
      </c>
      <c r="V29" s="13">
        <v>493.1</v>
      </c>
      <c r="W29" s="13">
        <v>1108.5999999999999</v>
      </c>
      <c r="X29" s="13">
        <v>1032.7</v>
      </c>
      <c r="Y29" s="13">
        <v>873.3</v>
      </c>
      <c r="Z29" s="13">
        <v>573.29999999999995</v>
      </c>
      <c r="AA29" s="12">
        <v>0</v>
      </c>
      <c r="AB29" s="13">
        <v>1568.6</v>
      </c>
      <c r="AC29" s="13">
        <v>980.6</v>
      </c>
      <c r="AD29" s="13">
        <v>1208.7</v>
      </c>
      <c r="AE29" s="13">
        <v>1312.4</v>
      </c>
      <c r="AF29" s="13">
        <v>884.7</v>
      </c>
      <c r="AG29" s="13">
        <v>905.1</v>
      </c>
      <c r="AH29" s="14" t="s">
        <v>62</v>
      </c>
      <c r="AI29" s="14" t="s">
        <v>62</v>
      </c>
      <c r="AJ29" s="14" t="s">
        <v>62</v>
      </c>
      <c r="AK29" s="14">
        <v>9813.7999999999993</v>
      </c>
      <c r="AL29" s="14" t="s">
        <v>62</v>
      </c>
      <c r="AM29" s="14" t="s">
        <v>62</v>
      </c>
      <c r="AN29" s="14" t="s">
        <v>62</v>
      </c>
      <c r="AO29" s="14" t="s">
        <v>62</v>
      </c>
      <c r="AP29" s="14" t="s">
        <v>62</v>
      </c>
      <c r="AQ29" s="14" t="s">
        <v>62</v>
      </c>
      <c r="AR29" s="14" t="s">
        <v>62</v>
      </c>
      <c r="AS29" s="14">
        <v>5286.7</v>
      </c>
      <c r="AT29" s="14">
        <v>5036.8</v>
      </c>
      <c r="AU29" s="14">
        <v>11638.2</v>
      </c>
      <c r="AV29" s="14">
        <v>2825.1</v>
      </c>
      <c r="AW29" s="14">
        <v>6849.3</v>
      </c>
      <c r="AX29" s="14">
        <v>12068.8</v>
      </c>
      <c r="AY29" s="14">
        <v>8074.9</v>
      </c>
      <c r="AZ29" s="14">
        <v>8721.6</v>
      </c>
      <c r="BA29" s="14" t="s">
        <v>62</v>
      </c>
      <c r="BB29" s="13">
        <v>2222</v>
      </c>
      <c r="BC29" s="14">
        <v>11839</v>
      </c>
      <c r="BD29" s="14">
        <v>10343.1</v>
      </c>
      <c r="BE29" s="14">
        <v>11447.5</v>
      </c>
      <c r="BF29" s="13">
        <v>2176.1999999999998</v>
      </c>
      <c r="BG29" s="13">
        <v>2108</v>
      </c>
      <c r="BH29" s="14" t="s">
        <v>62</v>
      </c>
      <c r="BI29" s="14" t="s">
        <v>62</v>
      </c>
      <c r="BJ29" s="15" t="s">
        <v>62</v>
      </c>
    </row>
    <row r="30" spans="1:62" x14ac:dyDescent="0.3">
      <c r="A30" s="10" t="s">
        <v>27</v>
      </c>
      <c r="B30" s="16" t="s">
        <v>62</v>
      </c>
      <c r="C30" s="14" t="s">
        <v>62</v>
      </c>
      <c r="D30" s="14" t="s">
        <v>62</v>
      </c>
      <c r="E30" s="14" t="s">
        <v>62</v>
      </c>
      <c r="F30" s="14" t="s">
        <v>62</v>
      </c>
      <c r="G30" s="14" t="s">
        <v>62</v>
      </c>
      <c r="H30" s="14" t="s">
        <v>62</v>
      </c>
      <c r="I30" s="14" t="s">
        <v>62</v>
      </c>
      <c r="J30" s="14" t="s">
        <v>62</v>
      </c>
      <c r="K30" s="14" t="s">
        <v>62</v>
      </c>
      <c r="L30" s="14" t="s">
        <v>62</v>
      </c>
      <c r="M30" s="14" t="s">
        <v>62</v>
      </c>
      <c r="N30" s="14" t="s">
        <v>62</v>
      </c>
      <c r="O30" s="14" t="s">
        <v>62</v>
      </c>
      <c r="P30" s="14" t="s">
        <v>62</v>
      </c>
      <c r="Q30" s="13" t="s">
        <v>62</v>
      </c>
      <c r="R30" s="13" t="s">
        <v>62</v>
      </c>
      <c r="S30" s="13" t="s">
        <v>62</v>
      </c>
      <c r="T30" s="13">
        <v>1265.5999999999999</v>
      </c>
      <c r="U30" s="13">
        <v>1226</v>
      </c>
      <c r="V30" s="13">
        <v>1960.5</v>
      </c>
      <c r="W30" s="13">
        <v>2161.8000000000002</v>
      </c>
      <c r="X30" s="13">
        <v>2369.1</v>
      </c>
      <c r="Y30" s="13">
        <v>1831.7</v>
      </c>
      <c r="Z30" s="13">
        <v>1950.3</v>
      </c>
      <c r="AA30" s="13">
        <v>1568.6</v>
      </c>
      <c r="AB30" s="12">
        <v>0</v>
      </c>
      <c r="AC30" s="13">
        <v>620.1</v>
      </c>
      <c r="AD30" s="13">
        <v>2467.1</v>
      </c>
      <c r="AE30" s="13">
        <v>2795.5</v>
      </c>
      <c r="AF30" s="13">
        <v>2210.6999999999998</v>
      </c>
      <c r="AG30" s="13">
        <v>2454.9</v>
      </c>
      <c r="AH30" s="14" t="s">
        <v>62</v>
      </c>
      <c r="AI30" s="14" t="s">
        <v>62</v>
      </c>
      <c r="AJ30" s="14" t="s">
        <v>62</v>
      </c>
      <c r="AK30" s="14">
        <v>11369.3</v>
      </c>
      <c r="AL30" s="14" t="s">
        <v>62</v>
      </c>
      <c r="AM30" s="14" t="s">
        <v>62</v>
      </c>
      <c r="AN30" s="14" t="s">
        <v>62</v>
      </c>
      <c r="AO30" s="14" t="s">
        <v>62</v>
      </c>
      <c r="AP30" s="14" t="s">
        <v>62</v>
      </c>
      <c r="AQ30" s="14" t="s">
        <v>62</v>
      </c>
      <c r="AR30" s="14" t="s">
        <v>62</v>
      </c>
      <c r="AS30" s="14">
        <v>6842.3</v>
      </c>
      <c r="AT30" s="14">
        <v>6592.4</v>
      </c>
      <c r="AU30" s="14">
        <v>12787</v>
      </c>
      <c r="AV30" s="14">
        <v>4159.8999999999996</v>
      </c>
      <c r="AW30" s="14">
        <v>8164.2</v>
      </c>
      <c r="AX30" s="14">
        <v>13168.8</v>
      </c>
      <c r="AY30" s="14" t="s">
        <v>62</v>
      </c>
      <c r="AZ30" s="14">
        <v>10290.5</v>
      </c>
      <c r="BA30" s="14" t="s">
        <v>62</v>
      </c>
      <c r="BB30" s="13">
        <v>3267.4</v>
      </c>
      <c r="BC30" s="14">
        <v>13004.7</v>
      </c>
      <c r="BD30" s="14">
        <v>11493.4</v>
      </c>
      <c r="BE30" s="14">
        <v>12599.9</v>
      </c>
      <c r="BF30" s="13">
        <v>3662</v>
      </c>
      <c r="BG30" s="13">
        <v>3662.2</v>
      </c>
      <c r="BH30" s="14" t="s">
        <v>62</v>
      </c>
      <c r="BI30" s="14" t="s">
        <v>62</v>
      </c>
      <c r="BJ30" s="15" t="s">
        <v>62</v>
      </c>
    </row>
    <row r="31" spans="1:62" x14ac:dyDescent="0.3">
      <c r="A31" s="10" t="s">
        <v>65</v>
      </c>
      <c r="B31" s="16" t="s">
        <v>62</v>
      </c>
      <c r="C31" s="14" t="s">
        <v>62</v>
      </c>
      <c r="D31" s="14" t="s">
        <v>62</v>
      </c>
      <c r="E31" s="14" t="s">
        <v>62</v>
      </c>
      <c r="F31" s="14" t="s">
        <v>62</v>
      </c>
      <c r="G31" s="14" t="s">
        <v>62</v>
      </c>
      <c r="H31" s="14" t="s">
        <v>62</v>
      </c>
      <c r="I31" s="14" t="s">
        <v>62</v>
      </c>
      <c r="J31" s="14" t="s">
        <v>62</v>
      </c>
      <c r="K31" s="14" t="s">
        <v>62</v>
      </c>
      <c r="L31" s="14" t="s">
        <v>62</v>
      </c>
      <c r="M31" s="14" t="s">
        <v>62</v>
      </c>
      <c r="N31" s="14" t="s">
        <v>62</v>
      </c>
      <c r="O31" s="14" t="s">
        <v>62</v>
      </c>
      <c r="P31" s="14" t="s">
        <v>62</v>
      </c>
      <c r="Q31" s="13" t="s">
        <v>62</v>
      </c>
      <c r="R31" s="13" t="s">
        <v>62</v>
      </c>
      <c r="S31" s="13" t="s">
        <v>62</v>
      </c>
      <c r="T31" s="13">
        <v>1033.8</v>
      </c>
      <c r="U31" s="13">
        <v>638</v>
      </c>
      <c r="V31" s="13">
        <v>1372.4</v>
      </c>
      <c r="W31" s="13">
        <v>1813.7</v>
      </c>
      <c r="X31" s="13">
        <v>1864.9</v>
      </c>
      <c r="Y31" s="13">
        <v>1450.1</v>
      </c>
      <c r="Z31" s="13">
        <v>1362.3</v>
      </c>
      <c r="AA31" s="13">
        <v>980.6</v>
      </c>
      <c r="AB31" s="13">
        <v>620.1</v>
      </c>
      <c r="AC31" s="12">
        <v>0</v>
      </c>
      <c r="AD31" s="13">
        <v>2041.5</v>
      </c>
      <c r="AE31" s="13">
        <v>2249.5</v>
      </c>
      <c r="AF31" s="13">
        <v>1713</v>
      </c>
      <c r="AG31" s="13">
        <v>1869.7</v>
      </c>
      <c r="AH31" s="14" t="s">
        <v>62</v>
      </c>
      <c r="AI31" s="14" t="s">
        <v>62</v>
      </c>
      <c r="AJ31" s="14" t="s">
        <v>62</v>
      </c>
      <c r="AK31" s="14" t="s">
        <v>62</v>
      </c>
      <c r="AL31" s="14" t="s">
        <v>62</v>
      </c>
      <c r="AM31" s="14" t="s">
        <v>62</v>
      </c>
      <c r="AN31" s="14" t="s">
        <v>62</v>
      </c>
      <c r="AO31" s="14" t="s">
        <v>62</v>
      </c>
      <c r="AP31" s="14" t="s">
        <v>62</v>
      </c>
      <c r="AQ31" s="14" t="s">
        <v>62</v>
      </c>
      <c r="AR31" s="14" t="s">
        <v>62</v>
      </c>
      <c r="AS31" s="14">
        <v>6256.7</v>
      </c>
      <c r="AT31" s="14">
        <v>6006.8</v>
      </c>
      <c r="AU31" s="14">
        <v>12282.8</v>
      </c>
      <c r="AV31" s="14">
        <v>3655.8</v>
      </c>
      <c r="AW31" s="14">
        <v>7660</v>
      </c>
      <c r="AX31" s="14">
        <v>12676.3</v>
      </c>
      <c r="AY31" s="14">
        <v>9063.2000000000007</v>
      </c>
      <c r="AZ31" s="14">
        <v>9702.5</v>
      </c>
      <c r="BA31" s="14" t="s">
        <v>62</v>
      </c>
      <c r="BB31" s="13">
        <v>2930.2</v>
      </c>
      <c r="BC31" s="14">
        <v>12500.6</v>
      </c>
      <c r="BD31" s="14">
        <v>10989.3</v>
      </c>
      <c r="BE31" s="14">
        <v>12095.7</v>
      </c>
      <c r="BF31" s="13">
        <v>3114.8</v>
      </c>
      <c r="BG31" s="13">
        <v>3074.2</v>
      </c>
      <c r="BH31" s="14" t="s">
        <v>62</v>
      </c>
      <c r="BI31" s="14" t="s">
        <v>62</v>
      </c>
      <c r="BJ31" s="15" t="s">
        <v>62</v>
      </c>
    </row>
    <row r="32" spans="1:62" x14ac:dyDescent="0.3">
      <c r="A32" s="10" t="s">
        <v>29</v>
      </c>
      <c r="B32" s="16" t="s">
        <v>62</v>
      </c>
      <c r="C32" s="14" t="s">
        <v>62</v>
      </c>
      <c r="D32" s="14" t="s">
        <v>62</v>
      </c>
      <c r="E32" s="14" t="s">
        <v>62</v>
      </c>
      <c r="F32" s="14" t="s">
        <v>62</v>
      </c>
      <c r="G32" s="14" t="s">
        <v>62</v>
      </c>
      <c r="H32" s="14" t="s">
        <v>62</v>
      </c>
      <c r="I32" s="14" t="s">
        <v>62</v>
      </c>
      <c r="J32" s="14" t="s">
        <v>62</v>
      </c>
      <c r="K32" s="14" t="s">
        <v>62</v>
      </c>
      <c r="L32" s="14" t="s">
        <v>62</v>
      </c>
      <c r="M32" s="14" t="s">
        <v>62</v>
      </c>
      <c r="N32" s="14" t="s">
        <v>62</v>
      </c>
      <c r="O32" s="14" t="s">
        <v>62</v>
      </c>
      <c r="P32" s="14" t="s">
        <v>62</v>
      </c>
      <c r="Q32" s="13" t="s">
        <v>62</v>
      </c>
      <c r="R32" s="13" t="s">
        <v>62</v>
      </c>
      <c r="S32" s="13" t="s">
        <v>62</v>
      </c>
      <c r="T32" s="13">
        <v>1198.5999999999999</v>
      </c>
      <c r="U32" s="13">
        <v>1403.4</v>
      </c>
      <c r="V32" s="13">
        <v>758.4</v>
      </c>
      <c r="W32" s="13">
        <v>416.6</v>
      </c>
      <c r="X32" s="13">
        <v>142.80000000000001</v>
      </c>
      <c r="Y32" s="13">
        <v>647.5</v>
      </c>
      <c r="Z32" s="13">
        <v>1676.6</v>
      </c>
      <c r="AA32" s="13">
        <v>1208.7</v>
      </c>
      <c r="AB32" s="13">
        <v>2467.1</v>
      </c>
      <c r="AC32" s="13">
        <v>2041.5</v>
      </c>
      <c r="AD32" s="12">
        <v>0</v>
      </c>
      <c r="AE32" s="13">
        <v>644.79999999999995</v>
      </c>
      <c r="AF32" s="13">
        <v>496.1</v>
      </c>
      <c r="AG32" s="13">
        <v>824.4</v>
      </c>
      <c r="AH32" s="14" t="s">
        <v>62</v>
      </c>
      <c r="AI32" s="14" t="s">
        <v>62</v>
      </c>
      <c r="AJ32" s="14" t="s">
        <v>62</v>
      </c>
      <c r="AK32" s="14" t="s">
        <v>62</v>
      </c>
      <c r="AL32" s="14" t="s">
        <v>62</v>
      </c>
      <c r="AM32" s="14" t="s">
        <v>62</v>
      </c>
      <c r="AN32" s="14" t="s">
        <v>62</v>
      </c>
      <c r="AO32" s="14" t="s">
        <v>62</v>
      </c>
      <c r="AP32" s="14" t="s">
        <v>62</v>
      </c>
      <c r="AQ32" s="14" t="s">
        <v>62</v>
      </c>
      <c r="AR32" s="14">
        <v>6419.5</v>
      </c>
      <c r="AS32" s="14">
        <v>5659.9</v>
      </c>
      <c r="AT32" s="14">
        <v>5410</v>
      </c>
      <c r="AU32" s="14">
        <v>10444.9</v>
      </c>
      <c r="AV32" s="14">
        <v>1817.8</v>
      </c>
      <c r="AW32" s="14">
        <v>5822.1</v>
      </c>
      <c r="AX32" s="14">
        <v>10838.4</v>
      </c>
      <c r="AY32" s="14">
        <v>8467.6</v>
      </c>
      <c r="AZ32" s="14">
        <v>9106.9</v>
      </c>
      <c r="BA32" s="14">
        <v>11600.3</v>
      </c>
      <c r="BB32" s="13" t="s">
        <v>62</v>
      </c>
      <c r="BC32" s="14">
        <v>10662.6</v>
      </c>
      <c r="BD32" s="14">
        <v>9151.2999999999993</v>
      </c>
      <c r="BE32" s="14">
        <v>10257.799999999999</v>
      </c>
      <c r="BF32" s="13">
        <v>1343.4</v>
      </c>
      <c r="BG32" s="13">
        <v>2478.6</v>
      </c>
      <c r="BH32" s="14" t="s">
        <v>62</v>
      </c>
      <c r="BI32" s="14" t="s">
        <v>62</v>
      </c>
      <c r="BJ32" s="15" t="s">
        <v>62</v>
      </c>
    </row>
    <row r="33" spans="1:62" x14ac:dyDescent="0.3">
      <c r="A33" s="10" t="s">
        <v>30</v>
      </c>
      <c r="B33" s="16" t="s">
        <v>62</v>
      </c>
      <c r="C33" s="14" t="s">
        <v>62</v>
      </c>
      <c r="D33" s="14" t="s">
        <v>62</v>
      </c>
      <c r="E33" s="14" t="s">
        <v>62</v>
      </c>
      <c r="F33" s="14" t="s">
        <v>62</v>
      </c>
      <c r="G33" s="14" t="s">
        <v>62</v>
      </c>
      <c r="H33" s="14" t="s">
        <v>62</v>
      </c>
      <c r="I33" s="14" t="s">
        <v>62</v>
      </c>
      <c r="J33" s="14" t="s">
        <v>62</v>
      </c>
      <c r="K33" s="14" t="s">
        <v>62</v>
      </c>
      <c r="L33" s="14" t="s">
        <v>62</v>
      </c>
      <c r="M33" s="14" t="s">
        <v>62</v>
      </c>
      <c r="N33" s="14" t="s">
        <v>62</v>
      </c>
      <c r="O33" s="14" t="s">
        <v>62</v>
      </c>
      <c r="P33" s="14" t="s">
        <v>62</v>
      </c>
      <c r="Q33" s="13" t="s">
        <v>62</v>
      </c>
      <c r="R33" s="13" t="s">
        <v>62</v>
      </c>
      <c r="S33" s="13" t="s">
        <v>62</v>
      </c>
      <c r="T33" s="13">
        <v>1535.4</v>
      </c>
      <c r="U33" s="13">
        <v>1611.4</v>
      </c>
      <c r="V33" s="13">
        <v>909.2</v>
      </c>
      <c r="W33" s="13">
        <v>908.2</v>
      </c>
      <c r="X33" s="13">
        <v>594.5</v>
      </c>
      <c r="Y33" s="13">
        <v>1027</v>
      </c>
      <c r="Z33" s="13">
        <v>1575.1</v>
      </c>
      <c r="AA33" s="13">
        <v>1312.4</v>
      </c>
      <c r="AB33" s="13">
        <v>2795.5</v>
      </c>
      <c r="AC33" s="13">
        <v>2249.5</v>
      </c>
      <c r="AD33" s="13">
        <v>644.79999999999995</v>
      </c>
      <c r="AE33" s="12">
        <v>0</v>
      </c>
      <c r="AF33" s="13">
        <v>535.20000000000005</v>
      </c>
      <c r="AG33" s="13">
        <v>454</v>
      </c>
      <c r="AH33" s="14" t="s">
        <v>62</v>
      </c>
      <c r="AI33" s="14">
        <v>7956.3</v>
      </c>
      <c r="AJ33" s="14" t="s">
        <v>62</v>
      </c>
      <c r="AK33" s="14" t="s">
        <v>62</v>
      </c>
      <c r="AL33" s="14" t="s">
        <v>62</v>
      </c>
      <c r="AM33" s="14" t="s">
        <v>62</v>
      </c>
      <c r="AN33" s="14" t="s">
        <v>62</v>
      </c>
      <c r="AO33" s="14" t="s">
        <v>62</v>
      </c>
      <c r="AP33" s="14" t="s">
        <v>62</v>
      </c>
      <c r="AQ33" s="14" t="s">
        <v>62</v>
      </c>
      <c r="AR33" s="14" t="s">
        <v>62</v>
      </c>
      <c r="AS33" s="14">
        <v>5039.2</v>
      </c>
      <c r="AT33" s="14" t="s">
        <v>62</v>
      </c>
      <c r="AU33" s="14">
        <v>10180.1</v>
      </c>
      <c r="AV33" s="12">
        <v>1553</v>
      </c>
      <c r="AW33" s="14">
        <v>5557.3</v>
      </c>
      <c r="AX33" s="14">
        <v>10573.6</v>
      </c>
      <c r="AY33" s="14">
        <v>7843.4</v>
      </c>
      <c r="AZ33" s="14">
        <v>8482.7000000000007</v>
      </c>
      <c r="BA33" s="14">
        <v>11335.5</v>
      </c>
      <c r="BB33" s="13">
        <v>2013.2</v>
      </c>
      <c r="BC33" s="14">
        <v>10397.799999999999</v>
      </c>
      <c r="BD33" s="14">
        <v>8886.5</v>
      </c>
      <c r="BE33" s="14">
        <v>9993</v>
      </c>
      <c r="BF33" s="12">
        <v>864.2</v>
      </c>
      <c r="BG33" s="13">
        <v>1854.3</v>
      </c>
      <c r="BH33" s="14" t="s">
        <v>62</v>
      </c>
      <c r="BI33" s="14" t="s">
        <v>62</v>
      </c>
      <c r="BJ33" s="15" t="s">
        <v>62</v>
      </c>
    </row>
    <row r="34" spans="1:62" x14ac:dyDescent="0.3">
      <c r="A34" s="10" t="s">
        <v>31</v>
      </c>
      <c r="B34" s="16" t="s">
        <v>62</v>
      </c>
      <c r="C34" s="14" t="s">
        <v>62</v>
      </c>
      <c r="D34" s="14" t="s">
        <v>62</v>
      </c>
      <c r="E34" s="14" t="s">
        <v>62</v>
      </c>
      <c r="F34" s="14" t="s">
        <v>62</v>
      </c>
      <c r="G34" s="14" t="s">
        <v>62</v>
      </c>
      <c r="H34" s="14" t="s">
        <v>62</v>
      </c>
      <c r="I34" s="14" t="s">
        <v>62</v>
      </c>
      <c r="J34" s="14" t="s">
        <v>62</v>
      </c>
      <c r="K34" s="14" t="s">
        <v>62</v>
      </c>
      <c r="L34" s="14" t="s">
        <v>62</v>
      </c>
      <c r="M34" s="14" t="s">
        <v>62</v>
      </c>
      <c r="N34" s="14" t="s">
        <v>62</v>
      </c>
      <c r="O34" s="14" t="s">
        <v>62</v>
      </c>
      <c r="P34" s="14" t="s">
        <v>62</v>
      </c>
      <c r="Q34" s="13" t="s">
        <v>62</v>
      </c>
      <c r="R34" s="13" t="s">
        <v>62</v>
      </c>
      <c r="S34" s="13" t="s">
        <v>62</v>
      </c>
      <c r="T34" s="13">
        <v>1028.9000000000001</v>
      </c>
      <c r="U34" s="13">
        <v>1075</v>
      </c>
      <c r="V34" s="13">
        <v>380.9</v>
      </c>
      <c r="W34" s="13">
        <v>637.9</v>
      </c>
      <c r="X34" s="13">
        <v>346</v>
      </c>
      <c r="Y34" s="13">
        <v>655.7</v>
      </c>
      <c r="Z34" s="13">
        <v>1299.0999999999999</v>
      </c>
      <c r="AA34" s="13">
        <v>884.7</v>
      </c>
      <c r="AB34" s="13">
        <v>2210.6999999999998</v>
      </c>
      <c r="AC34" s="13">
        <v>1713</v>
      </c>
      <c r="AD34" s="13">
        <v>496.1</v>
      </c>
      <c r="AE34" s="13">
        <v>535.20000000000005</v>
      </c>
      <c r="AF34" s="12">
        <v>0</v>
      </c>
      <c r="AG34" s="13">
        <v>331.1</v>
      </c>
      <c r="AH34" s="14" t="s">
        <v>62</v>
      </c>
      <c r="AI34" s="14">
        <v>9113.6</v>
      </c>
      <c r="AJ34" s="14" t="s">
        <v>62</v>
      </c>
      <c r="AK34" s="14" t="s">
        <v>62</v>
      </c>
      <c r="AL34" s="14" t="s">
        <v>62</v>
      </c>
      <c r="AM34" s="14" t="s">
        <v>62</v>
      </c>
      <c r="AN34" s="14" t="s">
        <v>62</v>
      </c>
      <c r="AO34" s="14" t="s">
        <v>62</v>
      </c>
      <c r="AP34" s="14" t="s">
        <v>62</v>
      </c>
      <c r="AQ34" s="14" t="s">
        <v>62</v>
      </c>
      <c r="AR34" s="14" t="s">
        <v>62</v>
      </c>
      <c r="AS34" s="14">
        <v>5166.6000000000004</v>
      </c>
      <c r="AT34" s="14" t="s">
        <v>62</v>
      </c>
      <c r="AU34" s="14">
        <v>10554.2</v>
      </c>
      <c r="AV34" s="14">
        <v>1927.1</v>
      </c>
      <c r="AW34" s="14">
        <v>5931.4</v>
      </c>
      <c r="AX34" s="14">
        <v>10947.7</v>
      </c>
      <c r="AY34" s="14">
        <v>7973.3</v>
      </c>
      <c r="AZ34" s="14">
        <v>8612.6</v>
      </c>
      <c r="BA34" s="14" t="s">
        <v>62</v>
      </c>
      <c r="BB34" s="13">
        <v>1754.4</v>
      </c>
      <c r="BC34" s="14">
        <v>10771.9</v>
      </c>
      <c r="BD34" s="14">
        <v>9260.6</v>
      </c>
      <c r="BE34" s="14">
        <v>10367.1</v>
      </c>
      <c r="BF34" s="13">
        <v>1399.7</v>
      </c>
      <c r="BG34" s="13">
        <v>1984.3</v>
      </c>
      <c r="BH34" s="14" t="s">
        <v>62</v>
      </c>
      <c r="BI34" s="14" t="s">
        <v>62</v>
      </c>
      <c r="BJ34" s="15" t="s">
        <v>62</v>
      </c>
    </row>
    <row r="35" spans="1:62" x14ac:dyDescent="0.3">
      <c r="A35" s="10" t="s">
        <v>32</v>
      </c>
      <c r="B35" s="16" t="s">
        <v>62</v>
      </c>
      <c r="C35" s="14" t="s">
        <v>62</v>
      </c>
      <c r="D35" s="14" t="s">
        <v>62</v>
      </c>
      <c r="E35" s="14" t="s">
        <v>62</v>
      </c>
      <c r="F35" s="14" t="s">
        <v>62</v>
      </c>
      <c r="G35" s="14" t="s">
        <v>62</v>
      </c>
      <c r="H35" s="14" t="s">
        <v>62</v>
      </c>
      <c r="I35" s="14" t="s">
        <v>62</v>
      </c>
      <c r="J35" s="14" t="s">
        <v>62</v>
      </c>
      <c r="K35" s="14" t="s">
        <v>62</v>
      </c>
      <c r="L35" s="14" t="s">
        <v>62</v>
      </c>
      <c r="M35" s="14" t="s">
        <v>62</v>
      </c>
      <c r="N35" s="14" t="s">
        <v>62</v>
      </c>
      <c r="O35" s="14" t="s">
        <v>62</v>
      </c>
      <c r="P35" s="14" t="s">
        <v>62</v>
      </c>
      <c r="Q35" s="13" t="s">
        <v>62</v>
      </c>
      <c r="R35" s="13" t="s">
        <v>62</v>
      </c>
      <c r="S35" s="13" t="s">
        <v>62</v>
      </c>
      <c r="T35" s="13">
        <v>1319.3</v>
      </c>
      <c r="U35" s="13">
        <v>1232.3</v>
      </c>
      <c r="V35" s="13">
        <v>488</v>
      </c>
      <c r="W35" s="13">
        <v>966.3</v>
      </c>
      <c r="X35" s="13">
        <v>674.3</v>
      </c>
      <c r="Y35" s="13">
        <v>984</v>
      </c>
      <c r="Z35" s="13">
        <v>1167.8</v>
      </c>
      <c r="AA35" s="13">
        <v>905.1</v>
      </c>
      <c r="AB35" s="13">
        <v>2454.9</v>
      </c>
      <c r="AC35" s="13">
        <v>1869.7</v>
      </c>
      <c r="AD35" s="13">
        <v>824.4</v>
      </c>
      <c r="AE35" s="13">
        <v>454</v>
      </c>
      <c r="AF35" s="13">
        <v>331.1</v>
      </c>
      <c r="AG35" s="12">
        <v>0</v>
      </c>
      <c r="AH35" s="14" t="s">
        <v>62</v>
      </c>
      <c r="AI35" s="14" t="s">
        <v>62</v>
      </c>
      <c r="AJ35" s="14" t="s">
        <v>62</v>
      </c>
      <c r="AK35" s="14">
        <v>9366.9</v>
      </c>
      <c r="AL35" s="14" t="s">
        <v>62</v>
      </c>
      <c r="AM35" s="14" t="s">
        <v>62</v>
      </c>
      <c r="AN35" s="14" t="s">
        <v>62</v>
      </c>
      <c r="AO35" s="14" t="s">
        <v>62</v>
      </c>
      <c r="AP35" s="14" t="s">
        <v>62</v>
      </c>
      <c r="AQ35" s="14" t="s">
        <v>62</v>
      </c>
      <c r="AR35" s="14" t="s">
        <v>62</v>
      </c>
      <c r="AS35" s="14">
        <v>4839.8</v>
      </c>
      <c r="AT35" s="14" t="s">
        <v>62</v>
      </c>
      <c r="AU35" s="14">
        <v>10566.5</v>
      </c>
      <c r="AV35" s="14">
        <v>1939.5</v>
      </c>
      <c r="AW35" s="14">
        <v>5943.8</v>
      </c>
      <c r="AX35" s="14">
        <v>10960</v>
      </c>
      <c r="AY35" s="14">
        <v>7656.9</v>
      </c>
      <c r="AZ35" s="14">
        <v>8285.2000000000007</v>
      </c>
      <c r="BA35" s="14" t="s">
        <v>62</v>
      </c>
      <c r="BB35" s="13">
        <v>2082.6999999999998</v>
      </c>
      <c r="BC35" s="14">
        <v>10784.4</v>
      </c>
      <c r="BD35" s="14">
        <v>9273</v>
      </c>
      <c r="BE35" s="14">
        <v>10379.5</v>
      </c>
      <c r="BF35" s="13">
        <v>1318.5</v>
      </c>
      <c r="BG35" s="12">
        <v>1656.9</v>
      </c>
      <c r="BH35" s="14" t="s">
        <v>62</v>
      </c>
      <c r="BI35" s="14" t="s">
        <v>62</v>
      </c>
      <c r="BJ35" s="15" t="s">
        <v>62</v>
      </c>
    </row>
    <row r="36" spans="1:62" x14ac:dyDescent="0.3">
      <c r="A36" s="10" t="s">
        <v>33</v>
      </c>
      <c r="B36" s="16" t="s">
        <v>62</v>
      </c>
      <c r="C36" s="14" t="s">
        <v>62</v>
      </c>
      <c r="D36" s="14" t="s">
        <v>62</v>
      </c>
      <c r="E36" s="14" t="s">
        <v>62</v>
      </c>
      <c r="F36" s="14" t="s">
        <v>62</v>
      </c>
      <c r="G36" s="14" t="s">
        <v>62</v>
      </c>
      <c r="H36" s="14" t="s">
        <v>62</v>
      </c>
      <c r="I36" s="14" t="s">
        <v>62</v>
      </c>
      <c r="J36" s="14" t="s">
        <v>62</v>
      </c>
      <c r="K36" s="14" t="s">
        <v>62</v>
      </c>
      <c r="L36" s="14" t="s">
        <v>62</v>
      </c>
      <c r="M36" s="14" t="s">
        <v>62</v>
      </c>
      <c r="N36" s="14" t="s">
        <v>62</v>
      </c>
      <c r="O36" s="14" t="s">
        <v>62</v>
      </c>
      <c r="P36" s="14" t="s">
        <v>62</v>
      </c>
      <c r="Q36" s="14" t="s">
        <v>62</v>
      </c>
      <c r="R36" s="14" t="s">
        <v>62</v>
      </c>
      <c r="S36" s="14" t="s">
        <v>62</v>
      </c>
      <c r="T36" s="14" t="s">
        <v>62</v>
      </c>
      <c r="U36" s="14" t="s">
        <v>62</v>
      </c>
      <c r="V36" s="14" t="s">
        <v>62</v>
      </c>
      <c r="W36" s="14" t="s">
        <v>62</v>
      </c>
      <c r="X36" s="14" t="s">
        <v>62</v>
      </c>
      <c r="Y36" s="14" t="s">
        <v>62</v>
      </c>
      <c r="Z36" s="14" t="s">
        <v>62</v>
      </c>
      <c r="AA36" s="14" t="s">
        <v>62</v>
      </c>
      <c r="AB36" s="14" t="s">
        <v>62</v>
      </c>
      <c r="AC36" s="14" t="s">
        <v>62</v>
      </c>
      <c r="AD36" s="14" t="s">
        <v>62</v>
      </c>
      <c r="AE36" s="14" t="s">
        <v>62</v>
      </c>
      <c r="AF36" s="14" t="s">
        <v>62</v>
      </c>
      <c r="AG36" s="14" t="s">
        <v>62</v>
      </c>
      <c r="AH36" s="12">
        <v>0</v>
      </c>
      <c r="AI36" s="13">
        <v>1477.3</v>
      </c>
      <c r="AJ36" s="13">
        <v>886.7</v>
      </c>
      <c r="AK36" s="13">
        <v>2093.6999999999998</v>
      </c>
      <c r="AL36" s="13" t="s">
        <v>62</v>
      </c>
      <c r="AM36" s="13" t="s">
        <v>62</v>
      </c>
      <c r="AN36" s="13" t="s">
        <v>62</v>
      </c>
      <c r="AO36" s="14" t="s">
        <v>62</v>
      </c>
      <c r="AP36" s="14" t="s">
        <v>62</v>
      </c>
      <c r="AQ36" s="14" t="s">
        <v>62</v>
      </c>
      <c r="AR36" s="13" t="s">
        <v>62</v>
      </c>
      <c r="AS36" s="13" t="s">
        <v>62</v>
      </c>
      <c r="AT36" s="13" t="s">
        <v>62</v>
      </c>
      <c r="AU36" s="13">
        <v>6558.7</v>
      </c>
      <c r="AV36" s="13" t="s">
        <v>62</v>
      </c>
      <c r="AW36" s="12">
        <v>5354.7</v>
      </c>
      <c r="AX36" s="13">
        <v>7004.2</v>
      </c>
      <c r="AY36" s="14" t="s">
        <v>62</v>
      </c>
      <c r="AZ36" s="14">
        <v>10249.200000000001</v>
      </c>
      <c r="BA36" s="13">
        <v>4073.9</v>
      </c>
      <c r="BB36" s="14" t="s">
        <v>62</v>
      </c>
      <c r="BC36" s="13">
        <v>4988.5</v>
      </c>
      <c r="BD36" s="13">
        <v>5276.3</v>
      </c>
      <c r="BE36" s="13">
        <v>5839.5</v>
      </c>
      <c r="BF36" s="14" t="s">
        <v>62</v>
      </c>
      <c r="BG36" s="14" t="s">
        <v>62</v>
      </c>
      <c r="BH36" s="14" t="s">
        <v>62</v>
      </c>
      <c r="BI36" s="14" t="s">
        <v>62</v>
      </c>
      <c r="BJ36" s="15" t="s">
        <v>62</v>
      </c>
    </row>
    <row r="37" spans="1:62" x14ac:dyDescent="0.3">
      <c r="A37" s="10" t="s">
        <v>34</v>
      </c>
      <c r="B37" s="16" t="s">
        <v>62</v>
      </c>
      <c r="C37" s="14" t="s">
        <v>62</v>
      </c>
      <c r="D37" s="14" t="s">
        <v>62</v>
      </c>
      <c r="E37" s="14" t="s">
        <v>62</v>
      </c>
      <c r="F37" s="14" t="s">
        <v>62</v>
      </c>
      <c r="G37" s="14" t="s">
        <v>62</v>
      </c>
      <c r="H37" s="14" t="s">
        <v>62</v>
      </c>
      <c r="I37" s="14" t="s">
        <v>62</v>
      </c>
      <c r="J37" s="14" t="s">
        <v>62</v>
      </c>
      <c r="K37" s="14" t="s">
        <v>62</v>
      </c>
      <c r="L37" s="14" t="s">
        <v>62</v>
      </c>
      <c r="M37" s="14" t="s">
        <v>62</v>
      </c>
      <c r="N37" s="14" t="s">
        <v>62</v>
      </c>
      <c r="O37" s="14" t="s">
        <v>62</v>
      </c>
      <c r="P37" s="14" t="s">
        <v>62</v>
      </c>
      <c r="Q37" s="14" t="s">
        <v>62</v>
      </c>
      <c r="R37" s="14" t="s">
        <v>62</v>
      </c>
      <c r="S37" s="14" t="s">
        <v>62</v>
      </c>
      <c r="T37" s="14">
        <v>9996.1</v>
      </c>
      <c r="U37" s="14" t="s">
        <v>62</v>
      </c>
      <c r="V37" s="14" t="s">
        <v>62</v>
      </c>
      <c r="W37" s="14">
        <v>8870.5</v>
      </c>
      <c r="X37" s="14">
        <v>8590.6</v>
      </c>
      <c r="Y37" s="14">
        <v>9048.2999999999993</v>
      </c>
      <c r="Z37" s="14" t="s">
        <v>62</v>
      </c>
      <c r="AA37" s="14" t="s">
        <v>62</v>
      </c>
      <c r="AB37" s="14" t="s">
        <v>62</v>
      </c>
      <c r="AC37" s="14" t="s">
        <v>62</v>
      </c>
      <c r="AD37" s="14" t="s">
        <v>62</v>
      </c>
      <c r="AE37" s="14">
        <v>7956.3</v>
      </c>
      <c r="AF37" s="14">
        <v>9113.6</v>
      </c>
      <c r="AG37" s="14" t="s">
        <v>62</v>
      </c>
      <c r="AH37" s="13">
        <v>1477.3</v>
      </c>
      <c r="AI37" s="12">
        <v>0</v>
      </c>
      <c r="AJ37" s="13">
        <v>1199.2</v>
      </c>
      <c r="AK37" s="13">
        <v>1640</v>
      </c>
      <c r="AL37" s="13" t="s">
        <v>62</v>
      </c>
      <c r="AM37" s="13" t="s">
        <v>62</v>
      </c>
      <c r="AN37" s="13" t="s">
        <v>62</v>
      </c>
      <c r="AO37" s="14" t="s">
        <v>62</v>
      </c>
      <c r="AP37" s="14" t="s">
        <v>62</v>
      </c>
      <c r="AQ37" s="14" t="s">
        <v>62</v>
      </c>
      <c r="AR37" s="13" t="s">
        <v>62</v>
      </c>
      <c r="AS37" s="13" t="s">
        <v>62</v>
      </c>
      <c r="AT37" s="13" t="s">
        <v>62</v>
      </c>
      <c r="AU37" s="12">
        <v>5904.8</v>
      </c>
      <c r="AV37" s="13">
        <v>6861.4</v>
      </c>
      <c r="AW37" s="13">
        <v>5831.4</v>
      </c>
      <c r="AX37" s="12">
        <v>6350.3</v>
      </c>
      <c r="AY37" s="14" t="s">
        <v>62</v>
      </c>
      <c r="AZ37" s="14">
        <v>11748.8</v>
      </c>
      <c r="BA37" s="13">
        <v>2855.1</v>
      </c>
      <c r="BB37" s="14">
        <v>9438.1</v>
      </c>
      <c r="BC37" s="12">
        <v>3941.8</v>
      </c>
      <c r="BD37" s="12">
        <v>4622.5</v>
      </c>
      <c r="BE37" s="12">
        <v>4794</v>
      </c>
      <c r="BF37" s="14" t="s">
        <v>62</v>
      </c>
      <c r="BG37" s="14" t="s">
        <v>62</v>
      </c>
      <c r="BH37" s="14" t="s">
        <v>62</v>
      </c>
      <c r="BI37" s="14" t="s">
        <v>62</v>
      </c>
      <c r="BJ37" s="15" t="s">
        <v>62</v>
      </c>
    </row>
    <row r="38" spans="1:62" x14ac:dyDescent="0.3">
      <c r="A38" s="10" t="s">
        <v>35</v>
      </c>
      <c r="B38" s="16" t="s">
        <v>62</v>
      </c>
      <c r="C38" s="14" t="s">
        <v>62</v>
      </c>
      <c r="D38" s="14" t="s">
        <v>62</v>
      </c>
      <c r="E38" s="14" t="s">
        <v>62</v>
      </c>
      <c r="F38" s="14" t="s">
        <v>62</v>
      </c>
      <c r="G38" s="14" t="s">
        <v>62</v>
      </c>
      <c r="H38" s="14" t="s">
        <v>62</v>
      </c>
      <c r="I38" s="14" t="s">
        <v>62</v>
      </c>
      <c r="J38" s="14" t="s">
        <v>62</v>
      </c>
      <c r="K38" s="14" t="s">
        <v>62</v>
      </c>
      <c r="L38" s="14" t="s">
        <v>62</v>
      </c>
      <c r="M38" s="14" t="s">
        <v>62</v>
      </c>
      <c r="N38" s="14" t="s">
        <v>62</v>
      </c>
      <c r="O38" s="14" t="s">
        <v>62</v>
      </c>
      <c r="P38" s="14" t="s">
        <v>62</v>
      </c>
      <c r="Q38" s="14" t="s">
        <v>62</v>
      </c>
      <c r="R38" s="14" t="s">
        <v>62</v>
      </c>
      <c r="S38" s="14" t="s">
        <v>62</v>
      </c>
      <c r="T38" s="14" t="s">
        <v>62</v>
      </c>
      <c r="U38" s="14" t="s">
        <v>62</v>
      </c>
      <c r="V38" s="14" t="s">
        <v>62</v>
      </c>
      <c r="W38" s="14" t="s">
        <v>62</v>
      </c>
      <c r="X38" s="14" t="s">
        <v>62</v>
      </c>
      <c r="Y38" s="14" t="s">
        <v>62</v>
      </c>
      <c r="Z38" s="14" t="s">
        <v>62</v>
      </c>
      <c r="AA38" s="14" t="s">
        <v>62</v>
      </c>
      <c r="AB38" s="14" t="s">
        <v>62</v>
      </c>
      <c r="AC38" s="14" t="s">
        <v>62</v>
      </c>
      <c r="AD38" s="14" t="s">
        <v>62</v>
      </c>
      <c r="AE38" s="14" t="s">
        <v>62</v>
      </c>
      <c r="AF38" s="14" t="s">
        <v>62</v>
      </c>
      <c r="AG38" s="14" t="s">
        <v>62</v>
      </c>
      <c r="AH38" s="13">
        <v>886.7</v>
      </c>
      <c r="AI38" s="13">
        <v>1199.2</v>
      </c>
      <c r="AJ38" s="12">
        <v>0</v>
      </c>
      <c r="AK38" s="13">
        <v>1206.2</v>
      </c>
      <c r="AL38" s="13" t="s">
        <v>62</v>
      </c>
      <c r="AM38" s="13" t="s">
        <v>62</v>
      </c>
      <c r="AN38" s="13" t="s">
        <v>62</v>
      </c>
      <c r="AO38" s="14" t="s">
        <v>62</v>
      </c>
      <c r="AP38" s="14" t="s">
        <v>62</v>
      </c>
      <c r="AQ38" s="14" t="s">
        <v>62</v>
      </c>
      <c r="AR38" s="13">
        <v>6298.8</v>
      </c>
      <c r="AS38" s="13">
        <v>6660.8</v>
      </c>
      <c r="AT38" s="13">
        <v>5793.9</v>
      </c>
      <c r="AU38" s="13">
        <v>6598.1</v>
      </c>
      <c r="AV38" s="13" t="s">
        <v>62</v>
      </c>
      <c r="AW38" s="13">
        <v>6227.4</v>
      </c>
      <c r="AX38" s="13">
        <v>7043.6</v>
      </c>
      <c r="AY38" s="14" t="s">
        <v>62</v>
      </c>
      <c r="AZ38" s="14">
        <v>11121.9</v>
      </c>
      <c r="BA38" s="13">
        <v>3986.4</v>
      </c>
      <c r="BB38" s="14" t="s">
        <v>62</v>
      </c>
      <c r="BC38" s="13">
        <v>4901</v>
      </c>
      <c r="BD38" s="13">
        <v>5315.8</v>
      </c>
      <c r="BE38" s="13">
        <v>5878.9</v>
      </c>
      <c r="BF38" s="14" t="s">
        <v>62</v>
      </c>
      <c r="BG38" s="14" t="s">
        <v>62</v>
      </c>
      <c r="BH38" s="14" t="s">
        <v>62</v>
      </c>
      <c r="BI38" s="14" t="s">
        <v>62</v>
      </c>
      <c r="BJ38" s="15" t="s">
        <v>62</v>
      </c>
    </row>
    <row r="39" spans="1:62" x14ac:dyDescent="0.3">
      <c r="A39" s="10" t="s">
        <v>36</v>
      </c>
      <c r="B39" s="16" t="s">
        <v>62</v>
      </c>
      <c r="C39" s="14" t="s">
        <v>62</v>
      </c>
      <c r="D39" s="14" t="s">
        <v>62</v>
      </c>
      <c r="E39" s="14" t="s">
        <v>62</v>
      </c>
      <c r="F39" s="14" t="s">
        <v>62</v>
      </c>
      <c r="G39" s="14" t="s">
        <v>62</v>
      </c>
      <c r="H39" s="14" t="s">
        <v>62</v>
      </c>
      <c r="I39" s="14" t="s">
        <v>62</v>
      </c>
      <c r="J39" s="14" t="s">
        <v>62</v>
      </c>
      <c r="K39" s="14" t="s">
        <v>62</v>
      </c>
      <c r="L39" s="14" t="s">
        <v>62</v>
      </c>
      <c r="M39" s="14" t="s">
        <v>62</v>
      </c>
      <c r="N39" s="14" t="s">
        <v>62</v>
      </c>
      <c r="O39" s="14" t="s">
        <v>62</v>
      </c>
      <c r="P39" s="14" t="s">
        <v>62</v>
      </c>
      <c r="Q39" s="14" t="s">
        <v>62</v>
      </c>
      <c r="R39" s="14" t="s">
        <v>62</v>
      </c>
      <c r="S39" s="14" t="s">
        <v>62</v>
      </c>
      <c r="T39" s="14">
        <v>10576.3</v>
      </c>
      <c r="U39" s="14">
        <v>10248.9</v>
      </c>
      <c r="V39" s="14">
        <v>9735.2000000000007</v>
      </c>
      <c r="W39" s="14" t="s">
        <v>62</v>
      </c>
      <c r="X39" s="14" t="s">
        <v>62</v>
      </c>
      <c r="Y39" s="14">
        <v>9628.4</v>
      </c>
      <c r="Z39" s="14" t="s">
        <v>62</v>
      </c>
      <c r="AA39" s="14">
        <v>9813.7999999999993</v>
      </c>
      <c r="AB39" s="14">
        <v>11369.3</v>
      </c>
      <c r="AC39" s="14" t="s">
        <v>62</v>
      </c>
      <c r="AD39" s="14" t="s">
        <v>62</v>
      </c>
      <c r="AE39" s="14" t="s">
        <v>62</v>
      </c>
      <c r="AF39" s="14" t="s">
        <v>62</v>
      </c>
      <c r="AG39" s="14">
        <v>9366.9</v>
      </c>
      <c r="AH39" s="13">
        <v>2093.6999999999998</v>
      </c>
      <c r="AI39" s="13">
        <v>1640</v>
      </c>
      <c r="AJ39" s="13">
        <v>1206.2</v>
      </c>
      <c r="AK39" s="12">
        <v>0</v>
      </c>
      <c r="AL39" s="13" t="s">
        <v>62</v>
      </c>
      <c r="AM39" s="13" t="s">
        <v>62</v>
      </c>
      <c r="AN39" s="13" t="s">
        <v>62</v>
      </c>
      <c r="AO39" s="14" t="s">
        <v>62</v>
      </c>
      <c r="AP39" s="14" t="s">
        <v>62</v>
      </c>
      <c r="AQ39" s="14" t="s">
        <v>62</v>
      </c>
      <c r="AR39" s="13">
        <v>7492.1</v>
      </c>
      <c r="AS39" s="13">
        <v>7854</v>
      </c>
      <c r="AT39" s="13">
        <v>6987.2</v>
      </c>
      <c r="AU39" s="13">
        <v>7471.4</v>
      </c>
      <c r="AV39" s="13" t="s">
        <v>62</v>
      </c>
      <c r="AW39" s="13">
        <v>7434.4</v>
      </c>
      <c r="AX39" s="13">
        <v>7916.9</v>
      </c>
      <c r="AY39" s="14" t="s">
        <v>62</v>
      </c>
      <c r="AZ39" s="14">
        <v>12328.9</v>
      </c>
      <c r="BA39" s="13">
        <v>4486.8999999999996</v>
      </c>
      <c r="BB39" s="14" t="s">
        <v>62</v>
      </c>
      <c r="BC39" s="13">
        <v>5573.5</v>
      </c>
      <c r="BD39" s="13">
        <v>6189</v>
      </c>
      <c r="BE39" s="13">
        <v>6423.9</v>
      </c>
      <c r="BF39" s="14" t="s">
        <v>62</v>
      </c>
      <c r="BG39" s="14" t="s">
        <v>62</v>
      </c>
      <c r="BH39" s="14" t="s">
        <v>62</v>
      </c>
      <c r="BI39" s="14" t="s">
        <v>62</v>
      </c>
      <c r="BJ39" s="15" t="s">
        <v>62</v>
      </c>
    </row>
    <row r="40" spans="1:62" x14ac:dyDescent="0.3">
      <c r="A40" s="10" t="s">
        <v>37</v>
      </c>
      <c r="B40" s="16" t="s">
        <v>62</v>
      </c>
      <c r="C40" s="14" t="s">
        <v>62</v>
      </c>
      <c r="D40" s="14" t="s">
        <v>62</v>
      </c>
      <c r="E40" s="14" t="s">
        <v>62</v>
      </c>
      <c r="F40" s="14" t="s">
        <v>62</v>
      </c>
      <c r="G40" s="14" t="s">
        <v>62</v>
      </c>
      <c r="H40" s="14" t="s">
        <v>62</v>
      </c>
      <c r="I40" s="14" t="s">
        <v>62</v>
      </c>
      <c r="J40" s="14" t="s">
        <v>62</v>
      </c>
      <c r="K40" s="14" t="s">
        <v>62</v>
      </c>
      <c r="L40" s="14" t="s">
        <v>62</v>
      </c>
      <c r="M40" s="14" t="s">
        <v>62</v>
      </c>
      <c r="N40" s="14" t="s">
        <v>62</v>
      </c>
      <c r="O40" s="14" t="s">
        <v>62</v>
      </c>
      <c r="P40" s="14" t="s">
        <v>62</v>
      </c>
      <c r="Q40" s="14" t="s">
        <v>62</v>
      </c>
      <c r="R40" s="14" t="s">
        <v>62</v>
      </c>
      <c r="S40" s="14" t="s">
        <v>62</v>
      </c>
      <c r="T40" s="14" t="s">
        <v>62</v>
      </c>
      <c r="U40" s="14" t="s">
        <v>62</v>
      </c>
      <c r="V40" s="14" t="s">
        <v>62</v>
      </c>
      <c r="W40" s="14" t="s">
        <v>62</v>
      </c>
      <c r="X40" s="14" t="s">
        <v>62</v>
      </c>
      <c r="Y40" s="14" t="s">
        <v>62</v>
      </c>
      <c r="Z40" s="14" t="s">
        <v>62</v>
      </c>
      <c r="AA40" s="14" t="s">
        <v>62</v>
      </c>
      <c r="AB40" s="14" t="s">
        <v>62</v>
      </c>
      <c r="AC40" s="14" t="s">
        <v>62</v>
      </c>
      <c r="AD40" s="14" t="s">
        <v>62</v>
      </c>
      <c r="AE40" s="14" t="s">
        <v>62</v>
      </c>
      <c r="AF40" s="14" t="s">
        <v>62</v>
      </c>
      <c r="AG40" s="14" t="s">
        <v>62</v>
      </c>
      <c r="AH40" s="13" t="s">
        <v>62</v>
      </c>
      <c r="AI40" s="13" t="s">
        <v>62</v>
      </c>
      <c r="AJ40" s="13" t="s">
        <v>62</v>
      </c>
      <c r="AK40" s="13" t="s">
        <v>62</v>
      </c>
      <c r="AL40" s="12">
        <v>0</v>
      </c>
      <c r="AM40" s="13">
        <v>509.1</v>
      </c>
      <c r="AN40" s="13">
        <v>1179</v>
      </c>
      <c r="AO40" s="14" t="s">
        <v>62</v>
      </c>
      <c r="AP40" s="14" t="s">
        <v>62</v>
      </c>
      <c r="AQ40" s="14" t="s">
        <v>62</v>
      </c>
      <c r="AR40" s="13" t="s">
        <v>62</v>
      </c>
      <c r="AS40" s="13" t="s">
        <v>62</v>
      </c>
      <c r="AT40" s="13" t="s">
        <v>62</v>
      </c>
      <c r="AU40" s="13" t="s">
        <v>62</v>
      </c>
      <c r="AV40" s="13" t="s">
        <v>62</v>
      </c>
      <c r="AW40" s="13" t="s">
        <v>62</v>
      </c>
      <c r="AX40" s="13" t="s">
        <v>62</v>
      </c>
      <c r="AY40" s="14" t="s">
        <v>62</v>
      </c>
      <c r="AZ40" s="14" t="s">
        <v>62</v>
      </c>
      <c r="BA40" s="13" t="s">
        <v>62</v>
      </c>
      <c r="BB40" s="14" t="s">
        <v>62</v>
      </c>
      <c r="BC40" s="13" t="s">
        <v>62</v>
      </c>
      <c r="BD40" s="13" t="s">
        <v>62</v>
      </c>
      <c r="BE40" s="13" t="s">
        <v>62</v>
      </c>
      <c r="BF40" s="14" t="s">
        <v>62</v>
      </c>
      <c r="BG40" s="14" t="s">
        <v>62</v>
      </c>
      <c r="BH40" s="14" t="s">
        <v>62</v>
      </c>
      <c r="BI40" s="14" t="s">
        <v>62</v>
      </c>
      <c r="BJ40" s="15" t="s">
        <v>62</v>
      </c>
    </row>
    <row r="41" spans="1:62" x14ac:dyDescent="0.3">
      <c r="A41" s="10" t="s">
        <v>38</v>
      </c>
      <c r="B41" s="16" t="s">
        <v>62</v>
      </c>
      <c r="C41" s="14" t="s">
        <v>62</v>
      </c>
      <c r="D41" s="14" t="s">
        <v>62</v>
      </c>
      <c r="E41" s="14" t="s">
        <v>62</v>
      </c>
      <c r="F41" s="14" t="s">
        <v>62</v>
      </c>
      <c r="G41" s="14" t="s">
        <v>62</v>
      </c>
      <c r="H41" s="14" t="s">
        <v>62</v>
      </c>
      <c r="I41" s="14" t="s">
        <v>62</v>
      </c>
      <c r="J41" s="14" t="s">
        <v>62</v>
      </c>
      <c r="K41" s="14" t="s">
        <v>62</v>
      </c>
      <c r="L41" s="14" t="s">
        <v>62</v>
      </c>
      <c r="M41" s="14" t="s">
        <v>62</v>
      </c>
      <c r="N41" s="14" t="s">
        <v>62</v>
      </c>
      <c r="O41" s="14" t="s">
        <v>62</v>
      </c>
      <c r="P41" s="14" t="s">
        <v>62</v>
      </c>
      <c r="Q41" s="14" t="s">
        <v>62</v>
      </c>
      <c r="R41" s="14" t="s">
        <v>62</v>
      </c>
      <c r="S41" s="14" t="s">
        <v>62</v>
      </c>
      <c r="T41" s="14" t="s">
        <v>62</v>
      </c>
      <c r="U41" s="14" t="s">
        <v>62</v>
      </c>
      <c r="V41" s="14" t="s">
        <v>62</v>
      </c>
      <c r="W41" s="14" t="s">
        <v>62</v>
      </c>
      <c r="X41" s="14" t="s">
        <v>62</v>
      </c>
      <c r="Y41" s="14" t="s">
        <v>62</v>
      </c>
      <c r="Z41" s="14" t="s">
        <v>62</v>
      </c>
      <c r="AA41" s="14" t="s">
        <v>62</v>
      </c>
      <c r="AB41" s="14" t="s">
        <v>62</v>
      </c>
      <c r="AC41" s="14" t="s">
        <v>62</v>
      </c>
      <c r="AD41" s="14" t="s">
        <v>62</v>
      </c>
      <c r="AE41" s="14" t="s">
        <v>62</v>
      </c>
      <c r="AF41" s="14" t="s">
        <v>62</v>
      </c>
      <c r="AG41" s="14" t="s">
        <v>62</v>
      </c>
      <c r="AH41" s="13" t="s">
        <v>62</v>
      </c>
      <c r="AI41" s="13" t="s">
        <v>62</v>
      </c>
      <c r="AJ41" s="13" t="s">
        <v>62</v>
      </c>
      <c r="AK41" s="13" t="s">
        <v>62</v>
      </c>
      <c r="AL41" s="13">
        <v>509.1</v>
      </c>
      <c r="AM41" s="12">
        <v>0</v>
      </c>
      <c r="AN41" s="13">
        <v>699.7</v>
      </c>
      <c r="AO41" s="14" t="s">
        <v>62</v>
      </c>
      <c r="AP41" s="14" t="s">
        <v>62</v>
      </c>
      <c r="AQ41" s="14" t="s">
        <v>62</v>
      </c>
      <c r="AR41" s="13" t="s">
        <v>62</v>
      </c>
      <c r="AS41" s="13" t="s">
        <v>62</v>
      </c>
      <c r="AT41" s="13" t="s">
        <v>62</v>
      </c>
      <c r="AU41" s="13" t="s">
        <v>62</v>
      </c>
      <c r="AV41" s="13" t="s">
        <v>62</v>
      </c>
      <c r="AW41" s="13" t="s">
        <v>62</v>
      </c>
      <c r="AX41" s="13" t="s">
        <v>62</v>
      </c>
      <c r="AY41" s="14" t="s">
        <v>62</v>
      </c>
      <c r="AZ41" s="14" t="s">
        <v>62</v>
      </c>
      <c r="BA41" s="13" t="s">
        <v>62</v>
      </c>
      <c r="BB41" s="14" t="s">
        <v>62</v>
      </c>
      <c r="BC41" s="13" t="s">
        <v>62</v>
      </c>
      <c r="BD41" s="13" t="s">
        <v>62</v>
      </c>
      <c r="BE41" s="13" t="s">
        <v>62</v>
      </c>
      <c r="BF41" s="14" t="s">
        <v>62</v>
      </c>
      <c r="BG41" s="14" t="s">
        <v>62</v>
      </c>
      <c r="BH41" s="14" t="s">
        <v>62</v>
      </c>
      <c r="BI41" s="14" t="s">
        <v>62</v>
      </c>
      <c r="BJ41" s="15" t="s">
        <v>62</v>
      </c>
    </row>
    <row r="42" spans="1:62" x14ac:dyDescent="0.3">
      <c r="A42" s="10" t="s">
        <v>39</v>
      </c>
      <c r="B42" s="16" t="s">
        <v>62</v>
      </c>
      <c r="C42" s="14" t="s">
        <v>62</v>
      </c>
      <c r="D42" s="14" t="s">
        <v>62</v>
      </c>
      <c r="E42" s="14" t="s">
        <v>62</v>
      </c>
      <c r="F42" s="14" t="s">
        <v>62</v>
      </c>
      <c r="G42" s="14" t="s">
        <v>62</v>
      </c>
      <c r="H42" s="14" t="s">
        <v>62</v>
      </c>
      <c r="I42" s="14" t="s">
        <v>62</v>
      </c>
      <c r="J42" s="14" t="s">
        <v>62</v>
      </c>
      <c r="K42" s="14" t="s">
        <v>62</v>
      </c>
      <c r="L42" s="14" t="s">
        <v>62</v>
      </c>
      <c r="M42" s="14" t="s">
        <v>62</v>
      </c>
      <c r="N42" s="14" t="s">
        <v>62</v>
      </c>
      <c r="O42" s="14" t="s">
        <v>62</v>
      </c>
      <c r="P42" s="14" t="s">
        <v>62</v>
      </c>
      <c r="Q42" s="14" t="s">
        <v>62</v>
      </c>
      <c r="R42" s="14" t="s">
        <v>62</v>
      </c>
      <c r="S42" s="14" t="s">
        <v>62</v>
      </c>
      <c r="T42" s="14" t="s">
        <v>62</v>
      </c>
      <c r="U42" s="14" t="s">
        <v>62</v>
      </c>
      <c r="V42" s="14" t="s">
        <v>62</v>
      </c>
      <c r="W42" s="14" t="s">
        <v>62</v>
      </c>
      <c r="X42" s="14" t="s">
        <v>62</v>
      </c>
      <c r="Y42" s="14" t="s">
        <v>62</v>
      </c>
      <c r="Z42" s="14" t="s">
        <v>62</v>
      </c>
      <c r="AA42" s="14" t="s">
        <v>62</v>
      </c>
      <c r="AB42" s="14" t="s">
        <v>62</v>
      </c>
      <c r="AC42" s="14" t="s">
        <v>62</v>
      </c>
      <c r="AD42" s="14" t="s">
        <v>62</v>
      </c>
      <c r="AE42" s="14" t="s">
        <v>62</v>
      </c>
      <c r="AF42" s="14" t="s">
        <v>62</v>
      </c>
      <c r="AG42" s="14" t="s">
        <v>62</v>
      </c>
      <c r="AH42" s="13" t="s">
        <v>62</v>
      </c>
      <c r="AI42" s="13" t="s">
        <v>62</v>
      </c>
      <c r="AJ42" s="13" t="s">
        <v>62</v>
      </c>
      <c r="AK42" s="13" t="s">
        <v>62</v>
      </c>
      <c r="AL42" s="13">
        <v>1179</v>
      </c>
      <c r="AM42" s="13">
        <v>699.7</v>
      </c>
      <c r="AN42" s="12">
        <v>0</v>
      </c>
      <c r="AO42" s="14" t="s">
        <v>62</v>
      </c>
      <c r="AP42" s="14" t="s">
        <v>62</v>
      </c>
      <c r="AQ42" s="14" t="s">
        <v>62</v>
      </c>
      <c r="AR42" s="13" t="s">
        <v>62</v>
      </c>
      <c r="AS42" s="13" t="s">
        <v>62</v>
      </c>
      <c r="AT42" s="13" t="s">
        <v>62</v>
      </c>
      <c r="AU42" s="13" t="s">
        <v>62</v>
      </c>
      <c r="AV42" s="13" t="s">
        <v>62</v>
      </c>
      <c r="AW42" s="13" t="s">
        <v>62</v>
      </c>
      <c r="AX42" s="13" t="s">
        <v>62</v>
      </c>
      <c r="AY42" s="14" t="s">
        <v>62</v>
      </c>
      <c r="AZ42" s="14" t="s">
        <v>62</v>
      </c>
      <c r="BA42" s="13" t="s">
        <v>62</v>
      </c>
      <c r="BB42" s="14" t="s">
        <v>62</v>
      </c>
      <c r="BC42" s="13" t="s">
        <v>62</v>
      </c>
      <c r="BD42" s="13" t="s">
        <v>62</v>
      </c>
      <c r="BE42" s="13" t="s">
        <v>62</v>
      </c>
      <c r="BF42" s="14" t="s">
        <v>62</v>
      </c>
      <c r="BG42" s="14" t="s">
        <v>62</v>
      </c>
      <c r="BH42" s="14" t="s">
        <v>62</v>
      </c>
      <c r="BI42" s="14" t="s">
        <v>62</v>
      </c>
      <c r="BJ42" s="15" t="s">
        <v>62</v>
      </c>
    </row>
    <row r="43" spans="1:62" x14ac:dyDescent="0.3">
      <c r="A43" s="10" t="s">
        <v>40</v>
      </c>
      <c r="B43" s="16" t="s">
        <v>62</v>
      </c>
      <c r="C43" s="14" t="s">
        <v>62</v>
      </c>
      <c r="D43" s="14" t="s">
        <v>62</v>
      </c>
      <c r="E43" s="14" t="s">
        <v>62</v>
      </c>
      <c r="F43" s="14" t="s">
        <v>62</v>
      </c>
      <c r="G43" s="14" t="s">
        <v>62</v>
      </c>
      <c r="H43" s="14" t="s">
        <v>62</v>
      </c>
      <c r="I43" s="14" t="s">
        <v>62</v>
      </c>
      <c r="J43" s="14" t="s">
        <v>62</v>
      </c>
      <c r="K43" s="14" t="s">
        <v>62</v>
      </c>
      <c r="L43" s="14" t="s">
        <v>62</v>
      </c>
      <c r="M43" s="14" t="s">
        <v>62</v>
      </c>
      <c r="N43" s="14" t="s">
        <v>62</v>
      </c>
      <c r="O43" s="14" t="s">
        <v>62</v>
      </c>
      <c r="P43" s="14" t="s">
        <v>62</v>
      </c>
      <c r="Q43" s="14" t="s">
        <v>62</v>
      </c>
      <c r="R43" s="14" t="s">
        <v>62</v>
      </c>
      <c r="S43" s="14" t="s">
        <v>62</v>
      </c>
      <c r="T43" s="14" t="s">
        <v>62</v>
      </c>
      <c r="U43" s="14" t="s">
        <v>62</v>
      </c>
      <c r="V43" s="14" t="s">
        <v>62</v>
      </c>
      <c r="W43" s="14" t="s">
        <v>62</v>
      </c>
      <c r="X43" s="14" t="s">
        <v>62</v>
      </c>
      <c r="Y43" s="14" t="s">
        <v>62</v>
      </c>
      <c r="Z43" s="14" t="s">
        <v>62</v>
      </c>
      <c r="AA43" s="14" t="s">
        <v>62</v>
      </c>
      <c r="AB43" s="14" t="s">
        <v>62</v>
      </c>
      <c r="AC43" s="14" t="s">
        <v>62</v>
      </c>
      <c r="AD43" s="14" t="s">
        <v>62</v>
      </c>
      <c r="AE43" s="14" t="s">
        <v>62</v>
      </c>
      <c r="AF43" s="14" t="s">
        <v>62</v>
      </c>
      <c r="AG43" s="14" t="s">
        <v>62</v>
      </c>
      <c r="AH43" s="14" t="s">
        <v>62</v>
      </c>
      <c r="AI43" s="14" t="s">
        <v>62</v>
      </c>
      <c r="AJ43" s="14" t="s">
        <v>62</v>
      </c>
      <c r="AK43" s="14" t="s">
        <v>62</v>
      </c>
      <c r="AL43" s="14" t="s">
        <v>62</v>
      </c>
      <c r="AM43" s="14" t="s">
        <v>62</v>
      </c>
      <c r="AN43" s="14" t="s">
        <v>62</v>
      </c>
      <c r="AO43" s="12">
        <v>0</v>
      </c>
      <c r="AP43" s="19">
        <v>859.7</v>
      </c>
      <c r="AQ43" s="19">
        <v>3418.1</v>
      </c>
      <c r="AR43" s="14" t="s">
        <v>62</v>
      </c>
      <c r="AS43" s="14" t="s">
        <v>62</v>
      </c>
      <c r="AT43" s="14" t="s">
        <v>62</v>
      </c>
      <c r="AU43" s="14" t="s">
        <v>62</v>
      </c>
      <c r="AV43" s="14" t="s">
        <v>62</v>
      </c>
      <c r="AW43" s="14" t="s">
        <v>62</v>
      </c>
      <c r="AX43" s="14" t="s">
        <v>62</v>
      </c>
      <c r="AY43" s="14" t="s">
        <v>62</v>
      </c>
      <c r="AZ43" s="14" t="s">
        <v>62</v>
      </c>
      <c r="BA43" s="14" t="s">
        <v>62</v>
      </c>
      <c r="BB43" s="14" t="s">
        <v>62</v>
      </c>
      <c r="BC43" s="14" t="s">
        <v>62</v>
      </c>
      <c r="BD43" s="14" t="s">
        <v>62</v>
      </c>
      <c r="BE43" s="14" t="s">
        <v>62</v>
      </c>
      <c r="BF43" s="14" t="s">
        <v>62</v>
      </c>
      <c r="BG43" s="14" t="s">
        <v>62</v>
      </c>
      <c r="BH43" s="14" t="s">
        <v>62</v>
      </c>
      <c r="BI43" s="14" t="s">
        <v>62</v>
      </c>
      <c r="BJ43" s="15" t="s">
        <v>62</v>
      </c>
    </row>
    <row r="44" spans="1:62" x14ac:dyDescent="0.3">
      <c r="A44" s="10" t="s">
        <v>41</v>
      </c>
      <c r="B44" s="16" t="s">
        <v>62</v>
      </c>
      <c r="C44" s="14" t="s">
        <v>62</v>
      </c>
      <c r="D44" s="14" t="s">
        <v>62</v>
      </c>
      <c r="E44" s="14" t="s">
        <v>62</v>
      </c>
      <c r="F44" s="14" t="s">
        <v>62</v>
      </c>
      <c r="G44" s="14" t="s">
        <v>62</v>
      </c>
      <c r="H44" s="14" t="s">
        <v>62</v>
      </c>
      <c r="I44" s="14" t="s">
        <v>62</v>
      </c>
      <c r="J44" s="14" t="s">
        <v>62</v>
      </c>
      <c r="K44" s="14" t="s">
        <v>62</v>
      </c>
      <c r="L44" s="14" t="s">
        <v>62</v>
      </c>
      <c r="M44" s="14" t="s">
        <v>62</v>
      </c>
      <c r="N44" s="14" t="s">
        <v>62</v>
      </c>
      <c r="O44" s="14" t="s">
        <v>62</v>
      </c>
      <c r="P44" s="14" t="s">
        <v>62</v>
      </c>
      <c r="Q44" s="14" t="s">
        <v>62</v>
      </c>
      <c r="R44" s="14" t="s">
        <v>62</v>
      </c>
      <c r="S44" s="14" t="s">
        <v>62</v>
      </c>
      <c r="T44" s="14" t="s">
        <v>62</v>
      </c>
      <c r="U44" s="14" t="s">
        <v>62</v>
      </c>
      <c r="V44" s="14" t="s">
        <v>62</v>
      </c>
      <c r="W44" s="14" t="s">
        <v>62</v>
      </c>
      <c r="X44" s="14" t="s">
        <v>62</v>
      </c>
      <c r="Y44" s="14" t="s">
        <v>62</v>
      </c>
      <c r="Z44" s="14" t="s">
        <v>62</v>
      </c>
      <c r="AA44" s="14" t="s">
        <v>62</v>
      </c>
      <c r="AB44" s="14" t="s">
        <v>62</v>
      </c>
      <c r="AC44" s="14" t="s">
        <v>62</v>
      </c>
      <c r="AD44" s="14" t="s">
        <v>62</v>
      </c>
      <c r="AE44" s="14" t="s">
        <v>62</v>
      </c>
      <c r="AF44" s="14" t="s">
        <v>62</v>
      </c>
      <c r="AG44" s="14" t="s">
        <v>62</v>
      </c>
      <c r="AH44" s="14" t="s">
        <v>62</v>
      </c>
      <c r="AI44" s="14" t="s">
        <v>62</v>
      </c>
      <c r="AJ44" s="14" t="s">
        <v>62</v>
      </c>
      <c r="AK44" s="14" t="s">
        <v>62</v>
      </c>
      <c r="AL44" s="14" t="s">
        <v>62</v>
      </c>
      <c r="AM44" s="14" t="s">
        <v>62</v>
      </c>
      <c r="AN44" s="14" t="s">
        <v>62</v>
      </c>
      <c r="AO44" s="13">
        <v>859.7</v>
      </c>
      <c r="AP44" s="12">
        <v>0</v>
      </c>
      <c r="AQ44" s="13">
        <v>3934</v>
      </c>
      <c r="AR44" s="14" t="s">
        <v>62</v>
      </c>
      <c r="AS44" s="14" t="s">
        <v>62</v>
      </c>
      <c r="AT44" s="14" t="s">
        <v>62</v>
      </c>
      <c r="AU44" s="14" t="s">
        <v>62</v>
      </c>
      <c r="AV44" s="14" t="s">
        <v>62</v>
      </c>
      <c r="AW44" s="14" t="s">
        <v>62</v>
      </c>
      <c r="AX44" s="14" t="s">
        <v>62</v>
      </c>
      <c r="AY44" s="14" t="s">
        <v>62</v>
      </c>
      <c r="AZ44" s="14" t="s">
        <v>62</v>
      </c>
      <c r="BA44" s="14" t="s">
        <v>62</v>
      </c>
      <c r="BB44" s="14" t="s">
        <v>62</v>
      </c>
      <c r="BC44" s="14" t="s">
        <v>62</v>
      </c>
      <c r="BD44" s="14" t="s">
        <v>62</v>
      </c>
      <c r="BE44" s="14" t="s">
        <v>62</v>
      </c>
      <c r="BF44" s="14" t="s">
        <v>62</v>
      </c>
      <c r="BG44" s="14" t="s">
        <v>62</v>
      </c>
      <c r="BH44" s="14" t="s">
        <v>62</v>
      </c>
      <c r="BI44" s="14" t="s">
        <v>62</v>
      </c>
      <c r="BJ44" s="15" t="s">
        <v>62</v>
      </c>
    </row>
    <row r="45" spans="1:62" x14ac:dyDescent="0.3">
      <c r="A45" s="10" t="s">
        <v>42</v>
      </c>
      <c r="B45" s="16" t="s">
        <v>62</v>
      </c>
      <c r="C45" s="14" t="s">
        <v>62</v>
      </c>
      <c r="D45" s="14" t="s">
        <v>62</v>
      </c>
      <c r="E45" s="14" t="s">
        <v>62</v>
      </c>
      <c r="F45" s="14" t="s">
        <v>62</v>
      </c>
      <c r="G45" s="14" t="s">
        <v>62</v>
      </c>
      <c r="H45" s="14" t="s">
        <v>62</v>
      </c>
      <c r="I45" s="14" t="s">
        <v>62</v>
      </c>
      <c r="J45" s="14" t="s">
        <v>62</v>
      </c>
      <c r="K45" s="14" t="s">
        <v>62</v>
      </c>
      <c r="L45" s="14" t="s">
        <v>62</v>
      </c>
      <c r="M45" s="14" t="s">
        <v>62</v>
      </c>
      <c r="N45" s="14" t="s">
        <v>62</v>
      </c>
      <c r="O45" s="14" t="s">
        <v>62</v>
      </c>
      <c r="P45" s="14" t="s">
        <v>62</v>
      </c>
      <c r="Q45" s="14" t="s">
        <v>62</v>
      </c>
      <c r="R45" s="14" t="s">
        <v>62</v>
      </c>
      <c r="S45" s="14" t="s">
        <v>62</v>
      </c>
      <c r="T45" s="14" t="s">
        <v>62</v>
      </c>
      <c r="U45" s="14" t="s">
        <v>62</v>
      </c>
      <c r="V45" s="14" t="s">
        <v>62</v>
      </c>
      <c r="W45" s="14" t="s">
        <v>62</v>
      </c>
      <c r="X45" s="14" t="s">
        <v>62</v>
      </c>
      <c r="Y45" s="14" t="s">
        <v>62</v>
      </c>
      <c r="Z45" s="14" t="s">
        <v>62</v>
      </c>
      <c r="AA45" s="14" t="s">
        <v>62</v>
      </c>
      <c r="AB45" s="14" t="s">
        <v>62</v>
      </c>
      <c r="AC45" s="14" t="s">
        <v>62</v>
      </c>
      <c r="AD45" s="14" t="s">
        <v>62</v>
      </c>
      <c r="AE45" s="14" t="s">
        <v>62</v>
      </c>
      <c r="AF45" s="14" t="s">
        <v>62</v>
      </c>
      <c r="AG45" s="14" t="s">
        <v>62</v>
      </c>
      <c r="AH45" s="14" t="s">
        <v>62</v>
      </c>
      <c r="AI45" s="14" t="s">
        <v>62</v>
      </c>
      <c r="AJ45" s="14" t="s">
        <v>62</v>
      </c>
      <c r="AK45" s="14" t="s">
        <v>62</v>
      </c>
      <c r="AL45" s="14" t="s">
        <v>62</v>
      </c>
      <c r="AM45" s="14" t="s">
        <v>62</v>
      </c>
      <c r="AN45" s="14" t="s">
        <v>62</v>
      </c>
      <c r="AO45" s="13">
        <v>3418.1</v>
      </c>
      <c r="AP45" s="13">
        <v>3934</v>
      </c>
      <c r="AQ45" s="12">
        <v>0</v>
      </c>
      <c r="AR45" s="14" t="s">
        <v>62</v>
      </c>
      <c r="AS45" s="14" t="s">
        <v>62</v>
      </c>
      <c r="AT45" s="14" t="s">
        <v>62</v>
      </c>
      <c r="AU45" s="14" t="s">
        <v>62</v>
      </c>
      <c r="AV45" s="14" t="s">
        <v>62</v>
      </c>
      <c r="AW45" s="14" t="s">
        <v>62</v>
      </c>
      <c r="AX45" s="14" t="s">
        <v>62</v>
      </c>
      <c r="AY45" s="14" t="s">
        <v>62</v>
      </c>
      <c r="AZ45" s="14" t="s">
        <v>62</v>
      </c>
      <c r="BA45" s="14" t="s">
        <v>62</v>
      </c>
      <c r="BB45" s="14" t="s">
        <v>62</v>
      </c>
      <c r="BC45" s="14" t="s">
        <v>62</v>
      </c>
      <c r="BD45" s="14" t="s">
        <v>62</v>
      </c>
      <c r="BE45" s="14" t="s">
        <v>62</v>
      </c>
      <c r="BF45" s="14" t="s">
        <v>62</v>
      </c>
      <c r="BG45" s="14" t="s">
        <v>62</v>
      </c>
      <c r="BH45" s="14" t="s">
        <v>62</v>
      </c>
      <c r="BI45" s="14" t="s">
        <v>62</v>
      </c>
      <c r="BJ45" s="15" t="s">
        <v>62</v>
      </c>
    </row>
    <row r="46" spans="1:62" x14ac:dyDescent="0.3">
      <c r="A46" s="10" t="s">
        <v>43</v>
      </c>
      <c r="B46" s="16" t="s">
        <v>62</v>
      </c>
      <c r="C46" s="14" t="s">
        <v>62</v>
      </c>
      <c r="D46" s="14" t="s">
        <v>62</v>
      </c>
      <c r="E46" s="14" t="s">
        <v>62</v>
      </c>
      <c r="F46" s="14" t="s">
        <v>62</v>
      </c>
      <c r="G46" s="14" t="s">
        <v>62</v>
      </c>
      <c r="H46" s="14" t="s">
        <v>62</v>
      </c>
      <c r="I46" s="14" t="s">
        <v>62</v>
      </c>
      <c r="J46" s="14" t="s">
        <v>62</v>
      </c>
      <c r="K46" s="14" t="s">
        <v>62</v>
      </c>
      <c r="L46" s="14" t="s">
        <v>62</v>
      </c>
      <c r="M46" s="14" t="s">
        <v>62</v>
      </c>
      <c r="N46" s="14" t="s">
        <v>62</v>
      </c>
      <c r="O46" s="14" t="s">
        <v>62</v>
      </c>
      <c r="P46" s="14" t="s">
        <v>62</v>
      </c>
      <c r="Q46" s="14" t="s">
        <v>62</v>
      </c>
      <c r="R46" s="14" t="s">
        <v>62</v>
      </c>
      <c r="S46" s="14" t="s">
        <v>62</v>
      </c>
      <c r="T46" s="14" t="s">
        <v>62</v>
      </c>
      <c r="U46" s="14" t="s">
        <v>62</v>
      </c>
      <c r="V46" s="14" t="s">
        <v>62</v>
      </c>
      <c r="W46" s="14">
        <v>6561.4</v>
      </c>
      <c r="X46" s="14">
        <v>6269.4</v>
      </c>
      <c r="Y46" s="14">
        <v>6529.7</v>
      </c>
      <c r="Z46" s="14" t="s">
        <v>62</v>
      </c>
      <c r="AA46" s="14" t="s">
        <v>62</v>
      </c>
      <c r="AB46" s="14" t="s">
        <v>62</v>
      </c>
      <c r="AC46" s="14" t="s">
        <v>62</v>
      </c>
      <c r="AD46" s="14">
        <v>6419.5</v>
      </c>
      <c r="AE46" s="14" t="s">
        <v>62</v>
      </c>
      <c r="AF46" s="14" t="s">
        <v>62</v>
      </c>
      <c r="AG46" s="14" t="s">
        <v>62</v>
      </c>
      <c r="AH46" s="13" t="s">
        <v>62</v>
      </c>
      <c r="AI46" s="13" t="s">
        <v>62</v>
      </c>
      <c r="AJ46" s="13">
        <v>6298.8</v>
      </c>
      <c r="AK46" s="13">
        <v>7492.1</v>
      </c>
      <c r="AL46" s="13" t="s">
        <v>62</v>
      </c>
      <c r="AM46" s="13" t="s">
        <v>62</v>
      </c>
      <c r="AN46" s="13" t="s">
        <v>62</v>
      </c>
      <c r="AO46" s="14" t="s">
        <v>62</v>
      </c>
      <c r="AP46" s="14" t="s">
        <v>62</v>
      </c>
      <c r="AQ46" s="14" t="s">
        <v>62</v>
      </c>
      <c r="AR46" s="12">
        <v>0</v>
      </c>
      <c r="AS46" s="13">
        <v>1850.4</v>
      </c>
      <c r="AT46" s="13">
        <v>990</v>
      </c>
      <c r="AU46" s="13" t="s">
        <v>62</v>
      </c>
      <c r="AV46" s="13">
        <v>5188.5</v>
      </c>
      <c r="AW46" s="13">
        <v>7778.2</v>
      </c>
      <c r="AX46" s="13" t="s">
        <v>62</v>
      </c>
      <c r="AY46" s="14">
        <v>7031.6</v>
      </c>
      <c r="AZ46" s="14">
        <v>7602.6</v>
      </c>
      <c r="BA46" s="13">
        <v>9524.2999999999993</v>
      </c>
      <c r="BB46" s="14">
        <v>7677.9</v>
      </c>
      <c r="BC46" s="13" t="s">
        <v>62</v>
      </c>
      <c r="BD46" s="13" t="s">
        <v>62</v>
      </c>
      <c r="BE46" s="13" t="s">
        <v>62</v>
      </c>
      <c r="BF46" s="14">
        <v>5124.3999999999996</v>
      </c>
      <c r="BG46" s="14" t="s">
        <v>62</v>
      </c>
      <c r="BH46" s="14" t="s">
        <v>62</v>
      </c>
      <c r="BI46" s="14" t="s">
        <v>62</v>
      </c>
      <c r="BJ46" s="15" t="s">
        <v>62</v>
      </c>
    </row>
    <row r="47" spans="1:62" x14ac:dyDescent="0.3">
      <c r="A47" s="10" t="s">
        <v>44</v>
      </c>
      <c r="B47" s="16" t="s">
        <v>62</v>
      </c>
      <c r="C47" s="14" t="s">
        <v>62</v>
      </c>
      <c r="D47" s="14" t="s">
        <v>62</v>
      </c>
      <c r="E47" s="14" t="s">
        <v>62</v>
      </c>
      <c r="F47" s="14" t="s">
        <v>62</v>
      </c>
      <c r="G47" s="14" t="s">
        <v>62</v>
      </c>
      <c r="H47" s="14" t="s">
        <v>62</v>
      </c>
      <c r="I47" s="14" t="s">
        <v>62</v>
      </c>
      <c r="J47" s="14" t="s">
        <v>62</v>
      </c>
      <c r="K47" s="14" t="s">
        <v>62</v>
      </c>
      <c r="L47" s="14" t="s">
        <v>62</v>
      </c>
      <c r="M47" s="14" t="s">
        <v>62</v>
      </c>
      <c r="N47" s="14" t="s">
        <v>62</v>
      </c>
      <c r="O47" s="14" t="s">
        <v>62</v>
      </c>
      <c r="P47" s="14" t="s">
        <v>62</v>
      </c>
      <c r="Q47" s="14" t="s">
        <v>62</v>
      </c>
      <c r="R47" s="14" t="s">
        <v>62</v>
      </c>
      <c r="S47" s="14" t="s">
        <v>62</v>
      </c>
      <c r="T47" s="14">
        <v>6049.2</v>
      </c>
      <c r="U47" s="14">
        <v>5721.8</v>
      </c>
      <c r="V47" s="14">
        <v>5208.1000000000004</v>
      </c>
      <c r="W47" s="14">
        <v>5801.8</v>
      </c>
      <c r="X47" s="14">
        <v>5509.8</v>
      </c>
      <c r="Y47" s="14">
        <v>5770.1</v>
      </c>
      <c r="Z47" s="14">
        <v>5549.3</v>
      </c>
      <c r="AA47" s="14">
        <v>5286.7</v>
      </c>
      <c r="AB47" s="14">
        <v>6842.3</v>
      </c>
      <c r="AC47" s="14">
        <v>6256.7</v>
      </c>
      <c r="AD47" s="14">
        <v>5659.9</v>
      </c>
      <c r="AE47" s="14">
        <v>5039.2</v>
      </c>
      <c r="AF47" s="14">
        <v>5166.6000000000004</v>
      </c>
      <c r="AG47" s="14">
        <v>4839.8</v>
      </c>
      <c r="AH47" s="13" t="s">
        <v>62</v>
      </c>
      <c r="AI47" s="13" t="s">
        <v>62</v>
      </c>
      <c r="AJ47" s="13">
        <v>6660.8</v>
      </c>
      <c r="AK47" s="13">
        <v>7854</v>
      </c>
      <c r="AL47" s="13" t="s">
        <v>62</v>
      </c>
      <c r="AM47" s="13" t="s">
        <v>62</v>
      </c>
      <c r="AN47" s="13" t="s">
        <v>62</v>
      </c>
      <c r="AO47" s="14" t="s">
        <v>62</v>
      </c>
      <c r="AP47" s="14" t="s">
        <v>62</v>
      </c>
      <c r="AQ47" s="14" t="s">
        <v>62</v>
      </c>
      <c r="AR47" s="13">
        <v>1850.4</v>
      </c>
      <c r="AS47" s="12">
        <v>0</v>
      </c>
      <c r="AT47" s="13">
        <v>867.5</v>
      </c>
      <c r="AU47" s="13" t="s">
        <v>62</v>
      </c>
      <c r="AV47" s="13" t="s">
        <v>62</v>
      </c>
      <c r="AW47" s="13" t="s">
        <v>62</v>
      </c>
      <c r="AX47" s="13">
        <v>11086.3</v>
      </c>
      <c r="AY47" s="12">
        <v>5478.5</v>
      </c>
      <c r="AZ47" s="12">
        <v>6049.4</v>
      </c>
      <c r="BA47" s="13">
        <v>9886.2000000000007</v>
      </c>
      <c r="BB47" s="14">
        <v>6918.3</v>
      </c>
      <c r="BC47" s="13" t="s">
        <v>62</v>
      </c>
      <c r="BD47" s="13" t="s">
        <v>62</v>
      </c>
      <c r="BE47" s="13" t="s">
        <v>62</v>
      </c>
      <c r="BF47" s="14" t="s">
        <v>62</v>
      </c>
      <c r="BG47" s="14">
        <v>4412.3</v>
      </c>
      <c r="BH47" s="14" t="s">
        <v>62</v>
      </c>
      <c r="BI47" s="14" t="s">
        <v>62</v>
      </c>
      <c r="BJ47" s="15" t="s">
        <v>62</v>
      </c>
    </row>
    <row r="48" spans="1:62" x14ac:dyDescent="0.3">
      <c r="A48" s="20" t="s">
        <v>45</v>
      </c>
      <c r="B48" s="21" t="s">
        <v>62</v>
      </c>
      <c r="C48" s="22" t="s">
        <v>62</v>
      </c>
      <c r="D48" s="22" t="s">
        <v>62</v>
      </c>
      <c r="E48" s="22" t="s">
        <v>62</v>
      </c>
      <c r="F48" s="22" t="s">
        <v>62</v>
      </c>
      <c r="G48" s="22" t="s">
        <v>62</v>
      </c>
      <c r="H48" s="22" t="s">
        <v>62</v>
      </c>
      <c r="I48" s="22" t="s">
        <v>62</v>
      </c>
      <c r="J48" s="22" t="s">
        <v>62</v>
      </c>
      <c r="K48" s="22" t="s">
        <v>62</v>
      </c>
      <c r="L48" s="22" t="s">
        <v>62</v>
      </c>
      <c r="M48" s="22" t="s">
        <v>62</v>
      </c>
      <c r="N48" s="22" t="s">
        <v>62</v>
      </c>
      <c r="O48" s="22" t="s">
        <v>62</v>
      </c>
      <c r="P48" s="22" t="s">
        <v>62</v>
      </c>
      <c r="Q48" s="22" t="s">
        <v>62</v>
      </c>
      <c r="R48" s="22" t="s">
        <v>62</v>
      </c>
      <c r="S48" s="22" t="s">
        <v>62</v>
      </c>
      <c r="T48" s="22">
        <v>5799.3</v>
      </c>
      <c r="U48" s="22">
        <v>5472</v>
      </c>
      <c r="V48" s="22">
        <v>4958.2</v>
      </c>
      <c r="W48" s="22">
        <v>5551.9</v>
      </c>
      <c r="X48" s="22">
        <v>5259.9</v>
      </c>
      <c r="Y48" s="22">
        <v>5520.2</v>
      </c>
      <c r="Z48" s="22" t="s">
        <v>62</v>
      </c>
      <c r="AA48" s="22">
        <v>5036.8</v>
      </c>
      <c r="AB48" s="22">
        <v>6592.4</v>
      </c>
      <c r="AC48" s="22">
        <v>6006.8</v>
      </c>
      <c r="AD48" s="22">
        <v>5410</v>
      </c>
      <c r="AE48" s="22" t="s">
        <v>62</v>
      </c>
      <c r="AF48" s="22" t="s">
        <v>62</v>
      </c>
      <c r="AG48" s="22" t="s">
        <v>62</v>
      </c>
      <c r="AH48" s="23" t="s">
        <v>62</v>
      </c>
      <c r="AI48" s="23" t="s">
        <v>62</v>
      </c>
      <c r="AJ48" s="23">
        <v>5793.9</v>
      </c>
      <c r="AK48" s="23">
        <v>6987.2</v>
      </c>
      <c r="AL48" s="23" t="s">
        <v>62</v>
      </c>
      <c r="AM48" s="23" t="s">
        <v>62</v>
      </c>
      <c r="AN48" s="23" t="s">
        <v>62</v>
      </c>
      <c r="AO48" s="22" t="s">
        <v>62</v>
      </c>
      <c r="AP48" s="22" t="s">
        <v>62</v>
      </c>
      <c r="AQ48" s="22" t="s">
        <v>62</v>
      </c>
      <c r="AR48" s="23">
        <v>990</v>
      </c>
      <c r="AS48" s="23">
        <v>867.5</v>
      </c>
      <c r="AT48" s="24">
        <v>0</v>
      </c>
      <c r="AU48" s="23" t="s">
        <v>62</v>
      </c>
      <c r="AV48" s="23" t="s">
        <v>62</v>
      </c>
      <c r="AW48" s="23" t="s">
        <v>62</v>
      </c>
      <c r="AX48" s="23">
        <v>10219.5</v>
      </c>
      <c r="AY48" s="22">
        <v>5952.8</v>
      </c>
      <c r="AZ48" s="22">
        <v>6523.7</v>
      </c>
      <c r="BA48" s="24">
        <v>9019.4</v>
      </c>
      <c r="BB48" s="22" t="s">
        <v>62</v>
      </c>
      <c r="BC48" s="23">
        <v>10043.700000000001</v>
      </c>
      <c r="BD48" s="23" t="s">
        <v>62</v>
      </c>
      <c r="BE48" s="23">
        <v>9638.9</v>
      </c>
      <c r="BF48" s="22" t="s">
        <v>62</v>
      </c>
      <c r="BG48" s="22">
        <v>4162.3999999999996</v>
      </c>
      <c r="BH48" s="22" t="s">
        <v>62</v>
      </c>
      <c r="BI48" s="22" t="s">
        <v>62</v>
      </c>
      <c r="BJ48" s="25" t="s">
        <v>62</v>
      </c>
    </row>
    <row r="51" spans="1:125" ht="21" x14ac:dyDescent="0.3">
      <c r="A51" s="55" t="s">
        <v>106</v>
      </c>
      <c r="B51" s="56"/>
      <c r="BL51" s="55" t="s">
        <v>107</v>
      </c>
      <c r="BM51" s="57"/>
      <c r="BN51" s="56"/>
    </row>
    <row r="53" spans="1:125" ht="28.8" x14ac:dyDescent="0.3">
      <c r="A53" s="1" t="s">
        <v>0</v>
      </c>
      <c r="B53" s="2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3" t="s">
        <v>13</v>
      </c>
      <c r="O53" s="3" t="s">
        <v>14</v>
      </c>
      <c r="P53" s="3" t="s">
        <v>15</v>
      </c>
      <c r="Q53" s="3" t="s">
        <v>16</v>
      </c>
      <c r="R53" s="3" t="s">
        <v>17</v>
      </c>
      <c r="S53" s="3" t="s">
        <v>18</v>
      </c>
      <c r="T53" s="3" t="s">
        <v>19</v>
      </c>
      <c r="U53" s="3" t="s">
        <v>20</v>
      </c>
      <c r="V53" s="3" t="s">
        <v>21</v>
      </c>
      <c r="W53" s="3" t="s">
        <v>22</v>
      </c>
      <c r="X53" s="3" t="s">
        <v>23</v>
      </c>
      <c r="Y53" s="3" t="s">
        <v>24</v>
      </c>
      <c r="Z53" s="3" t="s">
        <v>25</v>
      </c>
      <c r="AA53" s="3" t="s">
        <v>26</v>
      </c>
      <c r="AB53" s="3" t="s">
        <v>27</v>
      </c>
      <c r="AC53" s="3" t="s">
        <v>28</v>
      </c>
      <c r="AD53" s="3" t="s">
        <v>29</v>
      </c>
      <c r="AE53" s="3" t="s">
        <v>30</v>
      </c>
      <c r="AF53" s="3" t="s">
        <v>31</v>
      </c>
      <c r="AG53" s="3" t="s">
        <v>32</v>
      </c>
      <c r="AH53" s="3" t="s">
        <v>33</v>
      </c>
      <c r="AI53" s="3" t="s">
        <v>34</v>
      </c>
      <c r="AJ53" s="3" t="s">
        <v>35</v>
      </c>
      <c r="AK53" s="3" t="s">
        <v>36</v>
      </c>
      <c r="AL53" s="3" t="s">
        <v>37</v>
      </c>
      <c r="AM53" s="3" t="s">
        <v>38</v>
      </c>
      <c r="AN53" s="3" t="s">
        <v>39</v>
      </c>
      <c r="AO53" s="3" t="s">
        <v>40</v>
      </c>
      <c r="AP53" s="3" t="s">
        <v>41</v>
      </c>
      <c r="AQ53" s="3" t="s">
        <v>42</v>
      </c>
      <c r="AR53" s="3" t="s">
        <v>43</v>
      </c>
      <c r="AS53" s="3" t="s">
        <v>44</v>
      </c>
      <c r="AT53" s="3" t="s">
        <v>45</v>
      </c>
      <c r="AU53" s="3" t="s">
        <v>46</v>
      </c>
      <c r="AV53" s="3" t="s">
        <v>47</v>
      </c>
      <c r="AW53" s="3" t="s">
        <v>48</v>
      </c>
      <c r="AX53" s="3" t="s">
        <v>49</v>
      </c>
      <c r="AY53" s="3" t="s">
        <v>50</v>
      </c>
      <c r="AZ53" s="3" t="s">
        <v>51</v>
      </c>
      <c r="BA53" s="3" t="s">
        <v>52</v>
      </c>
      <c r="BB53" s="3" t="s">
        <v>53</v>
      </c>
      <c r="BC53" s="3" t="s">
        <v>54</v>
      </c>
      <c r="BD53" s="3" t="s">
        <v>55</v>
      </c>
      <c r="BE53" s="3" t="s">
        <v>56</v>
      </c>
      <c r="BF53" s="3" t="s">
        <v>57</v>
      </c>
      <c r="BG53" s="3" t="s">
        <v>58</v>
      </c>
      <c r="BH53" s="3" t="s">
        <v>59</v>
      </c>
      <c r="BI53" s="3" t="s">
        <v>60</v>
      </c>
      <c r="BJ53" s="4" t="s">
        <v>61</v>
      </c>
      <c r="BL53" s="1" t="s">
        <v>66</v>
      </c>
      <c r="BM53" s="2" t="s">
        <v>1</v>
      </c>
      <c r="BN53" s="3" t="s">
        <v>2</v>
      </c>
      <c r="BO53" s="3" t="s">
        <v>3</v>
      </c>
      <c r="BP53" s="3" t="s">
        <v>4</v>
      </c>
      <c r="BQ53" s="3" t="s">
        <v>5</v>
      </c>
      <c r="BR53" s="3" t="s">
        <v>6</v>
      </c>
      <c r="BS53" s="3" t="s">
        <v>7</v>
      </c>
      <c r="BT53" s="3" t="s">
        <v>8</v>
      </c>
      <c r="BU53" s="3" t="s">
        <v>9</v>
      </c>
      <c r="BV53" s="3" t="s">
        <v>10</v>
      </c>
      <c r="BW53" s="3" t="s">
        <v>11</v>
      </c>
      <c r="BX53" s="3" t="s">
        <v>12</v>
      </c>
      <c r="BY53" s="3" t="s">
        <v>13</v>
      </c>
      <c r="BZ53" s="3" t="s">
        <v>14</v>
      </c>
      <c r="CA53" s="3" t="s">
        <v>15</v>
      </c>
      <c r="CB53" s="3" t="s">
        <v>16</v>
      </c>
      <c r="CC53" s="3" t="s">
        <v>17</v>
      </c>
      <c r="CD53" s="3" t="s">
        <v>18</v>
      </c>
      <c r="CE53" s="3" t="s">
        <v>19</v>
      </c>
      <c r="CF53" s="3" t="s">
        <v>20</v>
      </c>
      <c r="CG53" s="3" t="s">
        <v>21</v>
      </c>
      <c r="CH53" s="3" t="s">
        <v>22</v>
      </c>
      <c r="CI53" s="3" t="s">
        <v>23</v>
      </c>
      <c r="CJ53" s="3" t="s">
        <v>24</v>
      </c>
      <c r="CK53" s="3" t="s">
        <v>25</v>
      </c>
      <c r="CL53" s="3" t="s">
        <v>26</v>
      </c>
      <c r="CM53" s="3" t="s">
        <v>27</v>
      </c>
      <c r="CN53" s="3" t="s">
        <v>28</v>
      </c>
      <c r="CO53" s="3" t="s">
        <v>29</v>
      </c>
      <c r="CP53" s="3" t="s">
        <v>30</v>
      </c>
      <c r="CQ53" s="3" t="s">
        <v>31</v>
      </c>
      <c r="CR53" s="3" t="s">
        <v>32</v>
      </c>
      <c r="CS53" s="3" t="s">
        <v>33</v>
      </c>
      <c r="CT53" s="3" t="s">
        <v>34</v>
      </c>
      <c r="CU53" s="3" t="s">
        <v>35</v>
      </c>
      <c r="CV53" s="3" t="s">
        <v>36</v>
      </c>
      <c r="CW53" s="3" t="s">
        <v>37</v>
      </c>
      <c r="CX53" s="3" t="s">
        <v>38</v>
      </c>
      <c r="CY53" s="3" t="s">
        <v>39</v>
      </c>
      <c r="CZ53" s="3" t="s">
        <v>40</v>
      </c>
      <c r="DA53" s="3" t="s">
        <v>41</v>
      </c>
      <c r="DB53" s="3" t="s">
        <v>42</v>
      </c>
      <c r="DC53" s="3" t="s">
        <v>43</v>
      </c>
      <c r="DD53" s="3" t="s">
        <v>44</v>
      </c>
      <c r="DE53" s="3" t="s">
        <v>45</v>
      </c>
      <c r="DF53" s="3" t="s">
        <v>46</v>
      </c>
      <c r="DG53" s="3" t="s">
        <v>47</v>
      </c>
      <c r="DH53" s="3" t="s">
        <v>48</v>
      </c>
      <c r="DI53" s="3" t="s">
        <v>49</v>
      </c>
      <c r="DJ53" s="3" t="s">
        <v>50</v>
      </c>
      <c r="DK53" s="3" t="s">
        <v>51</v>
      </c>
      <c r="DL53" s="3" t="s">
        <v>52</v>
      </c>
      <c r="DM53" s="3" t="s">
        <v>53</v>
      </c>
      <c r="DN53" s="3" t="s">
        <v>54</v>
      </c>
      <c r="DO53" s="3" t="s">
        <v>55</v>
      </c>
      <c r="DP53" s="3" t="s">
        <v>56</v>
      </c>
      <c r="DQ53" s="3" t="s">
        <v>57</v>
      </c>
      <c r="DR53" s="3" t="s">
        <v>58</v>
      </c>
      <c r="DS53" s="3" t="s">
        <v>59</v>
      </c>
      <c r="DT53" s="3" t="s">
        <v>60</v>
      </c>
      <c r="DU53" s="4" t="s">
        <v>61</v>
      </c>
    </row>
    <row r="54" spans="1:125" x14ac:dyDescent="0.3">
      <c r="A54" s="5" t="s">
        <v>1</v>
      </c>
      <c r="B54" s="6">
        <v>0</v>
      </c>
      <c r="C54" s="7">
        <v>3075.9</v>
      </c>
      <c r="D54" s="7">
        <v>3968.2</v>
      </c>
      <c r="E54" s="7">
        <v>3310.2</v>
      </c>
      <c r="F54" s="7">
        <v>1866.3</v>
      </c>
      <c r="G54" s="7">
        <v>4970</v>
      </c>
      <c r="H54" s="7">
        <v>6631.9</v>
      </c>
      <c r="I54" s="7">
        <v>6887.4</v>
      </c>
      <c r="J54" s="7">
        <v>3069.8</v>
      </c>
      <c r="K54" s="7">
        <v>2838</v>
      </c>
      <c r="L54" s="7">
        <v>5464.2</v>
      </c>
      <c r="M54" s="7">
        <v>6771.5999999999995</v>
      </c>
      <c r="N54" s="7" t="s">
        <v>62</v>
      </c>
      <c r="O54" s="8" t="s">
        <v>62</v>
      </c>
      <c r="P54" s="8" t="s">
        <v>62</v>
      </c>
      <c r="Q54" s="8" t="s">
        <v>62</v>
      </c>
      <c r="R54" s="8" t="s">
        <v>62</v>
      </c>
      <c r="S54" s="8" t="s">
        <v>62</v>
      </c>
      <c r="T54" s="8" t="s">
        <v>62</v>
      </c>
      <c r="U54" s="8" t="s">
        <v>62</v>
      </c>
      <c r="V54" s="8" t="s">
        <v>62</v>
      </c>
      <c r="W54" s="8" t="s">
        <v>62</v>
      </c>
      <c r="X54" s="8" t="s">
        <v>62</v>
      </c>
      <c r="Y54" s="8" t="s">
        <v>62</v>
      </c>
      <c r="Z54" s="8" t="s">
        <v>62</v>
      </c>
      <c r="AA54" s="8" t="s">
        <v>62</v>
      </c>
      <c r="AB54" s="8" t="s">
        <v>62</v>
      </c>
      <c r="AC54" s="8" t="s">
        <v>62</v>
      </c>
      <c r="AD54" s="8" t="s">
        <v>62</v>
      </c>
      <c r="AE54" s="8" t="s">
        <v>62</v>
      </c>
      <c r="AF54" s="8" t="s">
        <v>62</v>
      </c>
      <c r="AG54" s="8" t="s">
        <v>62</v>
      </c>
      <c r="AH54" s="8" t="s">
        <v>62</v>
      </c>
      <c r="AI54" s="8" t="s">
        <v>62</v>
      </c>
      <c r="AJ54" s="8" t="s">
        <v>62</v>
      </c>
      <c r="AK54" s="8" t="s">
        <v>62</v>
      </c>
      <c r="AL54" s="8" t="s">
        <v>62</v>
      </c>
      <c r="AM54" s="8" t="s">
        <v>62</v>
      </c>
      <c r="AN54" s="8" t="s">
        <v>62</v>
      </c>
      <c r="AO54" s="8" t="s">
        <v>62</v>
      </c>
      <c r="AP54" s="8" t="s">
        <v>62</v>
      </c>
      <c r="AQ54" s="8" t="s">
        <v>62</v>
      </c>
      <c r="AR54" s="8" t="s">
        <v>62</v>
      </c>
      <c r="AS54" s="8" t="s">
        <v>62</v>
      </c>
      <c r="AT54" s="8" t="s">
        <v>62</v>
      </c>
      <c r="AU54" s="8" t="s">
        <v>62</v>
      </c>
      <c r="AV54" s="8" t="s">
        <v>62</v>
      </c>
      <c r="AW54" s="8" t="s">
        <v>62</v>
      </c>
      <c r="AX54" s="8" t="s">
        <v>62</v>
      </c>
      <c r="AY54" s="8" t="s">
        <v>62</v>
      </c>
      <c r="AZ54" s="8" t="s">
        <v>62</v>
      </c>
      <c r="BA54" s="8" t="s">
        <v>62</v>
      </c>
      <c r="BB54" s="8" t="s">
        <v>62</v>
      </c>
      <c r="BC54" s="8" t="s">
        <v>62</v>
      </c>
      <c r="BD54" s="8" t="s">
        <v>62</v>
      </c>
      <c r="BE54" s="8" t="s">
        <v>62</v>
      </c>
      <c r="BF54" s="8" t="s">
        <v>62</v>
      </c>
      <c r="BG54" s="8" t="s">
        <v>62</v>
      </c>
      <c r="BH54" s="8" t="s">
        <v>62</v>
      </c>
      <c r="BI54" s="8" t="s">
        <v>62</v>
      </c>
      <c r="BJ54" s="9" t="s">
        <v>62</v>
      </c>
      <c r="BL54" s="5" t="s">
        <v>1</v>
      </c>
      <c r="BM54" s="6">
        <v>0</v>
      </c>
      <c r="BN54" s="7">
        <v>0</v>
      </c>
      <c r="BO54" s="7">
        <v>17.8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394.5</v>
      </c>
      <c r="BX54" s="7">
        <v>0</v>
      </c>
      <c r="BY54" s="7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9"/>
    </row>
    <row r="55" spans="1:125" x14ac:dyDescent="0.3">
      <c r="A55" s="10" t="s">
        <v>2</v>
      </c>
      <c r="B55" s="11">
        <f>(1563.4+116.4+1396.1)</f>
        <v>3075.9</v>
      </c>
      <c r="C55" s="12">
        <v>0</v>
      </c>
      <c r="D55" s="13">
        <v>2157.4</v>
      </c>
      <c r="E55" s="13">
        <v>1499.4</v>
      </c>
      <c r="F55" s="13">
        <v>1852.4</v>
      </c>
      <c r="G55" s="13" t="s">
        <v>62</v>
      </c>
      <c r="H55" s="13">
        <v>5028.8999999999996</v>
      </c>
      <c r="I55" s="13">
        <v>3195.2</v>
      </c>
      <c r="J55" s="13">
        <v>3090</v>
      </c>
      <c r="K55" s="13">
        <v>2824</v>
      </c>
      <c r="L55" s="13">
        <v>3861.2000000000003</v>
      </c>
      <c r="M55" s="13">
        <v>5168.6000000000004</v>
      </c>
      <c r="N55" s="13" t="s">
        <v>62</v>
      </c>
      <c r="O55" s="14" t="s">
        <v>62</v>
      </c>
      <c r="P55" s="14" t="s">
        <v>62</v>
      </c>
      <c r="Q55" s="14" t="s">
        <v>62</v>
      </c>
      <c r="R55" s="14" t="s">
        <v>62</v>
      </c>
      <c r="S55" s="14" t="s">
        <v>62</v>
      </c>
      <c r="T55" s="14" t="s">
        <v>62</v>
      </c>
      <c r="U55" s="14" t="s">
        <v>62</v>
      </c>
      <c r="V55" s="14" t="s">
        <v>62</v>
      </c>
      <c r="W55" s="14" t="s">
        <v>62</v>
      </c>
      <c r="X55" s="14" t="s">
        <v>62</v>
      </c>
      <c r="Y55" s="14" t="s">
        <v>62</v>
      </c>
      <c r="Z55" s="14" t="s">
        <v>62</v>
      </c>
      <c r="AA55" s="14" t="s">
        <v>62</v>
      </c>
      <c r="AB55" s="14" t="s">
        <v>62</v>
      </c>
      <c r="AC55" s="14" t="s">
        <v>62</v>
      </c>
      <c r="AD55" s="14" t="s">
        <v>62</v>
      </c>
      <c r="AE55" s="14" t="s">
        <v>62</v>
      </c>
      <c r="AF55" s="14" t="s">
        <v>62</v>
      </c>
      <c r="AG55" s="14" t="s">
        <v>62</v>
      </c>
      <c r="AH55" s="14" t="s">
        <v>62</v>
      </c>
      <c r="AI55" s="14" t="s">
        <v>62</v>
      </c>
      <c r="AJ55" s="14" t="s">
        <v>62</v>
      </c>
      <c r="AK55" s="14" t="s">
        <v>62</v>
      </c>
      <c r="AL55" s="14" t="s">
        <v>62</v>
      </c>
      <c r="AM55" s="14" t="s">
        <v>62</v>
      </c>
      <c r="AN55" s="14" t="s">
        <v>62</v>
      </c>
      <c r="AO55" s="14" t="s">
        <v>62</v>
      </c>
      <c r="AP55" s="14" t="s">
        <v>62</v>
      </c>
      <c r="AQ55" s="14" t="s">
        <v>62</v>
      </c>
      <c r="AR55" s="14" t="s">
        <v>62</v>
      </c>
      <c r="AS55" s="14" t="s">
        <v>62</v>
      </c>
      <c r="AT55" s="14" t="s">
        <v>62</v>
      </c>
      <c r="AU55" s="14" t="s">
        <v>62</v>
      </c>
      <c r="AV55" s="14" t="s">
        <v>62</v>
      </c>
      <c r="AW55" s="14" t="s">
        <v>62</v>
      </c>
      <c r="AX55" s="14" t="s">
        <v>62</v>
      </c>
      <c r="AY55" s="14" t="s">
        <v>62</v>
      </c>
      <c r="AZ55" s="14" t="s">
        <v>62</v>
      </c>
      <c r="BA55" s="14" t="s">
        <v>62</v>
      </c>
      <c r="BB55" s="14" t="s">
        <v>62</v>
      </c>
      <c r="BC55" s="14" t="s">
        <v>62</v>
      </c>
      <c r="BD55" s="14" t="s">
        <v>62</v>
      </c>
      <c r="BE55" s="14" t="s">
        <v>62</v>
      </c>
      <c r="BF55" s="14" t="s">
        <v>62</v>
      </c>
      <c r="BG55" s="14" t="s">
        <v>62</v>
      </c>
      <c r="BH55" s="14" t="s">
        <v>62</v>
      </c>
      <c r="BI55" s="14" t="s">
        <v>62</v>
      </c>
      <c r="BJ55" s="15" t="s">
        <v>62</v>
      </c>
      <c r="BL55" s="10" t="s">
        <v>2</v>
      </c>
      <c r="BM55" s="11">
        <v>0</v>
      </c>
      <c r="BN55" s="12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394.5</v>
      </c>
      <c r="BX55" s="13">
        <v>0</v>
      </c>
      <c r="BY55" s="13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5"/>
    </row>
    <row r="56" spans="1:125" x14ac:dyDescent="0.3">
      <c r="A56" s="10" t="s">
        <v>3</v>
      </c>
      <c r="B56" s="11">
        <f>1853.1+1457.1+658</f>
        <v>3968.2</v>
      </c>
      <c r="C56" s="13">
        <f>1499.4+658</f>
        <v>2157.4</v>
      </c>
      <c r="D56" s="12">
        <v>0</v>
      </c>
      <c r="E56" s="13">
        <v>658</v>
      </c>
      <c r="F56" s="13">
        <v>1868.2</v>
      </c>
      <c r="G56" s="13" t="s">
        <v>62</v>
      </c>
      <c r="H56" s="13">
        <v>2871.5</v>
      </c>
      <c r="I56" s="13" t="s">
        <v>62</v>
      </c>
      <c r="J56" s="13">
        <v>1656.8999999999999</v>
      </c>
      <c r="K56" s="13">
        <v>2299.1999999999998</v>
      </c>
      <c r="L56" s="13">
        <v>1702.8</v>
      </c>
      <c r="M56" s="13">
        <v>3011.3</v>
      </c>
      <c r="N56" s="13" t="s">
        <v>62</v>
      </c>
      <c r="O56" s="14" t="s">
        <v>62</v>
      </c>
      <c r="P56" s="14" t="s">
        <v>62</v>
      </c>
      <c r="Q56" s="14" t="s">
        <v>62</v>
      </c>
      <c r="R56" s="14" t="s">
        <v>62</v>
      </c>
      <c r="S56" s="14" t="s">
        <v>62</v>
      </c>
      <c r="T56" s="14" t="s">
        <v>62</v>
      </c>
      <c r="U56" s="14" t="s">
        <v>62</v>
      </c>
      <c r="V56" s="14" t="s">
        <v>62</v>
      </c>
      <c r="W56" s="14" t="s">
        <v>62</v>
      </c>
      <c r="X56" s="14" t="s">
        <v>62</v>
      </c>
      <c r="Y56" s="14" t="s">
        <v>62</v>
      </c>
      <c r="Z56" s="14" t="s">
        <v>62</v>
      </c>
      <c r="AA56" s="14" t="s">
        <v>62</v>
      </c>
      <c r="AB56" s="14" t="s">
        <v>62</v>
      </c>
      <c r="AC56" s="14" t="s">
        <v>62</v>
      </c>
      <c r="AD56" s="14" t="s">
        <v>62</v>
      </c>
      <c r="AE56" s="14" t="s">
        <v>62</v>
      </c>
      <c r="AF56" s="14" t="s">
        <v>62</v>
      </c>
      <c r="AG56" s="14" t="s">
        <v>62</v>
      </c>
      <c r="AH56" s="14" t="s">
        <v>62</v>
      </c>
      <c r="AI56" s="14" t="s">
        <v>62</v>
      </c>
      <c r="AJ56" s="14" t="s">
        <v>62</v>
      </c>
      <c r="AK56" s="14" t="s">
        <v>62</v>
      </c>
      <c r="AL56" s="14" t="s">
        <v>62</v>
      </c>
      <c r="AM56" s="14" t="s">
        <v>62</v>
      </c>
      <c r="AN56" s="14" t="s">
        <v>62</v>
      </c>
      <c r="AO56" s="14" t="s">
        <v>62</v>
      </c>
      <c r="AP56" s="14" t="s">
        <v>62</v>
      </c>
      <c r="AQ56" s="14" t="s">
        <v>62</v>
      </c>
      <c r="AR56" s="14" t="s">
        <v>62</v>
      </c>
      <c r="AS56" s="14" t="s">
        <v>62</v>
      </c>
      <c r="AT56" s="14" t="s">
        <v>62</v>
      </c>
      <c r="AU56" s="14" t="s">
        <v>62</v>
      </c>
      <c r="AV56" s="14" t="s">
        <v>62</v>
      </c>
      <c r="AW56" s="14" t="s">
        <v>62</v>
      </c>
      <c r="AX56" s="14" t="s">
        <v>62</v>
      </c>
      <c r="AY56" s="14" t="s">
        <v>62</v>
      </c>
      <c r="AZ56" s="14" t="s">
        <v>62</v>
      </c>
      <c r="BA56" s="14" t="s">
        <v>62</v>
      </c>
      <c r="BB56" s="14" t="s">
        <v>62</v>
      </c>
      <c r="BC56" s="14" t="s">
        <v>62</v>
      </c>
      <c r="BD56" s="14" t="s">
        <v>62</v>
      </c>
      <c r="BE56" s="14" t="s">
        <v>62</v>
      </c>
      <c r="BF56" s="14" t="s">
        <v>62</v>
      </c>
      <c r="BG56" s="14" t="s">
        <v>62</v>
      </c>
      <c r="BH56" s="14" t="s">
        <v>62</v>
      </c>
      <c r="BI56" s="14" t="s">
        <v>62</v>
      </c>
      <c r="BJ56" s="15" t="s">
        <v>62</v>
      </c>
      <c r="BL56" s="10" t="s">
        <v>3</v>
      </c>
      <c r="BM56" s="11">
        <v>17.8</v>
      </c>
      <c r="BN56" s="13">
        <v>0</v>
      </c>
      <c r="BO56" s="12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394.5</v>
      </c>
      <c r="BX56" s="13">
        <v>0</v>
      </c>
      <c r="BY56" s="13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5"/>
    </row>
    <row r="57" spans="1:125" x14ac:dyDescent="0.3">
      <c r="A57" s="10" t="s">
        <v>4</v>
      </c>
      <c r="B57" s="11">
        <f>1853.1+1457.1</f>
        <v>3310.2</v>
      </c>
      <c r="C57" s="13">
        <v>1499.4</v>
      </c>
      <c r="D57" s="13">
        <f>658</f>
        <v>658</v>
      </c>
      <c r="E57" s="12">
        <v>0</v>
      </c>
      <c r="F57" s="13">
        <v>1236.0999999999999</v>
      </c>
      <c r="G57" s="13">
        <v>1659.8</v>
      </c>
      <c r="H57" s="13">
        <v>3529.5</v>
      </c>
      <c r="I57" s="13">
        <v>4365.8</v>
      </c>
      <c r="J57" s="13">
        <v>1033.0999999999999</v>
      </c>
      <c r="K57" s="13">
        <v>1641.1999999999998</v>
      </c>
      <c r="L57" s="13">
        <v>2361.8000000000002</v>
      </c>
      <c r="M57" s="13">
        <v>3669.2000000000003</v>
      </c>
      <c r="N57" s="13" t="s">
        <v>62</v>
      </c>
      <c r="O57" s="14" t="s">
        <v>62</v>
      </c>
      <c r="P57" s="14" t="s">
        <v>62</v>
      </c>
      <c r="Q57" s="14" t="s">
        <v>62</v>
      </c>
      <c r="R57" s="14" t="s">
        <v>62</v>
      </c>
      <c r="S57" s="14" t="s">
        <v>62</v>
      </c>
      <c r="T57" s="14" t="s">
        <v>62</v>
      </c>
      <c r="U57" s="14" t="s">
        <v>62</v>
      </c>
      <c r="V57" s="14" t="s">
        <v>62</v>
      </c>
      <c r="W57" s="14" t="s">
        <v>62</v>
      </c>
      <c r="X57" s="14" t="s">
        <v>62</v>
      </c>
      <c r="Y57" s="14" t="s">
        <v>62</v>
      </c>
      <c r="Z57" s="14" t="s">
        <v>62</v>
      </c>
      <c r="AA57" s="14" t="s">
        <v>62</v>
      </c>
      <c r="AB57" s="14" t="s">
        <v>62</v>
      </c>
      <c r="AC57" s="14" t="s">
        <v>62</v>
      </c>
      <c r="AD57" s="14" t="s">
        <v>62</v>
      </c>
      <c r="AE57" s="14" t="s">
        <v>62</v>
      </c>
      <c r="AF57" s="14" t="s">
        <v>62</v>
      </c>
      <c r="AG57" s="14" t="s">
        <v>62</v>
      </c>
      <c r="AH57" s="14" t="s">
        <v>62</v>
      </c>
      <c r="AI57" s="14" t="s">
        <v>62</v>
      </c>
      <c r="AJ57" s="14" t="s">
        <v>62</v>
      </c>
      <c r="AK57" s="14" t="s">
        <v>62</v>
      </c>
      <c r="AL57" s="14" t="s">
        <v>62</v>
      </c>
      <c r="AM57" s="14" t="s">
        <v>62</v>
      </c>
      <c r="AN57" s="14" t="s">
        <v>62</v>
      </c>
      <c r="AO57" s="14" t="s">
        <v>62</v>
      </c>
      <c r="AP57" s="14" t="s">
        <v>62</v>
      </c>
      <c r="AQ57" s="14" t="s">
        <v>62</v>
      </c>
      <c r="AR57" s="14" t="s">
        <v>62</v>
      </c>
      <c r="AS57" s="14" t="s">
        <v>62</v>
      </c>
      <c r="AT57" s="14" t="s">
        <v>62</v>
      </c>
      <c r="AU57" s="14" t="s">
        <v>62</v>
      </c>
      <c r="AV57" s="14" t="s">
        <v>62</v>
      </c>
      <c r="AW57" s="14" t="s">
        <v>62</v>
      </c>
      <c r="AX57" s="14" t="s">
        <v>62</v>
      </c>
      <c r="AY57" s="14" t="s">
        <v>62</v>
      </c>
      <c r="AZ57" s="14" t="s">
        <v>62</v>
      </c>
      <c r="BA57" s="14" t="s">
        <v>62</v>
      </c>
      <c r="BB57" s="14" t="s">
        <v>62</v>
      </c>
      <c r="BC57" s="14" t="s">
        <v>62</v>
      </c>
      <c r="BD57" s="14" t="s">
        <v>62</v>
      </c>
      <c r="BE57" s="14" t="s">
        <v>62</v>
      </c>
      <c r="BF57" s="14" t="s">
        <v>62</v>
      </c>
      <c r="BG57" s="14" t="s">
        <v>62</v>
      </c>
      <c r="BH57" s="14" t="s">
        <v>62</v>
      </c>
      <c r="BI57" s="14" t="s">
        <v>62</v>
      </c>
      <c r="BJ57" s="15" t="s">
        <v>62</v>
      </c>
      <c r="BL57" s="10" t="s">
        <v>4</v>
      </c>
      <c r="BM57" s="11">
        <v>0</v>
      </c>
      <c r="BN57" s="13">
        <v>0</v>
      </c>
      <c r="BO57" s="13">
        <v>0</v>
      </c>
      <c r="BP57" s="12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394.5</v>
      </c>
      <c r="BX57" s="13">
        <v>0</v>
      </c>
      <c r="BY57" s="13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5"/>
    </row>
    <row r="58" spans="1:125" x14ac:dyDescent="0.3">
      <c r="A58" s="10" t="s">
        <v>5</v>
      </c>
      <c r="B58" s="11">
        <v>1866.3</v>
      </c>
      <c r="C58" s="13">
        <v>1852.4</v>
      </c>
      <c r="D58" s="13">
        <f>658+1210.2</f>
        <v>1868.2</v>
      </c>
      <c r="E58" s="13">
        <v>1236.0999999999999</v>
      </c>
      <c r="F58" s="12">
        <v>0</v>
      </c>
      <c r="G58" s="13">
        <v>2895.8999999999996</v>
      </c>
      <c r="H58" s="13">
        <v>4765.6000000000004</v>
      </c>
      <c r="I58" s="13">
        <v>5047.6000000000004</v>
      </c>
      <c r="J58" s="13">
        <v>1213.2</v>
      </c>
      <c r="K58" s="13">
        <v>973.90000000000009</v>
      </c>
      <c r="L58" s="13">
        <v>3597.9</v>
      </c>
      <c r="M58" s="13">
        <v>4905.3</v>
      </c>
      <c r="N58" s="13" t="s">
        <v>62</v>
      </c>
      <c r="O58" s="14" t="s">
        <v>62</v>
      </c>
      <c r="P58" s="14" t="s">
        <v>62</v>
      </c>
      <c r="Q58" s="14" t="s">
        <v>62</v>
      </c>
      <c r="R58" s="14" t="s">
        <v>62</v>
      </c>
      <c r="S58" s="14" t="s">
        <v>62</v>
      </c>
      <c r="T58" s="14" t="s">
        <v>62</v>
      </c>
      <c r="U58" s="14" t="s">
        <v>62</v>
      </c>
      <c r="V58" s="14" t="s">
        <v>62</v>
      </c>
      <c r="W58" s="14" t="s">
        <v>62</v>
      </c>
      <c r="X58" s="14" t="s">
        <v>62</v>
      </c>
      <c r="Y58" s="14" t="s">
        <v>62</v>
      </c>
      <c r="Z58" s="14" t="s">
        <v>62</v>
      </c>
      <c r="AA58" s="14" t="s">
        <v>62</v>
      </c>
      <c r="AB58" s="14" t="s">
        <v>62</v>
      </c>
      <c r="AC58" s="14" t="s">
        <v>62</v>
      </c>
      <c r="AD58" s="14" t="s">
        <v>62</v>
      </c>
      <c r="AE58" s="14" t="s">
        <v>62</v>
      </c>
      <c r="AF58" s="14" t="s">
        <v>62</v>
      </c>
      <c r="AG58" s="14" t="s">
        <v>62</v>
      </c>
      <c r="AH58" s="14" t="s">
        <v>62</v>
      </c>
      <c r="AI58" s="14" t="s">
        <v>62</v>
      </c>
      <c r="AJ58" s="14" t="s">
        <v>62</v>
      </c>
      <c r="AK58" s="14" t="s">
        <v>62</v>
      </c>
      <c r="AL58" s="14" t="s">
        <v>62</v>
      </c>
      <c r="AM58" s="14" t="s">
        <v>62</v>
      </c>
      <c r="AN58" s="14" t="s">
        <v>62</v>
      </c>
      <c r="AO58" s="14" t="s">
        <v>62</v>
      </c>
      <c r="AP58" s="14" t="s">
        <v>62</v>
      </c>
      <c r="AQ58" s="14" t="s">
        <v>62</v>
      </c>
      <c r="AR58" s="14" t="s">
        <v>62</v>
      </c>
      <c r="AS58" s="14" t="s">
        <v>62</v>
      </c>
      <c r="AT58" s="14" t="s">
        <v>62</v>
      </c>
      <c r="AU58" s="14" t="s">
        <v>62</v>
      </c>
      <c r="AV58" s="14" t="s">
        <v>62</v>
      </c>
      <c r="AW58" s="14" t="s">
        <v>62</v>
      </c>
      <c r="AX58" s="14" t="s">
        <v>62</v>
      </c>
      <c r="AY58" s="14" t="s">
        <v>62</v>
      </c>
      <c r="AZ58" s="14" t="s">
        <v>62</v>
      </c>
      <c r="BA58" s="14" t="s">
        <v>62</v>
      </c>
      <c r="BB58" s="14" t="s">
        <v>62</v>
      </c>
      <c r="BC58" s="14" t="s">
        <v>62</v>
      </c>
      <c r="BD58" s="14" t="s">
        <v>62</v>
      </c>
      <c r="BE58" s="14" t="s">
        <v>62</v>
      </c>
      <c r="BF58" s="14" t="s">
        <v>62</v>
      </c>
      <c r="BG58" s="14" t="s">
        <v>62</v>
      </c>
      <c r="BH58" s="14" t="s">
        <v>62</v>
      </c>
      <c r="BI58" s="14" t="s">
        <v>62</v>
      </c>
      <c r="BJ58" s="15" t="s">
        <v>62</v>
      </c>
      <c r="BL58" s="10" t="s">
        <v>5</v>
      </c>
      <c r="BM58" s="11">
        <v>0</v>
      </c>
      <c r="BN58" s="13">
        <v>0</v>
      </c>
      <c r="BO58" s="13">
        <v>0</v>
      </c>
      <c r="BP58" s="13">
        <v>0</v>
      </c>
      <c r="BQ58" s="12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394.5</v>
      </c>
      <c r="BX58" s="13">
        <v>0</v>
      </c>
      <c r="BY58" s="13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5"/>
    </row>
    <row r="59" spans="1:125" x14ac:dyDescent="0.3">
      <c r="A59" s="10" t="s">
        <v>6</v>
      </c>
      <c r="B59" s="11">
        <f>1853.1+1457.1+1659.8</f>
        <v>4970</v>
      </c>
      <c r="C59" s="13" t="s">
        <v>62</v>
      </c>
      <c r="D59" s="13" t="s">
        <v>62</v>
      </c>
      <c r="E59" s="13">
        <f>1659.8</f>
        <v>1659.8</v>
      </c>
      <c r="F59" s="13">
        <f>1236.1+1659.8</f>
        <v>2895.8999999999996</v>
      </c>
      <c r="G59" s="12">
        <v>0</v>
      </c>
      <c r="H59" s="13">
        <v>3381.8</v>
      </c>
      <c r="I59" s="13">
        <v>2958.2</v>
      </c>
      <c r="J59" s="13">
        <v>2658.7000000000003</v>
      </c>
      <c r="K59" s="13">
        <v>3300.9999999999995</v>
      </c>
      <c r="L59" s="13" t="s">
        <v>62</v>
      </c>
      <c r="M59" s="13">
        <v>3630.6000000000004</v>
      </c>
      <c r="N59" s="13" t="s">
        <v>62</v>
      </c>
      <c r="O59" s="14" t="s">
        <v>62</v>
      </c>
      <c r="P59" s="14" t="s">
        <v>62</v>
      </c>
      <c r="Q59" s="14" t="s">
        <v>62</v>
      </c>
      <c r="R59" s="14" t="s">
        <v>62</v>
      </c>
      <c r="S59" s="14" t="s">
        <v>62</v>
      </c>
      <c r="T59" s="14" t="s">
        <v>62</v>
      </c>
      <c r="U59" s="14" t="s">
        <v>62</v>
      </c>
      <c r="V59" s="14" t="s">
        <v>62</v>
      </c>
      <c r="W59" s="14" t="s">
        <v>62</v>
      </c>
      <c r="X59" s="14" t="s">
        <v>62</v>
      </c>
      <c r="Y59" s="14" t="s">
        <v>62</v>
      </c>
      <c r="Z59" s="14" t="s">
        <v>62</v>
      </c>
      <c r="AA59" s="14" t="s">
        <v>62</v>
      </c>
      <c r="AB59" s="14" t="s">
        <v>62</v>
      </c>
      <c r="AC59" s="14" t="s">
        <v>62</v>
      </c>
      <c r="AD59" s="14" t="s">
        <v>62</v>
      </c>
      <c r="AE59" s="14" t="s">
        <v>62</v>
      </c>
      <c r="AF59" s="14" t="s">
        <v>62</v>
      </c>
      <c r="AG59" s="14" t="s">
        <v>62</v>
      </c>
      <c r="AH59" s="14" t="s">
        <v>62</v>
      </c>
      <c r="AI59" s="14" t="s">
        <v>62</v>
      </c>
      <c r="AJ59" s="14" t="s">
        <v>62</v>
      </c>
      <c r="AK59" s="14" t="s">
        <v>62</v>
      </c>
      <c r="AL59" s="14" t="s">
        <v>62</v>
      </c>
      <c r="AM59" s="14" t="s">
        <v>62</v>
      </c>
      <c r="AN59" s="14" t="s">
        <v>62</v>
      </c>
      <c r="AO59" s="14" t="s">
        <v>62</v>
      </c>
      <c r="AP59" s="14" t="s">
        <v>62</v>
      </c>
      <c r="AQ59" s="14" t="s">
        <v>62</v>
      </c>
      <c r="AR59" s="14" t="s">
        <v>62</v>
      </c>
      <c r="AS59" s="14" t="s">
        <v>62</v>
      </c>
      <c r="AT59" s="14" t="s">
        <v>62</v>
      </c>
      <c r="AU59" s="14" t="s">
        <v>62</v>
      </c>
      <c r="AV59" s="14" t="s">
        <v>62</v>
      </c>
      <c r="AW59" s="14" t="s">
        <v>62</v>
      </c>
      <c r="AX59" s="14" t="s">
        <v>62</v>
      </c>
      <c r="AY59" s="14" t="s">
        <v>62</v>
      </c>
      <c r="AZ59" s="14" t="s">
        <v>62</v>
      </c>
      <c r="BA59" s="14" t="s">
        <v>62</v>
      </c>
      <c r="BB59" s="14" t="s">
        <v>62</v>
      </c>
      <c r="BC59" s="14" t="s">
        <v>62</v>
      </c>
      <c r="BD59" s="14" t="s">
        <v>62</v>
      </c>
      <c r="BE59" s="14" t="s">
        <v>62</v>
      </c>
      <c r="BF59" s="14" t="s">
        <v>62</v>
      </c>
      <c r="BG59" s="14" t="s">
        <v>62</v>
      </c>
      <c r="BH59" s="14" t="s">
        <v>62</v>
      </c>
      <c r="BI59" s="14" t="s">
        <v>62</v>
      </c>
      <c r="BJ59" s="15" t="s">
        <v>62</v>
      </c>
      <c r="BL59" s="10" t="s">
        <v>6</v>
      </c>
      <c r="BM59" s="11">
        <v>0</v>
      </c>
      <c r="BN59" s="13">
        <v>0</v>
      </c>
      <c r="BO59" s="13">
        <v>0</v>
      </c>
      <c r="BP59" s="13">
        <v>0</v>
      </c>
      <c r="BQ59" s="13">
        <v>0</v>
      </c>
      <c r="BR59" s="12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5"/>
    </row>
    <row r="60" spans="1:125" x14ac:dyDescent="0.3">
      <c r="A60" s="10" t="s">
        <v>63</v>
      </c>
      <c r="B60" s="11">
        <f>1866.3+1236.1+3529.5</f>
        <v>6631.9</v>
      </c>
      <c r="C60" s="13">
        <f>1499.4+3529.5</f>
        <v>5028.8999999999996</v>
      </c>
      <c r="D60" s="13">
        <f>2871.5</f>
        <v>2871.5</v>
      </c>
      <c r="E60" s="13">
        <v>3529.5</v>
      </c>
      <c r="F60" s="13">
        <f>1236.1+3529.5</f>
        <v>4765.6000000000004</v>
      </c>
      <c r="G60" s="13">
        <f>2068.9+1312.9</f>
        <v>3381.8</v>
      </c>
      <c r="H60" s="12">
        <v>0</v>
      </c>
      <c r="I60" s="13">
        <v>2202.1999999999998</v>
      </c>
      <c r="J60" s="13">
        <v>4528.4000000000005</v>
      </c>
      <c r="K60" s="13">
        <v>5170.7000000000007</v>
      </c>
      <c r="L60" s="13" t="s">
        <v>62</v>
      </c>
      <c r="M60" s="13">
        <v>248.8</v>
      </c>
      <c r="N60" s="13" t="s">
        <v>62</v>
      </c>
      <c r="O60" s="14" t="s">
        <v>62</v>
      </c>
      <c r="P60" s="14" t="s">
        <v>62</v>
      </c>
      <c r="Q60" s="14" t="s">
        <v>62</v>
      </c>
      <c r="R60" s="14" t="s">
        <v>62</v>
      </c>
      <c r="S60" s="14" t="s">
        <v>62</v>
      </c>
      <c r="T60" s="14" t="s">
        <v>62</v>
      </c>
      <c r="U60" s="14" t="s">
        <v>62</v>
      </c>
      <c r="V60" s="14" t="s">
        <v>62</v>
      </c>
      <c r="W60" s="14" t="s">
        <v>62</v>
      </c>
      <c r="X60" s="14" t="s">
        <v>62</v>
      </c>
      <c r="Y60" s="14" t="s">
        <v>62</v>
      </c>
      <c r="Z60" s="14" t="s">
        <v>62</v>
      </c>
      <c r="AA60" s="14" t="s">
        <v>62</v>
      </c>
      <c r="AB60" s="14" t="s">
        <v>62</v>
      </c>
      <c r="AC60" s="14" t="s">
        <v>62</v>
      </c>
      <c r="AD60" s="14" t="s">
        <v>62</v>
      </c>
      <c r="AE60" s="14" t="s">
        <v>62</v>
      </c>
      <c r="AF60" s="14" t="s">
        <v>62</v>
      </c>
      <c r="AG60" s="14" t="s">
        <v>62</v>
      </c>
      <c r="AH60" s="14" t="s">
        <v>62</v>
      </c>
      <c r="AI60" s="14" t="s">
        <v>62</v>
      </c>
      <c r="AJ60" s="14" t="s">
        <v>62</v>
      </c>
      <c r="AK60" s="14" t="s">
        <v>62</v>
      </c>
      <c r="AL60" s="14" t="s">
        <v>62</v>
      </c>
      <c r="AM60" s="14" t="s">
        <v>62</v>
      </c>
      <c r="AN60" s="14" t="s">
        <v>62</v>
      </c>
      <c r="AO60" s="14" t="s">
        <v>62</v>
      </c>
      <c r="AP60" s="14" t="s">
        <v>62</v>
      </c>
      <c r="AQ60" s="14" t="s">
        <v>62</v>
      </c>
      <c r="AR60" s="14" t="s">
        <v>62</v>
      </c>
      <c r="AS60" s="14" t="s">
        <v>62</v>
      </c>
      <c r="AT60" s="14" t="s">
        <v>62</v>
      </c>
      <c r="AU60" s="14" t="s">
        <v>62</v>
      </c>
      <c r="AV60" s="14" t="s">
        <v>62</v>
      </c>
      <c r="AW60" s="14" t="s">
        <v>62</v>
      </c>
      <c r="AX60" s="14" t="s">
        <v>62</v>
      </c>
      <c r="AY60" s="14" t="s">
        <v>62</v>
      </c>
      <c r="AZ60" s="14" t="s">
        <v>62</v>
      </c>
      <c r="BA60" s="14" t="s">
        <v>62</v>
      </c>
      <c r="BB60" s="14" t="s">
        <v>62</v>
      </c>
      <c r="BC60" s="14" t="s">
        <v>62</v>
      </c>
      <c r="BD60" s="14" t="s">
        <v>62</v>
      </c>
      <c r="BE60" s="14" t="s">
        <v>62</v>
      </c>
      <c r="BF60" s="14" t="s">
        <v>62</v>
      </c>
      <c r="BG60" s="14" t="s">
        <v>62</v>
      </c>
      <c r="BH60" s="14" t="s">
        <v>62</v>
      </c>
      <c r="BI60" s="14" t="s">
        <v>62</v>
      </c>
      <c r="BJ60" s="15" t="s">
        <v>62</v>
      </c>
      <c r="BL60" s="10" t="s">
        <v>63</v>
      </c>
      <c r="BM60" s="11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2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5"/>
    </row>
    <row r="61" spans="1:125" x14ac:dyDescent="0.3">
      <c r="A61" s="10" t="s">
        <v>8</v>
      </c>
      <c r="B61" s="11">
        <f>1853.1+1839.1+3195.2</f>
        <v>6887.4</v>
      </c>
      <c r="C61" s="13">
        <v>3195.2</v>
      </c>
      <c r="D61" s="13" t="s">
        <v>62</v>
      </c>
      <c r="E61" s="13">
        <v>4365.8</v>
      </c>
      <c r="F61" s="13">
        <f>1852.4+3195.2</f>
        <v>5047.6000000000004</v>
      </c>
      <c r="G61" s="13">
        <f>2068.9+889.3</f>
        <v>2958.2</v>
      </c>
      <c r="H61" s="13">
        <f>2202.2</f>
        <v>2202.1999999999998</v>
      </c>
      <c r="I61" s="12">
        <v>0</v>
      </c>
      <c r="J61" s="13" t="s">
        <v>62</v>
      </c>
      <c r="K61" s="13">
        <v>6007</v>
      </c>
      <c r="L61" s="13">
        <v>3164</v>
      </c>
      <c r="M61" s="13">
        <v>2202.1999999999998</v>
      </c>
      <c r="N61" s="13" t="s">
        <v>62</v>
      </c>
      <c r="O61" s="14" t="s">
        <v>62</v>
      </c>
      <c r="P61" s="14" t="s">
        <v>62</v>
      </c>
      <c r="Q61" s="14" t="s">
        <v>62</v>
      </c>
      <c r="R61" s="14" t="s">
        <v>62</v>
      </c>
      <c r="S61" s="14" t="s">
        <v>62</v>
      </c>
      <c r="T61" s="14" t="s">
        <v>62</v>
      </c>
      <c r="U61" s="14" t="s">
        <v>62</v>
      </c>
      <c r="V61" s="14" t="s">
        <v>62</v>
      </c>
      <c r="W61" s="14" t="s">
        <v>62</v>
      </c>
      <c r="X61" s="14" t="s">
        <v>62</v>
      </c>
      <c r="Y61" s="14" t="s">
        <v>62</v>
      </c>
      <c r="Z61" s="14" t="s">
        <v>62</v>
      </c>
      <c r="AA61" s="14" t="s">
        <v>62</v>
      </c>
      <c r="AB61" s="14" t="s">
        <v>62</v>
      </c>
      <c r="AC61" s="14" t="s">
        <v>62</v>
      </c>
      <c r="AD61" s="14" t="s">
        <v>62</v>
      </c>
      <c r="AE61" s="14" t="s">
        <v>62</v>
      </c>
      <c r="AF61" s="14" t="s">
        <v>62</v>
      </c>
      <c r="AG61" s="14" t="s">
        <v>62</v>
      </c>
      <c r="AH61" s="14" t="s">
        <v>62</v>
      </c>
      <c r="AI61" s="14" t="s">
        <v>62</v>
      </c>
      <c r="AJ61" s="14" t="s">
        <v>62</v>
      </c>
      <c r="AK61" s="14" t="s">
        <v>62</v>
      </c>
      <c r="AL61" s="14" t="s">
        <v>62</v>
      </c>
      <c r="AM61" s="14" t="s">
        <v>62</v>
      </c>
      <c r="AN61" s="14" t="s">
        <v>62</v>
      </c>
      <c r="AO61" s="14" t="s">
        <v>62</v>
      </c>
      <c r="AP61" s="14" t="s">
        <v>62</v>
      </c>
      <c r="AQ61" s="14" t="s">
        <v>62</v>
      </c>
      <c r="AR61" s="14" t="s">
        <v>62</v>
      </c>
      <c r="AS61" s="14" t="s">
        <v>62</v>
      </c>
      <c r="AT61" s="14" t="s">
        <v>62</v>
      </c>
      <c r="AU61" s="14" t="s">
        <v>62</v>
      </c>
      <c r="AV61" s="14" t="s">
        <v>62</v>
      </c>
      <c r="AW61" s="14" t="s">
        <v>62</v>
      </c>
      <c r="AX61" s="14" t="s">
        <v>62</v>
      </c>
      <c r="AY61" s="14" t="s">
        <v>62</v>
      </c>
      <c r="AZ61" s="14" t="s">
        <v>62</v>
      </c>
      <c r="BA61" s="14" t="s">
        <v>62</v>
      </c>
      <c r="BB61" s="14" t="s">
        <v>62</v>
      </c>
      <c r="BC61" s="14" t="s">
        <v>62</v>
      </c>
      <c r="BD61" s="14" t="s">
        <v>62</v>
      </c>
      <c r="BE61" s="14" t="s">
        <v>62</v>
      </c>
      <c r="BF61" s="14" t="s">
        <v>62</v>
      </c>
      <c r="BG61" s="14" t="s">
        <v>62</v>
      </c>
      <c r="BH61" s="14" t="s">
        <v>62</v>
      </c>
      <c r="BI61" s="14" t="s">
        <v>62</v>
      </c>
      <c r="BJ61" s="15" t="s">
        <v>62</v>
      </c>
      <c r="BL61" s="10" t="s">
        <v>8</v>
      </c>
      <c r="BM61" s="11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2">
        <v>0</v>
      </c>
      <c r="BU61" s="13">
        <v>0</v>
      </c>
      <c r="BV61" s="13">
        <v>0</v>
      </c>
      <c r="BW61" s="13">
        <v>394.5</v>
      </c>
      <c r="BX61" s="13">
        <v>0</v>
      </c>
      <c r="BY61" s="13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5"/>
    </row>
    <row r="62" spans="1:125" x14ac:dyDescent="0.3">
      <c r="A62" s="10" t="s">
        <v>64</v>
      </c>
      <c r="B62" s="11">
        <f>2224.9+844.9</f>
        <v>3069.8</v>
      </c>
      <c r="C62" s="13">
        <f>2210.9+879.1</f>
        <v>3090</v>
      </c>
      <c r="D62" s="13">
        <f>658+846.6+152.3</f>
        <v>1656.8999999999999</v>
      </c>
      <c r="E62" s="13">
        <f>846.6+186.5</f>
        <v>1033.0999999999999</v>
      </c>
      <c r="F62" s="13">
        <f>360.8+844.9+7.5</f>
        <v>1213.2</v>
      </c>
      <c r="G62" s="13">
        <f>1659.8+846.6+152.3</f>
        <v>2658.7000000000003</v>
      </c>
      <c r="H62" s="13">
        <f>3529.5+846.6+152.3</f>
        <v>4528.4000000000005</v>
      </c>
      <c r="I62" s="13" t="s">
        <v>62</v>
      </c>
      <c r="J62" s="12">
        <v>0</v>
      </c>
      <c r="K62" s="13">
        <v>564.9</v>
      </c>
      <c r="L62" s="13" t="s">
        <v>62</v>
      </c>
      <c r="M62" s="13">
        <v>4668.1000000000004</v>
      </c>
      <c r="N62" s="13" t="s">
        <v>62</v>
      </c>
      <c r="O62" s="14" t="s">
        <v>62</v>
      </c>
      <c r="P62" s="14" t="s">
        <v>62</v>
      </c>
      <c r="Q62" s="14" t="s">
        <v>62</v>
      </c>
      <c r="R62" s="14" t="s">
        <v>62</v>
      </c>
      <c r="S62" s="14" t="s">
        <v>62</v>
      </c>
      <c r="T62" s="14" t="s">
        <v>62</v>
      </c>
      <c r="U62" s="14" t="s">
        <v>62</v>
      </c>
      <c r="V62" s="14" t="s">
        <v>62</v>
      </c>
      <c r="W62" s="14" t="s">
        <v>62</v>
      </c>
      <c r="X62" s="14" t="s">
        <v>62</v>
      </c>
      <c r="Y62" s="14" t="s">
        <v>62</v>
      </c>
      <c r="Z62" s="14" t="s">
        <v>62</v>
      </c>
      <c r="AA62" s="14" t="s">
        <v>62</v>
      </c>
      <c r="AB62" s="14" t="s">
        <v>62</v>
      </c>
      <c r="AC62" s="14" t="s">
        <v>62</v>
      </c>
      <c r="AD62" s="14" t="s">
        <v>62</v>
      </c>
      <c r="AE62" s="14" t="s">
        <v>62</v>
      </c>
      <c r="AF62" s="14" t="s">
        <v>62</v>
      </c>
      <c r="AG62" s="14" t="s">
        <v>62</v>
      </c>
      <c r="AH62" s="14" t="s">
        <v>62</v>
      </c>
      <c r="AI62" s="14" t="s">
        <v>62</v>
      </c>
      <c r="AJ62" s="14" t="s">
        <v>62</v>
      </c>
      <c r="AK62" s="14" t="s">
        <v>62</v>
      </c>
      <c r="AL62" s="14" t="s">
        <v>62</v>
      </c>
      <c r="AM62" s="14" t="s">
        <v>62</v>
      </c>
      <c r="AN62" s="14" t="s">
        <v>62</v>
      </c>
      <c r="AO62" s="14" t="s">
        <v>62</v>
      </c>
      <c r="AP62" s="14" t="s">
        <v>62</v>
      </c>
      <c r="AQ62" s="14" t="s">
        <v>62</v>
      </c>
      <c r="AR62" s="14" t="s">
        <v>62</v>
      </c>
      <c r="AS62" s="14" t="s">
        <v>62</v>
      </c>
      <c r="AT62" s="14" t="s">
        <v>62</v>
      </c>
      <c r="AU62" s="14" t="s">
        <v>62</v>
      </c>
      <c r="AV62" s="14" t="s">
        <v>62</v>
      </c>
      <c r="AW62" s="14" t="s">
        <v>62</v>
      </c>
      <c r="AX62" s="14" t="s">
        <v>62</v>
      </c>
      <c r="AY62" s="14" t="s">
        <v>62</v>
      </c>
      <c r="AZ62" s="14" t="s">
        <v>62</v>
      </c>
      <c r="BA62" s="14" t="s">
        <v>62</v>
      </c>
      <c r="BB62" s="14" t="s">
        <v>62</v>
      </c>
      <c r="BC62" s="14" t="s">
        <v>62</v>
      </c>
      <c r="BD62" s="14" t="s">
        <v>62</v>
      </c>
      <c r="BE62" s="14" t="s">
        <v>62</v>
      </c>
      <c r="BF62" s="14" t="s">
        <v>62</v>
      </c>
      <c r="BG62" s="14" t="s">
        <v>62</v>
      </c>
      <c r="BH62" s="14" t="s">
        <v>62</v>
      </c>
      <c r="BI62" s="14" t="s">
        <v>62</v>
      </c>
      <c r="BJ62" s="15" t="s">
        <v>62</v>
      </c>
      <c r="BL62" s="10" t="s">
        <v>64</v>
      </c>
      <c r="BM62" s="11">
        <v>0</v>
      </c>
      <c r="BN62" s="13">
        <v>0</v>
      </c>
      <c r="BO62" s="13">
        <v>0</v>
      </c>
      <c r="BP62" s="13">
        <v>0</v>
      </c>
      <c r="BQ62" s="13">
        <v>0</v>
      </c>
      <c r="BR62" s="13">
        <v>0</v>
      </c>
      <c r="BS62" s="13">
        <v>0</v>
      </c>
      <c r="BT62" s="13">
        <v>0</v>
      </c>
      <c r="BU62" s="12">
        <v>0</v>
      </c>
      <c r="BV62" s="13">
        <v>0</v>
      </c>
      <c r="BW62" s="13">
        <v>0</v>
      </c>
      <c r="BX62" s="13">
        <v>0</v>
      </c>
      <c r="BY62" s="13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5"/>
    </row>
    <row r="63" spans="1:125" x14ac:dyDescent="0.3">
      <c r="A63" s="10" t="s">
        <v>10</v>
      </c>
      <c r="B63" s="11">
        <f>2224.9+613.1</f>
        <v>2838</v>
      </c>
      <c r="C63" s="13">
        <f>2210.9+613.1</f>
        <v>2824</v>
      </c>
      <c r="D63" s="13">
        <f>658+1283.6+357.6</f>
        <v>2299.1999999999998</v>
      </c>
      <c r="E63" s="13">
        <f>1283.6+357.6</f>
        <v>1641.1999999999998</v>
      </c>
      <c r="F63" s="13">
        <f>360.8+613.1</f>
        <v>973.90000000000009</v>
      </c>
      <c r="G63" s="13">
        <f>1659.8+1283.6+357.6</f>
        <v>3300.9999999999995</v>
      </c>
      <c r="H63" s="13">
        <f>3529.5+1283.6+357.6</f>
        <v>5170.7000000000007</v>
      </c>
      <c r="I63" s="13">
        <f>4365.8+1283.6+357.6</f>
        <v>6007</v>
      </c>
      <c r="J63" s="13">
        <f>29.3+535.6</f>
        <v>564.9</v>
      </c>
      <c r="K63" s="12">
        <v>0</v>
      </c>
      <c r="L63" s="13" t="s">
        <v>62</v>
      </c>
      <c r="M63" s="13">
        <v>5310.4000000000005</v>
      </c>
      <c r="N63" s="13" t="s">
        <v>62</v>
      </c>
      <c r="O63" s="14" t="s">
        <v>62</v>
      </c>
      <c r="P63" s="14" t="s">
        <v>62</v>
      </c>
      <c r="Q63" s="14" t="s">
        <v>62</v>
      </c>
      <c r="R63" s="14" t="s">
        <v>62</v>
      </c>
      <c r="S63" s="14" t="s">
        <v>62</v>
      </c>
      <c r="T63" s="14" t="s">
        <v>62</v>
      </c>
      <c r="U63" s="14" t="s">
        <v>62</v>
      </c>
      <c r="V63" s="14" t="s">
        <v>62</v>
      </c>
      <c r="W63" s="14" t="s">
        <v>62</v>
      </c>
      <c r="X63" s="14" t="s">
        <v>62</v>
      </c>
      <c r="Y63" s="14" t="s">
        <v>62</v>
      </c>
      <c r="Z63" s="14" t="s">
        <v>62</v>
      </c>
      <c r="AA63" s="14" t="s">
        <v>62</v>
      </c>
      <c r="AB63" s="14" t="s">
        <v>62</v>
      </c>
      <c r="AC63" s="14" t="s">
        <v>62</v>
      </c>
      <c r="AD63" s="14" t="s">
        <v>62</v>
      </c>
      <c r="AE63" s="14" t="s">
        <v>62</v>
      </c>
      <c r="AF63" s="14" t="s">
        <v>62</v>
      </c>
      <c r="AG63" s="14" t="s">
        <v>62</v>
      </c>
      <c r="AH63" s="14" t="s">
        <v>62</v>
      </c>
      <c r="AI63" s="14" t="s">
        <v>62</v>
      </c>
      <c r="AJ63" s="14" t="s">
        <v>62</v>
      </c>
      <c r="AK63" s="14" t="s">
        <v>62</v>
      </c>
      <c r="AL63" s="14" t="s">
        <v>62</v>
      </c>
      <c r="AM63" s="14" t="s">
        <v>62</v>
      </c>
      <c r="AN63" s="14" t="s">
        <v>62</v>
      </c>
      <c r="AO63" s="14" t="s">
        <v>62</v>
      </c>
      <c r="AP63" s="14" t="s">
        <v>62</v>
      </c>
      <c r="AQ63" s="14" t="s">
        <v>62</v>
      </c>
      <c r="AR63" s="14" t="s">
        <v>62</v>
      </c>
      <c r="AS63" s="14" t="s">
        <v>62</v>
      </c>
      <c r="AT63" s="14" t="s">
        <v>62</v>
      </c>
      <c r="AU63" s="14" t="s">
        <v>62</v>
      </c>
      <c r="AV63" s="14" t="s">
        <v>62</v>
      </c>
      <c r="AW63" s="14" t="s">
        <v>62</v>
      </c>
      <c r="AX63" s="14" t="s">
        <v>62</v>
      </c>
      <c r="AY63" s="14" t="s">
        <v>62</v>
      </c>
      <c r="AZ63" s="14" t="s">
        <v>62</v>
      </c>
      <c r="BA63" s="14" t="s">
        <v>62</v>
      </c>
      <c r="BB63" s="14" t="s">
        <v>62</v>
      </c>
      <c r="BC63" s="14" t="s">
        <v>62</v>
      </c>
      <c r="BD63" s="14" t="s">
        <v>62</v>
      </c>
      <c r="BE63" s="14" t="s">
        <v>62</v>
      </c>
      <c r="BF63" s="14" t="s">
        <v>62</v>
      </c>
      <c r="BG63" s="14" t="s">
        <v>62</v>
      </c>
      <c r="BH63" s="14" t="s">
        <v>62</v>
      </c>
      <c r="BI63" s="14" t="s">
        <v>62</v>
      </c>
      <c r="BJ63" s="15" t="s">
        <v>62</v>
      </c>
      <c r="BL63" s="10" t="s">
        <v>10</v>
      </c>
      <c r="BM63" s="11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2">
        <v>0</v>
      </c>
      <c r="BW63" s="13">
        <v>0</v>
      </c>
      <c r="BX63" s="13">
        <v>0</v>
      </c>
      <c r="BY63" s="13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5"/>
    </row>
    <row r="64" spans="1:125" x14ac:dyDescent="0.3">
      <c r="A64" s="10" t="s">
        <v>11</v>
      </c>
      <c r="B64" s="11">
        <f>1866.3+1236.1+2361.8</f>
        <v>5464.2</v>
      </c>
      <c r="C64" s="13">
        <f>1499.4+2361.8</f>
        <v>3861.2000000000003</v>
      </c>
      <c r="D64" s="13">
        <f>1702.8</f>
        <v>1702.8</v>
      </c>
      <c r="E64" s="13">
        <f>2361.8</f>
        <v>2361.8000000000002</v>
      </c>
      <c r="F64" s="13">
        <f>1236.1+2361.8</f>
        <v>3597.9</v>
      </c>
      <c r="G64" s="13" t="s">
        <v>62</v>
      </c>
      <c r="H64" s="13" t="s">
        <v>62</v>
      </c>
      <c r="I64" s="13">
        <f>1918+1246</f>
        <v>3164</v>
      </c>
      <c r="J64" s="13" t="s">
        <v>62</v>
      </c>
      <c r="K64" s="13" t="s">
        <v>62</v>
      </c>
      <c r="L64" s="12">
        <v>0</v>
      </c>
      <c r="M64" s="13" t="s">
        <v>62</v>
      </c>
      <c r="N64" s="13" t="s">
        <v>62</v>
      </c>
      <c r="O64" s="14" t="s">
        <v>62</v>
      </c>
      <c r="P64" s="14" t="s">
        <v>62</v>
      </c>
      <c r="Q64" s="14" t="s">
        <v>62</v>
      </c>
      <c r="R64" s="14" t="s">
        <v>62</v>
      </c>
      <c r="S64" s="14" t="s">
        <v>62</v>
      </c>
      <c r="T64" s="14" t="s">
        <v>62</v>
      </c>
      <c r="U64" s="14" t="s">
        <v>62</v>
      </c>
      <c r="V64" s="14" t="s">
        <v>62</v>
      </c>
      <c r="W64" s="14" t="s">
        <v>62</v>
      </c>
      <c r="X64" s="14" t="s">
        <v>62</v>
      </c>
      <c r="Y64" s="14" t="s">
        <v>62</v>
      </c>
      <c r="Z64" s="14" t="s">
        <v>62</v>
      </c>
      <c r="AA64" s="14" t="s">
        <v>62</v>
      </c>
      <c r="AB64" s="14" t="s">
        <v>62</v>
      </c>
      <c r="AC64" s="14" t="s">
        <v>62</v>
      </c>
      <c r="AD64" s="14" t="s">
        <v>62</v>
      </c>
      <c r="AE64" s="14" t="s">
        <v>62</v>
      </c>
      <c r="AF64" s="14" t="s">
        <v>62</v>
      </c>
      <c r="AG64" s="14" t="s">
        <v>62</v>
      </c>
      <c r="AH64" s="14" t="s">
        <v>62</v>
      </c>
      <c r="AI64" s="14" t="s">
        <v>62</v>
      </c>
      <c r="AJ64" s="14" t="s">
        <v>62</v>
      </c>
      <c r="AK64" s="14" t="s">
        <v>62</v>
      </c>
      <c r="AL64" s="14" t="s">
        <v>62</v>
      </c>
      <c r="AM64" s="14" t="s">
        <v>62</v>
      </c>
      <c r="AN64" s="14" t="s">
        <v>62</v>
      </c>
      <c r="AO64" s="14" t="s">
        <v>62</v>
      </c>
      <c r="AP64" s="14" t="s">
        <v>62</v>
      </c>
      <c r="AQ64" s="14" t="s">
        <v>62</v>
      </c>
      <c r="AR64" s="14" t="s">
        <v>62</v>
      </c>
      <c r="AS64" s="14" t="s">
        <v>62</v>
      </c>
      <c r="AT64" s="14" t="s">
        <v>62</v>
      </c>
      <c r="AU64" s="14" t="s">
        <v>62</v>
      </c>
      <c r="AV64" s="14" t="s">
        <v>62</v>
      </c>
      <c r="AW64" s="14" t="s">
        <v>62</v>
      </c>
      <c r="AX64" s="14" t="s">
        <v>62</v>
      </c>
      <c r="AY64" s="14" t="s">
        <v>62</v>
      </c>
      <c r="AZ64" s="14" t="s">
        <v>62</v>
      </c>
      <c r="BA64" s="14" t="s">
        <v>62</v>
      </c>
      <c r="BB64" s="14" t="s">
        <v>62</v>
      </c>
      <c r="BC64" s="14" t="s">
        <v>62</v>
      </c>
      <c r="BD64" s="14" t="s">
        <v>62</v>
      </c>
      <c r="BE64" s="14" t="s">
        <v>62</v>
      </c>
      <c r="BF64" s="14" t="s">
        <v>62</v>
      </c>
      <c r="BG64" s="14" t="s">
        <v>62</v>
      </c>
      <c r="BH64" s="14" t="s">
        <v>62</v>
      </c>
      <c r="BI64" s="14" t="s">
        <v>62</v>
      </c>
      <c r="BJ64" s="15" t="s">
        <v>62</v>
      </c>
      <c r="BL64" s="10" t="s">
        <v>11</v>
      </c>
      <c r="BM64" s="11">
        <f>59.1+112.7+222.7</f>
        <v>394.5</v>
      </c>
      <c r="BN64" s="13">
        <f>59.1+112.7+222.7</f>
        <v>394.5</v>
      </c>
      <c r="BO64" s="13">
        <f>59.1+112.7+222.7</f>
        <v>394.5</v>
      </c>
      <c r="BP64" s="13">
        <f>59.1+112.7+222.7</f>
        <v>394.5</v>
      </c>
      <c r="BQ64" s="13">
        <f>59.1+112.7+222.7</f>
        <v>394.5</v>
      </c>
      <c r="BR64" s="13">
        <v>0</v>
      </c>
      <c r="BS64" s="13">
        <v>0</v>
      </c>
      <c r="BT64" s="13">
        <f>59.1+112.7+222.7</f>
        <v>394.5</v>
      </c>
      <c r="BU64" s="13">
        <v>0</v>
      </c>
      <c r="BV64" s="13">
        <v>0</v>
      </c>
      <c r="BW64" s="12">
        <v>0</v>
      </c>
      <c r="BX64" s="13">
        <v>0</v>
      </c>
      <c r="BY64" s="13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5"/>
    </row>
    <row r="65" spans="1:125" x14ac:dyDescent="0.3">
      <c r="A65" s="10" t="s">
        <v>12</v>
      </c>
      <c r="B65" s="11">
        <f>1866.3+1236.1+3474.9+194.3</f>
        <v>6771.5999999999995</v>
      </c>
      <c r="C65" s="13">
        <f>1499.4+3474.9+194.3</f>
        <v>5168.6000000000004</v>
      </c>
      <c r="D65" s="13">
        <f>2817+194.3</f>
        <v>3011.3</v>
      </c>
      <c r="E65" s="13">
        <f>3474.9+194.3</f>
        <v>3669.2000000000003</v>
      </c>
      <c r="F65" s="13">
        <f>1236.1+3474.9+194.3</f>
        <v>4905.3</v>
      </c>
      <c r="G65" s="13">
        <f>2068.9+1312.9+248.8</f>
        <v>3630.6000000000004</v>
      </c>
      <c r="H65" s="13">
        <v>248.8</v>
      </c>
      <c r="I65" s="13">
        <f>2202.2</f>
        <v>2202.1999999999998</v>
      </c>
      <c r="J65" s="13">
        <f>152.3+846.6+3474.9+194.3</f>
        <v>4668.1000000000004</v>
      </c>
      <c r="K65" s="13">
        <f>357.6+1283.6+3474.9+194.3</f>
        <v>5310.4000000000005</v>
      </c>
      <c r="L65" s="13" t="s">
        <v>62</v>
      </c>
      <c r="M65" s="12">
        <v>0</v>
      </c>
      <c r="N65" s="13" t="s">
        <v>62</v>
      </c>
      <c r="O65" s="14" t="s">
        <v>62</v>
      </c>
      <c r="P65" s="14" t="s">
        <v>62</v>
      </c>
      <c r="Q65" s="14" t="s">
        <v>62</v>
      </c>
      <c r="R65" s="14" t="s">
        <v>62</v>
      </c>
      <c r="S65" s="14" t="s">
        <v>62</v>
      </c>
      <c r="T65" s="14" t="s">
        <v>62</v>
      </c>
      <c r="U65" s="14" t="s">
        <v>62</v>
      </c>
      <c r="V65" s="14" t="s">
        <v>62</v>
      </c>
      <c r="W65" s="14" t="s">
        <v>62</v>
      </c>
      <c r="X65" s="14" t="s">
        <v>62</v>
      </c>
      <c r="Y65" s="14" t="s">
        <v>62</v>
      </c>
      <c r="Z65" s="14" t="s">
        <v>62</v>
      </c>
      <c r="AA65" s="14" t="s">
        <v>62</v>
      </c>
      <c r="AB65" s="14" t="s">
        <v>62</v>
      </c>
      <c r="AC65" s="14" t="s">
        <v>62</v>
      </c>
      <c r="AD65" s="14" t="s">
        <v>62</v>
      </c>
      <c r="AE65" s="14" t="s">
        <v>62</v>
      </c>
      <c r="AF65" s="14" t="s">
        <v>62</v>
      </c>
      <c r="AG65" s="14" t="s">
        <v>62</v>
      </c>
      <c r="AH65" s="14" t="s">
        <v>62</v>
      </c>
      <c r="AI65" s="14" t="s">
        <v>62</v>
      </c>
      <c r="AJ65" s="14" t="s">
        <v>62</v>
      </c>
      <c r="AK65" s="14" t="s">
        <v>62</v>
      </c>
      <c r="AL65" s="14" t="s">
        <v>62</v>
      </c>
      <c r="AM65" s="14" t="s">
        <v>62</v>
      </c>
      <c r="AN65" s="14" t="s">
        <v>62</v>
      </c>
      <c r="AO65" s="14" t="s">
        <v>62</v>
      </c>
      <c r="AP65" s="14" t="s">
        <v>62</v>
      </c>
      <c r="AQ65" s="14" t="s">
        <v>62</v>
      </c>
      <c r="AR65" s="14" t="s">
        <v>62</v>
      </c>
      <c r="AS65" s="14" t="s">
        <v>62</v>
      </c>
      <c r="AT65" s="14" t="s">
        <v>62</v>
      </c>
      <c r="AU65" s="14" t="s">
        <v>62</v>
      </c>
      <c r="AV65" s="14" t="s">
        <v>62</v>
      </c>
      <c r="AW65" s="14" t="s">
        <v>62</v>
      </c>
      <c r="AX65" s="14" t="s">
        <v>62</v>
      </c>
      <c r="AY65" s="14" t="s">
        <v>62</v>
      </c>
      <c r="AZ65" s="14" t="s">
        <v>62</v>
      </c>
      <c r="BA65" s="14" t="s">
        <v>62</v>
      </c>
      <c r="BB65" s="14" t="s">
        <v>62</v>
      </c>
      <c r="BC65" s="14" t="s">
        <v>62</v>
      </c>
      <c r="BD65" s="14" t="s">
        <v>62</v>
      </c>
      <c r="BE65" s="14" t="s">
        <v>62</v>
      </c>
      <c r="BF65" s="14" t="s">
        <v>62</v>
      </c>
      <c r="BG65" s="14" t="s">
        <v>62</v>
      </c>
      <c r="BH65" s="14" t="s">
        <v>62</v>
      </c>
      <c r="BI65" s="14" t="s">
        <v>62</v>
      </c>
      <c r="BJ65" s="15" t="s">
        <v>62</v>
      </c>
      <c r="BL65" s="10" t="s">
        <v>12</v>
      </c>
      <c r="BM65" s="11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2">
        <v>0</v>
      </c>
      <c r="BY65" s="13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5"/>
    </row>
    <row r="66" spans="1:125" x14ac:dyDescent="0.3">
      <c r="A66" s="10" t="s">
        <v>13</v>
      </c>
      <c r="B66" s="11" t="s">
        <v>62</v>
      </c>
      <c r="C66" s="13" t="s">
        <v>62</v>
      </c>
      <c r="D66" s="13" t="s">
        <v>62</v>
      </c>
      <c r="E66" s="13" t="s">
        <v>62</v>
      </c>
      <c r="F66" s="13" t="s">
        <v>62</v>
      </c>
      <c r="G66" s="13" t="s">
        <v>62</v>
      </c>
      <c r="H66" s="13" t="s">
        <v>62</v>
      </c>
      <c r="I66" s="13" t="s">
        <v>62</v>
      </c>
      <c r="J66" s="13" t="s">
        <v>62</v>
      </c>
      <c r="K66" s="13" t="s">
        <v>62</v>
      </c>
      <c r="L66" s="13" t="s">
        <v>62</v>
      </c>
      <c r="M66" s="13" t="s">
        <v>62</v>
      </c>
      <c r="N66" s="12">
        <v>0</v>
      </c>
      <c r="O66" s="14" t="s">
        <v>62</v>
      </c>
      <c r="P66" s="14" t="s">
        <v>62</v>
      </c>
      <c r="Q66" s="14" t="s">
        <v>62</v>
      </c>
      <c r="R66" s="14" t="s">
        <v>62</v>
      </c>
      <c r="S66" s="14" t="s">
        <v>62</v>
      </c>
      <c r="T66" s="14" t="s">
        <v>62</v>
      </c>
      <c r="U66" s="14" t="s">
        <v>62</v>
      </c>
      <c r="V66" s="14" t="s">
        <v>62</v>
      </c>
      <c r="W66" s="14" t="s">
        <v>62</v>
      </c>
      <c r="X66" s="14" t="s">
        <v>62</v>
      </c>
      <c r="Y66" s="14" t="s">
        <v>62</v>
      </c>
      <c r="Z66" s="14" t="s">
        <v>62</v>
      </c>
      <c r="AA66" s="14" t="s">
        <v>62</v>
      </c>
      <c r="AB66" s="14" t="s">
        <v>62</v>
      </c>
      <c r="AC66" s="14" t="s">
        <v>62</v>
      </c>
      <c r="AD66" s="14" t="s">
        <v>62</v>
      </c>
      <c r="AE66" s="14" t="s">
        <v>62</v>
      </c>
      <c r="AF66" s="14" t="s">
        <v>62</v>
      </c>
      <c r="AG66" s="14" t="s">
        <v>62</v>
      </c>
      <c r="AH66" s="14" t="s">
        <v>62</v>
      </c>
      <c r="AI66" s="14" t="s">
        <v>62</v>
      </c>
      <c r="AJ66" s="14" t="s">
        <v>62</v>
      </c>
      <c r="AK66" s="14" t="s">
        <v>62</v>
      </c>
      <c r="AL66" s="14" t="s">
        <v>62</v>
      </c>
      <c r="AM66" s="14" t="s">
        <v>62</v>
      </c>
      <c r="AN66" s="14" t="s">
        <v>62</v>
      </c>
      <c r="AO66" s="14" t="s">
        <v>62</v>
      </c>
      <c r="AP66" s="14" t="s">
        <v>62</v>
      </c>
      <c r="AQ66" s="14" t="s">
        <v>62</v>
      </c>
      <c r="AR66" s="14" t="s">
        <v>62</v>
      </c>
      <c r="AS66" s="14" t="s">
        <v>62</v>
      </c>
      <c r="AT66" s="14" t="s">
        <v>62</v>
      </c>
      <c r="AU66" s="14" t="s">
        <v>62</v>
      </c>
      <c r="AV66" s="14" t="s">
        <v>62</v>
      </c>
      <c r="AW66" s="14" t="s">
        <v>62</v>
      </c>
      <c r="AX66" s="14" t="s">
        <v>62</v>
      </c>
      <c r="AY66" s="14" t="s">
        <v>62</v>
      </c>
      <c r="AZ66" s="14" t="s">
        <v>62</v>
      </c>
      <c r="BA66" s="14" t="s">
        <v>62</v>
      </c>
      <c r="BB66" s="14" t="s">
        <v>62</v>
      </c>
      <c r="BC66" s="14" t="s">
        <v>62</v>
      </c>
      <c r="BD66" s="14" t="s">
        <v>62</v>
      </c>
      <c r="BE66" s="14" t="s">
        <v>62</v>
      </c>
      <c r="BF66" s="14" t="s">
        <v>62</v>
      </c>
      <c r="BG66" s="14" t="s">
        <v>62</v>
      </c>
      <c r="BH66" s="14" t="s">
        <v>62</v>
      </c>
      <c r="BI66" s="14" t="s">
        <v>62</v>
      </c>
      <c r="BJ66" s="15" t="s">
        <v>62</v>
      </c>
      <c r="BL66" s="10" t="s">
        <v>13</v>
      </c>
      <c r="BM66" s="11">
        <v>0</v>
      </c>
      <c r="BN66" s="13">
        <v>0</v>
      </c>
      <c r="BO66" s="13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2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5"/>
    </row>
    <row r="67" spans="1:125" x14ac:dyDescent="0.3">
      <c r="A67" s="10" t="s">
        <v>14</v>
      </c>
      <c r="B67" s="16" t="s">
        <v>62</v>
      </c>
      <c r="C67" s="14" t="s">
        <v>62</v>
      </c>
      <c r="D67" s="14" t="s">
        <v>62</v>
      </c>
      <c r="E67" s="14" t="s">
        <v>62</v>
      </c>
      <c r="F67" s="14" t="s">
        <v>62</v>
      </c>
      <c r="G67" s="14" t="s">
        <v>62</v>
      </c>
      <c r="H67" s="14" t="s">
        <v>62</v>
      </c>
      <c r="I67" s="14" t="s">
        <v>62</v>
      </c>
      <c r="J67" s="14" t="s">
        <v>62</v>
      </c>
      <c r="K67" s="14" t="s">
        <v>62</v>
      </c>
      <c r="L67" s="14" t="s">
        <v>62</v>
      </c>
      <c r="M67" s="14" t="s">
        <v>62</v>
      </c>
      <c r="N67" s="14" t="s">
        <v>62</v>
      </c>
      <c r="O67" s="12">
        <v>0</v>
      </c>
      <c r="P67" s="13" t="s">
        <v>62</v>
      </c>
      <c r="Q67" s="14" t="s">
        <v>62</v>
      </c>
      <c r="R67" s="14" t="s">
        <v>62</v>
      </c>
      <c r="S67" s="14" t="s">
        <v>62</v>
      </c>
      <c r="T67" s="14" t="s">
        <v>62</v>
      </c>
      <c r="U67" s="14" t="s">
        <v>62</v>
      </c>
      <c r="V67" s="14" t="s">
        <v>62</v>
      </c>
      <c r="W67" s="14" t="s">
        <v>62</v>
      </c>
      <c r="X67" s="14" t="s">
        <v>62</v>
      </c>
      <c r="Y67" s="14" t="s">
        <v>62</v>
      </c>
      <c r="Z67" s="14" t="s">
        <v>62</v>
      </c>
      <c r="AA67" s="14" t="s">
        <v>62</v>
      </c>
      <c r="AB67" s="14" t="s">
        <v>62</v>
      </c>
      <c r="AC67" s="14" t="s">
        <v>62</v>
      </c>
      <c r="AD67" s="14" t="s">
        <v>62</v>
      </c>
      <c r="AE67" s="14" t="s">
        <v>62</v>
      </c>
      <c r="AF67" s="14" t="s">
        <v>62</v>
      </c>
      <c r="AG67" s="14" t="s">
        <v>62</v>
      </c>
      <c r="AH67" s="14" t="s">
        <v>62</v>
      </c>
      <c r="AI67" s="14" t="s">
        <v>62</v>
      </c>
      <c r="AJ67" s="14" t="s">
        <v>62</v>
      </c>
      <c r="AK67" s="14" t="s">
        <v>62</v>
      </c>
      <c r="AL67" s="14" t="s">
        <v>62</v>
      </c>
      <c r="AM67" s="14" t="s">
        <v>62</v>
      </c>
      <c r="AN67" s="14" t="s">
        <v>62</v>
      </c>
      <c r="AO67" s="14" t="s">
        <v>62</v>
      </c>
      <c r="AP67" s="14" t="s">
        <v>62</v>
      </c>
      <c r="AQ67" s="14" t="s">
        <v>62</v>
      </c>
      <c r="AR67" s="14" t="s">
        <v>62</v>
      </c>
      <c r="AS67" s="14" t="s">
        <v>62</v>
      </c>
      <c r="AT67" s="14" t="s">
        <v>62</v>
      </c>
      <c r="AU67" s="14" t="s">
        <v>62</v>
      </c>
      <c r="AV67" s="14" t="s">
        <v>62</v>
      </c>
      <c r="AW67" s="14" t="s">
        <v>62</v>
      </c>
      <c r="AX67" s="14" t="s">
        <v>62</v>
      </c>
      <c r="AY67" s="14" t="s">
        <v>62</v>
      </c>
      <c r="AZ67" s="14" t="s">
        <v>62</v>
      </c>
      <c r="BA67" s="14" t="s">
        <v>62</v>
      </c>
      <c r="BB67" s="14" t="s">
        <v>62</v>
      </c>
      <c r="BC67" s="14" t="s">
        <v>62</v>
      </c>
      <c r="BD67" s="14" t="s">
        <v>62</v>
      </c>
      <c r="BE67" s="14" t="s">
        <v>62</v>
      </c>
      <c r="BF67" s="14" t="s">
        <v>62</v>
      </c>
      <c r="BG67" s="14" t="s">
        <v>62</v>
      </c>
      <c r="BH67" s="12" t="s">
        <v>62</v>
      </c>
      <c r="BI67" s="12" t="s">
        <v>62</v>
      </c>
      <c r="BJ67" s="17" t="s">
        <v>62</v>
      </c>
      <c r="BL67" s="10" t="s">
        <v>14</v>
      </c>
      <c r="BM67" s="16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2">
        <v>0</v>
      </c>
      <c r="CA67" s="13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2"/>
      <c r="DT67" s="12"/>
      <c r="DU67" s="17"/>
    </row>
    <row r="68" spans="1:125" x14ac:dyDescent="0.3">
      <c r="A68" s="10" t="s">
        <v>15</v>
      </c>
      <c r="B68" s="16" t="s">
        <v>62</v>
      </c>
      <c r="C68" s="14" t="s">
        <v>62</v>
      </c>
      <c r="D68" s="14" t="s">
        <v>62</v>
      </c>
      <c r="E68" s="14" t="s">
        <v>62</v>
      </c>
      <c r="F68" s="14" t="s">
        <v>62</v>
      </c>
      <c r="G68" s="14" t="s">
        <v>62</v>
      </c>
      <c r="H68" s="14" t="s">
        <v>62</v>
      </c>
      <c r="I68" s="14" t="s">
        <v>62</v>
      </c>
      <c r="J68" s="14" t="s">
        <v>62</v>
      </c>
      <c r="K68" s="14" t="s">
        <v>62</v>
      </c>
      <c r="L68" s="14" t="s">
        <v>62</v>
      </c>
      <c r="M68" s="14" t="s">
        <v>62</v>
      </c>
      <c r="N68" s="14" t="s">
        <v>62</v>
      </c>
      <c r="O68" s="13" t="s">
        <v>62</v>
      </c>
      <c r="P68" s="12">
        <v>0</v>
      </c>
      <c r="Q68" s="14" t="s">
        <v>62</v>
      </c>
      <c r="R68" s="14" t="s">
        <v>62</v>
      </c>
      <c r="S68" s="14" t="s">
        <v>62</v>
      </c>
      <c r="T68" s="14" t="s">
        <v>62</v>
      </c>
      <c r="U68" s="14" t="s">
        <v>62</v>
      </c>
      <c r="V68" s="14" t="s">
        <v>62</v>
      </c>
      <c r="W68" s="14" t="s">
        <v>62</v>
      </c>
      <c r="X68" s="14" t="s">
        <v>62</v>
      </c>
      <c r="Y68" s="14" t="s">
        <v>62</v>
      </c>
      <c r="Z68" s="14" t="s">
        <v>62</v>
      </c>
      <c r="AA68" s="14" t="s">
        <v>62</v>
      </c>
      <c r="AB68" s="14" t="s">
        <v>62</v>
      </c>
      <c r="AC68" s="14" t="s">
        <v>62</v>
      </c>
      <c r="AD68" s="14" t="s">
        <v>62</v>
      </c>
      <c r="AE68" s="14" t="s">
        <v>62</v>
      </c>
      <c r="AF68" s="14" t="s">
        <v>62</v>
      </c>
      <c r="AG68" s="14" t="s">
        <v>62</v>
      </c>
      <c r="AH68" s="14" t="s">
        <v>62</v>
      </c>
      <c r="AI68" s="14" t="s">
        <v>62</v>
      </c>
      <c r="AJ68" s="14" t="s">
        <v>62</v>
      </c>
      <c r="AK68" s="14" t="s">
        <v>62</v>
      </c>
      <c r="AL68" s="14" t="s">
        <v>62</v>
      </c>
      <c r="AM68" s="14" t="s">
        <v>62</v>
      </c>
      <c r="AN68" s="14" t="s">
        <v>62</v>
      </c>
      <c r="AO68" s="14" t="s">
        <v>62</v>
      </c>
      <c r="AP68" s="14" t="s">
        <v>62</v>
      </c>
      <c r="AQ68" s="14" t="s">
        <v>62</v>
      </c>
      <c r="AR68" s="14" t="s">
        <v>62</v>
      </c>
      <c r="AS68" s="14" t="s">
        <v>62</v>
      </c>
      <c r="AT68" s="14" t="s">
        <v>62</v>
      </c>
      <c r="AU68" s="14" t="s">
        <v>62</v>
      </c>
      <c r="AV68" s="14" t="s">
        <v>62</v>
      </c>
      <c r="AW68" s="14" t="s">
        <v>62</v>
      </c>
      <c r="AX68" s="14" t="s">
        <v>62</v>
      </c>
      <c r="AY68" s="14" t="s">
        <v>62</v>
      </c>
      <c r="AZ68" s="14" t="s">
        <v>62</v>
      </c>
      <c r="BA68" s="14" t="s">
        <v>62</v>
      </c>
      <c r="BB68" s="14" t="s">
        <v>62</v>
      </c>
      <c r="BC68" s="14" t="s">
        <v>62</v>
      </c>
      <c r="BD68" s="14" t="s">
        <v>62</v>
      </c>
      <c r="BE68" s="14" t="s">
        <v>62</v>
      </c>
      <c r="BF68" s="14" t="s">
        <v>62</v>
      </c>
      <c r="BG68" s="14" t="s">
        <v>62</v>
      </c>
      <c r="BH68" s="13" t="s">
        <v>62</v>
      </c>
      <c r="BI68" s="13" t="s">
        <v>62</v>
      </c>
      <c r="BJ68" s="18" t="s">
        <v>62</v>
      </c>
      <c r="BL68" s="10" t="s">
        <v>15</v>
      </c>
      <c r="BM68" s="16">
        <v>0</v>
      </c>
      <c r="BN68" s="14">
        <v>0</v>
      </c>
      <c r="BO68" s="14">
        <v>0</v>
      </c>
      <c r="BP68" s="14">
        <v>0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3">
        <v>0</v>
      </c>
      <c r="CA68" s="12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3"/>
      <c r="DT68" s="13"/>
      <c r="DU68" s="18"/>
    </row>
    <row r="69" spans="1:125" x14ac:dyDescent="0.3">
      <c r="A69" s="10" t="s">
        <v>16</v>
      </c>
      <c r="B69" s="16" t="s">
        <v>62</v>
      </c>
      <c r="C69" s="14" t="s">
        <v>62</v>
      </c>
      <c r="D69" s="14" t="s">
        <v>62</v>
      </c>
      <c r="E69" s="14" t="s">
        <v>62</v>
      </c>
      <c r="F69" s="14" t="s">
        <v>62</v>
      </c>
      <c r="G69" s="14" t="s">
        <v>62</v>
      </c>
      <c r="H69" s="14" t="s">
        <v>62</v>
      </c>
      <c r="I69" s="14" t="s">
        <v>62</v>
      </c>
      <c r="J69" s="14" t="s">
        <v>62</v>
      </c>
      <c r="K69" s="14" t="s">
        <v>62</v>
      </c>
      <c r="L69" s="14" t="s">
        <v>62</v>
      </c>
      <c r="M69" s="14" t="s">
        <v>62</v>
      </c>
      <c r="N69" s="14" t="s">
        <v>62</v>
      </c>
      <c r="O69" s="14" t="s">
        <v>62</v>
      </c>
      <c r="P69" s="14" t="s">
        <v>62</v>
      </c>
      <c r="Q69" s="12">
        <v>0</v>
      </c>
      <c r="R69" s="13">
        <v>362.4</v>
      </c>
      <c r="S69" s="13">
        <v>627.9</v>
      </c>
      <c r="T69" s="13">
        <v>1078.5</v>
      </c>
      <c r="U69" s="13">
        <v>1537.7</v>
      </c>
      <c r="V69" s="13">
        <v>1804.2</v>
      </c>
      <c r="W69" s="13">
        <v>1652.8999999999999</v>
      </c>
      <c r="X69" s="13">
        <v>1842.8999999999999</v>
      </c>
      <c r="Y69" s="13">
        <v>1334.5</v>
      </c>
      <c r="Z69" s="13">
        <v>2562.1999999999998</v>
      </c>
      <c r="AA69" s="13">
        <v>1997.4</v>
      </c>
      <c r="AB69" s="13">
        <v>2815.3</v>
      </c>
      <c r="AC69" s="13">
        <v>2163.1999999999998</v>
      </c>
      <c r="AD69" s="13">
        <v>1903.2</v>
      </c>
      <c r="AE69" s="13">
        <v>2377.8999999999996</v>
      </c>
      <c r="AF69" s="13">
        <v>1887.9</v>
      </c>
      <c r="AG69" s="13">
        <v>2194.2000000000003</v>
      </c>
      <c r="AH69" s="14" t="s">
        <v>62</v>
      </c>
      <c r="AI69" s="14" t="s">
        <v>62</v>
      </c>
      <c r="AJ69" s="14" t="s">
        <v>62</v>
      </c>
      <c r="AK69" s="14" t="s">
        <v>62</v>
      </c>
      <c r="AL69" s="14" t="s">
        <v>62</v>
      </c>
      <c r="AM69" s="14" t="s">
        <v>62</v>
      </c>
      <c r="AN69" s="14" t="s">
        <v>62</v>
      </c>
      <c r="AO69" s="14" t="s">
        <v>62</v>
      </c>
      <c r="AP69" s="14" t="s">
        <v>62</v>
      </c>
      <c r="AQ69" s="14" t="s">
        <v>62</v>
      </c>
      <c r="AR69" s="14" t="s">
        <v>62</v>
      </c>
      <c r="AS69" s="14" t="s">
        <v>62</v>
      </c>
      <c r="AT69" s="14" t="s">
        <v>62</v>
      </c>
      <c r="AU69" s="14" t="s">
        <v>62</v>
      </c>
      <c r="AV69" s="14">
        <f>1915.9+290.3+370.9+628</f>
        <v>3205.1000000000004</v>
      </c>
      <c r="AW69" s="14" t="s">
        <v>62</v>
      </c>
      <c r="AX69" s="14" t="s">
        <v>62</v>
      </c>
      <c r="AY69" s="14" t="s">
        <v>62</v>
      </c>
      <c r="AZ69" s="14" t="s">
        <v>62</v>
      </c>
      <c r="BA69" s="14" t="s">
        <v>62</v>
      </c>
      <c r="BB69" s="13">
        <f>1115.9+434.3+219.7+370.9+628</f>
        <v>2768.8</v>
      </c>
      <c r="BC69" s="14" t="s">
        <v>62</v>
      </c>
      <c r="BD69" s="14" t="s">
        <v>62</v>
      </c>
      <c r="BE69" s="14" t="s">
        <v>62</v>
      </c>
      <c r="BF69" s="13">
        <f>786.5+553.8+553.6+219.7+370.9+628</f>
        <v>3112.5</v>
      </c>
      <c r="BG69" s="13">
        <f>482.7+1130+387.7+370.9+628</f>
        <v>2999.3</v>
      </c>
      <c r="BH69" s="14" t="s">
        <v>62</v>
      </c>
      <c r="BI69" s="14" t="s">
        <v>62</v>
      </c>
      <c r="BJ69" s="15" t="s">
        <v>62</v>
      </c>
      <c r="BL69" s="10" t="s">
        <v>16</v>
      </c>
      <c r="BM69" s="16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2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143.9</v>
      </c>
      <c r="CR69" s="13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/>
      <c r="DH69" s="14"/>
      <c r="DI69" s="14"/>
      <c r="DJ69" s="14"/>
      <c r="DK69" s="14"/>
      <c r="DL69" s="14"/>
      <c r="DM69" s="13"/>
      <c r="DN69" s="14"/>
      <c r="DO69" s="14"/>
      <c r="DP69" s="14"/>
      <c r="DQ69" s="13"/>
      <c r="DR69" s="13">
        <f>990.5</f>
        <v>990.5</v>
      </c>
      <c r="DS69" s="14"/>
      <c r="DT69" s="14"/>
      <c r="DU69" s="15"/>
    </row>
    <row r="70" spans="1:125" x14ac:dyDescent="0.3">
      <c r="A70" s="10" t="s">
        <v>17</v>
      </c>
      <c r="B70" s="16" t="s">
        <v>62</v>
      </c>
      <c r="C70" s="14" t="s">
        <v>62</v>
      </c>
      <c r="D70" s="14" t="s">
        <v>62</v>
      </c>
      <c r="E70" s="14" t="s">
        <v>62</v>
      </c>
      <c r="F70" s="14" t="s">
        <v>62</v>
      </c>
      <c r="G70" s="14" t="s">
        <v>62</v>
      </c>
      <c r="H70" s="14" t="s">
        <v>62</v>
      </c>
      <c r="I70" s="14" t="s">
        <v>62</v>
      </c>
      <c r="J70" s="14" t="s">
        <v>62</v>
      </c>
      <c r="K70" s="14" t="s">
        <v>62</v>
      </c>
      <c r="L70" s="14" t="s">
        <v>62</v>
      </c>
      <c r="M70" s="14" t="s">
        <v>62</v>
      </c>
      <c r="N70" s="14" t="s">
        <v>62</v>
      </c>
      <c r="O70" s="14" t="s">
        <v>62</v>
      </c>
      <c r="P70" s="14" t="s">
        <v>62</v>
      </c>
      <c r="Q70" s="13">
        <f>306.2+56.2</f>
        <v>362.4</v>
      </c>
      <c r="R70" s="12">
        <v>0</v>
      </c>
      <c r="S70" s="13">
        <v>309.60000000000002</v>
      </c>
      <c r="T70" s="13" t="s">
        <v>62</v>
      </c>
      <c r="U70" s="13" t="s">
        <v>62</v>
      </c>
      <c r="V70" s="13" t="s">
        <v>62</v>
      </c>
      <c r="W70" s="13" t="s">
        <v>62</v>
      </c>
      <c r="X70" s="13" t="s">
        <v>62</v>
      </c>
      <c r="Y70" s="13" t="s">
        <v>62</v>
      </c>
      <c r="Z70" s="13" t="s">
        <v>62</v>
      </c>
      <c r="AA70" s="13" t="s">
        <v>62</v>
      </c>
      <c r="AB70" s="13" t="s">
        <v>62</v>
      </c>
      <c r="AC70" s="13" t="s">
        <v>62</v>
      </c>
      <c r="AD70" s="13" t="s">
        <v>62</v>
      </c>
      <c r="AE70" s="13" t="s">
        <v>62</v>
      </c>
      <c r="AF70" s="13" t="s">
        <v>62</v>
      </c>
      <c r="AG70" s="13" t="s">
        <v>62</v>
      </c>
      <c r="AH70" s="14" t="s">
        <v>62</v>
      </c>
      <c r="AI70" s="14" t="s">
        <v>62</v>
      </c>
      <c r="AJ70" s="14" t="s">
        <v>62</v>
      </c>
      <c r="AK70" s="14" t="s">
        <v>62</v>
      </c>
      <c r="AL70" s="14" t="s">
        <v>62</v>
      </c>
      <c r="AM70" s="14" t="s">
        <v>62</v>
      </c>
      <c r="AN70" s="14" t="s">
        <v>62</v>
      </c>
      <c r="AO70" s="14" t="s">
        <v>62</v>
      </c>
      <c r="AP70" s="14" t="s">
        <v>62</v>
      </c>
      <c r="AQ70" s="14" t="s">
        <v>62</v>
      </c>
      <c r="AR70" s="14" t="s">
        <v>62</v>
      </c>
      <c r="AS70" s="14" t="s">
        <v>62</v>
      </c>
      <c r="AT70" s="14" t="s">
        <v>62</v>
      </c>
      <c r="AU70" s="14" t="s">
        <v>62</v>
      </c>
      <c r="AV70" s="14" t="s">
        <v>62</v>
      </c>
      <c r="AW70" s="14" t="s">
        <v>62</v>
      </c>
      <c r="AX70" s="14" t="s">
        <v>62</v>
      </c>
      <c r="AY70" s="14" t="s">
        <v>62</v>
      </c>
      <c r="AZ70" s="14" t="s">
        <v>62</v>
      </c>
      <c r="BA70" s="14" t="s">
        <v>62</v>
      </c>
      <c r="BB70" s="13" t="s">
        <v>62</v>
      </c>
      <c r="BC70" s="14" t="s">
        <v>62</v>
      </c>
      <c r="BD70" s="14" t="s">
        <v>62</v>
      </c>
      <c r="BE70" s="14" t="s">
        <v>62</v>
      </c>
      <c r="BF70" s="13" t="s">
        <v>62</v>
      </c>
      <c r="BG70" s="13" t="s">
        <v>62</v>
      </c>
      <c r="BH70" s="14" t="s">
        <v>62</v>
      </c>
      <c r="BI70" s="14" t="s">
        <v>62</v>
      </c>
      <c r="BJ70" s="15" t="s">
        <v>62</v>
      </c>
      <c r="BL70" s="10" t="s">
        <v>17</v>
      </c>
      <c r="BM70" s="16">
        <v>0</v>
      </c>
      <c r="BN70" s="14">
        <v>0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3">
        <v>0</v>
      </c>
      <c r="CC70" s="12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143.9</v>
      </c>
      <c r="CR70" s="13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/>
      <c r="DH70" s="14"/>
      <c r="DI70" s="14"/>
      <c r="DJ70" s="14"/>
      <c r="DK70" s="14"/>
      <c r="DL70" s="14"/>
      <c r="DM70" s="13"/>
      <c r="DN70" s="14"/>
      <c r="DO70" s="14"/>
      <c r="DP70" s="14"/>
      <c r="DQ70" s="13"/>
      <c r="DR70" s="13"/>
      <c r="DS70" s="14"/>
      <c r="DT70" s="14"/>
      <c r="DU70" s="15"/>
    </row>
    <row r="71" spans="1:125" x14ac:dyDescent="0.3">
      <c r="A71" s="10" t="s">
        <v>18</v>
      </c>
      <c r="B71" s="16" t="s">
        <v>62</v>
      </c>
      <c r="C71" s="14" t="s">
        <v>62</v>
      </c>
      <c r="D71" s="14" t="s">
        <v>62</v>
      </c>
      <c r="E71" s="14" t="s">
        <v>62</v>
      </c>
      <c r="F71" s="14" t="s">
        <v>62</v>
      </c>
      <c r="G71" s="14" t="s">
        <v>62</v>
      </c>
      <c r="H71" s="14" t="s">
        <v>62</v>
      </c>
      <c r="I71" s="14" t="s">
        <v>62</v>
      </c>
      <c r="J71" s="14" t="s">
        <v>62</v>
      </c>
      <c r="K71" s="14" t="s">
        <v>62</v>
      </c>
      <c r="L71" s="14" t="s">
        <v>62</v>
      </c>
      <c r="M71" s="14" t="s">
        <v>62</v>
      </c>
      <c r="N71" s="14" t="s">
        <v>62</v>
      </c>
      <c r="O71" s="14" t="s">
        <v>62</v>
      </c>
      <c r="P71" s="14" t="s">
        <v>62</v>
      </c>
      <c r="Q71" s="13">
        <v>627.9</v>
      </c>
      <c r="R71" s="13">
        <f>309.6</f>
        <v>309.60000000000002</v>
      </c>
      <c r="S71" s="12">
        <v>0</v>
      </c>
      <c r="T71" s="13">
        <v>450.6</v>
      </c>
      <c r="U71" s="13">
        <v>909.8</v>
      </c>
      <c r="V71" s="13">
        <v>1176.3</v>
      </c>
      <c r="W71" s="13">
        <v>1025</v>
      </c>
      <c r="X71" s="13">
        <v>1139.2</v>
      </c>
      <c r="Y71" s="13">
        <v>706.6</v>
      </c>
      <c r="Z71" s="13">
        <v>1879.6</v>
      </c>
      <c r="AA71" s="13">
        <v>1365.3999999999999</v>
      </c>
      <c r="AB71" s="13">
        <v>2155.5</v>
      </c>
      <c r="AC71" s="13">
        <v>1535.3000000000002</v>
      </c>
      <c r="AD71" s="13">
        <v>1525.2</v>
      </c>
      <c r="AE71" s="13">
        <v>1829.7</v>
      </c>
      <c r="AF71" s="13">
        <v>1339.7</v>
      </c>
      <c r="AG71" s="13">
        <v>1646</v>
      </c>
      <c r="AH71" s="14" t="s">
        <v>62</v>
      </c>
      <c r="AI71" s="14" t="s">
        <v>62</v>
      </c>
      <c r="AJ71" s="14" t="s">
        <v>62</v>
      </c>
      <c r="AK71" s="14" t="s">
        <v>62</v>
      </c>
      <c r="AL71" s="14" t="s">
        <v>62</v>
      </c>
      <c r="AM71" s="14" t="s">
        <v>62</v>
      </c>
      <c r="AN71" s="14" t="s">
        <v>62</v>
      </c>
      <c r="AO71" s="14" t="s">
        <v>62</v>
      </c>
      <c r="AP71" s="14" t="s">
        <v>62</v>
      </c>
      <c r="AQ71" s="14" t="s">
        <v>62</v>
      </c>
      <c r="AR71" s="14" t="s">
        <v>62</v>
      </c>
      <c r="AS71" s="14" t="s">
        <v>62</v>
      </c>
      <c r="AT71" s="14" t="s">
        <v>62</v>
      </c>
      <c r="AU71" s="14" t="s">
        <v>62</v>
      </c>
      <c r="AV71" s="14">
        <f>1915.9+382.1+535.9+219.7+370.9</f>
        <v>3424.5</v>
      </c>
      <c r="AW71" s="14" t="s">
        <v>62</v>
      </c>
      <c r="AX71" s="14">
        <f>8287.8+1011.2</f>
        <v>9299</v>
      </c>
      <c r="AY71" s="14" t="s">
        <v>62</v>
      </c>
      <c r="AZ71" s="14" t="s">
        <v>62</v>
      </c>
      <c r="BA71" s="14" t="s">
        <v>62</v>
      </c>
      <c r="BB71" s="13">
        <f>1115.9+434.3+219.7+370.9</f>
        <v>2140.8000000000002</v>
      </c>
      <c r="BC71" s="14" t="s">
        <v>62</v>
      </c>
      <c r="BD71" s="14" t="s">
        <v>62</v>
      </c>
      <c r="BE71" s="14" t="s">
        <v>62</v>
      </c>
      <c r="BF71" s="13">
        <f>786.5+553.8+553.6+219.7+370.9</f>
        <v>2484.5</v>
      </c>
      <c r="BG71" s="13">
        <f>482.7+73.9+949.3+219.7+370.9</f>
        <v>2096.5</v>
      </c>
      <c r="BH71" s="14" t="s">
        <v>62</v>
      </c>
      <c r="BI71" s="14" t="s">
        <v>62</v>
      </c>
      <c r="BJ71" s="15" t="s">
        <v>62</v>
      </c>
      <c r="BL71" s="10" t="s">
        <v>18</v>
      </c>
      <c r="BM71" s="16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3">
        <v>0</v>
      </c>
      <c r="CC71" s="13">
        <v>0</v>
      </c>
      <c r="CD71" s="12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143.9</v>
      </c>
      <c r="CR71" s="13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/>
      <c r="DH71" s="14"/>
      <c r="DI71" s="14">
        <f>879.7+2132.3</f>
        <v>3012</v>
      </c>
      <c r="DJ71" s="14"/>
      <c r="DK71" s="14"/>
      <c r="DL71" s="14"/>
      <c r="DM71" s="13"/>
      <c r="DN71" s="14"/>
      <c r="DO71" s="14"/>
      <c r="DP71" s="14"/>
      <c r="DQ71" s="13"/>
      <c r="DR71" s="13">
        <f>1190.8+5.5</f>
        <v>1196.3</v>
      </c>
      <c r="DS71" s="14"/>
      <c r="DT71" s="14"/>
      <c r="DU71" s="15"/>
    </row>
    <row r="72" spans="1:125" x14ac:dyDescent="0.3">
      <c r="A72" s="10" t="s">
        <v>19</v>
      </c>
      <c r="B72" s="16" t="s">
        <v>62</v>
      </c>
      <c r="C72" s="14" t="s">
        <v>62</v>
      </c>
      <c r="D72" s="14" t="s">
        <v>62</v>
      </c>
      <c r="E72" s="14" t="s">
        <v>62</v>
      </c>
      <c r="F72" s="14" t="s">
        <v>62</v>
      </c>
      <c r="G72" s="14" t="s">
        <v>62</v>
      </c>
      <c r="H72" s="14" t="s">
        <v>62</v>
      </c>
      <c r="I72" s="14" t="s">
        <v>62</v>
      </c>
      <c r="J72" s="14" t="s">
        <v>62</v>
      </c>
      <c r="K72" s="14" t="s">
        <v>62</v>
      </c>
      <c r="L72" s="14" t="s">
        <v>62</v>
      </c>
      <c r="M72" s="14" t="s">
        <v>62</v>
      </c>
      <c r="N72" s="14" t="s">
        <v>62</v>
      </c>
      <c r="O72" s="14" t="s">
        <v>62</v>
      </c>
      <c r="P72" s="14" t="s">
        <v>62</v>
      </c>
      <c r="Q72" s="13">
        <f>627.9+450.6</f>
        <v>1078.5</v>
      </c>
      <c r="R72" s="13" t="s">
        <v>62</v>
      </c>
      <c r="S72" s="13">
        <v>450.6</v>
      </c>
      <c r="T72" s="12">
        <v>0</v>
      </c>
      <c r="U72" s="13">
        <v>426.7</v>
      </c>
      <c r="V72" s="13">
        <v>834.5</v>
      </c>
      <c r="W72" s="13">
        <v>961.5</v>
      </c>
      <c r="X72" s="13">
        <v>1075.7</v>
      </c>
      <c r="Y72" s="13">
        <v>643.1</v>
      </c>
      <c r="Z72" s="13">
        <v>1431.4</v>
      </c>
      <c r="AA72" s="13">
        <v>866.7</v>
      </c>
      <c r="AB72" s="13">
        <v>1699.9</v>
      </c>
      <c r="AC72" s="13">
        <v>1079.7</v>
      </c>
      <c r="AD72" s="13">
        <v>1211.8000000000002</v>
      </c>
      <c r="AE72" s="13">
        <v>1804.2</v>
      </c>
      <c r="AF72" s="13">
        <v>1144.0999999999999</v>
      </c>
      <c r="AG72" s="13">
        <v>1355.2</v>
      </c>
      <c r="AH72" s="14" t="s">
        <v>62</v>
      </c>
      <c r="AI72" s="14" t="s">
        <v>62</v>
      </c>
      <c r="AJ72" s="14" t="s">
        <v>62</v>
      </c>
      <c r="AK72" s="14" t="s">
        <v>62</v>
      </c>
      <c r="AL72" s="14" t="s">
        <v>62</v>
      </c>
      <c r="AM72" s="14" t="s">
        <v>62</v>
      </c>
      <c r="AN72" s="14" t="s">
        <v>62</v>
      </c>
      <c r="AO72" s="14" t="s">
        <v>62</v>
      </c>
      <c r="AP72" s="14" t="s">
        <v>62</v>
      </c>
      <c r="AQ72" s="14" t="s">
        <v>62</v>
      </c>
      <c r="AR72" s="14" t="s">
        <v>62</v>
      </c>
      <c r="AS72" s="14" t="s">
        <v>62</v>
      </c>
      <c r="AT72" s="14" t="s">
        <v>62</v>
      </c>
      <c r="AU72" s="14" t="s">
        <v>62</v>
      </c>
      <c r="AV72" s="14">
        <f>1915.9+363.8+533.6+585.4</f>
        <v>3398.7000000000003</v>
      </c>
      <c r="AW72" s="14" t="s">
        <v>62</v>
      </c>
      <c r="AX72" s="14">
        <f>8287.8+1011.2+202.7+31.1</f>
        <v>9532.8000000000011</v>
      </c>
      <c r="AY72" s="14" t="s">
        <v>62</v>
      </c>
      <c r="AZ72" s="14" t="s">
        <v>62</v>
      </c>
      <c r="BA72" s="14" t="s">
        <v>62</v>
      </c>
      <c r="BB72" s="13">
        <f>1115.9+434.3+527.2</f>
        <v>2077.4</v>
      </c>
      <c r="BC72" s="14" t="s">
        <v>62</v>
      </c>
      <c r="BD72" s="14">
        <f>8450.8+681.8+585.4</f>
        <v>9717.9999999999982</v>
      </c>
      <c r="BE72" s="14" t="s">
        <v>62</v>
      </c>
      <c r="BF72" s="13">
        <f>786.5+553.8+710.6+516.9</f>
        <v>2567.8000000000002</v>
      </c>
      <c r="BG72" s="13">
        <f>482.7+382.9+386.5+594.6</f>
        <v>1846.6999999999998</v>
      </c>
      <c r="BH72" s="14" t="s">
        <v>62</v>
      </c>
      <c r="BI72" s="14" t="s">
        <v>62</v>
      </c>
      <c r="BJ72" s="15" t="s">
        <v>62</v>
      </c>
      <c r="BL72" s="10" t="s">
        <v>19</v>
      </c>
      <c r="BM72" s="16">
        <v>0</v>
      </c>
      <c r="BN72" s="14">
        <v>0</v>
      </c>
      <c r="BO72" s="14">
        <v>0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>
        <v>0</v>
      </c>
      <c r="CA72" s="14">
        <v>0</v>
      </c>
      <c r="CB72" s="13">
        <v>0</v>
      </c>
      <c r="CC72" s="13">
        <v>0</v>
      </c>
      <c r="CD72" s="13">
        <v>0</v>
      </c>
      <c r="CE72" s="12">
        <v>0</v>
      </c>
      <c r="CF72" s="13">
        <v>0</v>
      </c>
      <c r="CG72" s="13">
        <v>0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0</v>
      </c>
      <c r="CR72" s="13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/>
      <c r="DH72" s="14"/>
      <c r="DI72" s="14">
        <f>1025.4+1603.2</f>
        <v>2628.6000000000004</v>
      </c>
      <c r="DJ72" s="14"/>
      <c r="DK72" s="14"/>
      <c r="DL72" s="14"/>
      <c r="DM72" s="13"/>
      <c r="DN72" s="14"/>
      <c r="DO72" s="14">
        <f>280.5+2088.9</f>
        <v>2369.4</v>
      </c>
      <c r="DP72" s="14"/>
      <c r="DQ72" s="13"/>
      <c r="DR72" s="13">
        <f>1190.8+5.5</f>
        <v>1196.3</v>
      </c>
      <c r="DS72" s="14"/>
      <c r="DT72" s="14"/>
      <c r="DU72" s="15"/>
    </row>
    <row r="73" spans="1:125" x14ac:dyDescent="0.3">
      <c r="A73" s="10" t="s">
        <v>20</v>
      </c>
      <c r="B73" s="16" t="s">
        <v>62</v>
      </c>
      <c r="C73" s="14" t="s">
        <v>62</v>
      </c>
      <c r="D73" s="14" t="s">
        <v>62</v>
      </c>
      <c r="E73" s="14" t="s">
        <v>62</v>
      </c>
      <c r="F73" s="14" t="s">
        <v>62</v>
      </c>
      <c r="G73" s="14" t="s">
        <v>62</v>
      </c>
      <c r="H73" s="14" t="s">
        <v>62</v>
      </c>
      <c r="I73" s="14" t="s">
        <v>62</v>
      </c>
      <c r="J73" s="14" t="s">
        <v>62</v>
      </c>
      <c r="K73" s="14" t="s">
        <v>62</v>
      </c>
      <c r="L73" s="14" t="s">
        <v>62</v>
      </c>
      <c r="M73" s="14" t="s">
        <v>62</v>
      </c>
      <c r="N73" s="14" t="s">
        <v>62</v>
      </c>
      <c r="O73" s="14" t="s">
        <v>62</v>
      </c>
      <c r="P73" s="14" t="s">
        <v>62</v>
      </c>
      <c r="Q73" s="13">
        <f>627.9+492+417.8</f>
        <v>1537.7</v>
      </c>
      <c r="R73" s="13" t="s">
        <v>62</v>
      </c>
      <c r="S73" s="13">
        <f>492+417.8</f>
        <v>909.8</v>
      </c>
      <c r="T73" s="13">
        <v>426.7</v>
      </c>
      <c r="U73" s="12">
        <v>0</v>
      </c>
      <c r="V73" s="13">
        <v>900.5</v>
      </c>
      <c r="W73" s="13">
        <v>1404.2</v>
      </c>
      <c r="X73" s="13">
        <v>1261.8</v>
      </c>
      <c r="Y73" s="13">
        <v>1074.7</v>
      </c>
      <c r="Z73" s="13">
        <v>1094</v>
      </c>
      <c r="AA73" s="13">
        <v>529.20000000000005</v>
      </c>
      <c r="AB73" s="13">
        <v>1277.7</v>
      </c>
      <c r="AC73" s="13">
        <v>657.5</v>
      </c>
      <c r="AD73" s="13">
        <v>1397.9</v>
      </c>
      <c r="AE73" s="13">
        <v>1872.5</v>
      </c>
      <c r="AF73" s="13">
        <v>1318.6</v>
      </c>
      <c r="AG73" s="13">
        <v>1314.2</v>
      </c>
      <c r="AH73" s="14" t="s">
        <v>62</v>
      </c>
      <c r="AI73" s="14" t="s">
        <v>62</v>
      </c>
      <c r="AJ73" s="14" t="s">
        <v>62</v>
      </c>
      <c r="AK73" s="14" t="s">
        <v>62</v>
      </c>
      <c r="AL73" s="14" t="s">
        <v>62</v>
      </c>
      <c r="AM73" s="14" t="s">
        <v>62</v>
      </c>
      <c r="AN73" s="14" t="s">
        <v>62</v>
      </c>
      <c r="AO73" s="14" t="s">
        <v>62</v>
      </c>
      <c r="AP73" s="14" t="s">
        <v>62</v>
      </c>
      <c r="AQ73" s="14" t="s">
        <v>62</v>
      </c>
      <c r="AR73" s="14" t="s">
        <v>62</v>
      </c>
      <c r="AS73" s="14" t="s">
        <v>62</v>
      </c>
      <c r="AT73" s="14" t="s">
        <v>62</v>
      </c>
      <c r="AU73" s="14" t="s">
        <v>62</v>
      </c>
      <c r="AV73" s="14">
        <f>1915.9+369.5+645.9+640.4</f>
        <v>3571.7000000000003</v>
      </c>
      <c r="AW73" s="14">
        <f>3810.2+681.8+551.8</f>
        <v>5043.8</v>
      </c>
      <c r="AX73" s="14">
        <f>8287.8+1011.2+161.9</f>
        <v>9460.9</v>
      </c>
      <c r="AY73" s="14" t="s">
        <v>62</v>
      </c>
      <c r="AZ73" s="14" t="s">
        <v>62</v>
      </c>
      <c r="BA73" s="14" t="s">
        <v>62</v>
      </c>
      <c r="BB73" s="13">
        <f>1115.9+434.3+219.7+750</f>
        <v>2519.9</v>
      </c>
      <c r="BC73" s="14" t="s">
        <v>62</v>
      </c>
      <c r="BD73" s="14">
        <f>8450.8+681.8+551.8</f>
        <v>9684.3999999999978</v>
      </c>
      <c r="BE73" s="14" t="s">
        <v>62</v>
      </c>
      <c r="BF73" s="13">
        <f>786.5+558.9+568.3+718</f>
        <v>2631.7</v>
      </c>
      <c r="BG73" s="13">
        <f>482.7+852.5+273.1+161.9</f>
        <v>1770.2000000000003</v>
      </c>
      <c r="BH73" s="14" t="s">
        <v>62</v>
      </c>
      <c r="BI73" s="14" t="s">
        <v>62</v>
      </c>
      <c r="BJ73" s="15" t="s">
        <v>62</v>
      </c>
      <c r="BL73" s="10" t="s">
        <v>20</v>
      </c>
      <c r="BM73" s="16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3">
        <v>0</v>
      </c>
      <c r="CC73" s="13">
        <v>0</v>
      </c>
      <c r="CD73" s="13">
        <v>0</v>
      </c>
      <c r="CE73" s="13">
        <v>0</v>
      </c>
      <c r="CF73" s="12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/>
      <c r="DH73" s="14">
        <f>280.5+2198.6</f>
        <v>2479.1</v>
      </c>
      <c r="DI73" s="14">
        <f>877.7+2068.3</f>
        <v>2946</v>
      </c>
      <c r="DJ73" s="14"/>
      <c r="DK73" s="14"/>
      <c r="DL73" s="14"/>
      <c r="DM73" s="13"/>
      <c r="DN73" s="14"/>
      <c r="DO73" s="14">
        <f>280.5+2198.6</f>
        <v>2479.1</v>
      </c>
      <c r="DP73" s="14"/>
      <c r="DQ73" s="13"/>
      <c r="DR73" s="13">
        <f>1190.8+5.5</f>
        <v>1196.3</v>
      </c>
      <c r="DS73" s="14"/>
      <c r="DT73" s="14"/>
      <c r="DU73" s="15"/>
    </row>
    <row r="74" spans="1:125" x14ac:dyDescent="0.3">
      <c r="A74" s="10" t="s">
        <v>21</v>
      </c>
      <c r="B74" s="16" t="s">
        <v>62</v>
      </c>
      <c r="C74" s="14" t="s">
        <v>62</v>
      </c>
      <c r="D74" s="14" t="s">
        <v>62</v>
      </c>
      <c r="E74" s="14" t="s">
        <v>62</v>
      </c>
      <c r="F74" s="14" t="s">
        <v>62</v>
      </c>
      <c r="G74" s="14" t="s">
        <v>62</v>
      </c>
      <c r="H74" s="14" t="s">
        <v>62</v>
      </c>
      <c r="I74" s="14" t="s">
        <v>62</v>
      </c>
      <c r="J74" s="14" t="s">
        <v>62</v>
      </c>
      <c r="K74" s="14" t="s">
        <v>62</v>
      </c>
      <c r="L74" s="14" t="s">
        <v>62</v>
      </c>
      <c r="M74" s="14" t="s">
        <v>62</v>
      </c>
      <c r="N74" s="14" t="s">
        <v>62</v>
      </c>
      <c r="O74" s="14" t="s">
        <v>62</v>
      </c>
      <c r="P74" s="14" t="s">
        <v>62</v>
      </c>
      <c r="Q74" s="13">
        <f>627.9+370.9+387.7+417.7</f>
        <v>1804.2</v>
      </c>
      <c r="R74" s="13" t="s">
        <v>62</v>
      </c>
      <c r="S74" s="13">
        <f>370.9+387.7+417.7</f>
        <v>1176.3</v>
      </c>
      <c r="T74" s="13">
        <v>834.5</v>
      </c>
      <c r="U74" s="13">
        <f>580.7+80+239.8</f>
        <v>900.5</v>
      </c>
      <c r="V74" s="12">
        <v>0</v>
      </c>
      <c r="W74" s="13">
        <v>762</v>
      </c>
      <c r="X74" s="13">
        <v>644.70000000000005</v>
      </c>
      <c r="Y74" s="13">
        <v>701.5</v>
      </c>
      <c r="Z74" s="13">
        <v>897.59999999999991</v>
      </c>
      <c r="AA74" s="13">
        <v>577.5</v>
      </c>
      <c r="AB74" s="13" t="s">
        <v>62</v>
      </c>
      <c r="AC74" s="13" t="s">
        <v>62</v>
      </c>
      <c r="AD74" s="13">
        <v>780.8</v>
      </c>
      <c r="AE74" s="13">
        <v>891.1</v>
      </c>
      <c r="AF74" s="13">
        <v>397.9</v>
      </c>
      <c r="AG74" s="13">
        <v>520.70000000000005</v>
      </c>
      <c r="AH74" s="14" t="s">
        <v>62</v>
      </c>
      <c r="AI74" s="14" t="s">
        <v>62</v>
      </c>
      <c r="AJ74" s="14" t="s">
        <v>62</v>
      </c>
      <c r="AK74" s="14" t="s">
        <v>62</v>
      </c>
      <c r="AL74" s="14" t="s">
        <v>62</v>
      </c>
      <c r="AM74" s="14" t="s">
        <v>62</v>
      </c>
      <c r="AN74" s="14" t="s">
        <v>62</v>
      </c>
      <c r="AO74" s="14" t="s">
        <v>62</v>
      </c>
      <c r="AP74" s="14" t="s">
        <v>62</v>
      </c>
      <c r="AQ74" s="14" t="s">
        <v>62</v>
      </c>
      <c r="AR74" s="14" t="s">
        <v>62</v>
      </c>
      <c r="AS74" s="14" t="s">
        <v>62</v>
      </c>
      <c r="AT74" s="14" t="s">
        <v>62</v>
      </c>
      <c r="AU74" s="14" t="s">
        <v>62</v>
      </c>
      <c r="AV74" s="14">
        <f>1915.9+196.3+63+138.6</f>
        <v>2313.8000000000002</v>
      </c>
      <c r="AW74" s="14">
        <f>3810.2+1011.2+558.9+474.3+170.4</f>
        <v>6024.9999999999991</v>
      </c>
      <c r="AX74" s="14">
        <f>7783</f>
        <v>7783</v>
      </c>
      <c r="AY74" s="14" t="s">
        <v>62</v>
      </c>
      <c r="AZ74" s="14" t="s">
        <v>62</v>
      </c>
      <c r="BA74" s="14" t="s">
        <v>62</v>
      </c>
      <c r="BB74" s="13">
        <f>1115.9+307.3+182.8+276.4</f>
        <v>1882.4</v>
      </c>
      <c r="BC74" s="14" t="s">
        <v>62</v>
      </c>
      <c r="BD74" s="14" t="s">
        <v>62</v>
      </c>
      <c r="BE74" s="14" t="s">
        <v>62</v>
      </c>
      <c r="BF74" s="13" t="s">
        <v>62</v>
      </c>
      <c r="BG74" s="13" t="s">
        <v>62</v>
      </c>
      <c r="BH74" s="14" t="s">
        <v>62</v>
      </c>
      <c r="BI74" s="14" t="s">
        <v>62</v>
      </c>
      <c r="BJ74" s="15" t="s">
        <v>62</v>
      </c>
      <c r="BL74" s="10" t="s">
        <v>21</v>
      </c>
      <c r="BM74" s="16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3">
        <v>0</v>
      </c>
      <c r="CC74" s="13">
        <v>0</v>
      </c>
      <c r="CD74" s="13">
        <v>0</v>
      </c>
      <c r="CE74" s="13">
        <v>0</v>
      </c>
      <c r="CF74" s="13">
        <v>0</v>
      </c>
      <c r="CG74" s="12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/>
      <c r="DH74" s="14">
        <f>1036.5</f>
        <v>1036.5</v>
      </c>
      <c r="DI74" s="14">
        <f>409+748+1718.9</f>
        <v>2875.9</v>
      </c>
      <c r="DJ74" s="14"/>
      <c r="DK74" s="14"/>
      <c r="DL74" s="14"/>
      <c r="DM74" s="13"/>
      <c r="DN74" s="14"/>
      <c r="DO74" s="14"/>
      <c r="DP74" s="14"/>
      <c r="DQ74" s="13"/>
      <c r="DR74" s="13"/>
      <c r="DS74" s="14"/>
      <c r="DT74" s="14"/>
      <c r="DU74" s="15"/>
    </row>
    <row r="75" spans="1:125" x14ac:dyDescent="0.3">
      <c r="A75" s="10" t="s">
        <v>22</v>
      </c>
      <c r="B75" s="16" t="s">
        <v>62</v>
      </c>
      <c r="C75" s="14" t="s">
        <v>62</v>
      </c>
      <c r="D75" s="14" t="s">
        <v>62</v>
      </c>
      <c r="E75" s="14" t="s">
        <v>62</v>
      </c>
      <c r="F75" s="14" t="s">
        <v>62</v>
      </c>
      <c r="G75" s="14" t="s">
        <v>62</v>
      </c>
      <c r="H75" s="14" t="s">
        <v>62</v>
      </c>
      <c r="I75" s="14" t="s">
        <v>62</v>
      </c>
      <c r="J75" s="14" t="s">
        <v>62</v>
      </c>
      <c r="K75" s="14" t="s">
        <v>62</v>
      </c>
      <c r="L75" s="14" t="s">
        <v>62</v>
      </c>
      <c r="M75" s="14" t="s">
        <v>62</v>
      </c>
      <c r="N75" s="14" t="s">
        <v>62</v>
      </c>
      <c r="O75" s="14" t="s">
        <v>62</v>
      </c>
      <c r="P75" s="14" t="s">
        <v>62</v>
      </c>
      <c r="Q75" s="13">
        <f>627.9+370.9+219.8+434.3</f>
        <v>1652.8999999999999</v>
      </c>
      <c r="R75" s="13" t="s">
        <v>62</v>
      </c>
      <c r="S75" s="13">
        <f>370.9+219.8+434.3</f>
        <v>1025</v>
      </c>
      <c r="T75" s="13">
        <f>527.2+434.3</f>
        <v>961.5</v>
      </c>
      <c r="U75" s="13">
        <f>750.1+219.8+434.3</f>
        <v>1404.2</v>
      </c>
      <c r="V75" s="13">
        <f>271.9+182.8+307.3</f>
        <v>762</v>
      </c>
      <c r="W75" s="12">
        <v>0</v>
      </c>
      <c r="X75" s="13">
        <v>285</v>
      </c>
      <c r="Y75" s="13">
        <v>340.9</v>
      </c>
      <c r="Z75" s="13">
        <v>1748.8999999999999</v>
      </c>
      <c r="AA75" s="13">
        <v>1184.1000000000001</v>
      </c>
      <c r="AB75" s="13">
        <v>2666.4</v>
      </c>
      <c r="AC75" s="13">
        <v>2046.2</v>
      </c>
      <c r="AD75" s="13">
        <v>421.09999999999997</v>
      </c>
      <c r="AE75" s="13">
        <v>895.7</v>
      </c>
      <c r="AF75" s="13">
        <v>654.4</v>
      </c>
      <c r="AG75" s="13">
        <v>1044.0999999999999</v>
      </c>
      <c r="AH75" s="14" t="s">
        <v>62</v>
      </c>
      <c r="AI75" s="14" t="s">
        <v>62</v>
      </c>
      <c r="AJ75" s="14" t="s">
        <v>62</v>
      </c>
      <c r="AK75" s="14" t="s">
        <v>62</v>
      </c>
      <c r="AL75" s="14" t="s">
        <v>62</v>
      </c>
      <c r="AM75" s="14" t="s">
        <v>62</v>
      </c>
      <c r="AN75" s="14" t="s">
        <v>62</v>
      </c>
      <c r="AO75" s="14" t="s">
        <v>62</v>
      </c>
      <c r="AP75" s="14" t="s">
        <v>62</v>
      </c>
      <c r="AQ75" s="14" t="s">
        <v>62</v>
      </c>
      <c r="AR75" s="14" t="s">
        <v>62</v>
      </c>
      <c r="AS75" s="14" t="s">
        <v>62</v>
      </c>
      <c r="AT75" s="14" t="s">
        <v>62</v>
      </c>
      <c r="AU75" s="14" t="s">
        <v>62</v>
      </c>
      <c r="AV75" s="14">
        <f>1915.9+369.5+285</f>
        <v>2570.4</v>
      </c>
      <c r="AW75" s="14">
        <f>3810.2+1011.2+558.9+285</f>
        <v>5665.2999999999993</v>
      </c>
      <c r="AX75" s="14">
        <f>7783+115.4+134</f>
        <v>8032.4</v>
      </c>
      <c r="AY75" s="14" t="s">
        <v>62</v>
      </c>
      <c r="AZ75" s="14" t="s">
        <v>62</v>
      </c>
      <c r="BA75" s="14" t="s">
        <v>62</v>
      </c>
      <c r="BB75" s="12">
        <f>626.2+500</f>
        <v>1126.2</v>
      </c>
      <c r="BC75" s="14" t="s">
        <v>62</v>
      </c>
      <c r="BD75" s="14" t="s">
        <v>62</v>
      </c>
      <c r="BE75" s="14" t="s">
        <v>62</v>
      </c>
      <c r="BF75" s="13">
        <f>786.5+558.9+285</f>
        <v>1630.4</v>
      </c>
      <c r="BG75" s="13">
        <f>482.7+1044.1</f>
        <v>1526.8</v>
      </c>
      <c r="BH75" s="14" t="s">
        <v>62</v>
      </c>
      <c r="BI75" s="14" t="s">
        <v>62</v>
      </c>
      <c r="BJ75" s="15" t="s">
        <v>62</v>
      </c>
      <c r="BL75" s="10" t="s">
        <v>22</v>
      </c>
      <c r="BM75" s="16">
        <v>0</v>
      </c>
      <c r="BN75" s="14">
        <v>0</v>
      </c>
      <c r="BO75" s="14">
        <v>0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2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/>
      <c r="DH75" s="14">
        <f>1036.5</f>
        <v>1036.5</v>
      </c>
      <c r="DI75" s="14">
        <f>407.1+748+1270.3</f>
        <v>2425.3999999999996</v>
      </c>
      <c r="DJ75" s="14"/>
      <c r="DK75" s="14"/>
      <c r="DL75" s="14"/>
      <c r="DM75" s="12"/>
      <c r="DN75" s="14"/>
      <c r="DO75" s="14"/>
      <c r="DP75" s="14"/>
      <c r="DQ75" s="13"/>
      <c r="DR75" s="13">
        <f>1190.8+3.9</f>
        <v>1194.7</v>
      </c>
      <c r="DS75" s="14"/>
      <c r="DT75" s="14"/>
      <c r="DU75" s="15"/>
    </row>
    <row r="76" spans="1:125" x14ac:dyDescent="0.3">
      <c r="A76" s="10" t="s">
        <v>23</v>
      </c>
      <c r="B76" s="16" t="s">
        <v>62</v>
      </c>
      <c r="C76" s="14" t="s">
        <v>62</v>
      </c>
      <c r="D76" s="14" t="s">
        <v>62</v>
      </c>
      <c r="E76" s="14" t="s">
        <v>62</v>
      </c>
      <c r="F76" s="14" t="s">
        <v>62</v>
      </c>
      <c r="G76" s="14" t="s">
        <v>62</v>
      </c>
      <c r="H76" s="14" t="s">
        <v>62</v>
      </c>
      <c r="I76" s="14" t="s">
        <v>62</v>
      </c>
      <c r="J76" s="14" t="s">
        <v>62</v>
      </c>
      <c r="K76" s="14" t="s">
        <v>62</v>
      </c>
      <c r="L76" s="14" t="s">
        <v>62</v>
      </c>
      <c r="M76" s="14" t="s">
        <v>62</v>
      </c>
      <c r="N76" s="14" t="s">
        <v>62</v>
      </c>
      <c r="O76" s="14" t="s">
        <v>62</v>
      </c>
      <c r="P76" s="14" t="s">
        <v>62</v>
      </c>
      <c r="Q76" s="13">
        <f>627.9+580.3+634.7</f>
        <v>1842.8999999999999</v>
      </c>
      <c r="R76" s="13" t="s">
        <v>62</v>
      </c>
      <c r="S76" s="13">
        <f>370.9+219.8+45.2+503.3</f>
        <v>1139.2</v>
      </c>
      <c r="T76" s="13">
        <f>527.2+548.5</f>
        <v>1075.7</v>
      </c>
      <c r="U76" s="13">
        <f>722.4+539.4</f>
        <v>1261.8</v>
      </c>
      <c r="V76" s="13">
        <v>644.70000000000005</v>
      </c>
      <c r="W76" s="13">
        <v>285</v>
      </c>
      <c r="X76" s="12">
        <v>0</v>
      </c>
      <c r="Y76" s="13">
        <v>459.9</v>
      </c>
      <c r="Z76" s="13">
        <v>1546.1000000000001</v>
      </c>
      <c r="AA76" s="13">
        <v>1254.8999999999999</v>
      </c>
      <c r="AB76" s="13">
        <v>2564</v>
      </c>
      <c r="AC76" s="13">
        <v>1943.8</v>
      </c>
      <c r="AD76" s="13">
        <v>135.5</v>
      </c>
      <c r="AE76" s="13">
        <v>610.70000000000005</v>
      </c>
      <c r="AF76" s="13">
        <v>365.7</v>
      </c>
      <c r="AG76" s="13">
        <v>759.2</v>
      </c>
      <c r="AH76" s="14" t="s">
        <v>62</v>
      </c>
      <c r="AI76" s="14" t="s">
        <v>62</v>
      </c>
      <c r="AJ76" s="14" t="s">
        <v>62</v>
      </c>
      <c r="AK76" s="14" t="s">
        <v>62</v>
      </c>
      <c r="AL76" s="14" t="s">
        <v>62</v>
      </c>
      <c r="AM76" s="14" t="s">
        <v>62</v>
      </c>
      <c r="AN76" s="14" t="s">
        <v>62</v>
      </c>
      <c r="AO76" s="14" t="s">
        <v>62</v>
      </c>
      <c r="AP76" s="14" t="s">
        <v>62</v>
      </c>
      <c r="AQ76" s="14" t="s">
        <v>62</v>
      </c>
      <c r="AR76" s="14" t="s">
        <v>62</v>
      </c>
      <c r="AS76" s="14" t="s">
        <v>62</v>
      </c>
      <c r="AT76" s="14" t="s">
        <v>62</v>
      </c>
      <c r="AU76" s="14" t="s">
        <v>62</v>
      </c>
      <c r="AV76" s="14">
        <f>1915.9+369.5</f>
        <v>2285.4</v>
      </c>
      <c r="AW76" s="14">
        <f>3810.2+1011.2+558.9</f>
        <v>5380.2999999999993</v>
      </c>
      <c r="AX76" s="14">
        <f>7783</f>
        <v>7783</v>
      </c>
      <c r="AY76" s="14" t="s">
        <v>62</v>
      </c>
      <c r="AZ76" s="14" t="s">
        <v>62</v>
      </c>
      <c r="BA76" s="14" t="s">
        <v>62</v>
      </c>
      <c r="BB76" s="13">
        <v>1400.9</v>
      </c>
      <c r="BC76" s="14" t="s">
        <v>62</v>
      </c>
      <c r="BD76" s="14" t="s">
        <v>62</v>
      </c>
      <c r="BE76" s="14" t="s">
        <v>62</v>
      </c>
      <c r="BF76" s="13">
        <f>786.5+558.9</f>
        <v>1345.4</v>
      </c>
      <c r="BG76" s="13">
        <f>482.7+759.1</f>
        <v>1241.8</v>
      </c>
      <c r="BH76" s="14" t="s">
        <v>62</v>
      </c>
      <c r="BI76" s="14" t="s">
        <v>62</v>
      </c>
      <c r="BJ76" s="15" t="s">
        <v>62</v>
      </c>
      <c r="BL76" s="10" t="s">
        <v>23</v>
      </c>
      <c r="BM76" s="16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2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/>
      <c r="DH76" s="14">
        <f>1036.5</f>
        <v>1036.5</v>
      </c>
      <c r="DI76" s="14">
        <f>407.1+748+1126</f>
        <v>2281.1</v>
      </c>
      <c r="DJ76" s="14"/>
      <c r="DK76" s="14"/>
      <c r="DL76" s="14"/>
      <c r="DM76" s="13"/>
      <c r="DN76" s="14"/>
      <c r="DO76" s="14"/>
      <c r="DP76" s="14"/>
      <c r="DQ76" s="13"/>
      <c r="DR76" s="13">
        <f>1190.8+3.9</f>
        <v>1194.7</v>
      </c>
      <c r="DS76" s="14"/>
      <c r="DT76" s="14"/>
      <c r="DU76" s="15"/>
    </row>
    <row r="77" spans="1:125" x14ac:dyDescent="0.3">
      <c r="A77" s="10" t="s">
        <v>24</v>
      </c>
      <c r="B77" s="16" t="s">
        <v>62</v>
      </c>
      <c r="C77" s="14" t="s">
        <v>62</v>
      </c>
      <c r="D77" s="14" t="s">
        <v>62</v>
      </c>
      <c r="E77" s="14" t="s">
        <v>62</v>
      </c>
      <c r="F77" s="14" t="s">
        <v>62</v>
      </c>
      <c r="G77" s="14" t="s">
        <v>62</v>
      </c>
      <c r="H77" s="14" t="s">
        <v>62</v>
      </c>
      <c r="I77" s="14" t="s">
        <v>62</v>
      </c>
      <c r="J77" s="14" t="s">
        <v>62</v>
      </c>
      <c r="K77" s="14" t="s">
        <v>62</v>
      </c>
      <c r="L77" s="14" t="s">
        <v>62</v>
      </c>
      <c r="M77" s="14" t="s">
        <v>62</v>
      </c>
      <c r="N77" s="14" t="s">
        <v>62</v>
      </c>
      <c r="O77" s="14" t="s">
        <v>62</v>
      </c>
      <c r="P77" s="14" t="s">
        <v>62</v>
      </c>
      <c r="Q77" s="13">
        <f>627.9+370.9+335.7</f>
        <v>1334.5</v>
      </c>
      <c r="R77" s="13" t="s">
        <v>62</v>
      </c>
      <c r="S77" s="13">
        <f>370.9+219.8+115.9</f>
        <v>706.6</v>
      </c>
      <c r="T77" s="13">
        <v>643.1</v>
      </c>
      <c r="U77" s="13">
        <f>426.6+5+643.1</f>
        <v>1074.7</v>
      </c>
      <c r="V77" s="13">
        <v>701.5</v>
      </c>
      <c r="W77" s="13">
        <v>340.9</v>
      </c>
      <c r="X77" s="13">
        <v>459.9</v>
      </c>
      <c r="Y77" s="12">
        <v>0</v>
      </c>
      <c r="Z77" s="13">
        <v>1539.3</v>
      </c>
      <c r="AA77" s="13">
        <v>936.5</v>
      </c>
      <c r="AB77" s="13">
        <v>2348</v>
      </c>
      <c r="AC77" s="13">
        <v>1727.8000000000002</v>
      </c>
      <c r="AD77" s="13">
        <v>596</v>
      </c>
      <c r="AE77" s="13">
        <v>1070.7</v>
      </c>
      <c r="AF77" s="13">
        <v>825.59999999999991</v>
      </c>
      <c r="AG77" s="13">
        <v>1130.1000000000001</v>
      </c>
      <c r="AH77" s="14" t="s">
        <v>62</v>
      </c>
      <c r="AI77" s="14" t="s">
        <v>62</v>
      </c>
      <c r="AJ77" s="14" t="s">
        <v>62</v>
      </c>
      <c r="AK77" s="14" t="s">
        <v>62</v>
      </c>
      <c r="AL77" s="14" t="s">
        <v>62</v>
      </c>
      <c r="AM77" s="14" t="s">
        <v>62</v>
      </c>
      <c r="AN77" s="14" t="s">
        <v>62</v>
      </c>
      <c r="AO77" s="14" t="s">
        <v>62</v>
      </c>
      <c r="AP77" s="14" t="s">
        <v>62</v>
      </c>
      <c r="AQ77" s="14" t="s">
        <v>62</v>
      </c>
      <c r="AR77" s="14" t="s">
        <v>62</v>
      </c>
      <c r="AS77" s="14" t="s">
        <v>62</v>
      </c>
      <c r="AT77" s="14" t="s">
        <v>62</v>
      </c>
      <c r="AU77" s="14" t="s">
        <v>62</v>
      </c>
      <c r="AV77" s="14">
        <f>1915.9+369.5+459.9</f>
        <v>2745.3</v>
      </c>
      <c r="AW77" s="14">
        <f>3810.2+1011.2+558.9+465</f>
        <v>5845.2999999999993</v>
      </c>
      <c r="AX77" s="14">
        <f>7783+205.9</f>
        <v>7988.9</v>
      </c>
      <c r="AY77" s="14" t="s">
        <v>62</v>
      </c>
      <c r="AZ77" s="14" t="s">
        <v>62</v>
      </c>
      <c r="BA77" s="14" t="s">
        <v>62</v>
      </c>
      <c r="BB77" s="13">
        <f>1115.9+340.9</f>
        <v>1456.8000000000002</v>
      </c>
      <c r="BC77" s="14" t="s">
        <v>62</v>
      </c>
      <c r="BD77" s="14" t="s">
        <v>62</v>
      </c>
      <c r="BE77" s="14" t="s">
        <v>62</v>
      </c>
      <c r="BF77" s="13">
        <f>786.5+553.8+465</f>
        <v>1805.3</v>
      </c>
      <c r="BG77" s="13">
        <f>482.7+73.9+1044.1</f>
        <v>1600.6999999999998</v>
      </c>
      <c r="BH77" s="14" t="s">
        <v>62</v>
      </c>
      <c r="BI77" s="14" t="s">
        <v>62</v>
      </c>
      <c r="BJ77" s="15" t="s">
        <v>62</v>
      </c>
      <c r="BL77" s="10" t="s">
        <v>24</v>
      </c>
      <c r="BM77" s="16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3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2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0</v>
      </c>
      <c r="CQ77" s="13">
        <v>0</v>
      </c>
      <c r="CR77" s="13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/>
      <c r="DH77" s="14">
        <f>1036.5</f>
        <v>1036.5</v>
      </c>
      <c r="DI77" s="14">
        <f>407.1+748+1425.3</f>
        <v>2580.3999999999996</v>
      </c>
      <c r="DJ77" s="14"/>
      <c r="DK77" s="14"/>
      <c r="DL77" s="14"/>
      <c r="DM77" s="13"/>
      <c r="DN77" s="14"/>
      <c r="DO77" s="14"/>
      <c r="DP77" s="14"/>
      <c r="DQ77" s="13"/>
      <c r="DR77" s="13">
        <f>1190.8+5.5</f>
        <v>1196.3</v>
      </c>
      <c r="DS77" s="14"/>
      <c r="DT77" s="14"/>
      <c r="DU77" s="15"/>
    </row>
    <row r="78" spans="1:125" x14ac:dyDescent="0.3">
      <c r="A78" s="10" t="s">
        <v>25</v>
      </c>
      <c r="B78" s="16" t="s">
        <v>62</v>
      </c>
      <c r="C78" s="14" t="s">
        <v>62</v>
      </c>
      <c r="D78" s="14" t="s">
        <v>62</v>
      </c>
      <c r="E78" s="14" t="s">
        <v>62</v>
      </c>
      <c r="F78" s="14" t="s">
        <v>62</v>
      </c>
      <c r="G78" s="14" t="s">
        <v>62</v>
      </c>
      <c r="H78" s="14" t="s">
        <v>62</v>
      </c>
      <c r="I78" s="14" t="s">
        <v>62</v>
      </c>
      <c r="J78" s="14" t="s">
        <v>62</v>
      </c>
      <c r="K78" s="14" t="s">
        <v>62</v>
      </c>
      <c r="L78" s="14" t="s">
        <v>62</v>
      </c>
      <c r="M78" s="14" t="s">
        <v>62</v>
      </c>
      <c r="N78" s="14" t="s">
        <v>62</v>
      </c>
      <c r="O78" s="14" t="s">
        <v>62</v>
      </c>
      <c r="P78" s="14" t="s">
        <v>62</v>
      </c>
      <c r="Q78" s="13">
        <f>627.9+450.6+466.4+376.6+75.9+564.8</f>
        <v>2562.1999999999998</v>
      </c>
      <c r="R78" s="13" t="s">
        <v>62</v>
      </c>
      <c r="S78" s="13">
        <f>450.6+5+606.4+202.2+50.6+564.8</f>
        <v>1879.6</v>
      </c>
      <c r="T78" s="13">
        <f>499.3+367.3+564.8</f>
        <v>1431.4</v>
      </c>
      <c r="U78" s="13">
        <f>161.9+367.3+564.8</f>
        <v>1094</v>
      </c>
      <c r="V78" s="13">
        <f>545.3+352.3</f>
        <v>897.59999999999991</v>
      </c>
      <c r="W78" s="13">
        <f>931.3+202.2+50.6+564.8</f>
        <v>1748.8999999999999</v>
      </c>
      <c r="X78" s="13">
        <f>474.3+170.4+549.1+352.3</f>
        <v>1546.1000000000001</v>
      </c>
      <c r="Y78" s="13">
        <f>355.4+253.3+365.8+564.8</f>
        <v>1539.3</v>
      </c>
      <c r="Z78" s="12">
        <v>0</v>
      </c>
      <c r="AA78" s="13">
        <v>631.4</v>
      </c>
      <c r="AB78" s="13">
        <v>2371.6999999999998</v>
      </c>
      <c r="AC78" s="13">
        <v>1751.5</v>
      </c>
      <c r="AD78" s="13">
        <v>1682.3000000000002</v>
      </c>
      <c r="AE78" s="13">
        <v>1535.8999999999999</v>
      </c>
      <c r="AF78" s="13">
        <v>1491.5</v>
      </c>
      <c r="AG78" s="13">
        <v>1165.5</v>
      </c>
      <c r="AH78" s="14" t="s">
        <v>62</v>
      </c>
      <c r="AI78" s="14" t="s">
        <v>62</v>
      </c>
      <c r="AJ78" s="14" t="s">
        <v>62</v>
      </c>
      <c r="AK78" s="14" t="s">
        <v>62</v>
      </c>
      <c r="AL78" s="14" t="s">
        <v>62</v>
      </c>
      <c r="AM78" s="14" t="s">
        <v>62</v>
      </c>
      <c r="AN78" s="14" t="s">
        <v>62</v>
      </c>
      <c r="AO78" s="14" t="s">
        <v>62</v>
      </c>
      <c r="AP78" s="14" t="s">
        <v>62</v>
      </c>
      <c r="AQ78" s="14" t="s">
        <v>62</v>
      </c>
      <c r="AR78" s="14" t="s">
        <v>62</v>
      </c>
      <c r="AS78" s="14" t="s">
        <v>62</v>
      </c>
      <c r="AT78" s="14" t="s">
        <v>62</v>
      </c>
      <c r="AU78" s="14" t="s">
        <v>62</v>
      </c>
      <c r="AV78" s="14">
        <f>1915.9+401.3+604+496.6</f>
        <v>3417.8</v>
      </c>
      <c r="AW78" s="14">
        <f>3810.2+1011.2+629.4</f>
        <v>5450.7999999999993</v>
      </c>
      <c r="AX78" s="14">
        <f>7000+1775.7</f>
        <v>8775.7000000000007</v>
      </c>
      <c r="AY78" s="14" t="s">
        <v>62</v>
      </c>
      <c r="AZ78" s="14" t="s">
        <v>62</v>
      </c>
      <c r="BA78" s="14" t="s">
        <v>62</v>
      </c>
      <c r="BB78" s="13">
        <f>1115.9+931.3+202.2+564.8</f>
        <v>2814.2</v>
      </c>
      <c r="BC78" s="14" t="s">
        <v>62</v>
      </c>
      <c r="BD78" s="14">
        <f>8450.8+468.2</f>
        <v>8919</v>
      </c>
      <c r="BE78" s="14" t="s">
        <v>62</v>
      </c>
      <c r="BF78" s="13" t="s">
        <v>62</v>
      </c>
      <c r="BG78" s="13" t="s">
        <v>62</v>
      </c>
      <c r="BH78" s="14" t="s">
        <v>62</v>
      </c>
      <c r="BI78" s="14" t="s">
        <v>62</v>
      </c>
      <c r="BJ78" s="15" t="s">
        <v>62</v>
      </c>
      <c r="BL78" s="10" t="s">
        <v>25</v>
      </c>
      <c r="BM78" s="16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3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2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/>
      <c r="DH78" s="14">
        <f>1036.5+1266</f>
        <v>2302.5</v>
      </c>
      <c r="DI78" s="14">
        <f>4.8+82.6+3064.3</f>
        <v>3151.7000000000003</v>
      </c>
      <c r="DJ78" s="14"/>
      <c r="DK78" s="14"/>
      <c r="DL78" s="14"/>
      <c r="DM78" s="13"/>
      <c r="DN78" s="14"/>
      <c r="DO78" s="14">
        <f>30.8+13.6+1044.3+1864.9</f>
        <v>2953.6000000000004</v>
      </c>
      <c r="DP78" s="14"/>
      <c r="DQ78" s="13"/>
      <c r="DR78" s="13"/>
      <c r="DS78" s="14"/>
      <c r="DT78" s="14"/>
      <c r="DU78" s="15"/>
    </row>
    <row r="79" spans="1:125" x14ac:dyDescent="0.3">
      <c r="A79" s="10" t="s">
        <v>26</v>
      </c>
      <c r="B79" s="16" t="s">
        <v>62</v>
      </c>
      <c r="C79" s="14" t="s">
        <v>62</v>
      </c>
      <c r="D79" s="14" t="s">
        <v>62</v>
      </c>
      <c r="E79" s="14" t="s">
        <v>62</v>
      </c>
      <c r="F79" s="14" t="s">
        <v>62</v>
      </c>
      <c r="G79" s="14" t="s">
        <v>62</v>
      </c>
      <c r="H79" s="14" t="s">
        <v>62</v>
      </c>
      <c r="I79" s="14" t="s">
        <v>62</v>
      </c>
      <c r="J79" s="14" t="s">
        <v>62</v>
      </c>
      <c r="K79" s="14" t="s">
        <v>62</v>
      </c>
      <c r="L79" s="14" t="s">
        <v>62</v>
      </c>
      <c r="M79" s="14" t="s">
        <v>62</v>
      </c>
      <c r="N79" s="14" t="s">
        <v>62</v>
      </c>
      <c r="O79" s="14" t="s">
        <v>62</v>
      </c>
      <c r="P79" s="14" t="s">
        <v>62</v>
      </c>
      <c r="Q79" s="13">
        <f>627.9+450.6+466.4+376.6+75.9</f>
        <v>1997.4</v>
      </c>
      <c r="R79" s="13" t="s">
        <v>62</v>
      </c>
      <c r="S79" s="13">
        <f>450.6+5+606.4+202.2+50.6+50.6</f>
        <v>1365.3999999999999</v>
      </c>
      <c r="T79" s="13">
        <f>559.4+307.3</f>
        <v>866.7</v>
      </c>
      <c r="U79" s="13">
        <f>161.9+367.3</f>
        <v>529.20000000000005</v>
      </c>
      <c r="V79" s="13">
        <f>430.5+147</f>
        <v>577.5</v>
      </c>
      <c r="W79" s="13">
        <f>931.3+176.9+75.9</f>
        <v>1184.1000000000001</v>
      </c>
      <c r="X79" s="13">
        <f>1030.6+224.3</f>
        <v>1254.8999999999999</v>
      </c>
      <c r="Y79" s="13">
        <f>355.4+253.3+251.9+75.9</f>
        <v>936.5</v>
      </c>
      <c r="Z79" s="13">
        <v>631.4</v>
      </c>
      <c r="AA79" s="12">
        <v>0</v>
      </c>
      <c r="AB79" s="13">
        <v>1806.9</v>
      </c>
      <c r="AC79" s="13">
        <v>1186.7</v>
      </c>
      <c r="AD79" s="13">
        <v>1401.1000000000001</v>
      </c>
      <c r="AE79" s="13">
        <v>1352.4</v>
      </c>
      <c r="AF79" s="13">
        <v>1022.0999999999999</v>
      </c>
      <c r="AG79" s="13">
        <v>982</v>
      </c>
      <c r="AH79" s="14" t="s">
        <v>62</v>
      </c>
      <c r="AI79" s="14" t="s">
        <v>62</v>
      </c>
      <c r="AJ79" s="14" t="s">
        <v>62</v>
      </c>
      <c r="AK79" s="14" t="s">
        <v>62</v>
      </c>
      <c r="AL79" s="14" t="s">
        <v>62</v>
      </c>
      <c r="AM79" s="14" t="s">
        <v>62</v>
      </c>
      <c r="AN79" s="14" t="s">
        <v>62</v>
      </c>
      <c r="AO79" s="14" t="s">
        <v>62</v>
      </c>
      <c r="AP79" s="14" t="s">
        <v>62</v>
      </c>
      <c r="AQ79" s="14" t="s">
        <v>62</v>
      </c>
      <c r="AR79" s="14" t="s">
        <v>62</v>
      </c>
      <c r="AS79" s="14" t="s">
        <v>62</v>
      </c>
      <c r="AT79" s="14" t="s">
        <v>62</v>
      </c>
      <c r="AU79" s="14" t="s">
        <v>62</v>
      </c>
      <c r="AV79" s="14">
        <f>1915.9+401.3+604+258.6</f>
        <v>3179.8</v>
      </c>
      <c r="AW79" s="14">
        <f>3810.2+1011.2+383.5</f>
        <v>5204.8999999999996</v>
      </c>
      <c r="AX79" s="14" t="s">
        <v>62</v>
      </c>
      <c r="AY79" s="14" t="s">
        <v>62</v>
      </c>
      <c r="AZ79" s="14" t="s">
        <v>62</v>
      </c>
      <c r="BA79" s="14" t="s">
        <v>62</v>
      </c>
      <c r="BB79" s="13">
        <f>1115.9+931.3+202.2</f>
        <v>2249.4</v>
      </c>
      <c r="BC79" s="14" t="s">
        <v>62</v>
      </c>
      <c r="BD79" s="14">
        <f>8450.8+230.1</f>
        <v>8680.9</v>
      </c>
      <c r="BE79" s="14" t="s">
        <v>62</v>
      </c>
      <c r="BF79" s="13" t="s">
        <v>62</v>
      </c>
      <c r="BG79" s="13" t="s">
        <v>62</v>
      </c>
      <c r="BH79" s="14" t="s">
        <v>62</v>
      </c>
      <c r="BI79" s="14" t="s">
        <v>62</v>
      </c>
      <c r="BJ79" s="15" t="s">
        <v>62</v>
      </c>
      <c r="BL79" s="10" t="s">
        <v>26</v>
      </c>
      <c r="BM79" s="16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3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2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/>
      <c r="DH79" s="14">
        <f>1036.5+1266</f>
        <v>2302.5</v>
      </c>
      <c r="DI79" s="14"/>
      <c r="DJ79" s="14"/>
      <c r="DK79" s="14"/>
      <c r="DL79" s="14"/>
      <c r="DM79" s="13"/>
      <c r="DN79" s="14"/>
      <c r="DO79" s="14">
        <f>30.8+13.6+1044.3+1864.9</f>
        <v>2953.6000000000004</v>
      </c>
      <c r="DP79" s="14"/>
      <c r="DQ79" s="13"/>
      <c r="DR79" s="13"/>
      <c r="DS79" s="14"/>
      <c r="DT79" s="14"/>
      <c r="DU79" s="15"/>
    </row>
    <row r="80" spans="1:125" x14ac:dyDescent="0.3">
      <c r="A80" s="10" t="s">
        <v>27</v>
      </c>
      <c r="B80" s="16" t="s">
        <v>62</v>
      </c>
      <c r="C80" s="14" t="s">
        <v>62</v>
      </c>
      <c r="D80" s="14" t="s">
        <v>62</v>
      </c>
      <c r="E80" s="14" t="s">
        <v>62</v>
      </c>
      <c r="F80" s="14" t="s">
        <v>62</v>
      </c>
      <c r="G80" s="14" t="s">
        <v>62</v>
      </c>
      <c r="H80" s="14" t="s">
        <v>62</v>
      </c>
      <c r="I80" s="14" t="s">
        <v>62</v>
      </c>
      <c r="J80" s="14" t="s">
        <v>62</v>
      </c>
      <c r="K80" s="14" t="s">
        <v>62</v>
      </c>
      <c r="L80" s="14" t="s">
        <v>62</v>
      </c>
      <c r="M80" s="14" t="s">
        <v>62</v>
      </c>
      <c r="N80" s="14" t="s">
        <v>62</v>
      </c>
      <c r="O80" s="14" t="s">
        <v>62</v>
      </c>
      <c r="P80" s="14" t="s">
        <v>62</v>
      </c>
      <c r="Q80" s="13">
        <f>627.9+265.3+644.4+657.5+620.2</f>
        <v>2815.3</v>
      </c>
      <c r="R80" s="13" t="s">
        <v>62</v>
      </c>
      <c r="S80" s="13">
        <f>450.6+5+1079.7+620.2</f>
        <v>2155.5</v>
      </c>
      <c r="T80" s="13">
        <f>1079.7+620.2</f>
        <v>1699.9</v>
      </c>
      <c r="U80" s="13">
        <f>657.5+620.2</f>
        <v>1277.7</v>
      </c>
      <c r="V80" s="13" t="s">
        <v>62</v>
      </c>
      <c r="W80" s="13">
        <f>434.3+527.2+5+1079.7+620.2</f>
        <v>2666.4</v>
      </c>
      <c r="X80" s="13">
        <f>568.3+718+657.5+620.2</f>
        <v>2564</v>
      </c>
      <c r="Y80" s="13">
        <f>33.7+609.4+5+1079.7+620.2</f>
        <v>2348</v>
      </c>
      <c r="Z80" s="13">
        <f>564.8+367.3+161.9+657.5+620.2</f>
        <v>2371.6999999999998</v>
      </c>
      <c r="AA80" s="13">
        <f>367.3+161.9+657.5+620.2</f>
        <v>1806.9</v>
      </c>
      <c r="AB80" s="12">
        <v>0</v>
      </c>
      <c r="AC80" s="13">
        <v>605.70000000000005</v>
      </c>
      <c r="AD80" s="13">
        <v>2944.8</v>
      </c>
      <c r="AE80" s="13" t="s">
        <v>62</v>
      </c>
      <c r="AF80" s="13">
        <v>2471.1</v>
      </c>
      <c r="AG80" s="13" t="s">
        <v>62</v>
      </c>
      <c r="AH80" s="14" t="s">
        <v>62</v>
      </c>
      <c r="AI80" s="14" t="s">
        <v>62</v>
      </c>
      <c r="AJ80" s="14" t="s">
        <v>62</v>
      </c>
      <c r="AK80" s="14" t="s">
        <v>62</v>
      </c>
      <c r="AL80" s="14" t="s">
        <v>62</v>
      </c>
      <c r="AM80" s="14" t="s">
        <v>62</v>
      </c>
      <c r="AN80" s="14" t="s">
        <v>62</v>
      </c>
      <c r="AO80" s="14" t="s">
        <v>62</v>
      </c>
      <c r="AP80" s="14" t="s">
        <v>62</v>
      </c>
      <c r="AQ80" s="14" t="s">
        <v>62</v>
      </c>
      <c r="AR80" s="14" t="s">
        <v>62</v>
      </c>
      <c r="AS80" s="14" t="s">
        <v>62</v>
      </c>
      <c r="AT80" s="14" t="s">
        <v>62</v>
      </c>
      <c r="AU80" s="14" t="s">
        <v>62</v>
      </c>
      <c r="AV80" s="14" t="s">
        <v>62</v>
      </c>
      <c r="AW80" s="14" t="s">
        <v>62</v>
      </c>
      <c r="AX80" s="14" t="s">
        <v>62</v>
      </c>
      <c r="AY80" s="14" t="s">
        <v>62</v>
      </c>
      <c r="AZ80" s="14" t="s">
        <v>62</v>
      </c>
      <c r="BA80" s="14" t="s">
        <v>62</v>
      </c>
      <c r="BB80" s="13">
        <f>1115.9+434.3+219.7+750+657.5+620.2</f>
        <v>3797.6000000000004</v>
      </c>
      <c r="BC80" s="14" t="s">
        <v>62</v>
      </c>
      <c r="BD80" s="14" t="s">
        <v>62</v>
      </c>
      <c r="BE80" s="14" t="s">
        <v>62</v>
      </c>
      <c r="BF80" s="13">
        <f>786.5+558.9+568.3+718+657.5+620.2</f>
        <v>3909.3999999999996</v>
      </c>
      <c r="BG80" s="13" t="s">
        <v>62</v>
      </c>
      <c r="BH80" s="14" t="s">
        <v>62</v>
      </c>
      <c r="BI80" s="14" t="s">
        <v>62</v>
      </c>
      <c r="BJ80" s="15" t="s">
        <v>62</v>
      </c>
      <c r="BL80" s="10" t="s">
        <v>27</v>
      </c>
      <c r="BM80" s="16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2">
        <v>0</v>
      </c>
      <c r="CN80" s="13">
        <v>0</v>
      </c>
      <c r="CO80" s="13">
        <v>0</v>
      </c>
      <c r="CP80" s="13">
        <v>0</v>
      </c>
      <c r="CQ80" s="13">
        <v>143.9</v>
      </c>
      <c r="CR80" s="13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/>
      <c r="DH80" s="14"/>
      <c r="DI80" s="14"/>
      <c r="DJ80" s="14"/>
      <c r="DK80" s="14"/>
      <c r="DL80" s="14"/>
      <c r="DM80" s="13"/>
      <c r="DN80" s="14"/>
      <c r="DO80" s="14"/>
      <c r="DP80" s="14"/>
      <c r="DQ80" s="13"/>
      <c r="DR80" s="13"/>
      <c r="DS80" s="14"/>
      <c r="DT80" s="14"/>
      <c r="DU80" s="15"/>
    </row>
    <row r="81" spans="1:125" x14ac:dyDescent="0.3">
      <c r="A81" s="10" t="s">
        <v>65</v>
      </c>
      <c r="B81" s="16" t="s">
        <v>62</v>
      </c>
      <c r="C81" s="14" t="s">
        <v>62</v>
      </c>
      <c r="D81" s="14" t="s">
        <v>62</v>
      </c>
      <c r="E81" s="14" t="s">
        <v>62</v>
      </c>
      <c r="F81" s="14" t="s">
        <v>62</v>
      </c>
      <c r="G81" s="14" t="s">
        <v>62</v>
      </c>
      <c r="H81" s="14" t="s">
        <v>62</v>
      </c>
      <c r="I81" s="14" t="s">
        <v>62</v>
      </c>
      <c r="J81" s="14" t="s">
        <v>62</v>
      </c>
      <c r="K81" s="14" t="s">
        <v>62</v>
      </c>
      <c r="L81" s="14" t="s">
        <v>62</v>
      </c>
      <c r="M81" s="14" t="s">
        <v>62</v>
      </c>
      <c r="N81" s="14" t="s">
        <v>62</v>
      </c>
      <c r="O81" s="14" t="s">
        <v>62</v>
      </c>
      <c r="P81" s="14" t="s">
        <v>62</v>
      </c>
      <c r="Q81" s="13">
        <f>627.9+450.6+5+1079.7</f>
        <v>2163.1999999999998</v>
      </c>
      <c r="R81" s="13" t="s">
        <v>62</v>
      </c>
      <c r="S81" s="13">
        <f>450.6+5+1079.7</f>
        <v>1535.3000000000002</v>
      </c>
      <c r="T81" s="13">
        <f>1079.7</f>
        <v>1079.7</v>
      </c>
      <c r="U81" s="13">
        <v>657.5</v>
      </c>
      <c r="V81" s="13" t="s">
        <v>62</v>
      </c>
      <c r="W81" s="13">
        <f>434.3+527.2+5+1079.7</f>
        <v>2046.2</v>
      </c>
      <c r="X81" s="13">
        <f>568.3+718+657.5</f>
        <v>1943.8</v>
      </c>
      <c r="Y81" s="13">
        <f>33.7+609.4+5+1079.7</f>
        <v>1727.8000000000002</v>
      </c>
      <c r="Z81" s="13">
        <f>564.8+367.3+161.9+657.5</f>
        <v>1751.5</v>
      </c>
      <c r="AA81" s="13">
        <f>367.3+161.9+657.5</f>
        <v>1186.7</v>
      </c>
      <c r="AB81" s="13">
        <v>605.70000000000005</v>
      </c>
      <c r="AC81" s="12">
        <v>0</v>
      </c>
      <c r="AD81" s="13">
        <v>2362.8000000000006</v>
      </c>
      <c r="AE81" s="13">
        <v>2525.5</v>
      </c>
      <c r="AF81" s="13">
        <v>1976.1</v>
      </c>
      <c r="AG81" s="13">
        <v>1962.7</v>
      </c>
      <c r="AH81" s="14" t="s">
        <v>62</v>
      </c>
      <c r="AI81" s="14" t="s">
        <v>62</v>
      </c>
      <c r="AJ81" s="14" t="s">
        <v>62</v>
      </c>
      <c r="AK81" s="14" t="s">
        <v>62</v>
      </c>
      <c r="AL81" s="14" t="s">
        <v>62</v>
      </c>
      <c r="AM81" s="14" t="s">
        <v>62</v>
      </c>
      <c r="AN81" s="14" t="s">
        <v>62</v>
      </c>
      <c r="AO81" s="14" t="s">
        <v>62</v>
      </c>
      <c r="AP81" s="14" t="s">
        <v>62</v>
      </c>
      <c r="AQ81" s="14" t="s">
        <v>62</v>
      </c>
      <c r="AR81" s="14" t="s">
        <v>62</v>
      </c>
      <c r="AS81" s="14" t="s">
        <v>62</v>
      </c>
      <c r="AT81" s="14" t="s">
        <v>62</v>
      </c>
      <c r="AU81" s="14" t="s">
        <v>62</v>
      </c>
      <c r="AV81" s="14" t="s">
        <v>62</v>
      </c>
      <c r="AW81" s="14" t="s">
        <v>62</v>
      </c>
      <c r="AX81" s="14" t="s">
        <v>62</v>
      </c>
      <c r="AY81" s="14" t="s">
        <v>62</v>
      </c>
      <c r="AZ81" s="14" t="s">
        <v>62</v>
      </c>
      <c r="BA81" s="14" t="s">
        <v>62</v>
      </c>
      <c r="BB81" s="13">
        <f>1115.9+434.3+219.7+750+657.5</f>
        <v>3177.4</v>
      </c>
      <c r="BC81" s="14" t="s">
        <v>62</v>
      </c>
      <c r="BD81" s="14" t="s">
        <v>62</v>
      </c>
      <c r="BE81" s="14" t="s">
        <v>62</v>
      </c>
      <c r="BF81" s="13">
        <f>786.5+558.9+568.3+718+657.5</f>
        <v>3289.2</v>
      </c>
      <c r="BG81" s="13">
        <f>482.7+1058.4+640.4+657.5</f>
        <v>2839</v>
      </c>
      <c r="BH81" s="14" t="s">
        <v>62</v>
      </c>
      <c r="BI81" s="14" t="s">
        <v>62</v>
      </c>
      <c r="BJ81" s="15" t="s">
        <v>62</v>
      </c>
      <c r="BL81" s="10" t="s">
        <v>65</v>
      </c>
      <c r="BM81" s="16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2">
        <v>0</v>
      </c>
      <c r="CO81" s="13">
        <v>0</v>
      </c>
      <c r="CP81" s="13">
        <v>0</v>
      </c>
      <c r="CQ81" s="13">
        <v>0</v>
      </c>
      <c r="CR81" s="13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/>
      <c r="DH81" s="14"/>
      <c r="DI81" s="14"/>
      <c r="DJ81" s="14"/>
      <c r="DK81" s="14"/>
      <c r="DL81" s="14"/>
      <c r="DM81" s="13"/>
      <c r="DN81" s="14"/>
      <c r="DO81" s="14"/>
      <c r="DP81" s="14"/>
      <c r="DQ81" s="13"/>
      <c r="DR81" s="13">
        <f>989.2+2.4</f>
        <v>991.6</v>
      </c>
      <c r="DS81" s="14"/>
      <c r="DT81" s="14"/>
      <c r="DU81" s="15"/>
    </row>
    <row r="82" spans="1:125" x14ac:dyDescent="0.3">
      <c r="A82" s="10" t="s">
        <v>29</v>
      </c>
      <c r="B82" s="16" t="s">
        <v>62</v>
      </c>
      <c r="C82" s="14" t="s">
        <v>62</v>
      </c>
      <c r="D82" s="14" t="s">
        <v>62</v>
      </c>
      <c r="E82" s="14" t="s">
        <v>62</v>
      </c>
      <c r="F82" s="14" t="s">
        <v>62</v>
      </c>
      <c r="G82" s="14" t="s">
        <v>62</v>
      </c>
      <c r="H82" s="14" t="s">
        <v>62</v>
      </c>
      <c r="I82" s="14" t="s">
        <v>62</v>
      </c>
      <c r="J82" s="14" t="s">
        <v>62</v>
      </c>
      <c r="K82" s="14" t="s">
        <v>62</v>
      </c>
      <c r="L82" s="14" t="s">
        <v>62</v>
      </c>
      <c r="M82" s="14" t="s">
        <v>62</v>
      </c>
      <c r="N82" s="14" t="s">
        <v>62</v>
      </c>
      <c r="O82" s="14" t="s">
        <v>62</v>
      </c>
      <c r="P82" s="14" t="s">
        <v>62</v>
      </c>
      <c r="Q82" s="13">
        <f>627.9+370.9+219.8+548.5+72.2+63.9</f>
        <v>1903.2</v>
      </c>
      <c r="R82" s="13" t="s">
        <v>62</v>
      </c>
      <c r="S82" s="13">
        <f>450.6+399.1+539.4+72.2+63.9</f>
        <v>1525.2</v>
      </c>
      <c r="T82" s="13">
        <f>527.2+548.5+72.2+63.9</f>
        <v>1211.8000000000002</v>
      </c>
      <c r="U82" s="13">
        <f>722.4+539.4+72.2+63.9</f>
        <v>1397.9</v>
      </c>
      <c r="V82" s="13">
        <f>639+77.9+63.9</f>
        <v>780.8</v>
      </c>
      <c r="W82" s="13">
        <f>285+72.2+63.9</f>
        <v>421.09999999999997</v>
      </c>
      <c r="X82" s="13">
        <f>72.2+63.3</f>
        <v>135.5</v>
      </c>
      <c r="Y82" s="13">
        <f>459.9+72.2+63.9</f>
        <v>596</v>
      </c>
      <c r="Z82" s="13">
        <f>352.3+549.1+717+63.9</f>
        <v>1682.3000000000002</v>
      </c>
      <c r="AA82" s="13">
        <f>224.3+1040.7+72.2+63.9</f>
        <v>1401.1000000000001</v>
      </c>
      <c r="AB82" s="13">
        <f>605.7+343.9+817.7+396.6+717+63.9</f>
        <v>2944.8</v>
      </c>
      <c r="AC82" s="13">
        <f>555.4+1039.4+635.8+68.3+63.9</f>
        <v>2362.8000000000006</v>
      </c>
      <c r="AD82" s="12">
        <v>0</v>
      </c>
      <c r="AE82" s="13">
        <v>635.9</v>
      </c>
      <c r="AF82" s="13">
        <v>501.79999999999995</v>
      </c>
      <c r="AG82" s="13">
        <v>895.30000000000007</v>
      </c>
      <c r="AH82" s="14" t="s">
        <v>62</v>
      </c>
      <c r="AI82" s="14" t="s">
        <v>62</v>
      </c>
      <c r="AJ82" s="14" t="s">
        <v>62</v>
      </c>
      <c r="AK82" s="14" t="s">
        <v>62</v>
      </c>
      <c r="AL82" s="14" t="s">
        <v>62</v>
      </c>
      <c r="AM82" s="14" t="s">
        <v>62</v>
      </c>
      <c r="AN82" s="14" t="s">
        <v>62</v>
      </c>
      <c r="AO82" s="14" t="s">
        <v>62</v>
      </c>
      <c r="AP82" s="14" t="s">
        <v>62</v>
      </c>
      <c r="AQ82" s="14" t="s">
        <v>62</v>
      </c>
      <c r="AR82" s="14" t="s">
        <v>62</v>
      </c>
      <c r="AS82" s="14" t="s">
        <v>62</v>
      </c>
      <c r="AT82" s="14" t="s">
        <v>62</v>
      </c>
      <c r="AU82" s="14" t="s">
        <v>62</v>
      </c>
      <c r="AV82" s="14">
        <f>1915.9+369.5+72.2+63.9</f>
        <v>2421.5</v>
      </c>
      <c r="AW82" s="14">
        <f>2977.7+1080.8+1394.9</f>
        <v>5453.4</v>
      </c>
      <c r="AX82" s="14">
        <f>7783+454.9+142.4</f>
        <v>8380.2999999999993</v>
      </c>
      <c r="AY82" s="14" t="s">
        <v>62</v>
      </c>
      <c r="AZ82" s="14" t="s">
        <v>62</v>
      </c>
      <c r="BA82" s="14" t="s">
        <v>62</v>
      </c>
      <c r="BB82" s="13" t="s">
        <v>62</v>
      </c>
      <c r="BC82" s="14" t="s">
        <v>62</v>
      </c>
      <c r="BD82" s="14" t="s">
        <v>62</v>
      </c>
      <c r="BE82" s="14" t="s">
        <v>62</v>
      </c>
      <c r="BF82" s="13">
        <f>786.5+452.1+142.4</f>
        <v>1381</v>
      </c>
      <c r="BG82" s="13" t="s">
        <v>62</v>
      </c>
      <c r="BH82" s="14" t="s">
        <v>62</v>
      </c>
      <c r="BI82" s="14" t="s">
        <v>62</v>
      </c>
      <c r="BJ82" s="15" t="s">
        <v>62</v>
      </c>
      <c r="BL82" s="10" t="s">
        <v>29</v>
      </c>
      <c r="BM82" s="16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2">
        <v>0</v>
      </c>
      <c r="CP82" s="13">
        <v>0</v>
      </c>
      <c r="CQ82" s="13">
        <v>0</v>
      </c>
      <c r="CR82" s="13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/>
      <c r="DH82" s="14">
        <f>372.4+569.3</f>
        <v>941.69999999999993</v>
      </c>
      <c r="DI82" s="14">
        <f>407.1+748+562.9</f>
        <v>1718</v>
      </c>
      <c r="DJ82" s="14"/>
      <c r="DK82" s="14"/>
      <c r="DL82" s="14"/>
      <c r="DM82" s="13"/>
      <c r="DN82" s="14"/>
      <c r="DO82" s="14"/>
      <c r="DP82" s="14"/>
      <c r="DQ82" s="13"/>
      <c r="DR82" s="13"/>
      <c r="DS82" s="14"/>
      <c r="DT82" s="14"/>
      <c r="DU82" s="15"/>
    </row>
    <row r="83" spans="1:125" x14ac:dyDescent="0.3">
      <c r="A83" s="10" t="s">
        <v>30</v>
      </c>
      <c r="B83" s="16" t="s">
        <v>62</v>
      </c>
      <c r="C83" s="14" t="s">
        <v>62</v>
      </c>
      <c r="D83" s="14" t="s">
        <v>62</v>
      </c>
      <c r="E83" s="14" t="s">
        <v>62</v>
      </c>
      <c r="F83" s="14" t="s">
        <v>62</v>
      </c>
      <c r="G83" s="14" t="s">
        <v>62</v>
      </c>
      <c r="H83" s="14" t="s">
        <v>62</v>
      </c>
      <c r="I83" s="14" t="s">
        <v>62</v>
      </c>
      <c r="J83" s="14" t="s">
        <v>62</v>
      </c>
      <c r="K83" s="14" t="s">
        <v>62</v>
      </c>
      <c r="L83" s="14" t="s">
        <v>62</v>
      </c>
      <c r="M83" s="14" t="s">
        <v>62</v>
      </c>
      <c r="N83" s="14" t="s">
        <v>62</v>
      </c>
      <c r="O83" s="14" t="s">
        <v>62</v>
      </c>
      <c r="P83" s="14" t="s">
        <v>62</v>
      </c>
      <c r="Q83" s="13">
        <f>627.9+370.9+219.8+553.6+605.7</f>
        <v>2377.8999999999996</v>
      </c>
      <c r="R83" s="13" t="s">
        <v>62</v>
      </c>
      <c r="S83" s="13">
        <f>450.6+219.8+553.6+605.7</f>
        <v>1829.7</v>
      </c>
      <c r="T83" s="13">
        <f>654.1+539.4+610.7</f>
        <v>1804.2</v>
      </c>
      <c r="U83" s="13">
        <f>722.4+539.4+610.7</f>
        <v>1872.5</v>
      </c>
      <c r="V83" s="13">
        <f>455.8+435.3</f>
        <v>891.1</v>
      </c>
      <c r="W83" s="13">
        <f>285+610.7</f>
        <v>895.7</v>
      </c>
      <c r="X83" s="13">
        <v>610.70000000000005</v>
      </c>
      <c r="Y83" s="13">
        <f>465+605.7</f>
        <v>1070.7</v>
      </c>
      <c r="Z83" s="13">
        <f>496.6+604+435.3</f>
        <v>1535.8999999999999</v>
      </c>
      <c r="AA83" s="13">
        <f>146.9+269.1+501.1+435.3</f>
        <v>1352.4</v>
      </c>
      <c r="AB83" s="13" t="s">
        <v>62</v>
      </c>
      <c r="AC83" s="13">
        <f>657.5+717.9+539.4+610.7</f>
        <v>2525.5</v>
      </c>
      <c r="AD83" s="13">
        <v>635.9</v>
      </c>
      <c r="AE83" s="12">
        <v>0</v>
      </c>
      <c r="AF83" s="13">
        <v>517.4</v>
      </c>
      <c r="AG83" s="13">
        <v>429.1</v>
      </c>
      <c r="AH83" s="14" t="s">
        <v>62</v>
      </c>
      <c r="AI83" s="14" t="s">
        <v>62</v>
      </c>
      <c r="AJ83" s="14" t="s">
        <v>62</v>
      </c>
      <c r="AK83" s="14" t="s">
        <v>62</v>
      </c>
      <c r="AL83" s="14" t="s">
        <v>62</v>
      </c>
      <c r="AM83" s="14" t="s">
        <v>62</v>
      </c>
      <c r="AN83" s="14" t="s">
        <v>62</v>
      </c>
      <c r="AO83" s="14" t="s">
        <v>62</v>
      </c>
      <c r="AP83" s="14" t="s">
        <v>62</v>
      </c>
      <c r="AQ83" s="14" t="s">
        <v>62</v>
      </c>
      <c r="AR83" s="14" t="s">
        <v>62</v>
      </c>
      <c r="AS83" s="14" t="s">
        <v>62</v>
      </c>
      <c r="AT83" s="14" t="s">
        <v>62</v>
      </c>
      <c r="AU83" s="14" t="s">
        <v>62</v>
      </c>
      <c r="AV83" s="12">
        <f>1915.9+340.3</f>
        <v>2256.2000000000003</v>
      </c>
      <c r="AW83" s="14">
        <f>3305.4+1080.8+646+787.1+215+291.7</f>
        <v>6326</v>
      </c>
      <c r="AX83" s="14">
        <f>7783+1080.8+646+787.1+215+291.7</f>
        <v>10803.6</v>
      </c>
      <c r="AY83" s="14" t="s">
        <v>62</v>
      </c>
      <c r="AZ83" s="14" t="s">
        <v>62</v>
      </c>
      <c r="BA83" s="14" t="s">
        <v>62</v>
      </c>
      <c r="BB83" s="13">
        <f>1115.9+610.7</f>
        <v>1726.6000000000001</v>
      </c>
      <c r="BC83" s="14" t="s">
        <v>62</v>
      </c>
      <c r="BD83" s="14" t="s">
        <v>62</v>
      </c>
      <c r="BE83" s="14" t="s">
        <v>62</v>
      </c>
      <c r="BF83" s="12">
        <v>908</v>
      </c>
      <c r="BG83" s="13" t="s">
        <v>62</v>
      </c>
      <c r="BH83" s="14" t="s">
        <v>62</v>
      </c>
      <c r="BI83" s="14" t="s">
        <v>62</v>
      </c>
      <c r="BJ83" s="15" t="s">
        <v>62</v>
      </c>
      <c r="BL83" s="10" t="s">
        <v>30</v>
      </c>
      <c r="BM83" s="16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2">
        <v>0</v>
      </c>
      <c r="CQ83" s="13">
        <v>0</v>
      </c>
      <c r="CR83" s="13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2"/>
      <c r="DH83" s="14"/>
      <c r="DI83" s="14"/>
      <c r="DJ83" s="14"/>
      <c r="DK83" s="14"/>
      <c r="DL83" s="14"/>
      <c r="DM83" s="13"/>
      <c r="DN83" s="14"/>
      <c r="DO83" s="14"/>
      <c r="DP83" s="14"/>
      <c r="DQ83" s="12"/>
      <c r="DR83" s="13"/>
      <c r="DS83" s="14"/>
      <c r="DT83" s="14"/>
      <c r="DU83" s="15"/>
    </row>
    <row r="84" spans="1:125" x14ac:dyDescent="0.3">
      <c r="A84" s="10" t="s">
        <v>31</v>
      </c>
      <c r="B84" s="16" t="s">
        <v>62</v>
      </c>
      <c r="C84" s="14" t="s">
        <v>62</v>
      </c>
      <c r="D84" s="14" t="s">
        <v>62</v>
      </c>
      <c r="E84" s="14" t="s">
        <v>62</v>
      </c>
      <c r="F84" s="14" t="s">
        <v>62</v>
      </c>
      <c r="G84" s="14" t="s">
        <v>62</v>
      </c>
      <c r="H84" s="14" t="s">
        <v>62</v>
      </c>
      <c r="I84" s="14" t="s">
        <v>62</v>
      </c>
      <c r="J84" s="14" t="s">
        <v>62</v>
      </c>
      <c r="K84" s="14" t="s">
        <v>62</v>
      </c>
      <c r="L84" s="14" t="s">
        <v>62</v>
      </c>
      <c r="M84" s="14" t="s">
        <v>62</v>
      </c>
      <c r="N84" s="14" t="s">
        <v>62</v>
      </c>
      <c r="O84" s="14" t="s">
        <v>62</v>
      </c>
      <c r="P84" s="14" t="s">
        <v>62</v>
      </c>
      <c r="Q84" s="13">
        <f>627.9+370.9+399.1+490</f>
        <v>1887.9</v>
      </c>
      <c r="R84" s="13" t="s">
        <v>62</v>
      </c>
      <c r="S84" s="13">
        <f>450.6+399.1+490</f>
        <v>1339.7</v>
      </c>
      <c r="T84" s="13">
        <f>654.1+490</f>
        <v>1144.0999999999999</v>
      </c>
      <c r="U84" s="13">
        <f>161.9+273.1+883.6</f>
        <v>1318.6</v>
      </c>
      <c r="V84" s="13">
        <f>138.6+63+196.3</f>
        <v>397.9</v>
      </c>
      <c r="W84" s="13">
        <v>654.4</v>
      </c>
      <c r="X84" s="13">
        <v>365.7</v>
      </c>
      <c r="Y84" s="13">
        <f>459.9+365.7</f>
        <v>825.59999999999991</v>
      </c>
      <c r="Z84" s="13">
        <f>1090.2+401.3</f>
        <v>1491.5</v>
      </c>
      <c r="AA84" s="13">
        <f>146.9+269.1+315.8+290.3</f>
        <v>1022.0999999999999</v>
      </c>
      <c r="AB84" s="13">
        <f>605.7+657.5+717.9+490</f>
        <v>2471.1</v>
      </c>
      <c r="AC84" s="13">
        <f>657.5+161.9+273.1+883.6</f>
        <v>1976.1</v>
      </c>
      <c r="AD84" s="13">
        <f>63.9+72.2+365.7</f>
        <v>501.79999999999995</v>
      </c>
      <c r="AE84" s="13">
        <f>247.4+270</f>
        <v>517.4</v>
      </c>
      <c r="AF84" s="12">
        <v>0</v>
      </c>
      <c r="AG84" s="13">
        <v>394</v>
      </c>
      <c r="AH84" s="14" t="s">
        <v>62</v>
      </c>
      <c r="AI84" s="14" t="s">
        <v>62</v>
      </c>
      <c r="AJ84" s="14" t="s">
        <v>62</v>
      </c>
      <c r="AK84" s="14" t="s">
        <v>62</v>
      </c>
      <c r="AL84" s="14" t="s">
        <v>62</v>
      </c>
      <c r="AM84" s="14" t="s">
        <v>62</v>
      </c>
      <c r="AN84" s="14" t="s">
        <v>62</v>
      </c>
      <c r="AO84" s="14" t="s">
        <v>62</v>
      </c>
      <c r="AP84" s="14" t="s">
        <v>62</v>
      </c>
      <c r="AQ84" s="14" t="s">
        <v>62</v>
      </c>
      <c r="AR84" s="14" t="s">
        <v>62</v>
      </c>
      <c r="AS84" s="14" t="s">
        <v>62</v>
      </c>
      <c r="AT84" s="14" t="s">
        <v>62</v>
      </c>
      <c r="AU84" s="14" t="s">
        <v>62</v>
      </c>
      <c r="AV84" s="14">
        <v>1915.9</v>
      </c>
      <c r="AW84" s="14">
        <f>3553.3+189.3+9.9+1915.9</f>
        <v>5668.4000000000005</v>
      </c>
      <c r="AX84" s="14">
        <f>8030.9+189.3+9.9+1915.9</f>
        <v>10145.999999999998</v>
      </c>
      <c r="AY84" s="14" t="s">
        <v>62</v>
      </c>
      <c r="AZ84" s="14" t="s">
        <v>62</v>
      </c>
      <c r="BA84" s="14" t="s">
        <v>62</v>
      </c>
      <c r="BB84" s="13">
        <f>1115.9+365.7</f>
        <v>1481.6000000000001</v>
      </c>
      <c r="BC84" s="14" t="s">
        <v>62</v>
      </c>
      <c r="BD84" s="14" t="s">
        <v>62</v>
      </c>
      <c r="BE84" s="14" t="s">
        <v>62</v>
      </c>
      <c r="BF84" s="13">
        <f>1215+324.4</f>
        <v>1539.4</v>
      </c>
      <c r="BG84" s="13" t="s">
        <v>62</v>
      </c>
      <c r="BH84" s="14" t="s">
        <v>62</v>
      </c>
      <c r="BI84" s="14" t="s">
        <v>62</v>
      </c>
      <c r="BJ84" s="15" t="s">
        <v>62</v>
      </c>
      <c r="BL84" s="10" t="s">
        <v>31</v>
      </c>
      <c r="BM84" s="16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3">
        <v>143.9</v>
      </c>
      <c r="CC84" s="13">
        <v>143.9</v>
      </c>
      <c r="CD84" s="13">
        <v>143.9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143.9</v>
      </c>
      <c r="CN84" s="13">
        <v>0</v>
      </c>
      <c r="CO84" s="13">
        <v>0</v>
      </c>
      <c r="CP84" s="13">
        <v>0</v>
      </c>
      <c r="CQ84" s="12">
        <v>0</v>
      </c>
      <c r="CR84" s="13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/>
      <c r="DH84" s="14"/>
      <c r="DI84" s="14"/>
      <c r="DJ84" s="14"/>
      <c r="DK84" s="14"/>
      <c r="DL84" s="14"/>
      <c r="DM84" s="13"/>
      <c r="DN84" s="14"/>
      <c r="DO84" s="14"/>
      <c r="DP84" s="14"/>
      <c r="DQ84" s="13"/>
      <c r="DR84" s="13"/>
      <c r="DS84" s="14"/>
      <c r="DT84" s="14"/>
      <c r="DU84" s="15"/>
    </row>
    <row r="85" spans="1:125" x14ac:dyDescent="0.3">
      <c r="A85" s="10" t="s">
        <v>32</v>
      </c>
      <c r="B85" s="16" t="s">
        <v>62</v>
      </c>
      <c r="C85" s="14" t="s">
        <v>62</v>
      </c>
      <c r="D85" s="14" t="s">
        <v>62</v>
      </c>
      <c r="E85" s="14" t="s">
        <v>62</v>
      </c>
      <c r="F85" s="14" t="s">
        <v>62</v>
      </c>
      <c r="G85" s="14" t="s">
        <v>62</v>
      </c>
      <c r="H85" s="14" t="s">
        <v>62</v>
      </c>
      <c r="I85" s="14" t="s">
        <v>62</v>
      </c>
      <c r="J85" s="14" t="s">
        <v>62</v>
      </c>
      <c r="K85" s="14" t="s">
        <v>62</v>
      </c>
      <c r="L85" s="14" t="s">
        <v>62</v>
      </c>
      <c r="M85" s="14" t="s">
        <v>62</v>
      </c>
      <c r="N85" s="14" t="s">
        <v>62</v>
      </c>
      <c r="O85" s="14" t="s">
        <v>62</v>
      </c>
      <c r="P85" s="14" t="s">
        <v>62</v>
      </c>
      <c r="Q85" s="13">
        <f>627.9+370.9+399.1+731.4+64.9</f>
        <v>2194.2000000000003</v>
      </c>
      <c r="R85" s="13" t="s">
        <v>62</v>
      </c>
      <c r="S85" s="13">
        <f>450.6+399.1+731.4+64.9</f>
        <v>1646</v>
      </c>
      <c r="T85" s="13">
        <f>834.5+455.8+64.9</f>
        <v>1355.2</v>
      </c>
      <c r="U85" s="13">
        <f>161.9+273.1+879.2</f>
        <v>1314.2</v>
      </c>
      <c r="V85" s="13">
        <f>455.8+64.9</f>
        <v>520.70000000000005</v>
      </c>
      <c r="W85" s="13">
        <v>1044.0999999999999</v>
      </c>
      <c r="X85" s="13">
        <v>759.2</v>
      </c>
      <c r="Y85" s="13">
        <f>1065.2+64.9</f>
        <v>1130.1000000000001</v>
      </c>
      <c r="Z85" s="13">
        <f>496.6+604+64.9</f>
        <v>1165.5</v>
      </c>
      <c r="AA85" s="13">
        <f>146.9+269.1+501.1+64.9</f>
        <v>982</v>
      </c>
      <c r="AB85" s="13" t="s">
        <v>62</v>
      </c>
      <c r="AC85" s="13">
        <f>657.5+161.9+273.1+870.2</f>
        <v>1962.7</v>
      </c>
      <c r="AD85" s="13">
        <f>63.9+72.2+759.2</f>
        <v>895.30000000000007</v>
      </c>
      <c r="AE85" s="13">
        <f>346.6+82.5</f>
        <v>429.1</v>
      </c>
      <c r="AF85" s="13">
        <v>394</v>
      </c>
      <c r="AG85" s="12">
        <v>0</v>
      </c>
      <c r="AH85" s="14" t="s">
        <v>62</v>
      </c>
      <c r="AI85" s="14" t="s">
        <v>62</v>
      </c>
      <c r="AJ85" s="14" t="s">
        <v>62</v>
      </c>
      <c r="AK85" s="14" t="s">
        <v>62</v>
      </c>
      <c r="AL85" s="14" t="s">
        <v>62</v>
      </c>
      <c r="AM85" s="14" t="s">
        <v>62</v>
      </c>
      <c r="AN85" s="14" t="s">
        <v>62</v>
      </c>
      <c r="AO85" s="14" t="s">
        <v>62</v>
      </c>
      <c r="AP85" s="14" t="s">
        <v>62</v>
      </c>
      <c r="AQ85" s="14" t="s">
        <v>62</v>
      </c>
      <c r="AR85" s="14" t="s">
        <v>62</v>
      </c>
      <c r="AS85" s="14" t="s">
        <v>62</v>
      </c>
      <c r="AT85" s="14" t="s">
        <v>62</v>
      </c>
      <c r="AU85" s="14" t="s">
        <v>62</v>
      </c>
      <c r="AV85" s="14">
        <f>1915.9+394</f>
        <v>2309.9</v>
      </c>
      <c r="AW85" s="14">
        <f>3810.2+1011.2+569.7+82.5</f>
        <v>5473.5999999999995</v>
      </c>
      <c r="AX85" s="14">
        <f>7783+141.4</f>
        <v>7924.4</v>
      </c>
      <c r="AY85" s="14" t="s">
        <v>62</v>
      </c>
      <c r="AZ85" s="14" t="s">
        <v>62</v>
      </c>
      <c r="BA85" s="14" t="s">
        <v>62</v>
      </c>
      <c r="BB85" s="13">
        <f>626.2+500+1050.1</f>
        <v>2176.3000000000002</v>
      </c>
      <c r="BC85" s="14" t="s">
        <v>62</v>
      </c>
      <c r="BD85" s="14" t="s">
        <v>62</v>
      </c>
      <c r="BE85" s="14" t="s">
        <v>62</v>
      </c>
      <c r="BF85" s="13">
        <f>988+441.7</f>
        <v>1429.7</v>
      </c>
      <c r="BG85" s="12" t="s">
        <v>62</v>
      </c>
      <c r="BH85" s="14" t="s">
        <v>62</v>
      </c>
      <c r="BI85" s="14" t="s">
        <v>62</v>
      </c>
      <c r="BJ85" s="15" t="s">
        <v>62</v>
      </c>
      <c r="BL85" s="10" t="s">
        <v>32</v>
      </c>
      <c r="BM85" s="16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2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/>
      <c r="DG85" s="14"/>
      <c r="DH85" s="14">
        <f>1036.5</f>
        <v>1036.5</v>
      </c>
      <c r="DI85" s="14">
        <f>407.1+748+1109.7</f>
        <v>2264.8000000000002</v>
      </c>
      <c r="DJ85" s="14"/>
      <c r="DK85" s="14"/>
      <c r="DL85" s="14"/>
      <c r="DM85" s="13"/>
      <c r="DN85" s="14"/>
      <c r="DO85" s="14"/>
      <c r="DP85" s="14"/>
      <c r="DQ85" s="13"/>
      <c r="DR85" s="12"/>
      <c r="DS85" s="14"/>
      <c r="DT85" s="14"/>
      <c r="DU85" s="15"/>
    </row>
    <row r="86" spans="1:125" x14ac:dyDescent="0.3">
      <c r="A86" s="10" t="s">
        <v>33</v>
      </c>
      <c r="B86" s="16" t="s">
        <v>62</v>
      </c>
      <c r="C86" s="14" t="s">
        <v>62</v>
      </c>
      <c r="D86" s="14" t="s">
        <v>62</v>
      </c>
      <c r="E86" s="14" t="s">
        <v>62</v>
      </c>
      <c r="F86" s="14" t="s">
        <v>62</v>
      </c>
      <c r="G86" s="14" t="s">
        <v>62</v>
      </c>
      <c r="H86" s="14" t="s">
        <v>62</v>
      </c>
      <c r="I86" s="14" t="s">
        <v>62</v>
      </c>
      <c r="J86" s="14" t="s">
        <v>62</v>
      </c>
      <c r="K86" s="14" t="s">
        <v>62</v>
      </c>
      <c r="L86" s="14" t="s">
        <v>62</v>
      </c>
      <c r="M86" s="14" t="s">
        <v>62</v>
      </c>
      <c r="N86" s="14" t="s">
        <v>62</v>
      </c>
      <c r="O86" s="14" t="s">
        <v>62</v>
      </c>
      <c r="P86" s="14" t="s">
        <v>62</v>
      </c>
      <c r="Q86" s="14" t="s">
        <v>62</v>
      </c>
      <c r="R86" s="14" t="s">
        <v>62</v>
      </c>
      <c r="S86" s="14" t="s">
        <v>62</v>
      </c>
      <c r="T86" s="14" t="s">
        <v>62</v>
      </c>
      <c r="U86" s="14" t="s">
        <v>62</v>
      </c>
      <c r="V86" s="14" t="s">
        <v>62</v>
      </c>
      <c r="W86" s="14" t="s">
        <v>62</v>
      </c>
      <c r="X86" s="14" t="s">
        <v>62</v>
      </c>
      <c r="Y86" s="14" t="s">
        <v>62</v>
      </c>
      <c r="Z86" s="14" t="s">
        <v>62</v>
      </c>
      <c r="AA86" s="14" t="s">
        <v>62</v>
      </c>
      <c r="AB86" s="14" t="s">
        <v>62</v>
      </c>
      <c r="AC86" s="14" t="s">
        <v>62</v>
      </c>
      <c r="AD86" s="14" t="s">
        <v>62</v>
      </c>
      <c r="AE86" s="14" t="s">
        <v>62</v>
      </c>
      <c r="AF86" s="14" t="s">
        <v>62</v>
      </c>
      <c r="AG86" s="14" t="s">
        <v>62</v>
      </c>
      <c r="AH86" s="12">
        <v>0</v>
      </c>
      <c r="AI86" s="13">
        <v>1444.8</v>
      </c>
      <c r="AJ86" s="13">
        <v>1052</v>
      </c>
      <c r="AK86" s="13">
        <v>2182.3000000000002</v>
      </c>
      <c r="AL86" s="13" t="s">
        <v>62</v>
      </c>
      <c r="AM86" s="13" t="s">
        <v>62</v>
      </c>
      <c r="AN86" s="13" t="s">
        <v>62</v>
      </c>
      <c r="AO86" s="14" t="s">
        <v>62</v>
      </c>
      <c r="AP86" s="14" t="s">
        <v>62</v>
      </c>
      <c r="AQ86" s="14" t="s">
        <v>62</v>
      </c>
      <c r="AR86" s="13" t="s">
        <v>62</v>
      </c>
      <c r="AS86" s="13" t="s">
        <v>62</v>
      </c>
      <c r="AT86" s="13" t="s">
        <v>62</v>
      </c>
      <c r="AU86" s="13" t="s">
        <v>62</v>
      </c>
      <c r="AV86" s="13" t="s">
        <v>62</v>
      </c>
      <c r="AW86" s="12">
        <f>2494.7+342.5+1481.7+1495.6</f>
        <v>5814.5</v>
      </c>
      <c r="AX86" s="13" t="s">
        <v>62</v>
      </c>
      <c r="AY86" s="14" t="s">
        <v>62</v>
      </c>
      <c r="AZ86" s="14" t="s">
        <v>62</v>
      </c>
      <c r="BA86" s="13" t="s">
        <v>62</v>
      </c>
      <c r="BB86" s="14" t="s">
        <v>62</v>
      </c>
      <c r="BC86" s="13" t="s">
        <v>62</v>
      </c>
      <c r="BD86" s="13">
        <f>3605.9+906.7</f>
        <v>4512.6000000000004</v>
      </c>
      <c r="BE86" s="13">
        <f>4116.9+906.7</f>
        <v>5023.5999999999995</v>
      </c>
      <c r="BF86" s="14" t="s">
        <v>62</v>
      </c>
      <c r="BG86" s="14" t="s">
        <v>62</v>
      </c>
      <c r="BH86" s="14" t="s">
        <v>62</v>
      </c>
      <c r="BI86" s="14" t="s">
        <v>62</v>
      </c>
      <c r="BJ86" s="15" t="s">
        <v>62</v>
      </c>
      <c r="BL86" s="10" t="s">
        <v>33</v>
      </c>
      <c r="BM86" s="16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2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4">
        <v>0</v>
      </c>
      <c r="DA86" s="14">
        <v>0</v>
      </c>
      <c r="DB86" s="14">
        <v>0</v>
      </c>
      <c r="DC86" s="13">
        <v>0</v>
      </c>
      <c r="DD86" s="13">
        <v>0</v>
      </c>
      <c r="DE86" s="13">
        <v>0</v>
      </c>
      <c r="DF86" s="13"/>
      <c r="DG86" s="13"/>
      <c r="DH86" s="12">
        <f>1806.6+5.7+463.7+198</f>
        <v>2474</v>
      </c>
      <c r="DI86" s="13"/>
      <c r="DJ86" s="14"/>
      <c r="DK86" s="14"/>
      <c r="DL86" s="13"/>
      <c r="DM86" s="14"/>
      <c r="DN86" s="13"/>
      <c r="DO86" s="13">
        <f>860.5+142.9+174.2</f>
        <v>1177.5999999999999</v>
      </c>
      <c r="DP86" s="13">
        <f>860.5+142.9+174.2</f>
        <v>1177.5999999999999</v>
      </c>
      <c r="DQ86" s="14"/>
      <c r="DR86" s="14"/>
      <c r="DS86" s="14"/>
      <c r="DT86" s="14"/>
      <c r="DU86" s="15"/>
    </row>
    <row r="87" spans="1:125" x14ac:dyDescent="0.3">
      <c r="A87" s="10" t="s">
        <v>34</v>
      </c>
      <c r="B87" s="16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14" t="s">
        <v>62</v>
      </c>
      <c r="I87" s="14" t="s">
        <v>62</v>
      </c>
      <c r="J87" s="14" t="s">
        <v>62</v>
      </c>
      <c r="K87" s="14" t="s">
        <v>62</v>
      </c>
      <c r="L87" s="14" t="s">
        <v>62</v>
      </c>
      <c r="M87" s="14" t="s">
        <v>62</v>
      </c>
      <c r="N87" s="14" t="s">
        <v>62</v>
      </c>
      <c r="O87" s="14" t="s">
        <v>62</v>
      </c>
      <c r="P87" s="14" t="s">
        <v>62</v>
      </c>
      <c r="Q87" s="14" t="s">
        <v>62</v>
      </c>
      <c r="R87" s="14" t="s">
        <v>62</v>
      </c>
      <c r="S87" s="14" t="s">
        <v>62</v>
      </c>
      <c r="T87" s="14" t="s">
        <v>62</v>
      </c>
      <c r="U87" s="14" t="s">
        <v>62</v>
      </c>
      <c r="V87" s="14" t="s">
        <v>62</v>
      </c>
      <c r="W87" s="14" t="s">
        <v>62</v>
      </c>
      <c r="X87" s="14" t="s">
        <v>62</v>
      </c>
      <c r="Y87" s="14" t="s">
        <v>62</v>
      </c>
      <c r="Z87" s="14" t="s">
        <v>62</v>
      </c>
      <c r="AA87" s="14" t="s">
        <v>62</v>
      </c>
      <c r="AB87" s="14" t="s">
        <v>62</v>
      </c>
      <c r="AC87" s="14" t="s">
        <v>62</v>
      </c>
      <c r="AD87" s="14" t="s">
        <v>62</v>
      </c>
      <c r="AE87" s="14" t="s">
        <v>62</v>
      </c>
      <c r="AF87" s="14" t="s">
        <v>62</v>
      </c>
      <c r="AG87" s="14" t="s">
        <v>62</v>
      </c>
      <c r="AH87" s="13">
        <v>1444.8</v>
      </c>
      <c r="AI87" s="12">
        <v>0</v>
      </c>
      <c r="AJ87" s="13">
        <v>1654.8</v>
      </c>
      <c r="AK87" s="13">
        <v>1662.2</v>
      </c>
      <c r="AL87" s="13" t="s">
        <v>62</v>
      </c>
      <c r="AM87" s="13" t="s">
        <v>62</v>
      </c>
      <c r="AN87" s="13" t="s">
        <v>62</v>
      </c>
      <c r="AO87" s="14" t="s">
        <v>62</v>
      </c>
      <c r="AP87" s="14" t="s">
        <v>62</v>
      </c>
      <c r="AQ87" s="14" t="s">
        <v>62</v>
      </c>
      <c r="AR87" s="13" t="s">
        <v>62</v>
      </c>
      <c r="AS87" s="13" t="s">
        <v>62</v>
      </c>
      <c r="AT87" s="13" t="s">
        <v>62</v>
      </c>
      <c r="AU87" s="12" t="s">
        <v>62</v>
      </c>
      <c r="AV87" s="13" t="s">
        <v>62</v>
      </c>
      <c r="AW87" s="13" t="s">
        <v>62</v>
      </c>
      <c r="AX87" s="12" t="s">
        <v>62</v>
      </c>
      <c r="AY87" s="14" t="s">
        <v>62</v>
      </c>
      <c r="AZ87" s="14" t="s">
        <v>62</v>
      </c>
      <c r="BA87" s="13" t="s">
        <v>62</v>
      </c>
      <c r="BB87" s="14" t="s">
        <v>62</v>
      </c>
      <c r="BC87" s="12" t="s">
        <v>62</v>
      </c>
      <c r="BD87" s="12">
        <f>3605.9+580.7</f>
        <v>4186.6000000000004</v>
      </c>
      <c r="BE87" s="12">
        <f>4116.9+580.7</f>
        <v>4697.5999999999995</v>
      </c>
      <c r="BF87" s="14" t="s">
        <v>62</v>
      </c>
      <c r="BG87" s="14" t="s">
        <v>62</v>
      </c>
      <c r="BH87" s="14" t="s">
        <v>62</v>
      </c>
      <c r="BI87" s="14" t="s">
        <v>62</v>
      </c>
      <c r="BJ87" s="15" t="s">
        <v>62</v>
      </c>
      <c r="BL87" s="10" t="s">
        <v>34</v>
      </c>
      <c r="BM87" s="16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3">
        <v>0</v>
      </c>
      <c r="CT87" s="12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4">
        <v>0</v>
      </c>
      <c r="DA87" s="14">
        <v>0</v>
      </c>
      <c r="DB87" s="14">
        <v>0</v>
      </c>
      <c r="DC87" s="13">
        <v>0</v>
      </c>
      <c r="DD87" s="13">
        <v>0</v>
      </c>
      <c r="DE87" s="13">
        <v>0</v>
      </c>
      <c r="DF87" s="12"/>
      <c r="DG87" s="13"/>
      <c r="DH87" s="13"/>
      <c r="DI87" s="12"/>
      <c r="DJ87" s="14"/>
      <c r="DK87" s="14"/>
      <c r="DL87" s="13"/>
      <c r="DM87" s="14"/>
      <c r="DN87" s="12"/>
      <c r="DO87" s="12">
        <f>10.5+463.7+198</f>
        <v>672.2</v>
      </c>
      <c r="DP87" s="12">
        <f>10.6+463.7+198</f>
        <v>672.3</v>
      </c>
      <c r="DQ87" s="14"/>
      <c r="DR87" s="14"/>
      <c r="DS87" s="14"/>
      <c r="DT87" s="14"/>
      <c r="DU87" s="15"/>
    </row>
    <row r="88" spans="1:125" x14ac:dyDescent="0.3">
      <c r="A88" s="10" t="s">
        <v>35</v>
      </c>
      <c r="B88" s="16" t="s">
        <v>62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14" t="s">
        <v>62</v>
      </c>
      <c r="I88" s="14" t="s">
        <v>62</v>
      </c>
      <c r="J88" s="14" t="s">
        <v>62</v>
      </c>
      <c r="K88" s="14" t="s">
        <v>62</v>
      </c>
      <c r="L88" s="14" t="s">
        <v>62</v>
      </c>
      <c r="M88" s="14" t="s">
        <v>62</v>
      </c>
      <c r="N88" s="14" t="s">
        <v>62</v>
      </c>
      <c r="O88" s="14" t="s">
        <v>62</v>
      </c>
      <c r="P88" s="14" t="s">
        <v>62</v>
      </c>
      <c r="Q88" s="14" t="s">
        <v>62</v>
      </c>
      <c r="R88" s="14" t="s">
        <v>62</v>
      </c>
      <c r="S88" s="14" t="s">
        <v>62</v>
      </c>
      <c r="T88" s="14" t="s">
        <v>62</v>
      </c>
      <c r="U88" s="14" t="s">
        <v>62</v>
      </c>
      <c r="V88" s="14" t="s">
        <v>62</v>
      </c>
      <c r="W88" s="14" t="s">
        <v>62</v>
      </c>
      <c r="X88" s="14" t="s">
        <v>62</v>
      </c>
      <c r="Y88" s="14" t="s">
        <v>62</v>
      </c>
      <c r="Z88" s="14" t="s">
        <v>62</v>
      </c>
      <c r="AA88" s="14" t="s">
        <v>62</v>
      </c>
      <c r="AB88" s="14" t="s">
        <v>62</v>
      </c>
      <c r="AC88" s="14" t="s">
        <v>62</v>
      </c>
      <c r="AD88" s="14" t="s">
        <v>62</v>
      </c>
      <c r="AE88" s="14" t="s">
        <v>62</v>
      </c>
      <c r="AF88" s="14" t="s">
        <v>62</v>
      </c>
      <c r="AG88" s="14" t="s">
        <v>62</v>
      </c>
      <c r="AH88" s="13">
        <v>1052</v>
      </c>
      <c r="AI88" s="13">
        <f>1411+243.8</f>
        <v>1654.8</v>
      </c>
      <c r="AJ88" s="12">
        <v>0</v>
      </c>
      <c r="AK88" s="13">
        <v>1373.3000000000002</v>
      </c>
      <c r="AL88" s="13" t="s">
        <v>62</v>
      </c>
      <c r="AM88" s="13" t="s">
        <v>62</v>
      </c>
      <c r="AN88" s="13" t="s">
        <v>62</v>
      </c>
      <c r="AO88" s="14" t="s">
        <v>62</v>
      </c>
      <c r="AP88" s="14" t="s">
        <v>62</v>
      </c>
      <c r="AQ88" s="14" t="s">
        <v>62</v>
      </c>
      <c r="AR88" s="13" t="s">
        <v>62</v>
      </c>
      <c r="AS88" s="13" t="s">
        <v>62</v>
      </c>
      <c r="AT88" s="13" t="s">
        <v>62</v>
      </c>
      <c r="AU88" s="13" t="s">
        <v>62</v>
      </c>
      <c r="AV88" s="13" t="s">
        <v>62</v>
      </c>
      <c r="AW88" s="13" t="s">
        <v>62</v>
      </c>
      <c r="AX88" s="13" t="s">
        <v>62</v>
      </c>
      <c r="AY88" s="14" t="s">
        <v>62</v>
      </c>
      <c r="AZ88" s="14" t="s">
        <v>62</v>
      </c>
      <c r="BA88" s="13" t="s">
        <v>62</v>
      </c>
      <c r="BB88" s="14" t="s">
        <v>62</v>
      </c>
      <c r="BC88" s="13" t="s">
        <v>62</v>
      </c>
      <c r="BD88" s="13">
        <f>3605.9+903+243.8</f>
        <v>4752.7</v>
      </c>
      <c r="BE88" s="13" t="s">
        <v>62</v>
      </c>
      <c r="BF88" s="14" t="s">
        <v>62</v>
      </c>
      <c r="BG88" s="14" t="s">
        <v>62</v>
      </c>
      <c r="BH88" s="14" t="s">
        <v>62</v>
      </c>
      <c r="BI88" s="14" t="s">
        <v>62</v>
      </c>
      <c r="BJ88" s="15" t="s">
        <v>62</v>
      </c>
      <c r="BL88" s="10" t="s">
        <v>35</v>
      </c>
      <c r="BM88" s="16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3">
        <v>0</v>
      </c>
      <c r="CT88" s="13">
        <v>0</v>
      </c>
      <c r="CU88" s="12">
        <v>0</v>
      </c>
      <c r="CV88" s="13">
        <v>0</v>
      </c>
      <c r="CW88" s="13">
        <v>0</v>
      </c>
      <c r="CX88" s="13">
        <v>0</v>
      </c>
      <c r="CY88" s="13">
        <v>0</v>
      </c>
      <c r="CZ88" s="14">
        <v>0</v>
      </c>
      <c r="DA88" s="14">
        <v>0</v>
      </c>
      <c r="DB88" s="14">
        <v>0</v>
      </c>
      <c r="DC88" s="13">
        <v>0</v>
      </c>
      <c r="DD88" s="13">
        <v>0</v>
      </c>
      <c r="DE88" s="13">
        <v>0</v>
      </c>
      <c r="DF88" s="13"/>
      <c r="DG88" s="13"/>
      <c r="DH88" s="13"/>
      <c r="DI88" s="13"/>
      <c r="DJ88" s="14"/>
      <c r="DK88" s="14"/>
      <c r="DL88" s="13"/>
      <c r="DM88" s="14"/>
      <c r="DN88" s="13"/>
      <c r="DO88" s="13">
        <f>860.5+345.5</f>
        <v>1206</v>
      </c>
      <c r="DP88" s="13"/>
      <c r="DQ88" s="14"/>
      <c r="DR88" s="14"/>
      <c r="DS88" s="14"/>
      <c r="DT88" s="14"/>
      <c r="DU88" s="15"/>
    </row>
    <row r="89" spans="1:125" x14ac:dyDescent="0.3">
      <c r="A89" s="10" t="s">
        <v>36</v>
      </c>
      <c r="B89" s="16" t="s">
        <v>62</v>
      </c>
      <c r="C89" s="14" t="s">
        <v>62</v>
      </c>
      <c r="D89" s="14" t="s">
        <v>62</v>
      </c>
      <c r="E89" s="14" t="s">
        <v>62</v>
      </c>
      <c r="F89" s="14" t="s">
        <v>62</v>
      </c>
      <c r="G89" s="14" t="s">
        <v>62</v>
      </c>
      <c r="H89" s="14" t="s">
        <v>62</v>
      </c>
      <c r="I89" s="14" t="s">
        <v>62</v>
      </c>
      <c r="J89" s="14" t="s">
        <v>62</v>
      </c>
      <c r="K89" s="14" t="s">
        <v>62</v>
      </c>
      <c r="L89" s="14" t="s">
        <v>62</v>
      </c>
      <c r="M89" s="14" t="s">
        <v>62</v>
      </c>
      <c r="N89" s="14" t="s">
        <v>62</v>
      </c>
      <c r="O89" s="14" t="s">
        <v>62</v>
      </c>
      <c r="P89" s="14" t="s">
        <v>62</v>
      </c>
      <c r="Q89" s="14" t="s">
        <v>62</v>
      </c>
      <c r="R89" s="14" t="s">
        <v>62</v>
      </c>
      <c r="S89" s="14" t="s">
        <v>62</v>
      </c>
      <c r="T89" s="14" t="s">
        <v>62</v>
      </c>
      <c r="U89" s="14" t="s">
        <v>62</v>
      </c>
      <c r="V89" s="14" t="s">
        <v>62</v>
      </c>
      <c r="W89" s="14" t="s">
        <v>62</v>
      </c>
      <c r="X89" s="14" t="s">
        <v>62</v>
      </c>
      <c r="Y89" s="14" t="s">
        <v>62</v>
      </c>
      <c r="Z89" s="14" t="s">
        <v>62</v>
      </c>
      <c r="AA89" s="14" t="s">
        <v>62</v>
      </c>
      <c r="AB89" s="14" t="s">
        <v>62</v>
      </c>
      <c r="AC89" s="14" t="s">
        <v>62</v>
      </c>
      <c r="AD89" s="14" t="s">
        <v>62</v>
      </c>
      <c r="AE89" s="14" t="s">
        <v>62</v>
      </c>
      <c r="AF89" s="14" t="s">
        <v>62</v>
      </c>
      <c r="AG89" s="14" t="s">
        <v>62</v>
      </c>
      <c r="AH89" s="13">
        <v>2182.3000000000002</v>
      </c>
      <c r="AI89" s="13">
        <v>1662.2</v>
      </c>
      <c r="AJ89" s="13">
        <f>114.9+1258.4</f>
        <v>1373.3000000000002</v>
      </c>
      <c r="AK89" s="12">
        <v>0</v>
      </c>
      <c r="AL89" s="13" t="s">
        <v>62</v>
      </c>
      <c r="AM89" s="13" t="s">
        <v>62</v>
      </c>
      <c r="AN89" s="13" t="s">
        <v>62</v>
      </c>
      <c r="AO89" s="14" t="s">
        <v>62</v>
      </c>
      <c r="AP89" s="14" t="s">
        <v>62</v>
      </c>
      <c r="AQ89" s="14" t="s">
        <v>62</v>
      </c>
      <c r="AR89" s="13" t="s">
        <v>62</v>
      </c>
      <c r="AS89" s="13" t="s">
        <v>62</v>
      </c>
      <c r="AT89" s="13" t="s">
        <v>62</v>
      </c>
      <c r="AU89" s="13" t="s">
        <v>62</v>
      </c>
      <c r="AV89" s="13" t="s">
        <v>62</v>
      </c>
      <c r="AW89" s="13">
        <f>2494.7+342.5+1481.7+2235.7</f>
        <v>6554.5999999999995</v>
      </c>
      <c r="AX89" s="13" t="s">
        <v>62</v>
      </c>
      <c r="AY89" s="14" t="s">
        <v>62</v>
      </c>
      <c r="AZ89" s="14" t="s">
        <v>62</v>
      </c>
      <c r="BA89" s="13" t="s">
        <v>62</v>
      </c>
      <c r="BB89" s="14" t="s">
        <v>62</v>
      </c>
      <c r="BC89" s="13" t="s">
        <v>62</v>
      </c>
      <c r="BD89" s="13">
        <f>3605.9+2235.7</f>
        <v>5841.6</v>
      </c>
      <c r="BE89" s="13">
        <f>4116.9+2235.7</f>
        <v>6352.5999999999995</v>
      </c>
      <c r="BF89" s="14" t="s">
        <v>62</v>
      </c>
      <c r="BG89" s="14" t="s">
        <v>62</v>
      </c>
      <c r="BH89" s="14" t="s">
        <v>62</v>
      </c>
      <c r="BI89" s="14" t="s">
        <v>62</v>
      </c>
      <c r="BJ89" s="15" t="s">
        <v>62</v>
      </c>
      <c r="BL89" s="10" t="s">
        <v>36</v>
      </c>
      <c r="BM89" s="16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3">
        <v>0</v>
      </c>
      <c r="CT89" s="13">
        <v>0</v>
      </c>
      <c r="CU89" s="13">
        <v>0</v>
      </c>
      <c r="CV89" s="12">
        <v>0</v>
      </c>
      <c r="CW89" s="13">
        <v>0</v>
      </c>
      <c r="CX89" s="13">
        <v>0</v>
      </c>
      <c r="CY89" s="13">
        <v>0</v>
      </c>
      <c r="CZ89" s="14">
        <v>0</v>
      </c>
      <c r="DA89" s="14">
        <v>0</v>
      </c>
      <c r="DB89" s="14">
        <v>0</v>
      </c>
      <c r="DC89" s="13">
        <v>0</v>
      </c>
      <c r="DD89" s="13">
        <v>0</v>
      </c>
      <c r="DE89" s="13">
        <v>0</v>
      </c>
      <c r="DF89" s="13"/>
      <c r="DG89" s="13"/>
      <c r="DH89" s="13">
        <f>1806.6+5.7+463.7+198</f>
        <v>2474</v>
      </c>
      <c r="DI89" s="13"/>
      <c r="DJ89" s="14"/>
      <c r="DK89" s="14"/>
      <c r="DL89" s="13"/>
      <c r="DM89" s="14"/>
      <c r="DN89" s="13"/>
      <c r="DO89" s="13">
        <f>10.5+463.7+198</f>
        <v>672.2</v>
      </c>
      <c r="DP89" s="13">
        <f>10.6+463.7+198</f>
        <v>672.3</v>
      </c>
      <c r="DQ89" s="14"/>
      <c r="DR89" s="14"/>
      <c r="DS89" s="14"/>
      <c r="DT89" s="14"/>
      <c r="DU89" s="15"/>
    </row>
    <row r="90" spans="1:125" x14ac:dyDescent="0.3">
      <c r="A90" s="10" t="s">
        <v>37</v>
      </c>
      <c r="B90" s="16" t="s">
        <v>62</v>
      </c>
      <c r="C90" s="14" t="s">
        <v>62</v>
      </c>
      <c r="D90" s="14" t="s">
        <v>62</v>
      </c>
      <c r="E90" s="14" t="s">
        <v>62</v>
      </c>
      <c r="F90" s="14" t="s">
        <v>62</v>
      </c>
      <c r="G90" s="14" t="s">
        <v>62</v>
      </c>
      <c r="H90" s="14" t="s">
        <v>62</v>
      </c>
      <c r="I90" s="14" t="s">
        <v>62</v>
      </c>
      <c r="J90" s="14" t="s">
        <v>62</v>
      </c>
      <c r="K90" s="14" t="s">
        <v>62</v>
      </c>
      <c r="L90" s="14" t="s">
        <v>62</v>
      </c>
      <c r="M90" s="14" t="s">
        <v>62</v>
      </c>
      <c r="N90" s="14" t="s">
        <v>62</v>
      </c>
      <c r="O90" s="14" t="s">
        <v>62</v>
      </c>
      <c r="P90" s="14" t="s">
        <v>62</v>
      </c>
      <c r="Q90" s="14" t="s">
        <v>62</v>
      </c>
      <c r="R90" s="14" t="s">
        <v>62</v>
      </c>
      <c r="S90" s="14" t="s">
        <v>62</v>
      </c>
      <c r="T90" s="14" t="s">
        <v>62</v>
      </c>
      <c r="U90" s="14" t="s">
        <v>62</v>
      </c>
      <c r="V90" s="14" t="s">
        <v>62</v>
      </c>
      <c r="W90" s="14" t="s">
        <v>62</v>
      </c>
      <c r="X90" s="14" t="s">
        <v>62</v>
      </c>
      <c r="Y90" s="14" t="s">
        <v>62</v>
      </c>
      <c r="Z90" s="14" t="s">
        <v>62</v>
      </c>
      <c r="AA90" s="14" t="s">
        <v>62</v>
      </c>
      <c r="AB90" s="14" t="s">
        <v>62</v>
      </c>
      <c r="AC90" s="14" t="s">
        <v>62</v>
      </c>
      <c r="AD90" s="14" t="s">
        <v>62</v>
      </c>
      <c r="AE90" s="14" t="s">
        <v>62</v>
      </c>
      <c r="AF90" s="14" t="s">
        <v>62</v>
      </c>
      <c r="AG90" s="14" t="s">
        <v>62</v>
      </c>
      <c r="AH90" s="13" t="s">
        <v>62</v>
      </c>
      <c r="AI90" s="13" t="s">
        <v>62</v>
      </c>
      <c r="AJ90" s="13" t="s">
        <v>62</v>
      </c>
      <c r="AK90" s="13" t="s">
        <v>62</v>
      </c>
      <c r="AL90" s="12">
        <v>0</v>
      </c>
      <c r="AM90" s="13">
        <v>519.9</v>
      </c>
      <c r="AN90" s="13">
        <v>1160.8999999999999</v>
      </c>
      <c r="AO90" s="14" t="s">
        <v>62</v>
      </c>
      <c r="AP90" s="14" t="s">
        <v>62</v>
      </c>
      <c r="AQ90" s="14" t="s">
        <v>62</v>
      </c>
      <c r="AR90" s="13" t="s">
        <v>62</v>
      </c>
      <c r="AS90" s="13" t="s">
        <v>62</v>
      </c>
      <c r="AT90" s="13" t="s">
        <v>62</v>
      </c>
      <c r="AU90" s="13" t="s">
        <v>62</v>
      </c>
      <c r="AV90" s="13" t="s">
        <v>62</v>
      </c>
      <c r="AW90" s="13" t="s">
        <v>62</v>
      </c>
      <c r="AX90" s="13" t="s">
        <v>62</v>
      </c>
      <c r="AY90" s="14" t="s">
        <v>62</v>
      </c>
      <c r="AZ90" s="14" t="s">
        <v>62</v>
      </c>
      <c r="BA90" s="13" t="s">
        <v>62</v>
      </c>
      <c r="BB90" s="14" t="s">
        <v>62</v>
      </c>
      <c r="BC90" s="13" t="s">
        <v>62</v>
      </c>
      <c r="BD90" s="13" t="s">
        <v>62</v>
      </c>
      <c r="BE90" s="13" t="s">
        <v>62</v>
      </c>
      <c r="BF90" s="14" t="s">
        <v>62</v>
      </c>
      <c r="BG90" s="14" t="s">
        <v>62</v>
      </c>
      <c r="BH90" s="14" t="s">
        <v>62</v>
      </c>
      <c r="BI90" s="14" t="s">
        <v>62</v>
      </c>
      <c r="BJ90" s="15" t="s">
        <v>62</v>
      </c>
      <c r="BL90" s="10" t="s">
        <v>37</v>
      </c>
      <c r="BM90" s="16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3">
        <v>0</v>
      </c>
      <c r="CT90" s="13">
        <v>0</v>
      </c>
      <c r="CU90" s="13">
        <v>0</v>
      </c>
      <c r="CV90" s="13">
        <v>0</v>
      </c>
      <c r="CW90" s="12">
        <v>0</v>
      </c>
      <c r="CX90" s="13">
        <v>0</v>
      </c>
      <c r="CY90" s="13">
        <v>0</v>
      </c>
      <c r="CZ90" s="14">
        <v>0</v>
      </c>
      <c r="DA90" s="14">
        <v>0</v>
      </c>
      <c r="DB90" s="14">
        <v>0</v>
      </c>
      <c r="DC90" s="13">
        <v>0</v>
      </c>
      <c r="DD90" s="13">
        <v>0</v>
      </c>
      <c r="DE90" s="13">
        <v>0</v>
      </c>
      <c r="DF90" s="13"/>
      <c r="DG90" s="13"/>
      <c r="DH90" s="13"/>
      <c r="DI90" s="13"/>
      <c r="DJ90" s="14"/>
      <c r="DK90" s="14"/>
      <c r="DL90" s="13"/>
      <c r="DM90" s="14"/>
      <c r="DN90" s="13"/>
      <c r="DO90" s="13"/>
      <c r="DP90" s="13"/>
      <c r="DQ90" s="14"/>
      <c r="DR90" s="14"/>
      <c r="DS90" s="14"/>
      <c r="DT90" s="14"/>
      <c r="DU90" s="15"/>
    </row>
    <row r="91" spans="1:125" x14ac:dyDescent="0.3">
      <c r="A91" s="10" t="s">
        <v>38</v>
      </c>
      <c r="B91" s="16" t="s">
        <v>62</v>
      </c>
      <c r="C91" s="14" t="s">
        <v>62</v>
      </c>
      <c r="D91" s="14" t="s">
        <v>62</v>
      </c>
      <c r="E91" s="14" t="s">
        <v>62</v>
      </c>
      <c r="F91" s="14" t="s">
        <v>62</v>
      </c>
      <c r="G91" s="14" t="s">
        <v>62</v>
      </c>
      <c r="H91" s="14" t="s">
        <v>62</v>
      </c>
      <c r="I91" s="14" t="s">
        <v>62</v>
      </c>
      <c r="J91" s="14" t="s">
        <v>62</v>
      </c>
      <c r="K91" s="14" t="s">
        <v>62</v>
      </c>
      <c r="L91" s="14" t="s">
        <v>62</v>
      </c>
      <c r="M91" s="14" t="s">
        <v>62</v>
      </c>
      <c r="N91" s="14" t="s">
        <v>62</v>
      </c>
      <c r="O91" s="14" t="s">
        <v>62</v>
      </c>
      <c r="P91" s="14" t="s">
        <v>62</v>
      </c>
      <c r="Q91" s="14" t="s">
        <v>62</v>
      </c>
      <c r="R91" s="14" t="s">
        <v>62</v>
      </c>
      <c r="S91" s="14" t="s">
        <v>62</v>
      </c>
      <c r="T91" s="14" t="s">
        <v>62</v>
      </c>
      <c r="U91" s="14" t="s">
        <v>62</v>
      </c>
      <c r="V91" s="14" t="s">
        <v>62</v>
      </c>
      <c r="W91" s="14" t="s">
        <v>62</v>
      </c>
      <c r="X91" s="14" t="s">
        <v>62</v>
      </c>
      <c r="Y91" s="14" t="s">
        <v>62</v>
      </c>
      <c r="Z91" s="14" t="s">
        <v>62</v>
      </c>
      <c r="AA91" s="14" t="s">
        <v>62</v>
      </c>
      <c r="AB91" s="14" t="s">
        <v>62</v>
      </c>
      <c r="AC91" s="14" t="s">
        <v>62</v>
      </c>
      <c r="AD91" s="14" t="s">
        <v>62</v>
      </c>
      <c r="AE91" s="14" t="s">
        <v>62</v>
      </c>
      <c r="AF91" s="14" t="s">
        <v>62</v>
      </c>
      <c r="AG91" s="14" t="s">
        <v>62</v>
      </c>
      <c r="AH91" s="13" t="s">
        <v>62</v>
      </c>
      <c r="AI91" s="13" t="s">
        <v>62</v>
      </c>
      <c r="AJ91" s="13" t="s">
        <v>62</v>
      </c>
      <c r="AK91" s="13" t="s">
        <v>62</v>
      </c>
      <c r="AL91" s="13">
        <f>514.6+5.3</f>
        <v>519.9</v>
      </c>
      <c r="AM91" s="12">
        <v>0</v>
      </c>
      <c r="AN91" s="13">
        <f>5.3+646.4</f>
        <v>651.69999999999993</v>
      </c>
      <c r="AO91" s="14" t="s">
        <v>62</v>
      </c>
      <c r="AP91" s="14" t="s">
        <v>62</v>
      </c>
      <c r="AQ91" s="14" t="s">
        <v>62</v>
      </c>
      <c r="AR91" s="13" t="s">
        <v>62</v>
      </c>
      <c r="AS91" s="13" t="s">
        <v>62</v>
      </c>
      <c r="AT91" s="13" t="s">
        <v>62</v>
      </c>
      <c r="AU91" s="13" t="s">
        <v>62</v>
      </c>
      <c r="AV91" s="13" t="s">
        <v>62</v>
      </c>
      <c r="AW91" s="13" t="s">
        <v>62</v>
      </c>
      <c r="AX91" s="13" t="s">
        <v>62</v>
      </c>
      <c r="AY91" s="14" t="s">
        <v>62</v>
      </c>
      <c r="AZ91" s="14" t="s">
        <v>62</v>
      </c>
      <c r="BA91" s="13" t="s">
        <v>62</v>
      </c>
      <c r="BB91" s="14" t="s">
        <v>62</v>
      </c>
      <c r="BC91" s="13" t="s">
        <v>62</v>
      </c>
      <c r="BD91" s="13" t="s">
        <v>62</v>
      </c>
      <c r="BE91" s="13" t="s">
        <v>62</v>
      </c>
      <c r="BF91" s="14" t="s">
        <v>62</v>
      </c>
      <c r="BG91" s="14" t="s">
        <v>62</v>
      </c>
      <c r="BH91" s="14" t="s">
        <v>62</v>
      </c>
      <c r="BI91" s="14" t="s">
        <v>62</v>
      </c>
      <c r="BJ91" s="15" t="s">
        <v>62</v>
      </c>
      <c r="BL91" s="10" t="s">
        <v>38</v>
      </c>
      <c r="BM91" s="16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2">
        <v>0</v>
      </c>
      <c r="CY91" s="13">
        <v>0</v>
      </c>
      <c r="CZ91" s="14">
        <v>0</v>
      </c>
      <c r="DA91" s="14">
        <v>0</v>
      </c>
      <c r="DB91" s="14">
        <v>0</v>
      </c>
      <c r="DC91" s="13">
        <v>0</v>
      </c>
      <c r="DD91" s="13">
        <v>0</v>
      </c>
      <c r="DE91" s="13">
        <v>0</v>
      </c>
      <c r="DF91" s="13"/>
      <c r="DG91" s="13"/>
      <c r="DH91" s="13"/>
      <c r="DI91" s="13"/>
      <c r="DJ91" s="14"/>
      <c r="DK91" s="14"/>
      <c r="DL91" s="13"/>
      <c r="DM91" s="14"/>
      <c r="DN91" s="13"/>
      <c r="DO91" s="13"/>
      <c r="DP91" s="13"/>
      <c r="DQ91" s="14"/>
      <c r="DR91" s="14"/>
      <c r="DS91" s="14"/>
      <c r="DT91" s="14"/>
      <c r="DU91" s="15"/>
    </row>
    <row r="92" spans="1:125" x14ac:dyDescent="0.3">
      <c r="A92" s="10" t="s">
        <v>39</v>
      </c>
      <c r="B92" s="16" t="s">
        <v>62</v>
      </c>
      <c r="C92" s="14" t="s">
        <v>62</v>
      </c>
      <c r="D92" s="14" t="s">
        <v>62</v>
      </c>
      <c r="E92" s="14" t="s">
        <v>62</v>
      </c>
      <c r="F92" s="14" t="s">
        <v>62</v>
      </c>
      <c r="G92" s="14" t="s">
        <v>62</v>
      </c>
      <c r="H92" s="14" t="s">
        <v>62</v>
      </c>
      <c r="I92" s="14" t="s">
        <v>62</v>
      </c>
      <c r="J92" s="14" t="s">
        <v>62</v>
      </c>
      <c r="K92" s="14" t="s">
        <v>62</v>
      </c>
      <c r="L92" s="14" t="s">
        <v>62</v>
      </c>
      <c r="M92" s="14" t="s">
        <v>62</v>
      </c>
      <c r="N92" s="14" t="s">
        <v>62</v>
      </c>
      <c r="O92" s="14" t="s">
        <v>62</v>
      </c>
      <c r="P92" s="14" t="s">
        <v>62</v>
      </c>
      <c r="Q92" s="14" t="s">
        <v>62</v>
      </c>
      <c r="R92" s="14" t="s">
        <v>62</v>
      </c>
      <c r="S92" s="14" t="s">
        <v>62</v>
      </c>
      <c r="T92" s="14" t="s">
        <v>62</v>
      </c>
      <c r="U92" s="14" t="s">
        <v>62</v>
      </c>
      <c r="V92" s="14" t="s">
        <v>62</v>
      </c>
      <c r="W92" s="14" t="s">
        <v>62</v>
      </c>
      <c r="X92" s="14" t="s">
        <v>62</v>
      </c>
      <c r="Y92" s="14" t="s">
        <v>62</v>
      </c>
      <c r="Z92" s="14" t="s">
        <v>62</v>
      </c>
      <c r="AA92" s="14" t="s">
        <v>62</v>
      </c>
      <c r="AB92" s="14" t="s">
        <v>62</v>
      </c>
      <c r="AC92" s="14" t="s">
        <v>62</v>
      </c>
      <c r="AD92" s="14" t="s">
        <v>62</v>
      </c>
      <c r="AE92" s="14" t="s">
        <v>62</v>
      </c>
      <c r="AF92" s="14" t="s">
        <v>62</v>
      </c>
      <c r="AG92" s="14" t="s">
        <v>62</v>
      </c>
      <c r="AH92" s="13" t="s">
        <v>62</v>
      </c>
      <c r="AI92" s="13" t="s">
        <v>62</v>
      </c>
      <c r="AJ92" s="13" t="s">
        <v>62</v>
      </c>
      <c r="AK92" s="13" t="s">
        <v>62</v>
      </c>
      <c r="AL92" s="13">
        <f>1062.3+98.6</f>
        <v>1160.8999999999999</v>
      </c>
      <c r="AM92" s="13">
        <f>5.3+646.4</f>
        <v>651.69999999999993</v>
      </c>
      <c r="AN92" s="12">
        <v>0</v>
      </c>
      <c r="AO92" s="14" t="s">
        <v>62</v>
      </c>
      <c r="AP92" s="14" t="s">
        <v>62</v>
      </c>
      <c r="AQ92" s="14" t="s">
        <v>62</v>
      </c>
      <c r="AR92" s="13" t="s">
        <v>62</v>
      </c>
      <c r="AS92" s="13" t="s">
        <v>62</v>
      </c>
      <c r="AT92" s="13" t="s">
        <v>62</v>
      </c>
      <c r="AU92" s="13" t="s">
        <v>62</v>
      </c>
      <c r="AV92" s="13" t="s">
        <v>62</v>
      </c>
      <c r="AW92" s="13" t="s">
        <v>62</v>
      </c>
      <c r="AX92" s="13" t="s">
        <v>62</v>
      </c>
      <c r="AY92" s="14" t="s">
        <v>62</v>
      </c>
      <c r="AZ92" s="14" t="s">
        <v>62</v>
      </c>
      <c r="BA92" s="13" t="s">
        <v>62</v>
      </c>
      <c r="BB92" s="14" t="s">
        <v>62</v>
      </c>
      <c r="BC92" s="13" t="s">
        <v>62</v>
      </c>
      <c r="BD92" s="13" t="s">
        <v>62</v>
      </c>
      <c r="BE92" s="13" t="s">
        <v>62</v>
      </c>
      <c r="BF92" s="14" t="s">
        <v>62</v>
      </c>
      <c r="BG92" s="14" t="s">
        <v>62</v>
      </c>
      <c r="BH92" s="14" t="s">
        <v>62</v>
      </c>
      <c r="BI92" s="14" t="s">
        <v>62</v>
      </c>
      <c r="BJ92" s="15" t="s">
        <v>62</v>
      </c>
      <c r="BL92" s="10" t="s">
        <v>39</v>
      </c>
      <c r="BM92" s="16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2">
        <v>0</v>
      </c>
      <c r="CZ92" s="14">
        <v>0</v>
      </c>
      <c r="DA92" s="14">
        <v>0</v>
      </c>
      <c r="DB92" s="14">
        <v>0</v>
      </c>
      <c r="DC92" s="13">
        <v>0</v>
      </c>
      <c r="DD92" s="13">
        <v>0</v>
      </c>
      <c r="DE92" s="13">
        <v>0</v>
      </c>
      <c r="DF92" s="13"/>
      <c r="DG92" s="13"/>
      <c r="DH92" s="13"/>
      <c r="DI92" s="13"/>
      <c r="DJ92" s="14"/>
      <c r="DK92" s="14"/>
      <c r="DL92" s="13"/>
      <c r="DM92" s="14"/>
      <c r="DN92" s="13"/>
      <c r="DO92" s="13"/>
      <c r="DP92" s="13"/>
      <c r="DQ92" s="14"/>
      <c r="DR92" s="14"/>
      <c r="DS92" s="14"/>
      <c r="DT92" s="14"/>
      <c r="DU92" s="15"/>
    </row>
    <row r="93" spans="1:125" x14ac:dyDescent="0.3">
      <c r="A93" s="10" t="s">
        <v>40</v>
      </c>
      <c r="B93" s="16" t="s">
        <v>62</v>
      </c>
      <c r="C93" s="14" t="s">
        <v>62</v>
      </c>
      <c r="D93" s="14" t="s">
        <v>62</v>
      </c>
      <c r="E93" s="14" t="s">
        <v>62</v>
      </c>
      <c r="F93" s="14" t="s">
        <v>62</v>
      </c>
      <c r="G93" s="14" t="s">
        <v>62</v>
      </c>
      <c r="H93" s="14" t="s">
        <v>62</v>
      </c>
      <c r="I93" s="14" t="s">
        <v>62</v>
      </c>
      <c r="J93" s="14" t="s">
        <v>62</v>
      </c>
      <c r="K93" s="14" t="s">
        <v>62</v>
      </c>
      <c r="L93" s="14" t="s">
        <v>62</v>
      </c>
      <c r="M93" s="14" t="s">
        <v>62</v>
      </c>
      <c r="N93" s="14" t="s">
        <v>62</v>
      </c>
      <c r="O93" s="14" t="s">
        <v>62</v>
      </c>
      <c r="P93" s="14" t="s">
        <v>62</v>
      </c>
      <c r="Q93" s="14" t="s">
        <v>62</v>
      </c>
      <c r="R93" s="14" t="s">
        <v>62</v>
      </c>
      <c r="S93" s="14" t="s">
        <v>62</v>
      </c>
      <c r="T93" s="14" t="s">
        <v>62</v>
      </c>
      <c r="U93" s="14" t="s">
        <v>62</v>
      </c>
      <c r="V93" s="14" t="s">
        <v>62</v>
      </c>
      <c r="W93" s="14" t="s">
        <v>62</v>
      </c>
      <c r="X93" s="14" t="s">
        <v>62</v>
      </c>
      <c r="Y93" s="14" t="s">
        <v>62</v>
      </c>
      <c r="Z93" s="14" t="s">
        <v>62</v>
      </c>
      <c r="AA93" s="14" t="s">
        <v>62</v>
      </c>
      <c r="AB93" s="14" t="s">
        <v>62</v>
      </c>
      <c r="AC93" s="14" t="s">
        <v>62</v>
      </c>
      <c r="AD93" s="14" t="s">
        <v>62</v>
      </c>
      <c r="AE93" s="14" t="s">
        <v>62</v>
      </c>
      <c r="AF93" s="14" t="s">
        <v>62</v>
      </c>
      <c r="AG93" s="14" t="s">
        <v>62</v>
      </c>
      <c r="AH93" s="14" t="s">
        <v>62</v>
      </c>
      <c r="AI93" s="14" t="s">
        <v>62</v>
      </c>
      <c r="AJ93" s="14" t="s">
        <v>62</v>
      </c>
      <c r="AK93" s="14" t="s">
        <v>62</v>
      </c>
      <c r="AL93" s="14" t="s">
        <v>62</v>
      </c>
      <c r="AM93" s="14" t="s">
        <v>62</v>
      </c>
      <c r="AN93" s="14" t="s">
        <v>62</v>
      </c>
      <c r="AO93" s="12">
        <v>0</v>
      </c>
      <c r="AP93" s="19">
        <v>938.1</v>
      </c>
      <c r="AQ93" s="19">
        <v>3461.2</v>
      </c>
      <c r="AR93" s="14" t="s">
        <v>62</v>
      </c>
      <c r="AS93" s="14" t="s">
        <v>62</v>
      </c>
      <c r="AT93" s="14" t="s">
        <v>62</v>
      </c>
      <c r="AU93" s="14" t="s">
        <v>62</v>
      </c>
      <c r="AV93" s="14" t="s">
        <v>62</v>
      </c>
      <c r="AW93" s="14" t="s">
        <v>62</v>
      </c>
      <c r="AX93" s="14" t="s">
        <v>62</v>
      </c>
      <c r="AY93" s="14" t="s">
        <v>62</v>
      </c>
      <c r="AZ93" s="14" t="s">
        <v>62</v>
      </c>
      <c r="BA93" s="14" t="s">
        <v>62</v>
      </c>
      <c r="BB93" s="14" t="s">
        <v>62</v>
      </c>
      <c r="BC93" s="14" t="s">
        <v>62</v>
      </c>
      <c r="BD93" s="14" t="s">
        <v>62</v>
      </c>
      <c r="BE93" s="14" t="s">
        <v>62</v>
      </c>
      <c r="BF93" s="14" t="s">
        <v>62</v>
      </c>
      <c r="BG93" s="14" t="s">
        <v>62</v>
      </c>
      <c r="BH93" s="14" t="s">
        <v>62</v>
      </c>
      <c r="BI93" s="14" t="s">
        <v>62</v>
      </c>
      <c r="BJ93" s="15" t="s">
        <v>62</v>
      </c>
      <c r="BL93" s="10" t="s">
        <v>40</v>
      </c>
      <c r="BM93" s="16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2">
        <v>0</v>
      </c>
      <c r="DA93" s="19">
        <v>0</v>
      </c>
      <c r="DB93" s="19">
        <v>0</v>
      </c>
      <c r="DC93" s="14">
        <v>0</v>
      </c>
      <c r="DD93" s="14">
        <v>0</v>
      </c>
      <c r="DE93" s="14">
        <v>0</v>
      </c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5"/>
    </row>
    <row r="94" spans="1:125" x14ac:dyDescent="0.3">
      <c r="A94" s="10" t="s">
        <v>41</v>
      </c>
      <c r="B94" s="16" t="s">
        <v>62</v>
      </c>
      <c r="C94" s="14" t="s">
        <v>62</v>
      </c>
      <c r="D94" s="14" t="s">
        <v>62</v>
      </c>
      <c r="E94" s="14" t="s">
        <v>62</v>
      </c>
      <c r="F94" s="14" t="s">
        <v>62</v>
      </c>
      <c r="G94" s="14" t="s">
        <v>62</v>
      </c>
      <c r="H94" s="14" t="s">
        <v>62</v>
      </c>
      <c r="I94" s="14" t="s">
        <v>62</v>
      </c>
      <c r="J94" s="14" t="s">
        <v>62</v>
      </c>
      <c r="K94" s="14" t="s">
        <v>62</v>
      </c>
      <c r="L94" s="14" t="s">
        <v>62</v>
      </c>
      <c r="M94" s="14" t="s">
        <v>62</v>
      </c>
      <c r="N94" s="14" t="s">
        <v>62</v>
      </c>
      <c r="O94" s="14" t="s">
        <v>62</v>
      </c>
      <c r="P94" s="14" t="s">
        <v>62</v>
      </c>
      <c r="Q94" s="14" t="s">
        <v>62</v>
      </c>
      <c r="R94" s="14" t="s">
        <v>62</v>
      </c>
      <c r="S94" s="14" t="s">
        <v>62</v>
      </c>
      <c r="T94" s="14" t="s">
        <v>62</v>
      </c>
      <c r="U94" s="14" t="s">
        <v>62</v>
      </c>
      <c r="V94" s="14" t="s">
        <v>62</v>
      </c>
      <c r="W94" s="14" t="s">
        <v>62</v>
      </c>
      <c r="X94" s="14" t="s">
        <v>62</v>
      </c>
      <c r="Y94" s="14" t="s">
        <v>62</v>
      </c>
      <c r="Z94" s="14" t="s">
        <v>62</v>
      </c>
      <c r="AA94" s="14" t="s">
        <v>62</v>
      </c>
      <c r="AB94" s="14" t="s">
        <v>62</v>
      </c>
      <c r="AC94" s="14" t="s">
        <v>62</v>
      </c>
      <c r="AD94" s="14" t="s">
        <v>62</v>
      </c>
      <c r="AE94" s="14" t="s">
        <v>62</v>
      </c>
      <c r="AF94" s="14" t="s">
        <v>62</v>
      </c>
      <c r="AG94" s="14" t="s">
        <v>62</v>
      </c>
      <c r="AH94" s="14" t="s">
        <v>62</v>
      </c>
      <c r="AI94" s="14" t="s">
        <v>62</v>
      </c>
      <c r="AJ94" s="14" t="s">
        <v>62</v>
      </c>
      <c r="AK94" s="14" t="s">
        <v>62</v>
      </c>
      <c r="AL94" s="14" t="s">
        <v>62</v>
      </c>
      <c r="AM94" s="14" t="s">
        <v>62</v>
      </c>
      <c r="AN94" s="14" t="s">
        <v>62</v>
      </c>
      <c r="AO94" s="13">
        <v>938.1</v>
      </c>
      <c r="AP94" s="12">
        <v>0</v>
      </c>
      <c r="AQ94" s="13">
        <v>4339.6000000000004</v>
      </c>
      <c r="AR94" s="14" t="s">
        <v>62</v>
      </c>
      <c r="AS94" s="14" t="s">
        <v>62</v>
      </c>
      <c r="AT94" s="14" t="s">
        <v>62</v>
      </c>
      <c r="AU94" s="14" t="s">
        <v>62</v>
      </c>
      <c r="AV94" s="14" t="s">
        <v>62</v>
      </c>
      <c r="AW94" s="14" t="s">
        <v>62</v>
      </c>
      <c r="AX94" s="14" t="s">
        <v>62</v>
      </c>
      <c r="AY94" s="14" t="s">
        <v>62</v>
      </c>
      <c r="AZ94" s="14" t="s">
        <v>62</v>
      </c>
      <c r="BA94" s="14" t="s">
        <v>62</v>
      </c>
      <c r="BB94" s="14" t="s">
        <v>62</v>
      </c>
      <c r="BC94" s="14" t="s">
        <v>62</v>
      </c>
      <c r="BD94" s="14" t="s">
        <v>62</v>
      </c>
      <c r="BE94" s="14" t="s">
        <v>62</v>
      </c>
      <c r="BF94" s="14" t="s">
        <v>62</v>
      </c>
      <c r="BG94" s="14" t="s">
        <v>62</v>
      </c>
      <c r="BH94" s="14" t="s">
        <v>62</v>
      </c>
      <c r="BI94" s="14" t="s">
        <v>62</v>
      </c>
      <c r="BJ94" s="15" t="s">
        <v>62</v>
      </c>
      <c r="BL94" s="10" t="s">
        <v>41</v>
      </c>
      <c r="BM94" s="16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3">
        <v>0</v>
      </c>
      <c r="DA94" s="12">
        <v>0</v>
      </c>
      <c r="DB94" s="13">
        <v>0</v>
      </c>
      <c r="DC94" s="14">
        <v>0</v>
      </c>
      <c r="DD94" s="14">
        <v>0</v>
      </c>
      <c r="DE94" s="14">
        <v>0</v>
      </c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5"/>
    </row>
    <row r="95" spans="1:125" x14ac:dyDescent="0.3">
      <c r="A95" s="10" t="s">
        <v>42</v>
      </c>
      <c r="B95" s="16" t="s">
        <v>62</v>
      </c>
      <c r="C95" s="14" t="s">
        <v>62</v>
      </c>
      <c r="D95" s="14" t="s">
        <v>62</v>
      </c>
      <c r="E95" s="14" t="s">
        <v>62</v>
      </c>
      <c r="F95" s="14" t="s">
        <v>62</v>
      </c>
      <c r="G95" s="14" t="s">
        <v>62</v>
      </c>
      <c r="H95" s="14" t="s">
        <v>62</v>
      </c>
      <c r="I95" s="14" t="s">
        <v>62</v>
      </c>
      <c r="J95" s="14" t="s">
        <v>62</v>
      </c>
      <c r="K95" s="14" t="s">
        <v>62</v>
      </c>
      <c r="L95" s="14" t="s">
        <v>62</v>
      </c>
      <c r="M95" s="14" t="s">
        <v>62</v>
      </c>
      <c r="N95" s="14" t="s">
        <v>62</v>
      </c>
      <c r="O95" s="14" t="s">
        <v>62</v>
      </c>
      <c r="P95" s="14" t="s">
        <v>62</v>
      </c>
      <c r="Q95" s="14" t="s">
        <v>62</v>
      </c>
      <c r="R95" s="14" t="s">
        <v>62</v>
      </c>
      <c r="S95" s="14" t="s">
        <v>62</v>
      </c>
      <c r="T95" s="14" t="s">
        <v>62</v>
      </c>
      <c r="U95" s="14" t="s">
        <v>62</v>
      </c>
      <c r="V95" s="14" t="s">
        <v>62</v>
      </c>
      <c r="W95" s="14" t="s">
        <v>62</v>
      </c>
      <c r="X95" s="14" t="s">
        <v>62</v>
      </c>
      <c r="Y95" s="14" t="s">
        <v>62</v>
      </c>
      <c r="Z95" s="14" t="s">
        <v>62</v>
      </c>
      <c r="AA95" s="14" t="s">
        <v>62</v>
      </c>
      <c r="AB95" s="14" t="s">
        <v>62</v>
      </c>
      <c r="AC95" s="14" t="s">
        <v>62</v>
      </c>
      <c r="AD95" s="14" t="s">
        <v>62</v>
      </c>
      <c r="AE95" s="14" t="s">
        <v>62</v>
      </c>
      <c r="AF95" s="14" t="s">
        <v>62</v>
      </c>
      <c r="AG95" s="14" t="s">
        <v>62</v>
      </c>
      <c r="AH95" s="14" t="s">
        <v>62</v>
      </c>
      <c r="AI95" s="14" t="s">
        <v>62</v>
      </c>
      <c r="AJ95" s="14" t="s">
        <v>62</v>
      </c>
      <c r="AK95" s="14" t="s">
        <v>62</v>
      </c>
      <c r="AL95" s="14" t="s">
        <v>62</v>
      </c>
      <c r="AM95" s="14" t="s">
        <v>62</v>
      </c>
      <c r="AN95" s="14" t="s">
        <v>62</v>
      </c>
      <c r="AO95" s="13">
        <f>806.2+2655</f>
        <v>3461.2</v>
      </c>
      <c r="AP95" s="13">
        <v>4339.6000000000004</v>
      </c>
      <c r="AQ95" s="12">
        <v>0</v>
      </c>
      <c r="AR95" s="14" t="s">
        <v>62</v>
      </c>
      <c r="AS95" s="14" t="s">
        <v>62</v>
      </c>
      <c r="AT95" s="14" t="s">
        <v>62</v>
      </c>
      <c r="AU95" s="14" t="s">
        <v>62</v>
      </c>
      <c r="AV95" s="14" t="s">
        <v>62</v>
      </c>
      <c r="AW95" s="14" t="s">
        <v>62</v>
      </c>
      <c r="AX95" s="14" t="s">
        <v>62</v>
      </c>
      <c r="AY95" s="14" t="s">
        <v>62</v>
      </c>
      <c r="AZ95" s="14" t="s">
        <v>62</v>
      </c>
      <c r="BA95" s="14" t="s">
        <v>62</v>
      </c>
      <c r="BB95" s="14" t="s">
        <v>62</v>
      </c>
      <c r="BC95" s="14" t="s">
        <v>62</v>
      </c>
      <c r="BD95" s="14" t="s">
        <v>62</v>
      </c>
      <c r="BE95" s="14" t="s">
        <v>62</v>
      </c>
      <c r="BF95" s="14" t="s">
        <v>62</v>
      </c>
      <c r="BG95" s="14" t="s">
        <v>62</v>
      </c>
      <c r="BH95" s="14" t="s">
        <v>62</v>
      </c>
      <c r="BI95" s="14" t="s">
        <v>62</v>
      </c>
      <c r="BJ95" s="15" t="s">
        <v>62</v>
      </c>
      <c r="BL95" s="10" t="s">
        <v>42</v>
      </c>
      <c r="BM95" s="16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3">
        <v>0</v>
      </c>
      <c r="DA95" s="13">
        <v>0</v>
      </c>
      <c r="DB95" s="12">
        <v>0</v>
      </c>
      <c r="DC95" s="14">
        <v>0</v>
      </c>
      <c r="DD95" s="14">
        <v>0</v>
      </c>
      <c r="DE95" s="14">
        <v>0</v>
      </c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5"/>
    </row>
    <row r="96" spans="1:125" x14ac:dyDescent="0.3">
      <c r="A96" s="10" t="s">
        <v>43</v>
      </c>
      <c r="B96" s="16" t="s">
        <v>62</v>
      </c>
      <c r="C96" s="14" t="s">
        <v>62</v>
      </c>
      <c r="D96" s="14" t="s">
        <v>62</v>
      </c>
      <c r="E96" s="14" t="s">
        <v>62</v>
      </c>
      <c r="F96" s="14" t="s">
        <v>62</v>
      </c>
      <c r="G96" s="14" t="s">
        <v>62</v>
      </c>
      <c r="H96" s="14" t="s">
        <v>62</v>
      </c>
      <c r="I96" s="14" t="s">
        <v>62</v>
      </c>
      <c r="J96" s="14" t="s">
        <v>62</v>
      </c>
      <c r="K96" s="14" t="s">
        <v>62</v>
      </c>
      <c r="L96" s="14" t="s">
        <v>62</v>
      </c>
      <c r="M96" s="14" t="s">
        <v>62</v>
      </c>
      <c r="N96" s="14" t="s">
        <v>62</v>
      </c>
      <c r="O96" s="14" t="s">
        <v>62</v>
      </c>
      <c r="P96" s="14" t="s">
        <v>62</v>
      </c>
      <c r="Q96" s="14" t="s">
        <v>62</v>
      </c>
      <c r="R96" s="14" t="s">
        <v>62</v>
      </c>
      <c r="S96" s="14" t="s">
        <v>62</v>
      </c>
      <c r="T96" s="14" t="s">
        <v>62</v>
      </c>
      <c r="U96" s="14" t="s">
        <v>62</v>
      </c>
      <c r="V96" s="14" t="s">
        <v>62</v>
      </c>
      <c r="W96" s="14" t="s">
        <v>62</v>
      </c>
      <c r="X96" s="14" t="s">
        <v>62</v>
      </c>
      <c r="Y96" s="14" t="s">
        <v>62</v>
      </c>
      <c r="Z96" s="14" t="s">
        <v>62</v>
      </c>
      <c r="AA96" s="14" t="s">
        <v>62</v>
      </c>
      <c r="AB96" s="14" t="s">
        <v>62</v>
      </c>
      <c r="AC96" s="14" t="s">
        <v>62</v>
      </c>
      <c r="AD96" s="14" t="s">
        <v>62</v>
      </c>
      <c r="AE96" s="14" t="s">
        <v>62</v>
      </c>
      <c r="AF96" s="14" t="s">
        <v>62</v>
      </c>
      <c r="AG96" s="14" t="s">
        <v>62</v>
      </c>
      <c r="AH96" s="13" t="s">
        <v>62</v>
      </c>
      <c r="AI96" s="13" t="s">
        <v>62</v>
      </c>
      <c r="AJ96" s="13" t="s">
        <v>62</v>
      </c>
      <c r="AK96" s="13" t="s">
        <v>62</v>
      </c>
      <c r="AL96" s="13" t="s">
        <v>62</v>
      </c>
      <c r="AM96" s="13" t="s">
        <v>62</v>
      </c>
      <c r="AN96" s="13" t="s">
        <v>62</v>
      </c>
      <c r="AO96" s="14" t="s">
        <v>62</v>
      </c>
      <c r="AP96" s="14" t="s">
        <v>62</v>
      </c>
      <c r="AQ96" s="14" t="s">
        <v>62</v>
      </c>
      <c r="AR96" s="12">
        <v>0</v>
      </c>
      <c r="AS96" s="13" t="s">
        <v>62</v>
      </c>
      <c r="AT96" s="13" t="s">
        <v>62</v>
      </c>
      <c r="AU96" s="13" t="s">
        <v>62</v>
      </c>
      <c r="AV96" s="13" t="s">
        <v>62</v>
      </c>
      <c r="AW96" s="13" t="s">
        <v>62</v>
      </c>
      <c r="AX96" s="13" t="s">
        <v>62</v>
      </c>
      <c r="AY96" s="14" t="s">
        <v>62</v>
      </c>
      <c r="AZ96" s="14" t="s">
        <v>62</v>
      </c>
      <c r="BA96" s="13" t="s">
        <v>62</v>
      </c>
      <c r="BB96" s="14" t="s">
        <v>62</v>
      </c>
      <c r="BC96" s="13" t="s">
        <v>62</v>
      </c>
      <c r="BD96" s="13" t="s">
        <v>62</v>
      </c>
      <c r="BE96" s="13" t="s">
        <v>62</v>
      </c>
      <c r="BF96" s="14" t="s">
        <v>62</v>
      </c>
      <c r="BG96" s="14" t="s">
        <v>62</v>
      </c>
      <c r="BH96" s="14" t="s">
        <v>62</v>
      </c>
      <c r="BI96" s="14" t="s">
        <v>62</v>
      </c>
      <c r="BJ96" s="15" t="s">
        <v>62</v>
      </c>
      <c r="BL96" s="10" t="s">
        <v>43</v>
      </c>
      <c r="BM96" s="16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4">
        <v>0</v>
      </c>
      <c r="DA96" s="14">
        <v>0</v>
      </c>
      <c r="DB96" s="14">
        <v>0</v>
      </c>
      <c r="DC96" s="12">
        <v>0</v>
      </c>
      <c r="DD96" s="13">
        <v>0</v>
      </c>
      <c r="DE96" s="13">
        <v>0</v>
      </c>
      <c r="DF96" s="13"/>
      <c r="DG96" s="13"/>
      <c r="DH96" s="13"/>
      <c r="DI96" s="13"/>
      <c r="DJ96" s="14"/>
      <c r="DK96" s="14"/>
      <c r="DL96" s="13"/>
      <c r="DM96" s="14"/>
      <c r="DN96" s="13"/>
      <c r="DO96" s="13"/>
      <c r="DP96" s="13"/>
      <c r="DQ96" s="14"/>
      <c r="DR96" s="14"/>
      <c r="DS96" s="14"/>
      <c r="DT96" s="14"/>
      <c r="DU96" s="15"/>
    </row>
    <row r="97" spans="1:191" x14ac:dyDescent="0.3">
      <c r="A97" s="10" t="s">
        <v>44</v>
      </c>
      <c r="B97" s="16" t="s">
        <v>62</v>
      </c>
      <c r="C97" s="14" t="s">
        <v>62</v>
      </c>
      <c r="D97" s="14" t="s">
        <v>62</v>
      </c>
      <c r="E97" s="14" t="s">
        <v>62</v>
      </c>
      <c r="F97" s="14" t="s">
        <v>62</v>
      </c>
      <c r="G97" s="14" t="s">
        <v>62</v>
      </c>
      <c r="H97" s="14" t="s">
        <v>62</v>
      </c>
      <c r="I97" s="14" t="s">
        <v>62</v>
      </c>
      <c r="J97" s="14" t="s">
        <v>62</v>
      </c>
      <c r="K97" s="14" t="s">
        <v>62</v>
      </c>
      <c r="L97" s="14" t="s">
        <v>62</v>
      </c>
      <c r="M97" s="14" t="s">
        <v>62</v>
      </c>
      <c r="N97" s="14" t="s">
        <v>62</v>
      </c>
      <c r="O97" s="14" t="s">
        <v>62</v>
      </c>
      <c r="P97" s="14" t="s">
        <v>62</v>
      </c>
      <c r="Q97" s="14" t="s">
        <v>62</v>
      </c>
      <c r="R97" s="14" t="s">
        <v>62</v>
      </c>
      <c r="S97" s="14" t="s">
        <v>62</v>
      </c>
      <c r="T97" s="14" t="s">
        <v>62</v>
      </c>
      <c r="U97" s="14" t="s">
        <v>62</v>
      </c>
      <c r="V97" s="14" t="s">
        <v>62</v>
      </c>
      <c r="W97" s="14" t="s">
        <v>62</v>
      </c>
      <c r="X97" s="14" t="s">
        <v>62</v>
      </c>
      <c r="Y97" s="14" t="s">
        <v>62</v>
      </c>
      <c r="Z97" s="14" t="s">
        <v>62</v>
      </c>
      <c r="AA97" s="14" t="s">
        <v>62</v>
      </c>
      <c r="AB97" s="14" t="s">
        <v>62</v>
      </c>
      <c r="AC97" s="14" t="s">
        <v>62</v>
      </c>
      <c r="AD97" s="14" t="s">
        <v>62</v>
      </c>
      <c r="AE97" s="14" t="s">
        <v>62</v>
      </c>
      <c r="AF97" s="14" t="s">
        <v>62</v>
      </c>
      <c r="AG97" s="14" t="s">
        <v>62</v>
      </c>
      <c r="AH97" s="13" t="s">
        <v>62</v>
      </c>
      <c r="AI97" s="13" t="s">
        <v>62</v>
      </c>
      <c r="AJ97" s="13" t="s">
        <v>62</v>
      </c>
      <c r="AK97" s="13" t="s">
        <v>62</v>
      </c>
      <c r="AL97" s="13" t="s">
        <v>62</v>
      </c>
      <c r="AM97" s="13" t="s">
        <v>62</v>
      </c>
      <c r="AN97" s="13" t="s">
        <v>62</v>
      </c>
      <c r="AO97" s="14" t="s">
        <v>62</v>
      </c>
      <c r="AP97" s="14" t="s">
        <v>62</v>
      </c>
      <c r="AQ97" s="14" t="s">
        <v>62</v>
      </c>
      <c r="AR97" s="13" t="s">
        <v>62</v>
      </c>
      <c r="AS97" s="12">
        <v>0</v>
      </c>
      <c r="AT97" s="13" t="s">
        <v>62</v>
      </c>
      <c r="AU97" s="13" t="s">
        <v>62</v>
      </c>
      <c r="AV97" s="13" t="s">
        <v>62</v>
      </c>
      <c r="AW97" s="13" t="s">
        <v>62</v>
      </c>
      <c r="AX97" s="13" t="s">
        <v>62</v>
      </c>
      <c r="AY97" s="12" t="s">
        <v>62</v>
      </c>
      <c r="AZ97" s="12" t="s">
        <v>62</v>
      </c>
      <c r="BA97" s="13" t="s">
        <v>62</v>
      </c>
      <c r="BB97" s="14" t="s">
        <v>62</v>
      </c>
      <c r="BC97" s="13" t="s">
        <v>62</v>
      </c>
      <c r="BD97" s="13" t="s">
        <v>62</v>
      </c>
      <c r="BE97" s="13" t="s">
        <v>62</v>
      </c>
      <c r="BF97" s="14" t="s">
        <v>62</v>
      </c>
      <c r="BG97" s="14" t="s">
        <v>62</v>
      </c>
      <c r="BH97" s="14" t="s">
        <v>62</v>
      </c>
      <c r="BI97" s="14" t="s">
        <v>62</v>
      </c>
      <c r="BJ97" s="15" t="s">
        <v>62</v>
      </c>
      <c r="BL97" s="10" t="s">
        <v>44</v>
      </c>
      <c r="BM97" s="16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4">
        <v>0</v>
      </c>
      <c r="DA97" s="14">
        <v>0</v>
      </c>
      <c r="DB97" s="14">
        <v>0</v>
      </c>
      <c r="DC97" s="13">
        <v>0</v>
      </c>
      <c r="DD97" s="12">
        <v>0</v>
      </c>
      <c r="DE97" s="13">
        <v>0</v>
      </c>
      <c r="DF97" s="13"/>
      <c r="DG97" s="13"/>
      <c r="DH97" s="13"/>
      <c r="DI97" s="13"/>
      <c r="DJ97" s="12"/>
      <c r="DK97" s="12"/>
      <c r="DL97" s="13"/>
      <c r="DM97" s="14"/>
      <c r="DN97" s="13"/>
      <c r="DO97" s="13"/>
      <c r="DP97" s="13"/>
      <c r="DQ97" s="14"/>
      <c r="DR97" s="14"/>
      <c r="DS97" s="14"/>
      <c r="DT97" s="14"/>
      <c r="DU97" s="15"/>
    </row>
    <row r="98" spans="1:191" x14ac:dyDescent="0.3">
      <c r="A98" s="20" t="s">
        <v>45</v>
      </c>
      <c r="B98" s="21" t="s">
        <v>62</v>
      </c>
      <c r="C98" s="22" t="s">
        <v>62</v>
      </c>
      <c r="D98" s="22" t="s">
        <v>62</v>
      </c>
      <c r="E98" s="22" t="s">
        <v>62</v>
      </c>
      <c r="F98" s="22" t="s">
        <v>62</v>
      </c>
      <c r="G98" s="22" t="s">
        <v>62</v>
      </c>
      <c r="H98" s="22" t="s">
        <v>62</v>
      </c>
      <c r="I98" s="22" t="s">
        <v>62</v>
      </c>
      <c r="J98" s="22" t="s">
        <v>62</v>
      </c>
      <c r="K98" s="22" t="s">
        <v>62</v>
      </c>
      <c r="L98" s="22" t="s">
        <v>62</v>
      </c>
      <c r="M98" s="22" t="s">
        <v>62</v>
      </c>
      <c r="N98" s="22" t="s">
        <v>62</v>
      </c>
      <c r="O98" s="22" t="s">
        <v>62</v>
      </c>
      <c r="P98" s="22" t="s">
        <v>62</v>
      </c>
      <c r="Q98" s="22" t="s">
        <v>62</v>
      </c>
      <c r="R98" s="22" t="s">
        <v>62</v>
      </c>
      <c r="S98" s="22" t="s">
        <v>62</v>
      </c>
      <c r="T98" s="22" t="s">
        <v>62</v>
      </c>
      <c r="U98" s="22" t="s">
        <v>62</v>
      </c>
      <c r="V98" s="22" t="s">
        <v>62</v>
      </c>
      <c r="W98" s="22" t="s">
        <v>62</v>
      </c>
      <c r="X98" s="22" t="s">
        <v>62</v>
      </c>
      <c r="Y98" s="22" t="s">
        <v>62</v>
      </c>
      <c r="Z98" s="22" t="s">
        <v>62</v>
      </c>
      <c r="AA98" s="22" t="s">
        <v>62</v>
      </c>
      <c r="AB98" s="22" t="s">
        <v>62</v>
      </c>
      <c r="AC98" s="22" t="s">
        <v>62</v>
      </c>
      <c r="AD98" s="22" t="s">
        <v>62</v>
      </c>
      <c r="AE98" s="22" t="s">
        <v>62</v>
      </c>
      <c r="AF98" s="22" t="s">
        <v>62</v>
      </c>
      <c r="AG98" s="22" t="s">
        <v>62</v>
      </c>
      <c r="AH98" s="23" t="s">
        <v>62</v>
      </c>
      <c r="AI98" s="23" t="s">
        <v>62</v>
      </c>
      <c r="AJ98" s="23" t="s">
        <v>62</v>
      </c>
      <c r="AK98" s="23" t="s">
        <v>62</v>
      </c>
      <c r="AL98" s="23" t="s">
        <v>62</v>
      </c>
      <c r="AM98" s="23" t="s">
        <v>62</v>
      </c>
      <c r="AN98" s="23" t="s">
        <v>62</v>
      </c>
      <c r="AO98" s="22" t="s">
        <v>62</v>
      </c>
      <c r="AP98" s="22" t="s">
        <v>62</v>
      </c>
      <c r="AQ98" s="22" t="s">
        <v>62</v>
      </c>
      <c r="AR98" s="23" t="s">
        <v>62</v>
      </c>
      <c r="AS98" s="23" t="s">
        <v>62</v>
      </c>
      <c r="AT98" s="24">
        <v>0</v>
      </c>
      <c r="AU98" s="23" t="s">
        <v>62</v>
      </c>
      <c r="AV98" s="23" t="s">
        <v>62</v>
      </c>
      <c r="AW98" s="23" t="s">
        <v>62</v>
      </c>
      <c r="AX98" s="23" t="s">
        <v>62</v>
      </c>
      <c r="AY98" s="22" t="s">
        <v>62</v>
      </c>
      <c r="AZ98" s="22" t="s">
        <v>62</v>
      </c>
      <c r="BA98" s="24" t="s">
        <v>62</v>
      </c>
      <c r="BB98" s="22" t="s">
        <v>62</v>
      </c>
      <c r="BC98" s="23" t="s">
        <v>62</v>
      </c>
      <c r="BD98" s="23" t="s">
        <v>62</v>
      </c>
      <c r="BE98" s="23" t="s">
        <v>62</v>
      </c>
      <c r="BF98" s="22" t="s">
        <v>62</v>
      </c>
      <c r="BG98" s="22" t="s">
        <v>62</v>
      </c>
      <c r="BH98" s="22" t="s">
        <v>62</v>
      </c>
      <c r="BI98" s="22" t="s">
        <v>62</v>
      </c>
      <c r="BJ98" s="25" t="s">
        <v>62</v>
      </c>
      <c r="BL98" s="20" t="s">
        <v>45</v>
      </c>
      <c r="BM98" s="21">
        <v>0</v>
      </c>
      <c r="BN98" s="22">
        <v>0</v>
      </c>
      <c r="BO98" s="22">
        <v>0</v>
      </c>
      <c r="BP98" s="22">
        <v>0</v>
      </c>
      <c r="BQ98" s="22">
        <v>0</v>
      </c>
      <c r="BR98" s="22">
        <v>0</v>
      </c>
      <c r="BS98" s="22">
        <v>0</v>
      </c>
      <c r="BT98" s="22">
        <v>0</v>
      </c>
      <c r="BU98" s="22">
        <v>0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0</v>
      </c>
      <c r="CM98" s="22">
        <v>0</v>
      </c>
      <c r="CN98" s="22">
        <v>0</v>
      </c>
      <c r="CO98" s="22">
        <v>0</v>
      </c>
      <c r="CP98" s="22">
        <v>0</v>
      </c>
      <c r="CQ98" s="22">
        <v>0</v>
      </c>
      <c r="CR98" s="22">
        <v>0</v>
      </c>
      <c r="CS98" s="23">
        <v>0</v>
      </c>
      <c r="CT98" s="23">
        <v>0</v>
      </c>
      <c r="CU98" s="23">
        <v>0</v>
      </c>
      <c r="CV98" s="23">
        <v>0</v>
      </c>
      <c r="CW98" s="23">
        <v>0</v>
      </c>
      <c r="CX98" s="23">
        <v>0</v>
      </c>
      <c r="CY98" s="23">
        <v>0</v>
      </c>
      <c r="CZ98" s="22">
        <v>0</v>
      </c>
      <c r="DA98" s="22">
        <v>0</v>
      </c>
      <c r="DB98" s="22">
        <v>0</v>
      </c>
      <c r="DC98" s="23">
        <v>0</v>
      </c>
      <c r="DD98" s="23">
        <v>0</v>
      </c>
      <c r="DE98" s="24">
        <v>0</v>
      </c>
      <c r="DF98" s="23"/>
      <c r="DG98" s="23"/>
      <c r="DH98" s="23"/>
      <c r="DI98" s="23"/>
      <c r="DJ98" s="22"/>
      <c r="DK98" s="22"/>
      <c r="DL98" s="24"/>
      <c r="DM98" s="22"/>
      <c r="DN98" s="23"/>
      <c r="DO98" s="23"/>
      <c r="DP98" s="23"/>
      <c r="DQ98" s="22"/>
      <c r="DR98" s="22"/>
      <c r="DS98" s="22"/>
      <c r="DT98" s="22"/>
      <c r="DU98" s="25"/>
    </row>
    <row r="99" spans="1:19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</row>
    <row r="100" spans="1:19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</row>
    <row r="101" spans="1:191" ht="21" x14ac:dyDescent="0.3">
      <c r="A101" s="55" t="s">
        <v>108</v>
      </c>
      <c r="B101" s="56"/>
      <c r="BM101" s="55" t="s">
        <v>109</v>
      </c>
      <c r="BN101" s="57"/>
      <c r="BO101" s="56"/>
      <c r="DY101" s="55" t="s">
        <v>110</v>
      </c>
      <c r="DZ101" s="57"/>
      <c r="EA101" s="57"/>
      <c r="EB101" s="56"/>
      <c r="GH101" s="28"/>
      <c r="GI101" s="28"/>
    </row>
    <row r="103" spans="1:191" ht="14.4" customHeight="1" x14ac:dyDescent="0.3">
      <c r="A103" s="53" t="s">
        <v>0</v>
      </c>
      <c r="B103" s="54"/>
      <c r="C103" s="2" t="s">
        <v>1</v>
      </c>
      <c r="D103" s="3" t="s">
        <v>2</v>
      </c>
      <c r="E103" s="3" t="s">
        <v>3</v>
      </c>
      <c r="F103" s="3" t="s">
        <v>4</v>
      </c>
      <c r="G103" s="3" t="s">
        <v>5</v>
      </c>
      <c r="H103" s="3" t="s">
        <v>6</v>
      </c>
      <c r="I103" s="3" t="s">
        <v>7</v>
      </c>
      <c r="J103" s="3" t="s">
        <v>8</v>
      </c>
      <c r="K103" s="3" t="s">
        <v>67</v>
      </c>
      <c r="L103" s="3" t="s">
        <v>10</v>
      </c>
      <c r="M103" s="3" t="s">
        <v>11</v>
      </c>
      <c r="N103" s="3" t="s">
        <v>12</v>
      </c>
      <c r="O103" s="3" t="s">
        <v>13</v>
      </c>
      <c r="P103" s="3" t="s">
        <v>14</v>
      </c>
      <c r="Q103" s="3" t="s">
        <v>15</v>
      </c>
      <c r="R103" s="3" t="s">
        <v>16</v>
      </c>
      <c r="S103" s="3" t="s">
        <v>17</v>
      </c>
      <c r="T103" s="3" t="s">
        <v>18</v>
      </c>
      <c r="U103" s="3" t="s">
        <v>19</v>
      </c>
      <c r="V103" s="3" t="s">
        <v>20</v>
      </c>
      <c r="W103" s="3" t="s">
        <v>21</v>
      </c>
      <c r="X103" s="3" t="s">
        <v>22</v>
      </c>
      <c r="Y103" s="3" t="s">
        <v>23</v>
      </c>
      <c r="Z103" s="3" t="s">
        <v>24</v>
      </c>
      <c r="AA103" s="3" t="s">
        <v>25</v>
      </c>
      <c r="AB103" s="3" t="s">
        <v>26</v>
      </c>
      <c r="AC103" s="3" t="s">
        <v>27</v>
      </c>
      <c r="AD103" s="3" t="s">
        <v>28</v>
      </c>
      <c r="AE103" s="3" t="s">
        <v>29</v>
      </c>
      <c r="AF103" s="3" t="s">
        <v>30</v>
      </c>
      <c r="AG103" s="3" t="s">
        <v>31</v>
      </c>
      <c r="AH103" s="3" t="s">
        <v>32</v>
      </c>
      <c r="AI103" s="3" t="s">
        <v>33</v>
      </c>
      <c r="AJ103" s="3" t="s">
        <v>34</v>
      </c>
      <c r="AK103" s="3" t="s">
        <v>35</v>
      </c>
      <c r="AL103" s="3" t="s">
        <v>36</v>
      </c>
      <c r="AM103" s="3" t="s">
        <v>37</v>
      </c>
      <c r="AN103" s="3" t="s">
        <v>38</v>
      </c>
      <c r="AO103" s="3" t="s">
        <v>39</v>
      </c>
      <c r="AP103" s="3" t="s">
        <v>40</v>
      </c>
      <c r="AQ103" s="3" t="s">
        <v>41</v>
      </c>
      <c r="AR103" s="3" t="s">
        <v>68</v>
      </c>
      <c r="AS103" s="3" t="s">
        <v>69</v>
      </c>
      <c r="AT103" s="3" t="s">
        <v>44</v>
      </c>
      <c r="AU103" s="3" t="s">
        <v>45</v>
      </c>
      <c r="AV103" s="3" t="s">
        <v>46</v>
      </c>
      <c r="AW103" s="3" t="s">
        <v>47</v>
      </c>
      <c r="AX103" s="3" t="s">
        <v>70</v>
      </c>
      <c r="AY103" s="3" t="s">
        <v>49</v>
      </c>
      <c r="AZ103" s="3" t="s">
        <v>50</v>
      </c>
      <c r="BA103" s="3" t="s">
        <v>51</v>
      </c>
      <c r="BB103" s="3" t="s">
        <v>52</v>
      </c>
      <c r="BC103" s="3" t="s">
        <v>53</v>
      </c>
      <c r="BD103" s="3" t="s">
        <v>54</v>
      </c>
      <c r="BE103" s="3" t="s">
        <v>71</v>
      </c>
      <c r="BF103" s="3" t="s">
        <v>56</v>
      </c>
      <c r="BG103" s="3" t="s">
        <v>57</v>
      </c>
      <c r="BH103" s="3" t="s">
        <v>58</v>
      </c>
      <c r="BI103" s="3" t="s">
        <v>59</v>
      </c>
      <c r="BJ103" s="3" t="s">
        <v>60</v>
      </c>
      <c r="BK103" s="4" t="s">
        <v>61</v>
      </c>
      <c r="BM103" s="53" t="s">
        <v>66</v>
      </c>
      <c r="BN103" s="54"/>
      <c r="BO103" s="2" t="s">
        <v>1</v>
      </c>
      <c r="BP103" s="3" t="s">
        <v>2</v>
      </c>
      <c r="BQ103" s="3" t="s">
        <v>3</v>
      </c>
      <c r="BR103" s="3" t="s">
        <v>4</v>
      </c>
      <c r="BS103" s="3" t="s">
        <v>5</v>
      </c>
      <c r="BT103" s="3" t="s">
        <v>6</v>
      </c>
      <c r="BU103" s="3" t="s">
        <v>7</v>
      </c>
      <c r="BV103" s="3" t="s">
        <v>8</v>
      </c>
      <c r="BW103" s="3" t="s">
        <v>67</v>
      </c>
      <c r="BX103" s="3" t="s">
        <v>10</v>
      </c>
      <c r="BY103" s="3" t="s">
        <v>11</v>
      </c>
      <c r="BZ103" s="3" t="s">
        <v>12</v>
      </c>
      <c r="CA103" s="3" t="s">
        <v>13</v>
      </c>
      <c r="CB103" s="3" t="s">
        <v>14</v>
      </c>
      <c r="CC103" s="3" t="s">
        <v>15</v>
      </c>
      <c r="CD103" s="3" t="s">
        <v>16</v>
      </c>
      <c r="CE103" s="3" t="s">
        <v>17</v>
      </c>
      <c r="CF103" s="3" t="s">
        <v>18</v>
      </c>
      <c r="CG103" s="3" t="s">
        <v>19</v>
      </c>
      <c r="CH103" s="3" t="s">
        <v>20</v>
      </c>
      <c r="CI103" s="3" t="s">
        <v>21</v>
      </c>
      <c r="CJ103" s="3" t="s">
        <v>22</v>
      </c>
      <c r="CK103" s="3" t="s">
        <v>23</v>
      </c>
      <c r="CL103" s="3" t="s">
        <v>24</v>
      </c>
      <c r="CM103" s="3" t="s">
        <v>25</v>
      </c>
      <c r="CN103" s="3" t="s">
        <v>26</v>
      </c>
      <c r="CO103" s="3" t="s">
        <v>27</v>
      </c>
      <c r="CP103" s="3" t="s">
        <v>28</v>
      </c>
      <c r="CQ103" s="3" t="s">
        <v>29</v>
      </c>
      <c r="CR103" s="3" t="s">
        <v>30</v>
      </c>
      <c r="CS103" s="3" t="s">
        <v>31</v>
      </c>
      <c r="CT103" s="3" t="s">
        <v>32</v>
      </c>
      <c r="CU103" s="3" t="s">
        <v>33</v>
      </c>
      <c r="CV103" s="3" t="s">
        <v>34</v>
      </c>
      <c r="CW103" s="3" t="s">
        <v>35</v>
      </c>
      <c r="CX103" s="3" t="s">
        <v>36</v>
      </c>
      <c r="CY103" s="3" t="s">
        <v>37</v>
      </c>
      <c r="CZ103" s="3" t="s">
        <v>38</v>
      </c>
      <c r="DA103" s="3" t="s">
        <v>39</v>
      </c>
      <c r="DB103" s="3" t="s">
        <v>40</v>
      </c>
      <c r="DC103" s="3" t="s">
        <v>41</v>
      </c>
      <c r="DD103" s="3" t="s">
        <v>68</v>
      </c>
      <c r="DE103" s="3" t="s">
        <v>69</v>
      </c>
      <c r="DF103" s="3" t="s">
        <v>44</v>
      </c>
      <c r="DG103" s="3" t="s">
        <v>45</v>
      </c>
      <c r="DH103" s="3" t="s">
        <v>46</v>
      </c>
      <c r="DI103" s="3" t="s">
        <v>47</v>
      </c>
      <c r="DJ103" s="3" t="s">
        <v>70</v>
      </c>
      <c r="DK103" s="3" t="s">
        <v>49</v>
      </c>
      <c r="DL103" s="3" t="s">
        <v>50</v>
      </c>
      <c r="DM103" s="3" t="s">
        <v>51</v>
      </c>
      <c r="DN103" s="3" t="s">
        <v>52</v>
      </c>
      <c r="DO103" s="3" t="s">
        <v>53</v>
      </c>
      <c r="DP103" s="3" t="s">
        <v>54</v>
      </c>
      <c r="DQ103" s="3" t="s">
        <v>71</v>
      </c>
      <c r="DR103" s="3" t="s">
        <v>56</v>
      </c>
      <c r="DS103" s="3" t="s">
        <v>57</v>
      </c>
      <c r="DT103" s="3" t="s">
        <v>58</v>
      </c>
      <c r="DU103" s="3" t="s">
        <v>59</v>
      </c>
      <c r="DV103" s="3" t="s">
        <v>60</v>
      </c>
      <c r="DW103" s="4" t="s">
        <v>61</v>
      </c>
      <c r="DY103" s="53" t="s">
        <v>66</v>
      </c>
      <c r="DZ103" s="54"/>
      <c r="EA103" s="2" t="s">
        <v>1</v>
      </c>
      <c r="EB103" s="3" t="s">
        <v>2</v>
      </c>
      <c r="EC103" s="3" t="s">
        <v>3</v>
      </c>
      <c r="ED103" s="3" t="s">
        <v>4</v>
      </c>
      <c r="EE103" s="3" t="s">
        <v>5</v>
      </c>
      <c r="EF103" s="3" t="s">
        <v>6</v>
      </c>
      <c r="EG103" s="3" t="s">
        <v>7</v>
      </c>
      <c r="EH103" s="3" t="s">
        <v>8</v>
      </c>
      <c r="EI103" s="3" t="s">
        <v>67</v>
      </c>
      <c r="EJ103" s="3" t="s">
        <v>10</v>
      </c>
      <c r="EK103" s="3" t="s">
        <v>11</v>
      </c>
      <c r="EL103" s="3" t="s">
        <v>12</v>
      </c>
      <c r="EM103" s="3" t="s">
        <v>13</v>
      </c>
      <c r="EN103" s="3" t="s">
        <v>14</v>
      </c>
      <c r="EO103" s="3" t="s">
        <v>15</v>
      </c>
      <c r="EP103" s="3" t="s">
        <v>16</v>
      </c>
      <c r="EQ103" s="3" t="s">
        <v>17</v>
      </c>
      <c r="ER103" s="3" t="s">
        <v>18</v>
      </c>
      <c r="ES103" s="3" t="s">
        <v>19</v>
      </c>
      <c r="ET103" s="3" t="s">
        <v>20</v>
      </c>
      <c r="EU103" s="3" t="s">
        <v>21</v>
      </c>
      <c r="EV103" s="3" t="s">
        <v>22</v>
      </c>
      <c r="EW103" s="3" t="s">
        <v>23</v>
      </c>
      <c r="EX103" s="3" t="s">
        <v>24</v>
      </c>
      <c r="EY103" s="3" t="s">
        <v>25</v>
      </c>
      <c r="EZ103" s="3" t="s">
        <v>26</v>
      </c>
      <c r="FA103" s="3" t="s">
        <v>27</v>
      </c>
      <c r="FB103" s="3" t="s">
        <v>28</v>
      </c>
      <c r="FC103" s="3" t="s">
        <v>29</v>
      </c>
      <c r="FD103" s="3" t="s">
        <v>30</v>
      </c>
      <c r="FE103" s="3" t="s">
        <v>31</v>
      </c>
      <c r="FF103" s="3" t="s">
        <v>32</v>
      </c>
      <c r="FG103" s="3" t="s">
        <v>33</v>
      </c>
      <c r="FH103" s="3" t="s">
        <v>34</v>
      </c>
      <c r="FI103" s="3" t="s">
        <v>35</v>
      </c>
      <c r="FJ103" s="3" t="s">
        <v>36</v>
      </c>
      <c r="FK103" s="3" t="s">
        <v>37</v>
      </c>
      <c r="FL103" s="3" t="s">
        <v>38</v>
      </c>
      <c r="FM103" s="3" t="s">
        <v>39</v>
      </c>
      <c r="FN103" s="3" t="s">
        <v>40</v>
      </c>
      <c r="FO103" s="3" t="s">
        <v>41</v>
      </c>
      <c r="FP103" s="3" t="s">
        <v>68</v>
      </c>
      <c r="FQ103" s="3" t="s">
        <v>69</v>
      </c>
      <c r="FR103" s="3" t="s">
        <v>44</v>
      </c>
      <c r="FS103" s="3" t="s">
        <v>45</v>
      </c>
      <c r="FT103" s="3" t="s">
        <v>46</v>
      </c>
      <c r="FU103" s="3" t="s">
        <v>47</v>
      </c>
      <c r="FV103" s="3" t="s">
        <v>70</v>
      </c>
      <c r="FW103" s="3" t="s">
        <v>49</v>
      </c>
      <c r="FX103" s="3" t="s">
        <v>50</v>
      </c>
      <c r="FY103" s="3" t="s">
        <v>51</v>
      </c>
      <c r="FZ103" s="3" t="s">
        <v>52</v>
      </c>
      <c r="GA103" s="3" t="s">
        <v>53</v>
      </c>
      <c r="GB103" s="3" t="s">
        <v>54</v>
      </c>
      <c r="GC103" s="3" t="s">
        <v>71</v>
      </c>
      <c r="GD103" s="3" t="s">
        <v>56</v>
      </c>
      <c r="GE103" s="3" t="s">
        <v>57</v>
      </c>
      <c r="GF103" s="3" t="s">
        <v>58</v>
      </c>
      <c r="GG103" s="3" t="s">
        <v>59</v>
      </c>
      <c r="GH103" s="3" t="s">
        <v>60</v>
      </c>
      <c r="GI103" s="4" t="s">
        <v>61</v>
      </c>
    </row>
    <row r="104" spans="1:191" x14ac:dyDescent="0.3">
      <c r="A104" s="29"/>
      <c r="B104" s="30" t="s">
        <v>72</v>
      </c>
      <c r="C104" s="31" t="s">
        <v>73</v>
      </c>
      <c r="D104" s="32" t="s">
        <v>73</v>
      </c>
      <c r="E104" s="32" t="s">
        <v>74</v>
      </c>
      <c r="F104" s="32" t="s">
        <v>73</v>
      </c>
      <c r="G104" s="32" t="s">
        <v>75</v>
      </c>
      <c r="H104" s="32" t="s">
        <v>8</v>
      </c>
      <c r="I104" s="32" t="s">
        <v>73</v>
      </c>
      <c r="J104" s="32" t="s">
        <v>73</v>
      </c>
      <c r="K104" s="32" t="s">
        <v>10</v>
      </c>
      <c r="L104" s="32" t="s">
        <v>73</v>
      </c>
      <c r="M104" s="32" t="s">
        <v>12</v>
      </c>
      <c r="N104" s="32" t="s">
        <v>73</v>
      </c>
      <c r="O104" s="32" t="s">
        <v>76</v>
      </c>
      <c r="P104" s="32" t="s">
        <v>77</v>
      </c>
      <c r="Q104" s="32" t="s">
        <v>78</v>
      </c>
      <c r="R104" s="32" t="s">
        <v>79</v>
      </c>
      <c r="S104" s="32" t="s">
        <v>73</v>
      </c>
      <c r="T104" s="32" t="s">
        <v>73</v>
      </c>
      <c r="U104" s="32" t="s">
        <v>80</v>
      </c>
      <c r="V104" s="32" t="s">
        <v>81</v>
      </c>
      <c r="W104" s="32" t="s">
        <v>82</v>
      </c>
      <c r="X104" s="32" t="s">
        <v>73</v>
      </c>
      <c r="Y104" s="32" t="s">
        <v>29</v>
      </c>
      <c r="Z104" s="32" t="s">
        <v>83</v>
      </c>
      <c r="AA104" s="32" t="s">
        <v>84</v>
      </c>
      <c r="AB104" s="32" t="s">
        <v>85</v>
      </c>
      <c r="AC104" s="32" t="s">
        <v>86</v>
      </c>
      <c r="AD104" s="32" t="s">
        <v>73</v>
      </c>
      <c r="AE104" s="32" t="s">
        <v>73</v>
      </c>
      <c r="AF104" s="32" t="s">
        <v>82</v>
      </c>
      <c r="AG104" s="32" t="s">
        <v>82</v>
      </c>
      <c r="AH104" s="32" t="s">
        <v>82</v>
      </c>
      <c r="AI104" s="32" t="s">
        <v>87</v>
      </c>
      <c r="AJ104" s="32" t="s">
        <v>73</v>
      </c>
      <c r="AK104" s="32" t="s">
        <v>87</v>
      </c>
      <c r="AL104" s="32" t="s">
        <v>73</v>
      </c>
      <c r="AM104" s="32" t="s">
        <v>73</v>
      </c>
      <c r="AN104" s="32" t="s">
        <v>73</v>
      </c>
      <c r="AO104" s="32" t="s">
        <v>88</v>
      </c>
      <c r="AP104" s="32" t="s">
        <v>73</v>
      </c>
      <c r="AQ104" s="32" t="s">
        <v>73</v>
      </c>
      <c r="AR104" s="32"/>
      <c r="AS104" s="32" t="s">
        <v>73</v>
      </c>
      <c r="AT104" s="32" t="s">
        <v>69</v>
      </c>
      <c r="AU104" s="32" t="s">
        <v>69</v>
      </c>
      <c r="AV104" s="32" t="s">
        <v>89</v>
      </c>
      <c r="AW104" s="32" t="s">
        <v>90</v>
      </c>
      <c r="AX104" s="32" t="s">
        <v>90</v>
      </c>
      <c r="AY104" s="32" t="s">
        <v>73</v>
      </c>
      <c r="AZ104" s="32" t="s">
        <v>91</v>
      </c>
      <c r="BA104" s="32" t="s">
        <v>92</v>
      </c>
      <c r="BB104" s="32" t="s">
        <v>73</v>
      </c>
      <c r="BC104" s="32" t="s">
        <v>73</v>
      </c>
      <c r="BD104" s="32" t="s">
        <v>73</v>
      </c>
      <c r="BE104" s="32" t="s">
        <v>93</v>
      </c>
      <c r="BF104" s="32" t="s">
        <v>73</v>
      </c>
      <c r="BG104" s="32" t="s">
        <v>94</v>
      </c>
      <c r="BH104" s="32" t="s">
        <v>95</v>
      </c>
      <c r="BI104" s="32" t="s">
        <v>96</v>
      </c>
      <c r="BJ104" s="32" t="s">
        <v>97</v>
      </c>
      <c r="BK104" s="33" t="s">
        <v>97</v>
      </c>
      <c r="BM104" s="29"/>
      <c r="BN104" s="30" t="s">
        <v>72</v>
      </c>
      <c r="BO104" s="31" t="s">
        <v>73</v>
      </c>
      <c r="BP104" s="32" t="s">
        <v>73</v>
      </c>
      <c r="BQ104" s="32" t="s">
        <v>74</v>
      </c>
      <c r="BR104" s="32" t="s">
        <v>73</v>
      </c>
      <c r="BS104" s="32" t="s">
        <v>75</v>
      </c>
      <c r="BT104" s="32" t="s">
        <v>8</v>
      </c>
      <c r="BU104" s="32" t="s">
        <v>73</v>
      </c>
      <c r="BV104" s="32" t="s">
        <v>73</v>
      </c>
      <c r="BW104" s="32" t="s">
        <v>10</v>
      </c>
      <c r="BX104" s="32" t="s">
        <v>73</v>
      </c>
      <c r="BY104" s="32" t="s">
        <v>12</v>
      </c>
      <c r="BZ104" s="32" t="s">
        <v>73</v>
      </c>
      <c r="CA104" s="32" t="s">
        <v>76</v>
      </c>
      <c r="CB104" s="32" t="s">
        <v>77</v>
      </c>
      <c r="CC104" s="32" t="s">
        <v>78</v>
      </c>
      <c r="CD104" s="32" t="s">
        <v>79</v>
      </c>
      <c r="CE104" s="32" t="s">
        <v>73</v>
      </c>
      <c r="CF104" s="32" t="s">
        <v>73</v>
      </c>
      <c r="CG104" s="32" t="s">
        <v>80</v>
      </c>
      <c r="CH104" s="32" t="s">
        <v>81</v>
      </c>
      <c r="CI104" s="32" t="s">
        <v>82</v>
      </c>
      <c r="CJ104" s="32" t="s">
        <v>73</v>
      </c>
      <c r="CK104" s="32" t="s">
        <v>29</v>
      </c>
      <c r="CL104" s="32" t="s">
        <v>83</v>
      </c>
      <c r="CM104" s="32" t="s">
        <v>84</v>
      </c>
      <c r="CN104" s="32" t="s">
        <v>85</v>
      </c>
      <c r="CO104" s="32" t="s">
        <v>86</v>
      </c>
      <c r="CP104" s="32" t="s">
        <v>73</v>
      </c>
      <c r="CQ104" s="32" t="s">
        <v>73</v>
      </c>
      <c r="CR104" s="32" t="s">
        <v>82</v>
      </c>
      <c r="CS104" s="32" t="s">
        <v>82</v>
      </c>
      <c r="CT104" s="32" t="s">
        <v>82</v>
      </c>
      <c r="CU104" s="32" t="s">
        <v>87</v>
      </c>
      <c r="CV104" s="32" t="s">
        <v>73</v>
      </c>
      <c r="CW104" s="32" t="s">
        <v>87</v>
      </c>
      <c r="CX104" s="32" t="s">
        <v>73</v>
      </c>
      <c r="CY104" s="32" t="s">
        <v>73</v>
      </c>
      <c r="CZ104" s="32" t="s">
        <v>73</v>
      </c>
      <c r="DA104" s="32" t="s">
        <v>88</v>
      </c>
      <c r="DB104" s="32" t="s">
        <v>73</v>
      </c>
      <c r="DC104" s="32" t="s">
        <v>73</v>
      </c>
      <c r="DD104" s="32"/>
      <c r="DE104" s="32" t="s">
        <v>73</v>
      </c>
      <c r="DF104" s="32" t="s">
        <v>69</v>
      </c>
      <c r="DG104" s="32" t="s">
        <v>98</v>
      </c>
      <c r="DH104" s="32" t="s">
        <v>89</v>
      </c>
      <c r="DI104" s="32" t="s">
        <v>90</v>
      </c>
      <c r="DJ104" s="32" t="s">
        <v>90</v>
      </c>
      <c r="DK104" s="32" t="s">
        <v>73</v>
      </c>
      <c r="DL104" s="32" t="s">
        <v>91</v>
      </c>
      <c r="DM104" s="32" t="s">
        <v>92</v>
      </c>
      <c r="DN104" s="32" t="s">
        <v>73</v>
      </c>
      <c r="DO104" s="32" t="s">
        <v>73</v>
      </c>
      <c r="DP104" s="32" t="s">
        <v>73</v>
      </c>
      <c r="DQ104" s="32" t="s">
        <v>93</v>
      </c>
      <c r="DR104" s="32" t="s">
        <v>73</v>
      </c>
      <c r="DS104" s="32" t="s">
        <v>94</v>
      </c>
      <c r="DT104" s="32" t="s">
        <v>95</v>
      </c>
      <c r="DU104" s="32" t="s">
        <v>96</v>
      </c>
      <c r="DV104" s="32" t="s">
        <v>97</v>
      </c>
      <c r="DW104" s="33" t="s">
        <v>97</v>
      </c>
      <c r="DY104" s="29"/>
      <c r="DZ104" s="30" t="s">
        <v>72</v>
      </c>
      <c r="EA104" s="31" t="s">
        <v>73</v>
      </c>
      <c r="EB104" s="32" t="s">
        <v>73</v>
      </c>
      <c r="EC104" s="32" t="s">
        <v>74</v>
      </c>
      <c r="ED104" s="32" t="s">
        <v>73</v>
      </c>
      <c r="EE104" s="32" t="s">
        <v>75</v>
      </c>
      <c r="EF104" s="32" t="s">
        <v>8</v>
      </c>
      <c r="EG104" s="32" t="s">
        <v>73</v>
      </c>
      <c r="EH104" s="32" t="s">
        <v>73</v>
      </c>
      <c r="EI104" s="32" t="s">
        <v>10</v>
      </c>
      <c r="EJ104" s="32" t="s">
        <v>73</v>
      </c>
      <c r="EK104" s="32" t="s">
        <v>12</v>
      </c>
      <c r="EL104" s="32" t="s">
        <v>73</v>
      </c>
      <c r="EM104" s="32" t="s">
        <v>76</v>
      </c>
      <c r="EN104" s="32" t="s">
        <v>77</v>
      </c>
      <c r="EO104" s="32" t="s">
        <v>78</v>
      </c>
      <c r="EP104" s="32" t="s">
        <v>79</v>
      </c>
      <c r="EQ104" s="32" t="s">
        <v>73</v>
      </c>
      <c r="ER104" s="32" t="s">
        <v>73</v>
      </c>
      <c r="ES104" s="32" t="s">
        <v>80</v>
      </c>
      <c r="ET104" s="32" t="s">
        <v>81</v>
      </c>
      <c r="EU104" s="32" t="s">
        <v>82</v>
      </c>
      <c r="EV104" s="32" t="s">
        <v>73</v>
      </c>
      <c r="EW104" s="32" t="s">
        <v>29</v>
      </c>
      <c r="EX104" s="32" t="s">
        <v>83</v>
      </c>
      <c r="EY104" s="32" t="s">
        <v>84</v>
      </c>
      <c r="EZ104" s="32" t="s">
        <v>85</v>
      </c>
      <c r="FA104" s="32" t="s">
        <v>86</v>
      </c>
      <c r="FB104" s="32" t="s">
        <v>73</v>
      </c>
      <c r="FC104" s="32" t="s">
        <v>73</v>
      </c>
      <c r="FD104" s="32" t="s">
        <v>82</v>
      </c>
      <c r="FE104" s="32" t="s">
        <v>82</v>
      </c>
      <c r="FF104" s="32" t="s">
        <v>82</v>
      </c>
      <c r="FG104" s="32" t="s">
        <v>87</v>
      </c>
      <c r="FH104" s="32" t="s">
        <v>73</v>
      </c>
      <c r="FI104" s="32" t="s">
        <v>87</v>
      </c>
      <c r="FJ104" s="32" t="s">
        <v>73</v>
      </c>
      <c r="FK104" s="32" t="s">
        <v>73</v>
      </c>
      <c r="FL104" s="32" t="s">
        <v>73</v>
      </c>
      <c r="FM104" s="32" t="s">
        <v>88</v>
      </c>
      <c r="FN104" s="32" t="s">
        <v>73</v>
      </c>
      <c r="FO104" s="32" t="s">
        <v>73</v>
      </c>
      <c r="FP104" s="32"/>
      <c r="FQ104" s="32" t="s">
        <v>73</v>
      </c>
      <c r="FR104" s="32" t="s">
        <v>69</v>
      </c>
      <c r="FS104" s="32" t="s">
        <v>98</v>
      </c>
      <c r="FT104" s="32" t="s">
        <v>89</v>
      </c>
      <c r="FU104" s="32" t="s">
        <v>90</v>
      </c>
      <c r="FV104" s="32" t="s">
        <v>90</v>
      </c>
      <c r="FW104" s="32" t="s">
        <v>73</v>
      </c>
      <c r="FX104" s="32" t="s">
        <v>91</v>
      </c>
      <c r="FY104" s="32" t="s">
        <v>92</v>
      </c>
      <c r="FZ104" s="32" t="s">
        <v>73</v>
      </c>
      <c r="GA104" s="32" t="s">
        <v>73</v>
      </c>
      <c r="GB104" s="32" t="s">
        <v>73</v>
      </c>
      <c r="GC104" s="32" t="s">
        <v>93</v>
      </c>
      <c r="GD104" s="32" t="s">
        <v>73</v>
      </c>
      <c r="GE104" s="32" t="s">
        <v>94</v>
      </c>
      <c r="GF104" s="32" t="s">
        <v>95</v>
      </c>
      <c r="GG104" s="32" t="s">
        <v>96</v>
      </c>
      <c r="GH104" s="32" t="s">
        <v>97</v>
      </c>
      <c r="GI104" s="33" t="s">
        <v>97</v>
      </c>
    </row>
    <row r="105" spans="1:191" ht="30" customHeight="1" x14ac:dyDescent="0.3">
      <c r="A105" s="5" t="s">
        <v>1</v>
      </c>
      <c r="B105" s="34" t="s">
        <v>73</v>
      </c>
      <c r="C105" s="6"/>
      <c r="D105" s="7">
        <v>1411</v>
      </c>
      <c r="E105" s="7">
        <v>1782</v>
      </c>
      <c r="F105" s="7">
        <v>6298</v>
      </c>
      <c r="G105" s="7">
        <v>1639</v>
      </c>
      <c r="H105" s="7">
        <v>7688</v>
      </c>
      <c r="I105" s="7">
        <v>9712</v>
      </c>
      <c r="J105" s="7">
        <v>7688</v>
      </c>
      <c r="K105" s="7">
        <v>4304</v>
      </c>
      <c r="L105" s="7">
        <v>4304</v>
      </c>
      <c r="M105" s="7">
        <v>9742</v>
      </c>
      <c r="N105" s="7">
        <v>9742</v>
      </c>
      <c r="O105" s="7">
        <v>1874</v>
      </c>
      <c r="P105" s="8">
        <v>8830</v>
      </c>
      <c r="Q105" s="8">
        <v>6347</v>
      </c>
      <c r="R105" s="8">
        <v>7358</v>
      </c>
      <c r="S105" s="8">
        <v>7114</v>
      </c>
      <c r="T105" s="8">
        <v>7534</v>
      </c>
      <c r="U105" s="8">
        <v>7264</v>
      </c>
      <c r="V105" s="8">
        <v>8382</v>
      </c>
      <c r="W105" s="8">
        <v>10156</v>
      </c>
      <c r="X105" s="8">
        <v>7999</v>
      </c>
      <c r="Y105" s="8">
        <v>8395</v>
      </c>
      <c r="Z105" s="8">
        <v>7610</v>
      </c>
      <c r="AA105" s="8">
        <v>8738</v>
      </c>
      <c r="AB105" s="8">
        <v>8673</v>
      </c>
      <c r="AC105" s="8">
        <v>7821</v>
      </c>
      <c r="AD105" s="8">
        <v>8058</v>
      </c>
      <c r="AE105" s="8">
        <v>8395</v>
      </c>
      <c r="AF105" s="8">
        <v>10156</v>
      </c>
      <c r="AG105" s="8">
        <v>10156</v>
      </c>
      <c r="AH105" s="8">
        <v>10156</v>
      </c>
      <c r="AI105" s="8">
        <v>16288</v>
      </c>
      <c r="AJ105" s="8">
        <v>19335</v>
      </c>
      <c r="AK105" s="8">
        <v>16288</v>
      </c>
      <c r="AL105" s="8">
        <v>18124</v>
      </c>
      <c r="AM105" s="8">
        <v>16554</v>
      </c>
      <c r="AN105" s="8">
        <v>17057</v>
      </c>
      <c r="AO105" s="8">
        <v>17276</v>
      </c>
      <c r="AP105" s="8">
        <v>16955</v>
      </c>
      <c r="AQ105" s="8">
        <v>16505</v>
      </c>
      <c r="AR105" s="8">
        <v>19624</v>
      </c>
      <c r="AS105" s="8">
        <v>16001</v>
      </c>
      <c r="AT105" s="8">
        <v>16001</v>
      </c>
      <c r="AU105" s="8">
        <v>16001</v>
      </c>
      <c r="AV105" s="8">
        <v>18014</v>
      </c>
      <c r="AW105" s="8">
        <v>9380</v>
      </c>
      <c r="AX105" s="8">
        <v>9380</v>
      </c>
      <c r="AY105" s="8">
        <v>16625</v>
      </c>
      <c r="AZ105" s="8"/>
      <c r="BA105" s="8">
        <v>16183</v>
      </c>
      <c r="BB105" s="8">
        <v>21472</v>
      </c>
      <c r="BC105" s="8">
        <v>8882</v>
      </c>
      <c r="BD105" s="8">
        <v>19325</v>
      </c>
      <c r="BE105" s="8">
        <v>18540</v>
      </c>
      <c r="BF105" s="8">
        <v>18168</v>
      </c>
      <c r="BG105" s="8">
        <v>11475</v>
      </c>
      <c r="BH105" s="8">
        <v>9849</v>
      </c>
      <c r="BI105" s="8">
        <v>2950</v>
      </c>
      <c r="BJ105" s="8">
        <v>7191</v>
      </c>
      <c r="BK105" s="9">
        <v>7191</v>
      </c>
      <c r="BM105" s="5" t="s">
        <v>1</v>
      </c>
      <c r="BN105" s="34" t="s">
        <v>73</v>
      </c>
      <c r="BO105" s="6"/>
      <c r="BP105" s="7"/>
      <c r="BQ105" s="7">
        <f>1925.4</f>
        <v>1925.4</v>
      </c>
      <c r="BR105" s="7"/>
      <c r="BS105" s="7">
        <v>63</v>
      </c>
      <c r="BT105" s="7">
        <v>1636.8</v>
      </c>
      <c r="BU105" s="7"/>
      <c r="BV105" s="7"/>
      <c r="BW105" s="7">
        <v>543.29999999999995</v>
      </c>
      <c r="BX105" s="7"/>
      <c r="BY105" s="7">
        <v>970.9</v>
      </c>
      <c r="BZ105" s="7"/>
      <c r="CA105" s="7">
        <v>458.8</v>
      </c>
      <c r="CB105" s="8">
        <v>441.9</v>
      </c>
      <c r="CC105" s="8">
        <v>51.7</v>
      </c>
      <c r="CD105" s="8">
        <v>0</v>
      </c>
      <c r="CE105" s="8"/>
      <c r="CF105" s="8"/>
      <c r="CG105" s="8">
        <v>190.1</v>
      </c>
      <c r="CH105" s="8">
        <v>311.89999999999998</v>
      </c>
      <c r="CI105" s="8">
        <v>495.4</v>
      </c>
      <c r="CJ105" s="8"/>
      <c r="CK105" s="8">
        <v>142.80000000000001</v>
      </c>
      <c r="CL105" s="8">
        <v>252.5</v>
      </c>
      <c r="CM105" s="8">
        <v>71.3</v>
      </c>
      <c r="CN105" s="8">
        <v>146</v>
      </c>
      <c r="CO105" s="8">
        <v>354.6</v>
      </c>
      <c r="CP105" s="8"/>
      <c r="CQ105" s="8"/>
      <c r="CR105" s="8">
        <v>931.2</v>
      </c>
      <c r="CS105" s="8">
        <v>745.4</v>
      </c>
      <c r="CT105" s="8">
        <v>522.4</v>
      </c>
      <c r="CU105" s="8">
        <v>1374.6</v>
      </c>
      <c r="CV105" s="8"/>
      <c r="CW105" s="8">
        <v>857.3</v>
      </c>
      <c r="CX105" s="8"/>
      <c r="CY105" s="8"/>
      <c r="CZ105" s="8"/>
      <c r="DA105" s="8">
        <v>162.69999999999999</v>
      </c>
      <c r="DB105" s="8"/>
      <c r="DC105" s="8"/>
      <c r="DD105" s="8"/>
      <c r="DE105" s="8"/>
      <c r="DF105" s="8">
        <v>1855.4</v>
      </c>
      <c r="DG105" s="8">
        <v>996.5</v>
      </c>
      <c r="DH105" s="8">
        <v>33.799999999999997</v>
      </c>
      <c r="DI105" s="8">
        <v>701.9</v>
      </c>
      <c r="DJ105" s="8">
        <v>4701.1000000000004</v>
      </c>
      <c r="DK105" s="8"/>
      <c r="DL105" s="8"/>
      <c r="DM105" s="8">
        <v>483.6</v>
      </c>
      <c r="DN105" s="8"/>
      <c r="DO105" s="8"/>
      <c r="DP105" s="8"/>
      <c r="DQ105" s="8">
        <v>121.2</v>
      </c>
      <c r="DR105" s="8"/>
      <c r="DS105" s="8">
        <v>778.9</v>
      </c>
      <c r="DT105" s="8">
        <v>11.8</v>
      </c>
      <c r="DU105" s="8">
        <v>503.6</v>
      </c>
      <c r="DV105" s="8">
        <v>114</v>
      </c>
      <c r="DW105" s="9">
        <v>1147</v>
      </c>
      <c r="DY105" s="5" t="s">
        <v>1</v>
      </c>
      <c r="DZ105" s="34" t="s">
        <v>73</v>
      </c>
      <c r="EA105" s="6"/>
      <c r="EB105" s="7"/>
      <c r="EC105" s="7">
        <v>2197.1999999999998</v>
      </c>
      <c r="ED105" s="7"/>
      <c r="EE105" s="7">
        <v>64.400000000000006</v>
      </c>
      <c r="EF105" s="7">
        <v>2958.2</v>
      </c>
      <c r="EG105" s="7"/>
      <c r="EH105" s="7"/>
      <c r="EI105" s="7">
        <v>535.6</v>
      </c>
      <c r="EJ105" s="7"/>
      <c r="EK105" s="7"/>
      <c r="EL105" s="7"/>
      <c r="EM105" s="7"/>
      <c r="EN105" s="8"/>
      <c r="EO105" s="8"/>
      <c r="EP105" s="8">
        <v>0</v>
      </c>
      <c r="EQ105" s="8"/>
      <c r="ER105" s="8"/>
      <c r="ES105" s="8">
        <v>226.7</v>
      </c>
      <c r="ET105" s="8">
        <v>319.5</v>
      </c>
      <c r="EU105" s="8">
        <v>513.79999999999995</v>
      </c>
      <c r="EV105" s="8"/>
      <c r="EW105" s="8">
        <v>135.5</v>
      </c>
      <c r="EX105" s="8">
        <v>263.10000000000002</v>
      </c>
      <c r="EY105" s="8">
        <v>77.900000000000006</v>
      </c>
      <c r="EZ105" s="8">
        <v>141.30000000000001</v>
      </c>
      <c r="FA105" s="8">
        <v>389.7</v>
      </c>
      <c r="FB105" s="8"/>
      <c r="FC105" s="8"/>
      <c r="FD105" s="8">
        <v>994.9</v>
      </c>
      <c r="FE105" s="8">
        <v>960.9</v>
      </c>
      <c r="FF105" s="8">
        <v>624.5</v>
      </c>
      <c r="FG105" s="8">
        <v>1386.2</v>
      </c>
      <c r="FH105" s="8"/>
      <c r="FI105" s="8">
        <v>982.6</v>
      </c>
      <c r="FJ105" s="8"/>
      <c r="FK105" s="8"/>
      <c r="FL105" s="8"/>
      <c r="FM105" s="8">
        <v>154.6</v>
      </c>
      <c r="FN105" s="8"/>
      <c r="FO105" s="8"/>
      <c r="FP105" s="8"/>
      <c r="FQ105" s="8"/>
      <c r="FR105" s="8"/>
      <c r="FS105" s="8"/>
      <c r="FT105" s="8">
        <v>43.9</v>
      </c>
      <c r="FU105" s="8">
        <f>3.8+641.3</f>
        <v>645.09999999999991</v>
      </c>
      <c r="FV105" s="8">
        <f>3305.4+1080.8</f>
        <v>4386.2</v>
      </c>
      <c r="FW105" s="8"/>
      <c r="FX105" s="8"/>
      <c r="FY105" s="8">
        <v>462.7</v>
      </c>
      <c r="FZ105" s="8"/>
      <c r="GA105" s="8"/>
      <c r="GB105" s="8"/>
      <c r="GC105" s="8">
        <v>116.6</v>
      </c>
      <c r="GD105" s="8"/>
      <c r="GE105" s="8">
        <v>965.1</v>
      </c>
      <c r="GF105" s="8"/>
      <c r="GG105" s="8"/>
      <c r="GH105" s="8"/>
      <c r="GI105" s="9"/>
    </row>
    <row r="106" spans="1:191" x14ac:dyDescent="0.3">
      <c r="A106" s="10" t="s">
        <v>2</v>
      </c>
      <c r="B106" s="35" t="s">
        <v>73</v>
      </c>
      <c r="C106" s="11">
        <v>1411</v>
      </c>
      <c r="D106" s="12"/>
      <c r="E106" s="13">
        <v>3161</v>
      </c>
      <c r="F106" s="13">
        <v>7678</v>
      </c>
      <c r="G106" s="13">
        <v>3019</v>
      </c>
      <c r="H106" s="13">
        <v>8064</v>
      </c>
      <c r="I106" s="13">
        <v>10088</v>
      </c>
      <c r="J106" s="13">
        <v>8064</v>
      </c>
      <c r="K106" s="13">
        <v>5684</v>
      </c>
      <c r="L106" s="13">
        <v>5684</v>
      </c>
      <c r="M106" s="13">
        <v>10117</v>
      </c>
      <c r="N106" s="13">
        <v>10117</v>
      </c>
      <c r="O106" s="13">
        <v>1500</v>
      </c>
      <c r="P106" s="14">
        <v>9491</v>
      </c>
      <c r="Q106" s="14">
        <v>7504</v>
      </c>
      <c r="R106" s="14">
        <v>8738</v>
      </c>
      <c r="S106" s="14">
        <v>8494</v>
      </c>
      <c r="T106" s="14">
        <v>8914</v>
      </c>
      <c r="U106" s="14">
        <v>8643</v>
      </c>
      <c r="V106" s="14">
        <v>9742</v>
      </c>
      <c r="W106" s="14">
        <v>11516</v>
      </c>
      <c r="X106" s="14">
        <v>9379</v>
      </c>
      <c r="Y106" s="14">
        <v>9775</v>
      </c>
      <c r="Z106" s="14">
        <v>8990</v>
      </c>
      <c r="AA106" s="14">
        <v>10097</v>
      </c>
      <c r="AB106" s="14">
        <v>10032</v>
      </c>
      <c r="AC106" s="14">
        <v>9180</v>
      </c>
      <c r="AD106" s="14">
        <v>9417</v>
      </c>
      <c r="AE106" s="14">
        <v>9775</v>
      </c>
      <c r="AF106" s="14">
        <v>11516</v>
      </c>
      <c r="AG106" s="14">
        <v>11516</v>
      </c>
      <c r="AH106" s="14">
        <v>11516</v>
      </c>
      <c r="AI106" s="14">
        <v>17648</v>
      </c>
      <c r="AJ106" s="14">
        <v>20694</v>
      </c>
      <c r="AK106" s="14">
        <v>17648</v>
      </c>
      <c r="AL106" s="14">
        <v>19483</v>
      </c>
      <c r="AM106" s="14">
        <v>16929</v>
      </c>
      <c r="AN106" s="14">
        <v>17433</v>
      </c>
      <c r="AO106" s="14">
        <v>17651</v>
      </c>
      <c r="AP106" s="14">
        <v>17331</v>
      </c>
      <c r="AQ106" s="14">
        <v>16881</v>
      </c>
      <c r="AR106" s="14">
        <v>20000</v>
      </c>
      <c r="AS106" s="14">
        <v>17361</v>
      </c>
      <c r="AT106" s="14">
        <v>17361</v>
      </c>
      <c r="AU106" s="14">
        <v>17361</v>
      </c>
      <c r="AV106" s="14">
        <v>18309</v>
      </c>
      <c r="AW106" s="14">
        <v>10760</v>
      </c>
      <c r="AX106" s="14">
        <v>10760</v>
      </c>
      <c r="AY106" s="14">
        <v>17001</v>
      </c>
      <c r="AZ106" s="14"/>
      <c r="BA106" s="14">
        <v>17542</v>
      </c>
      <c r="BB106" s="14">
        <v>22272</v>
      </c>
      <c r="BC106" s="14">
        <v>10262</v>
      </c>
      <c r="BD106" s="14">
        <v>19702</v>
      </c>
      <c r="BE106" s="14">
        <v>18966</v>
      </c>
      <c r="BF106" s="14">
        <v>18544</v>
      </c>
      <c r="BG106" s="14">
        <v>12834</v>
      </c>
      <c r="BH106" s="14">
        <v>11208</v>
      </c>
      <c r="BI106" s="14">
        <v>3326</v>
      </c>
      <c r="BJ106" s="14">
        <v>7567</v>
      </c>
      <c r="BK106" s="15">
        <v>7567</v>
      </c>
      <c r="BM106" s="10" t="s">
        <v>2</v>
      </c>
      <c r="BN106" s="35" t="s">
        <v>73</v>
      </c>
      <c r="BO106" s="11"/>
      <c r="BP106" s="12"/>
      <c r="BQ106" s="13">
        <f>1925.4</f>
        <v>1925.4</v>
      </c>
      <c r="BR106" s="13"/>
      <c r="BS106" s="13">
        <v>63</v>
      </c>
      <c r="BT106" s="13">
        <v>1636.8</v>
      </c>
      <c r="BU106" s="13"/>
      <c r="BV106" s="13"/>
      <c r="BW106" s="13">
        <v>543.29999999999995</v>
      </c>
      <c r="BX106" s="13"/>
      <c r="BY106" s="13">
        <v>970.9</v>
      </c>
      <c r="BZ106" s="13"/>
      <c r="CA106" s="13">
        <v>458.8</v>
      </c>
      <c r="CB106" s="14">
        <v>441.9</v>
      </c>
      <c r="CC106" s="14">
        <v>51.7</v>
      </c>
      <c r="CD106" s="14"/>
      <c r="CE106" s="14"/>
      <c r="CF106" s="14"/>
      <c r="CG106" s="14">
        <v>190.1</v>
      </c>
      <c r="CH106" s="14">
        <v>311.89999999999998</v>
      </c>
      <c r="CI106" s="14">
        <v>495.4</v>
      </c>
      <c r="CJ106" s="14"/>
      <c r="CK106" s="14">
        <v>142.80000000000001</v>
      </c>
      <c r="CL106" s="14">
        <v>252.5</v>
      </c>
      <c r="CM106" s="14">
        <v>71.3</v>
      </c>
      <c r="CN106" s="14">
        <v>146</v>
      </c>
      <c r="CO106" s="14">
        <v>354.6</v>
      </c>
      <c r="CP106" s="14"/>
      <c r="CQ106" s="14"/>
      <c r="CR106" s="14">
        <v>931.2</v>
      </c>
      <c r="CS106" s="14">
        <v>745.4</v>
      </c>
      <c r="CT106" s="14">
        <v>522.4</v>
      </c>
      <c r="CU106" s="14">
        <v>1374.6</v>
      </c>
      <c r="CV106" s="14"/>
      <c r="CW106" s="14">
        <v>857.3</v>
      </c>
      <c r="CX106" s="14"/>
      <c r="CY106" s="14"/>
      <c r="CZ106" s="14"/>
      <c r="DA106" s="14">
        <v>162.69999999999999</v>
      </c>
      <c r="DB106" s="14"/>
      <c r="DC106" s="14"/>
      <c r="DD106" s="14"/>
      <c r="DE106" s="14"/>
      <c r="DF106" s="14">
        <v>1855.4</v>
      </c>
      <c r="DG106" s="14">
        <v>996.5</v>
      </c>
      <c r="DH106" s="14">
        <v>33.799999999999997</v>
      </c>
      <c r="DI106" s="14">
        <v>701.9</v>
      </c>
      <c r="DJ106" s="14">
        <v>4701.1000000000004</v>
      </c>
      <c r="DK106" s="14"/>
      <c r="DL106" s="14"/>
      <c r="DM106" s="14">
        <v>483.6</v>
      </c>
      <c r="DN106" s="14"/>
      <c r="DO106" s="14"/>
      <c r="DP106" s="14"/>
      <c r="DQ106" s="14">
        <v>121.2</v>
      </c>
      <c r="DR106" s="14"/>
      <c r="DS106" s="14">
        <v>778.9</v>
      </c>
      <c r="DT106" s="14">
        <v>11.8</v>
      </c>
      <c r="DU106" s="14">
        <v>503.6</v>
      </c>
      <c r="DV106" s="14">
        <v>114</v>
      </c>
      <c r="DW106" s="15">
        <v>1147</v>
      </c>
      <c r="DY106" s="10" t="s">
        <v>2</v>
      </c>
      <c r="DZ106" s="35" t="s">
        <v>73</v>
      </c>
      <c r="EA106" s="11"/>
      <c r="EB106" s="12"/>
      <c r="EC106" s="13">
        <v>2197.1999999999998</v>
      </c>
      <c r="ED106" s="13"/>
      <c r="EE106" s="13">
        <v>64.400000000000006</v>
      </c>
      <c r="EF106" s="13">
        <v>2958.2</v>
      </c>
      <c r="EG106" s="13"/>
      <c r="EH106" s="13"/>
      <c r="EI106" s="13">
        <v>535.6</v>
      </c>
      <c r="EJ106" s="13"/>
      <c r="EK106" s="13"/>
      <c r="EL106" s="13"/>
      <c r="EM106" s="13"/>
      <c r="EN106" s="14"/>
      <c r="EO106" s="14"/>
      <c r="EP106" s="14"/>
      <c r="EQ106" s="14"/>
      <c r="ER106" s="14"/>
      <c r="ES106" s="14">
        <v>226.7</v>
      </c>
      <c r="ET106" s="14">
        <v>319.5</v>
      </c>
      <c r="EU106" s="14">
        <v>513.79999999999995</v>
      </c>
      <c r="EV106" s="14"/>
      <c r="EW106" s="14">
        <v>135.5</v>
      </c>
      <c r="EX106" s="14">
        <v>263.10000000000002</v>
      </c>
      <c r="EY106" s="14">
        <v>77.900000000000006</v>
      </c>
      <c r="EZ106" s="14">
        <v>141.30000000000001</v>
      </c>
      <c r="FA106" s="14">
        <v>389.7</v>
      </c>
      <c r="FB106" s="14"/>
      <c r="FC106" s="14"/>
      <c r="FD106" s="14">
        <v>994.9</v>
      </c>
      <c r="FE106" s="14">
        <v>960.9</v>
      </c>
      <c r="FF106" s="14">
        <v>624.5</v>
      </c>
      <c r="FG106" s="14">
        <v>1386.2</v>
      </c>
      <c r="FH106" s="14"/>
      <c r="FI106" s="14">
        <v>982.6</v>
      </c>
      <c r="FJ106" s="14"/>
      <c r="FK106" s="14"/>
      <c r="FL106" s="14"/>
      <c r="FM106" s="14">
        <v>154.6</v>
      </c>
      <c r="FN106" s="14"/>
      <c r="FO106" s="14"/>
      <c r="FP106" s="14"/>
      <c r="FQ106" s="14"/>
      <c r="FR106" s="14"/>
      <c r="FS106" s="14"/>
      <c r="FT106" s="14">
        <v>43.9</v>
      </c>
      <c r="FU106" s="14">
        <f>3.8+641.3</f>
        <v>645.09999999999991</v>
      </c>
      <c r="FV106" s="14">
        <f>3305.4+1080.8</f>
        <v>4386.2</v>
      </c>
      <c r="FW106" s="14"/>
      <c r="FX106" s="14"/>
      <c r="FY106" s="14">
        <v>462.7</v>
      </c>
      <c r="FZ106" s="14"/>
      <c r="GA106" s="14"/>
      <c r="GB106" s="14"/>
      <c r="GC106" s="14">
        <v>116.6</v>
      </c>
      <c r="GD106" s="14"/>
      <c r="GE106" s="14">
        <v>965.1</v>
      </c>
      <c r="GF106" s="14"/>
      <c r="GG106" s="14"/>
      <c r="GH106" s="14"/>
      <c r="GI106" s="15"/>
    </row>
    <row r="107" spans="1:191" x14ac:dyDescent="0.3">
      <c r="A107" s="10" t="s">
        <v>3</v>
      </c>
      <c r="B107" s="35" t="s">
        <v>74</v>
      </c>
      <c r="C107" s="11">
        <v>1782</v>
      </c>
      <c r="D107" s="13">
        <v>3161</v>
      </c>
      <c r="E107" s="12"/>
      <c r="F107" s="13">
        <v>4802</v>
      </c>
      <c r="G107" s="13">
        <v>759</v>
      </c>
      <c r="H107" s="13">
        <v>9117</v>
      </c>
      <c r="I107" s="13">
        <v>11142</v>
      </c>
      <c r="J107" s="13">
        <v>9117</v>
      </c>
      <c r="K107" s="13">
        <v>2808</v>
      </c>
      <c r="L107" s="13">
        <v>2808</v>
      </c>
      <c r="M107" s="13">
        <v>11171</v>
      </c>
      <c r="N107" s="13">
        <v>11171</v>
      </c>
      <c r="O107" s="13">
        <v>3626</v>
      </c>
      <c r="P107" s="14">
        <v>8784</v>
      </c>
      <c r="Q107" s="14">
        <v>6796</v>
      </c>
      <c r="R107" s="14">
        <v>6063</v>
      </c>
      <c r="S107" s="14">
        <v>5756</v>
      </c>
      <c r="T107" s="14">
        <v>6189</v>
      </c>
      <c r="U107" s="14">
        <v>5919</v>
      </c>
      <c r="V107" s="14">
        <v>7215</v>
      </c>
      <c r="W107" s="14">
        <v>8989</v>
      </c>
      <c r="X107" s="14">
        <v>6704</v>
      </c>
      <c r="Y107" s="14">
        <v>7101</v>
      </c>
      <c r="Z107" s="14">
        <v>6265</v>
      </c>
      <c r="AA107" s="14">
        <v>7571</v>
      </c>
      <c r="AB107" s="14">
        <v>7506</v>
      </c>
      <c r="AC107" s="14">
        <v>6654</v>
      </c>
      <c r="AD107" s="14">
        <v>6891</v>
      </c>
      <c r="AE107" s="14">
        <v>7101</v>
      </c>
      <c r="AF107" s="14">
        <v>8989</v>
      </c>
      <c r="AG107" s="14">
        <v>8989</v>
      </c>
      <c r="AH107" s="14">
        <v>8989</v>
      </c>
      <c r="AI107" s="14">
        <v>15122</v>
      </c>
      <c r="AJ107" s="14">
        <v>18168</v>
      </c>
      <c r="AK107" s="14">
        <v>15122</v>
      </c>
      <c r="AL107" s="14">
        <v>16957</v>
      </c>
      <c r="AM107" s="14">
        <v>17983</v>
      </c>
      <c r="AN107" s="14">
        <v>18487</v>
      </c>
      <c r="AO107" s="14">
        <v>18705</v>
      </c>
      <c r="AP107" s="14">
        <v>18385</v>
      </c>
      <c r="AQ107" s="14">
        <v>17935</v>
      </c>
      <c r="AR107" s="14">
        <v>21054</v>
      </c>
      <c r="AS107" s="14">
        <v>14835</v>
      </c>
      <c r="AT107" s="14">
        <v>14835</v>
      </c>
      <c r="AU107" s="14">
        <v>14835</v>
      </c>
      <c r="AV107" s="14">
        <v>19444</v>
      </c>
      <c r="AW107" s="14">
        <v>8086</v>
      </c>
      <c r="AX107" s="14">
        <v>8086</v>
      </c>
      <c r="AY107" s="14">
        <v>18055</v>
      </c>
      <c r="AZ107" s="14"/>
      <c r="BA107" s="14">
        <v>15016</v>
      </c>
      <c r="BB107" s="14">
        <v>20305</v>
      </c>
      <c r="BC107" s="14">
        <v>7588</v>
      </c>
      <c r="BD107" s="14">
        <v>20755</v>
      </c>
      <c r="BE107" s="14">
        <v>19970</v>
      </c>
      <c r="BF107" s="14">
        <v>19598</v>
      </c>
      <c r="BG107" s="14">
        <v>10308</v>
      </c>
      <c r="BH107" s="14">
        <v>8682</v>
      </c>
      <c r="BI107" s="14">
        <v>4380</v>
      </c>
      <c r="BJ107" s="14">
        <v>8621</v>
      </c>
      <c r="BK107" s="15">
        <v>8621</v>
      </c>
      <c r="BM107" s="10" t="s">
        <v>3</v>
      </c>
      <c r="BN107" s="35" t="s">
        <v>74</v>
      </c>
      <c r="BO107" s="11">
        <f>1925.4</f>
        <v>1925.4</v>
      </c>
      <c r="BP107" s="13">
        <f>1925.4</f>
        <v>1925.4</v>
      </c>
      <c r="BQ107" s="12"/>
      <c r="BR107" s="13">
        <f>1925.4</f>
        <v>1925.4</v>
      </c>
      <c r="BS107" s="13">
        <f>1925.4+63</f>
        <v>1988.4</v>
      </c>
      <c r="BT107" s="13">
        <f>1925.4+1636.8</f>
        <v>3562.2</v>
      </c>
      <c r="BU107" s="13">
        <f>1925.4</f>
        <v>1925.4</v>
      </c>
      <c r="BV107" s="13">
        <f>1925.4</f>
        <v>1925.4</v>
      </c>
      <c r="BW107" s="13">
        <f>1925.4+543.3</f>
        <v>2468.6999999999998</v>
      </c>
      <c r="BX107" s="13">
        <f>1925.4</f>
        <v>1925.4</v>
      </c>
      <c r="BY107" s="13">
        <f>1925.4+970.9</f>
        <v>2896.3</v>
      </c>
      <c r="BZ107" s="13">
        <f>1925.4</f>
        <v>1925.4</v>
      </c>
      <c r="CA107" s="13">
        <f>1925.4+458.8</f>
        <v>2384.2000000000003</v>
      </c>
      <c r="CB107" s="14">
        <f>1925.4+441.9</f>
        <v>2367.3000000000002</v>
      </c>
      <c r="CC107" s="14">
        <f>1925.4+51.7</f>
        <v>1977.1000000000001</v>
      </c>
      <c r="CD107" s="14">
        <f>1925.4</f>
        <v>1925.4</v>
      </c>
      <c r="CE107" s="14">
        <f>1925.4</f>
        <v>1925.4</v>
      </c>
      <c r="CF107" s="14">
        <f>1925.4</f>
        <v>1925.4</v>
      </c>
      <c r="CG107" s="14">
        <f>1925.4+190.1</f>
        <v>2115.5</v>
      </c>
      <c r="CH107" s="14">
        <f>1925.4+311.9</f>
        <v>2237.3000000000002</v>
      </c>
      <c r="CI107" s="14">
        <f>1925.4+495.4</f>
        <v>2420.8000000000002</v>
      </c>
      <c r="CJ107" s="14">
        <f>1925.4</f>
        <v>1925.4</v>
      </c>
      <c r="CK107" s="14">
        <f>1925.4+142.8</f>
        <v>2068.2000000000003</v>
      </c>
      <c r="CL107" s="14">
        <f>1925.4+252.5</f>
        <v>2177.9</v>
      </c>
      <c r="CM107" s="14">
        <f>1925.4+71.3</f>
        <v>1996.7</v>
      </c>
      <c r="CN107" s="14">
        <f>1925.4+146</f>
        <v>2071.4</v>
      </c>
      <c r="CO107" s="14">
        <f>1925.4+354.6</f>
        <v>2280</v>
      </c>
      <c r="CP107" s="14">
        <f>1925.4</f>
        <v>1925.4</v>
      </c>
      <c r="CQ107" s="14">
        <f>1925.4</f>
        <v>1925.4</v>
      </c>
      <c r="CR107" s="14">
        <f>1925.4+931.2</f>
        <v>2856.6000000000004</v>
      </c>
      <c r="CS107" s="14">
        <f>1925.4+745.4</f>
        <v>2670.8</v>
      </c>
      <c r="CT107" s="14">
        <f>1925.4+522.4</f>
        <v>2447.8000000000002</v>
      </c>
      <c r="CU107" s="14">
        <f>1925.4+1374.6</f>
        <v>3300</v>
      </c>
      <c r="CV107" s="14">
        <f>1925.4</f>
        <v>1925.4</v>
      </c>
      <c r="CW107" s="14">
        <f>1925.4+857.3</f>
        <v>2782.7</v>
      </c>
      <c r="CX107" s="14">
        <f>1925.4</f>
        <v>1925.4</v>
      </c>
      <c r="CY107" s="14">
        <f>1925.4</f>
        <v>1925.4</v>
      </c>
      <c r="CZ107" s="14">
        <f>1925.4</f>
        <v>1925.4</v>
      </c>
      <c r="DA107" s="14">
        <f>1925.4+162.7</f>
        <v>2088.1</v>
      </c>
      <c r="DB107" s="14">
        <f>1925.4</f>
        <v>1925.4</v>
      </c>
      <c r="DC107" s="14">
        <f>1925.4</f>
        <v>1925.4</v>
      </c>
      <c r="DD107" s="14">
        <f>1925.4</f>
        <v>1925.4</v>
      </c>
      <c r="DE107" s="14">
        <f>1925.4</f>
        <v>1925.4</v>
      </c>
      <c r="DF107" s="14">
        <f>1925.4+1855.4</f>
        <v>3780.8</v>
      </c>
      <c r="DG107" s="14">
        <f>1925.4+996.5</f>
        <v>2921.9</v>
      </c>
      <c r="DH107" s="14">
        <f>1925.4+33.8</f>
        <v>1959.2</v>
      </c>
      <c r="DI107" s="14">
        <f>1925.4+701.9</f>
        <v>2627.3</v>
      </c>
      <c r="DJ107" s="14">
        <f>1925.4+4701.1</f>
        <v>6626.5</v>
      </c>
      <c r="DK107" s="14">
        <f>1925.4</f>
        <v>1925.4</v>
      </c>
      <c r="DL107" s="14">
        <f>1925.4</f>
        <v>1925.4</v>
      </c>
      <c r="DM107" s="14">
        <f>1925.4+483.6</f>
        <v>2409</v>
      </c>
      <c r="DN107" s="14">
        <f>1925.4</f>
        <v>1925.4</v>
      </c>
      <c r="DO107" s="14">
        <f>1925.4</f>
        <v>1925.4</v>
      </c>
      <c r="DP107" s="14">
        <f>1925.4</f>
        <v>1925.4</v>
      </c>
      <c r="DQ107" s="14">
        <f>1925.4+121.2</f>
        <v>2046.6000000000001</v>
      </c>
      <c r="DR107" s="14">
        <f>1925.4</f>
        <v>1925.4</v>
      </c>
      <c r="DS107" s="14">
        <f>1925.4+778.9</f>
        <v>2704.3</v>
      </c>
      <c r="DT107" s="14">
        <f>1925.4+11.8</f>
        <v>1937.2</v>
      </c>
      <c r="DU107" s="14">
        <f>1925.4+503.6</f>
        <v>2429</v>
      </c>
      <c r="DV107" s="14">
        <f>1925.4+114</f>
        <v>2039.4</v>
      </c>
      <c r="DW107" s="15">
        <f>1925.4+1147</f>
        <v>3072.4</v>
      </c>
      <c r="DY107" s="10" t="s">
        <v>3</v>
      </c>
      <c r="DZ107" s="35" t="s">
        <v>74</v>
      </c>
      <c r="EA107" s="11">
        <f>658+1539.2</f>
        <v>2197.1999999999998</v>
      </c>
      <c r="EB107" s="13">
        <f t="shared" ref="EB107:GI107" si="0">658+1539.2</f>
        <v>2197.1999999999998</v>
      </c>
      <c r="EC107" s="12"/>
      <c r="ED107" s="13">
        <f t="shared" si="0"/>
        <v>2197.1999999999998</v>
      </c>
      <c r="EE107" s="13">
        <f>658+1539.2+64.4</f>
        <v>2261.6</v>
      </c>
      <c r="EF107" s="13">
        <f>658+1539.2+2958.2</f>
        <v>5155.3999999999996</v>
      </c>
      <c r="EG107" s="13">
        <f t="shared" si="0"/>
        <v>2197.1999999999998</v>
      </c>
      <c r="EH107" s="13">
        <f t="shared" si="0"/>
        <v>2197.1999999999998</v>
      </c>
      <c r="EI107" s="13">
        <f>658+1539.2+535.6</f>
        <v>2732.7999999999997</v>
      </c>
      <c r="EJ107" s="13">
        <f t="shared" si="0"/>
        <v>2197.1999999999998</v>
      </c>
      <c r="EK107" s="13">
        <f t="shared" si="0"/>
        <v>2197.1999999999998</v>
      </c>
      <c r="EL107" s="13">
        <f t="shared" si="0"/>
        <v>2197.1999999999998</v>
      </c>
      <c r="EM107" s="13">
        <f t="shared" si="0"/>
        <v>2197.1999999999998</v>
      </c>
      <c r="EN107" s="14">
        <f t="shared" si="0"/>
        <v>2197.1999999999998</v>
      </c>
      <c r="EO107" s="14">
        <f t="shared" si="0"/>
        <v>2197.1999999999998</v>
      </c>
      <c r="EP107" s="14">
        <f t="shared" si="0"/>
        <v>2197.1999999999998</v>
      </c>
      <c r="EQ107" s="14">
        <f t="shared" si="0"/>
        <v>2197.1999999999998</v>
      </c>
      <c r="ER107" s="14">
        <f t="shared" si="0"/>
        <v>2197.1999999999998</v>
      </c>
      <c r="ES107" s="14">
        <f>658+1539.2+226.7</f>
        <v>2423.8999999999996</v>
      </c>
      <c r="ET107" s="14">
        <f>658+1539.2+319.5</f>
        <v>2516.6999999999998</v>
      </c>
      <c r="EU107" s="14">
        <f>658+1539.2+513.8</f>
        <v>2711</v>
      </c>
      <c r="EV107" s="14">
        <f t="shared" si="0"/>
        <v>2197.1999999999998</v>
      </c>
      <c r="EW107" s="14">
        <f>658+1539.2+135.5</f>
        <v>2332.6999999999998</v>
      </c>
      <c r="EX107" s="14">
        <f>658+1539.2+263.1</f>
        <v>2460.2999999999997</v>
      </c>
      <c r="EY107" s="14">
        <f>658+1539.2+77.9</f>
        <v>2275.1</v>
      </c>
      <c r="EZ107" s="14">
        <f>658+1539.2+141.3</f>
        <v>2338.5</v>
      </c>
      <c r="FA107" s="14">
        <f>658+1539.2+389.7</f>
        <v>2586.8999999999996</v>
      </c>
      <c r="FB107" s="14">
        <f t="shared" si="0"/>
        <v>2197.1999999999998</v>
      </c>
      <c r="FC107" s="14">
        <f t="shared" si="0"/>
        <v>2197.1999999999998</v>
      </c>
      <c r="FD107" s="14">
        <f>658+1539.2+994.9</f>
        <v>3192.1</v>
      </c>
      <c r="FE107" s="14">
        <f>658+1539.2+960.9</f>
        <v>3158.1</v>
      </c>
      <c r="FF107" s="14">
        <f>658+1539.2+624.5</f>
        <v>2821.7</v>
      </c>
      <c r="FG107" s="14">
        <f>658+1539.2+1386.2</f>
        <v>3583.3999999999996</v>
      </c>
      <c r="FH107" s="14">
        <f t="shared" si="0"/>
        <v>2197.1999999999998</v>
      </c>
      <c r="FI107" s="14">
        <f>658+1539.2+982.6</f>
        <v>3179.7999999999997</v>
      </c>
      <c r="FJ107" s="14">
        <f t="shared" si="0"/>
        <v>2197.1999999999998</v>
      </c>
      <c r="FK107" s="14">
        <f t="shared" si="0"/>
        <v>2197.1999999999998</v>
      </c>
      <c r="FL107" s="14">
        <f t="shared" si="0"/>
        <v>2197.1999999999998</v>
      </c>
      <c r="FM107" s="14">
        <f>658+1539.2+154.6</f>
        <v>2351.7999999999997</v>
      </c>
      <c r="FN107" s="14">
        <f t="shared" si="0"/>
        <v>2197.1999999999998</v>
      </c>
      <c r="FO107" s="14">
        <f t="shared" si="0"/>
        <v>2197.1999999999998</v>
      </c>
      <c r="FP107" s="14">
        <f t="shared" si="0"/>
        <v>2197.1999999999998</v>
      </c>
      <c r="FQ107" s="14">
        <f t="shared" si="0"/>
        <v>2197.1999999999998</v>
      </c>
      <c r="FR107" s="14">
        <f t="shared" si="0"/>
        <v>2197.1999999999998</v>
      </c>
      <c r="FS107" s="14">
        <f t="shared" si="0"/>
        <v>2197.1999999999998</v>
      </c>
      <c r="FT107" s="14">
        <f>658+1539.2+43.9</f>
        <v>2241.1</v>
      </c>
      <c r="FU107" s="14">
        <f>658+1539.2+3.8+641.3</f>
        <v>2842.3</v>
      </c>
      <c r="FV107" s="14">
        <f>658+1539.2+3305.4+1080.8</f>
        <v>6583.4000000000005</v>
      </c>
      <c r="FW107" s="14">
        <f t="shared" si="0"/>
        <v>2197.1999999999998</v>
      </c>
      <c r="FX107" s="14">
        <f t="shared" si="0"/>
        <v>2197.1999999999998</v>
      </c>
      <c r="FY107" s="14">
        <f>658+1539.2+462.7</f>
        <v>2659.8999999999996</v>
      </c>
      <c r="FZ107" s="14">
        <f t="shared" si="0"/>
        <v>2197.1999999999998</v>
      </c>
      <c r="GA107" s="14">
        <f t="shared" si="0"/>
        <v>2197.1999999999998</v>
      </c>
      <c r="GB107" s="14">
        <f t="shared" si="0"/>
        <v>2197.1999999999998</v>
      </c>
      <c r="GC107" s="14">
        <f>658+1539.2+116.6</f>
        <v>2313.7999999999997</v>
      </c>
      <c r="GD107" s="14">
        <f t="shared" si="0"/>
        <v>2197.1999999999998</v>
      </c>
      <c r="GE107" s="14">
        <f>658+1539.2+965.1</f>
        <v>3162.2999999999997</v>
      </c>
      <c r="GF107" s="14">
        <f t="shared" si="0"/>
        <v>2197.1999999999998</v>
      </c>
      <c r="GG107" s="14">
        <f t="shared" si="0"/>
        <v>2197.1999999999998</v>
      </c>
      <c r="GH107" s="14">
        <f t="shared" si="0"/>
        <v>2197.1999999999998</v>
      </c>
      <c r="GI107" s="15">
        <f t="shared" si="0"/>
        <v>2197.1999999999998</v>
      </c>
    </row>
    <row r="108" spans="1:191" x14ac:dyDescent="0.3">
      <c r="A108" s="10" t="s">
        <v>4</v>
      </c>
      <c r="B108" s="35" t="s">
        <v>73</v>
      </c>
      <c r="C108" s="11">
        <v>6298</v>
      </c>
      <c r="D108" s="13">
        <v>7678</v>
      </c>
      <c r="E108" s="13">
        <v>4802</v>
      </c>
      <c r="F108" s="12"/>
      <c r="G108" s="13">
        <v>5365</v>
      </c>
      <c r="H108" s="13">
        <v>13368</v>
      </c>
      <c r="I108" s="13">
        <v>15392</v>
      </c>
      <c r="J108" s="13">
        <v>13368</v>
      </c>
      <c r="K108" s="13">
        <v>1995</v>
      </c>
      <c r="L108" s="13">
        <v>1995</v>
      </c>
      <c r="M108" s="13">
        <v>15422</v>
      </c>
      <c r="N108" s="13">
        <v>15422</v>
      </c>
      <c r="O108" s="13">
        <v>8140</v>
      </c>
      <c r="P108" s="14">
        <v>11888</v>
      </c>
      <c r="Q108" s="14">
        <v>9901</v>
      </c>
      <c r="R108" s="14">
        <v>7673</v>
      </c>
      <c r="S108" s="14">
        <v>7552</v>
      </c>
      <c r="T108" s="14">
        <v>8012</v>
      </c>
      <c r="U108" s="14">
        <v>7741</v>
      </c>
      <c r="V108" s="14">
        <v>9162</v>
      </c>
      <c r="W108" s="14">
        <v>10936</v>
      </c>
      <c r="X108" s="14">
        <v>8313</v>
      </c>
      <c r="Y108" s="14">
        <v>8710</v>
      </c>
      <c r="Z108" s="14">
        <v>8088</v>
      </c>
      <c r="AA108" s="14">
        <v>9517</v>
      </c>
      <c r="AB108" s="14">
        <v>9453</v>
      </c>
      <c r="AC108" s="14">
        <v>8601</v>
      </c>
      <c r="AD108" s="14">
        <v>8838</v>
      </c>
      <c r="AE108" s="14">
        <v>8710</v>
      </c>
      <c r="AF108" s="14">
        <v>10936</v>
      </c>
      <c r="AG108" s="14">
        <v>10936</v>
      </c>
      <c r="AH108" s="14">
        <v>10936</v>
      </c>
      <c r="AI108" s="14">
        <v>17068</v>
      </c>
      <c r="AJ108" s="14">
        <v>20115</v>
      </c>
      <c r="AK108" s="14">
        <v>17068</v>
      </c>
      <c r="AL108" s="14">
        <v>18903</v>
      </c>
      <c r="AM108" s="14">
        <v>22233</v>
      </c>
      <c r="AN108" s="14">
        <v>22644</v>
      </c>
      <c r="AO108" s="14">
        <v>22956</v>
      </c>
      <c r="AP108" s="14">
        <v>22635</v>
      </c>
      <c r="AQ108" s="14">
        <v>22185</v>
      </c>
      <c r="AR108" s="14">
        <v>23096</v>
      </c>
      <c r="AS108" s="14">
        <v>16781</v>
      </c>
      <c r="AT108" s="14">
        <v>16781</v>
      </c>
      <c r="AU108" s="14">
        <v>16781</v>
      </c>
      <c r="AV108" s="14">
        <v>23694</v>
      </c>
      <c r="AW108" s="14">
        <v>9695</v>
      </c>
      <c r="AX108" s="14">
        <v>9695</v>
      </c>
      <c r="AY108" s="14">
        <v>22305</v>
      </c>
      <c r="AZ108" s="14"/>
      <c r="BA108" s="14">
        <v>16962</v>
      </c>
      <c r="BB108" s="14">
        <v>22252</v>
      </c>
      <c r="BC108" s="14">
        <v>9197</v>
      </c>
      <c r="BD108" s="14">
        <v>23417</v>
      </c>
      <c r="BE108" s="14">
        <v>24220</v>
      </c>
      <c r="BF108" s="14">
        <v>23848</v>
      </c>
      <c r="BG108" s="14">
        <v>12255</v>
      </c>
      <c r="BH108" s="14">
        <v>10629</v>
      </c>
      <c r="BI108" s="14">
        <v>8630</v>
      </c>
      <c r="BJ108" s="14">
        <v>12871</v>
      </c>
      <c r="BK108" s="15">
        <v>12871</v>
      </c>
      <c r="BM108" s="10" t="s">
        <v>4</v>
      </c>
      <c r="BN108" s="35" t="s">
        <v>73</v>
      </c>
      <c r="BO108" s="11"/>
      <c r="BP108" s="13"/>
      <c r="BQ108" s="13">
        <v>1925.4</v>
      </c>
      <c r="BR108" s="12"/>
      <c r="BS108" s="13">
        <v>63</v>
      </c>
      <c r="BT108" s="13">
        <v>1636.8</v>
      </c>
      <c r="BU108" s="13"/>
      <c r="BV108" s="13"/>
      <c r="BW108" s="13">
        <v>543.29999999999995</v>
      </c>
      <c r="BX108" s="13"/>
      <c r="BY108" s="13">
        <v>970.9</v>
      </c>
      <c r="BZ108" s="13"/>
      <c r="CA108" s="13">
        <v>458.8</v>
      </c>
      <c r="CB108" s="14">
        <v>441.9</v>
      </c>
      <c r="CC108" s="14">
        <v>51.7</v>
      </c>
      <c r="CD108" s="14"/>
      <c r="CE108" s="14"/>
      <c r="CF108" s="14"/>
      <c r="CG108" s="14">
        <v>190.1</v>
      </c>
      <c r="CH108" s="14">
        <v>311.89999999999998</v>
      </c>
      <c r="CI108" s="14">
        <v>495.4</v>
      </c>
      <c r="CJ108" s="14"/>
      <c r="CK108" s="14">
        <v>142.80000000000001</v>
      </c>
      <c r="CL108" s="14">
        <v>252.5</v>
      </c>
      <c r="CM108" s="14">
        <v>71.3</v>
      </c>
      <c r="CN108" s="14">
        <v>146</v>
      </c>
      <c r="CO108" s="14">
        <v>354.6</v>
      </c>
      <c r="CP108" s="14"/>
      <c r="CQ108" s="14"/>
      <c r="CR108" s="14">
        <v>931.2</v>
      </c>
      <c r="CS108" s="14">
        <v>745.4</v>
      </c>
      <c r="CT108" s="14">
        <v>522.4</v>
      </c>
      <c r="CU108" s="14">
        <v>1374.6</v>
      </c>
      <c r="CV108" s="14"/>
      <c r="CW108" s="14">
        <v>857.3</v>
      </c>
      <c r="CX108" s="14"/>
      <c r="CY108" s="14"/>
      <c r="CZ108" s="14"/>
      <c r="DA108" s="14">
        <v>162.69999999999999</v>
      </c>
      <c r="DB108" s="14"/>
      <c r="DC108" s="14"/>
      <c r="DD108" s="14"/>
      <c r="DE108" s="14"/>
      <c r="DF108" s="14">
        <v>1855.4</v>
      </c>
      <c r="DG108" s="14">
        <v>996.5</v>
      </c>
      <c r="DH108" s="14">
        <v>33.799999999999997</v>
      </c>
      <c r="DI108" s="14">
        <v>701.9</v>
      </c>
      <c r="DJ108" s="14">
        <v>4701.1000000000004</v>
      </c>
      <c r="DK108" s="14"/>
      <c r="DL108" s="14"/>
      <c r="DM108" s="14">
        <v>483.6</v>
      </c>
      <c r="DN108" s="14"/>
      <c r="DO108" s="14"/>
      <c r="DP108" s="14"/>
      <c r="DQ108" s="14">
        <v>121.2</v>
      </c>
      <c r="DR108" s="14"/>
      <c r="DS108" s="14">
        <v>778.9</v>
      </c>
      <c r="DT108" s="14">
        <v>11.8</v>
      </c>
      <c r="DU108" s="14">
        <v>503.6</v>
      </c>
      <c r="DV108" s="14">
        <v>114</v>
      </c>
      <c r="DW108" s="15">
        <v>1147</v>
      </c>
      <c r="DY108" s="10" t="s">
        <v>4</v>
      </c>
      <c r="DZ108" s="35" t="s">
        <v>73</v>
      </c>
      <c r="EA108" s="11"/>
      <c r="EB108" s="13"/>
      <c r="EC108" s="13">
        <v>2197.1999999999998</v>
      </c>
      <c r="ED108" s="12"/>
      <c r="EE108" s="13">
        <v>64.400000000000006</v>
      </c>
      <c r="EF108" s="13">
        <v>2958.2</v>
      </c>
      <c r="EG108" s="13"/>
      <c r="EH108" s="13"/>
      <c r="EI108" s="13">
        <v>535.6</v>
      </c>
      <c r="EJ108" s="13"/>
      <c r="EK108" s="13"/>
      <c r="EL108" s="13"/>
      <c r="EM108" s="13"/>
      <c r="EN108" s="14"/>
      <c r="EO108" s="14"/>
      <c r="EP108" s="14"/>
      <c r="EQ108" s="14"/>
      <c r="ER108" s="14"/>
      <c r="ES108" s="14">
        <v>226.7</v>
      </c>
      <c r="ET108" s="14">
        <v>319.5</v>
      </c>
      <c r="EU108" s="14">
        <v>513.79999999999995</v>
      </c>
      <c r="EV108" s="14"/>
      <c r="EW108" s="14">
        <v>135.5</v>
      </c>
      <c r="EX108" s="14">
        <v>263.10000000000002</v>
      </c>
      <c r="EY108" s="14">
        <v>77.900000000000006</v>
      </c>
      <c r="EZ108" s="14">
        <v>141.30000000000001</v>
      </c>
      <c r="FA108" s="14">
        <v>389.7</v>
      </c>
      <c r="FB108" s="14"/>
      <c r="FC108" s="14"/>
      <c r="FD108" s="14">
        <v>994.9</v>
      </c>
      <c r="FE108" s="14">
        <v>960.9</v>
      </c>
      <c r="FF108" s="14">
        <v>624.5</v>
      </c>
      <c r="FG108" s="14">
        <v>1386.2</v>
      </c>
      <c r="FH108" s="14"/>
      <c r="FI108" s="14">
        <v>982.6</v>
      </c>
      <c r="FJ108" s="14"/>
      <c r="FK108" s="14"/>
      <c r="FL108" s="14"/>
      <c r="FM108" s="14">
        <v>154.6</v>
      </c>
      <c r="FN108" s="14"/>
      <c r="FO108" s="14"/>
      <c r="FP108" s="14"/>
      <c r="FQ108" s="14"/>
      <c r="FR108" s="14"/>
      <c r="FS108" s="14"/>
      <c r="FT108" s="14">
        <v>43.9</v>
      </c>
      <c r="FU108" s="14">
        <f>3.8+641.3</f>
        <v>645.09999999999991</v>
      </c>
      <c r="FV108" s="14">
        <f>3305.4+1080.8</f>
        <v>4386.2</v>
      </c>
      <c r="FW108" s="14"/>
      <c r="FX108" s="14"/>
      <c r="FY108" s="14">
        <v>462.7</v>
      </c>
      <c r="FZ108" s="14"/>
      <c r="GA108" s="14"/>
      <c r="GB108" s="14"/>
      <c r="GC108" s="14">
        <v>116.6</v>
      </c>
      <c r="GD108" s="14"/>
      <c r="GE108" s="14">
        <v>965.1</v>
      </c>
      <c r="GF108" s="14"/>
      <c r="GG108" s="14"/>
      <c r="GH108" s="14"/>
      <c r="GI108" s="15"/>
    </row>
    <row r="109" spans="1:191" x14ac:dyDescent="0.3">
      <c r="A109" s="10" t="s">
        <v>5</v>
      </c>
      <c r="B109" s="35" t="s">
        <v>4</v>
      </c>
      <c r="C109" s="11">
        <v>1639</v>
      </c>
      <c r="D109" s="13">
        <v>3019</v>
      </c>
      <c r="E109" s="13">
        <v>759</v>
      </c>
      <c r="F109" s="13">
        <v>5365</v>
      </c>
      <c r="G109" s="12"/>
      <c r="H109" s="13">
        <v>8991</v>
      </c>
      <c r="I109" s="13">
        <v>11016</v>
      </c>
      <c r="J109" s="13">
        <v>8991</v>
      </c>
      <c r="K109" s="13">
        <v>3371</v>
      </c>
      <c r="L109" s="13">
        <v>3371</v>
      </c>
      <c r="M109" s="13">
        <v>11045</v>
      </c>
      <c r="N109" s="13">
        <v>11045</v>
      </c>
      <c r="O109" s="13">
        <v>3482</v>
      </c>
      <c r="P109" s="14">
        <v>8912</v>
      </c>
      <c r="Q109" s="14">
        <v>6871</v>
      </c>
      <c r="R109" s="14">
        <v>6595</v>
      </c>
      <c r="S109" s="14">
        <v>6288</v>
      </c>
      <c r="T109" s="14">
        <v>6721</v>
      </c>
      <c r="U109" s="14">
        <v>6451</v>
      </c>
      <c r="V109" s="14">
        <v>7732</v>
      </c>
      <c r="W109" s="14">
        <v>9506</v>
      </c>
      <c r="X109" s="14">
        <v>7236</v>
      </c>
      <c r="Y109" s="14">
        <v>7632</v>
      </c>
      <c r="Z109" s="14">
        <v>6797</v>
      </c>
      <c r="AA109" s="14">
        <v>8088</v>
      </c>
      <c r="AB109" s="14">
        <v>8023</v>
      </c>
      <c r="AC109" s="14">
        <v>7171</v>
      </c>
      <c r="AD109" s="14">
        <v>7408</v>
      </c>
      <c r="AE109" s="14">
        <v>7632</v>
      </c>
      <c r="AF109" s="14">
        <v>9506</v>
      </c>
      <c r="AG109" s="14">
        <v>9506</v>
      </c>
      <c r="AH109" s="14">
        <v>9506</v>
      </c>
      <c r="AI109" s="14">
        <v>15638</v>
      </c>
      <c r="AJ109" s="14">
        <v>18685</v>
      </c>
      <c r="AK109" s="14">
        <v>15638</v>
      </c>
      <c r="AL109" s="14">
        <v>17474</v>
      </c>
      <c r="AM109" s="14">
        <v>17857</v>
      </c>
      <c r="AN109" s="14">
        <v>18361</v>
      </c>
      <c r="AO109" s="14">
        <v>18579</v>
      </c>
      <c r="AP109" s="14">
        <v>18259</v>
      </c>
      <c r="AQ109" s="14">
        <v>17809</v>
      </c>
      <c r="AR109" s="14">
        <v>20928</v>
      </c>
      <c r="AS109" s="14">
        <v>15351</v>
      </c>
      <c r="AT109" s="14">
        <v>15351</v>
      </c>
      <c r="AU109" s="14">
        <v>15351</v>
      </c>
      <c r="AV109" s="14">
        <v>19318</v>
      </c>
      <c r="AW109" s="14">
        <v>8617</v>
      </c>
      <c r="AX109" s="14">
        <v>8617</v>
      </c>
      <c r="AY109" s="14">
        <v>17929</v>
      </c>
      <c r="AZ109" s="14"/>
      <c r="BA109" s="14">
        <v>15532</v>
      </c>
      <c r="BB109" s="14">
        <v>20822</v>
      </c>
      <c r="BC109" s="14">
        <v>8119</v>
      </c>
      <c r="BD109" s="14">
        <v>20629</v>
      </c>
      <c r="BE109" s="14">
        <v>19844</v>
      </c>
      <c r="BF109" s="14">
        <v>19472</v>
      </c>
      <c r="BG109" s="14">
        <v>10825</v>
      </c>
      <c r="BH109" s="14">
        <v>9199</v>
      </c>
      <c r="BI109" s="14">
        <v>4254</v>
      </c>
      <c r="BJ109" s="14">
        <v>8495</v>
      </c>
      <c r="BK109" s="15">
        <v>8495</v>
      </c>
      <c r="BM109" s="10" t="s">
        <v>5</v>
      </c>
      <c r="BN109" s="35" t="s">
        <v>75</v>
      </c>
      <c r="BO109" s="11">
        <f>63</f>
        <v>63</v>
      </c>
      <c r="BP109" s="13">
        <f>63</f>
        <v>63</v>
      </c>
      <c r="BQ109" s="13">
        <f>63+1925.4</f>
        <v>1988.4</v>
      </c>
      <c r="BR109" s="13">
        <f>63</f>
        <v>63</v>
      </c>
      <c r="BS109" s="12"/>
      <c r="BT109" s="13">
        <f>63+1636.8</f>
        <v>1699.8</v>
      </c>
      <c r="BU109" s="13">
        <f>63</f>
        <v>63</v>
      </c>
      <c r="BV109" s="13">
        <f>63</f>
        <v>63</v>
      </c>
      <c r="BW109" s="13">
        <f>63+543.3</f>
        <v>606.29999999999995</v>
      </c>
      <c r="BX109" s="13">
        <f>63</f>
        <v>63</v>
      </c>
      <c r="BY109" s="13">
        <f>63+970.9</f>
        <v>1033.9000000000001</v>
      </c>
      <c r="BZ109" s="13">
        <f>63</f>
        <v>63</v>
      </c>
      <c r="CA109" s="13">
        <f>63+458.8</f>
        <v>521.79999999999995</v>
      </c>
      <c r="CB109" s="14">
        <f>63+441.9</f>
        <v>504.9</v>
      </c>
      <c r="CC109" s="14">
        <f>63+51.7</f>
        <v>114.7</v>
      </c>
      <c r="CD109" s="14">
        <f>63</f>
        <v>63</v>
      </c>
      <c r="CE109" s="14">
        <f>63</f>
        <v>63</v>
      </c>
      <c r="CF109" s="14">
        <f>63</f>
        <v>63</v>
      </c>
      <c r="CG109" s="14">
        <f>63+190.1</f>
        <v>253.1</v>
      </c>
      <c r="CH109" s="14">
        <f>63+311.9</f>
        <v>374.9</v>
      </c>
      <c r="CI109" s="14">
        <f>63+495.4</f>
        <v>558.4</v>
      </c>
      <c r="CJ109" s="14">
        <f>63</f>
        <v>63</v>
      </c>
      <c r="CK109" s="14">
        <f>63+142.8</f>
        <v>205.8</v>
      </c>
      <c r="CL109" s="14">
        <f>63+252.5</f>
        <v>315.5</v>
      </c>
      <c r="CM109" s="14">
        <f>63+71.3</f>
        <v>134.30000000000001</v>
      </c>
      <c r="CN109" s="14">
        <f>63+146</f>
        <v>209</v>
      </c>
      <c r="CO109" s="14">
        <f>63+354.6</f>
        <v>417.6</v>
      </c>
      <c r="CP109" s="14">
        <f>63</f>
        <v>63</v>
      </c>
      <c r="CQ109" s="14">
        <f>63</f>
        <v>63</v>
      </c>
      <c r="CR109" s="14">
        <f>63+931.2</f>
        <v>994.2</v>
      </c>
      <c r="CS109" s="14">
        <f>63+745.4</f>
        <v>808.4</v>
      </c>
      <c r="CT109" s="14">
        <f>63+522.4</f>
        <v>585.4</v>
      </c>
      <c r="CU109" s="14">
        <f>63+1374.6</f>
        <v>1437.6</v>
      </c>
      <c r="CV109" s="14">
        <f>63</f>
        <v>63</v>
      </c>
      <c r="CW109" s="14">
        <f>63+857.3</f>
        <v>920.3</v>
      </c>
      <c r="CX109" s="14">
        <f>63</f>
        <v>63</v>
      </c>
      <c r="CY109" s="14">
        <f>63</f>
        <v>63</v>
      </c>
      <c r="CZ109" s="14">
        <f>63</f>
        <v>63</v>
      </c>
      <c r="DA109" s="14">
        <f>63+162.7</f>
        <v>225.7</v>
      </c>
      <c r="DB109" s="14">
        <f>63</f>
        <v>63</v>
      </c>
      <c r="DC109" s="14">
        <f>63</f>
        <v>63</v>
      </c>
      <c r="DD109" s="14">
        <f>63</f>
        <v>63</v>
      </c>
      <c r="DE109" s="14">
        <f>63</f>
        <v>63</v>
      </c>
      <c r="DF109" s="14">
        <f>63+1855.4</f>
        <v>1918.4</v>
      </c>
      <c r="DG109" s="14">
        <f>63+996.5</f>
        <v>1059.5</v>
      </c>
      <c r="DH109" s="14">
        <f>63+33.8</f>
        <v>96.8</v>
      </c>
      <c r="DI109" s="14">
        <f>63+701.9</f>
        <v>764.9</v>
      </c>
      <c r="DJ109" s="14">
        <f>63+4701.1</f>
        <v>4764.1000000000004</v>
      </c>
      <c r="DK109" s="14">
        <f>63</f>
        <v>63</v>
      </c>
      <c r="DL109" s="14">
        <f>63</f>
        <v>63</v>
      </c>
      <c r="DM109" s="14">
        <f>63+483.6</f>
        <v>546.6</v>
      </c>
      <c r="DN109" s="14">
        <f>63</f>
        <v>63</v>
      </c>
      <c r="DO109" s="14">
        <f>63</f>
        <v>63</v>
      </c>
      <c r="DP109" s="14">
        <f>63</f>
        <v>63</v>
      </c>
      <c r="DQ109" s="14">
        <f>63+121.2</f>
        <v>184.2</v>
      </c>
      <c r="DR109" s="14">
        <f>63</f>
        <v>63</v>
      </c>
      <c r="DS109" s="14">
        <f>63+778.9</f>
        <v>841.9</v>
      </c>
      <c r="DT109" s="14">
        <f>63+11.8</f>
        <v>74.8</v>
      </c>
      <c r="DU109" s="14">
        <f>63+503.6</f>
        <v>566.6</v>
      </c>
      <c r="DV109" s="14">
        <f>63+114</f>
        <v>177</v>
      </c>
      <c r="DW109" s="15">
        <f>63+1147</f>
        <v>1210</v>
      </c>
      <c r="DY109" s="10" t="s">
        <v>5</v>
      </c>
      <c r="DZ109" s="35" t="s">
        <v>75</v>
      </c>
      <c r="EA109" s="11">
        <f>64.4</f>
        <v>64.400000000000006</v>
      </c>
      <c r="EB109" s="13">
        <f t="shared" ref="EB109:GI109" si="1">64.4</f>
        <v>64.400000000000006</v>
      </c>
      <c r="EC109" s="13">
        <f>64.4+2197.2</f>
        <v>2261.6</v>
      </c>
      <c r="ED109" s="13">
        <f t="shared" si="1"/>
        <v>64.400000000000006</v>
      </c>
      <c r="EE109" s="12"/>
      <c r="EF109" s="13">
        <f>64.4+2958.2</f>
        <v>3022.6</v>
      </c>
      <c r="EG109" s="13">
        <f t="shared" si="1"/>
        <v>64.400000000000006</v>
      </c>
      <c r="EH109" s="13">
        <f t="shared" si="1"/>
        <v>64.400000000000006</v>
      </c>
      <c r="EI109" s="13">
        <f>64.4+535.6</f>
        <v>600</v>
      </c>
      <c r="EJ109" s="13">
        <f t="shared" si="1"/>
        <v>64.400000000000006</v>
      </c>
      <c r="EK109" s="13">
        <f t="shared" si="1"/>
        <v>64.400000000000006</v>
      </c>
      <c r="EL109" s="13">
        <f t="shared" si="1"/>
        <v>64.400000000000006</v>
      </c>
      <c r="EM109" s="13">
        <f t="shared" si="1"/>
        <v>64.400000000000006</v>
      </c>
      <c r="EN109" s="14">
        <f t="shared" si="1"/>
        <v>64.400000000000006</v>
      </c>
      <c r="EO109" s="14">
        <f t="shared" si="1"/>
        <v>64.400000000000006</v>
      </c>
      <c r="EP109" s="14">
        <f t="shared" si="1"/>
        <v>64.400000000000006</v>
      </c>
      <c r="EQ109" s="14">
        <f t="shared" si="1"/>
        <v>64.400000000000006</v>
      </c>
      <c r="ER109" s="14">
        <f t="shared" si="1"/>
        <v>64.400000000000006</v>
      </c>
      <c r="ES109" s="14">
        <f>64.4+226.7</f>
        <v>291.10000000000002</v>
      </c>
      <c r="ET109" s="14">
        <f>64.4+319.5</f>
        <v>383.9</v>
      </c>
      <c r="EU109" s="14">
        <f>64.4+513.8</f>
        <v>578.19999999999993</v>
      </c>
      <c r="EV109" s="14">
        <f t="shared" si="1"/>
        <v>64.400000000000006</v>
      </c>
      <c r="EW109" s="14">
        <f>64.4+135.5</f>
        <v>199.9</v>
      </c>
      <c r="EX109" s="14">
        <f>64.4+263.1</f>
        <v>327.5</v>
      </c>
      <c r="EY109" s="14">
        <f>64.4+77.9</f>
        <v>142.30000000000001</v>
      </c>
      <c r="EZ109" s="14">
        <f>64.4+141.3</f>
        <v>205.70000000000002</v>
      </c>
      <c r="FA109" s="14">
        <f>64.4+389.7</f>
        <v>454.1</v>
      </c>
      <c r="FB109" s="14">
        <f t="shared" si="1"/>
        <v>64.400000000000006</v>
      </c>
      <c r="FC109" s="14">
        <f t="shared" si="1"/>
        <v>64.400000000000006</v>
      </c>
      <c r="FD109" s="14">
        <f>64.4+994.9</f>
        <v>1059.3</v>
      </c>
      <c r="FE109" s="14">
        <f>64.4+960.9</f>
        <v>1025.3</v>
      </c>
      <c r="FF109" s="14">
        <f>64.4+624.5</f>
        <v>688.9</v>
      </c>
      <c r="FG109" s="14">
        <f>64.4+1386.2</f>
        <v>1450.6000000000001</v>
      </c>
      <c r="FH109" s="14">
        <f t="shared" si="1"/>
        <v>64.400000000000006</v>
      </c>
      <c r="FI109" s="14">
        <f>64.4+982.6</f>
        <v>1047</v>
      </c>
      <c r="FJ109" s="14">
        <f t="shared" si="1"/>
        <v>64.400000000000006</v>
      </c>
      <c r="FK109" s="14">
        <f t="shared" si="1"/>
        <v>64.400000000000006</v>
      </c>
      <c r="FL109" s="14">
        <f t="shared" si="1"/>
        <v>64.400000000000006</v>
      </c>
      <c r="FM109" s="14">
        <f>64.4+154.6</f>
        <v>219</v>
      </c>
      <c r="FN109" s="14">
        <f t="shared" si="1"/>
        <v>64.400000000000006</v>
      </c>
      <c r="FO109" s="14">
        <f t="shared" si="1"/>
        <v>64.400000000000006</v>
      </c>
      <c r="FP109" s="14">
        <f t="shared" si="1"/>
        <v>64.400000000000006</v>
      </c>
      <c r="FQ109" s="14">
        <f t="shared" si="1"/>
        <v>64.400000000000006</v>
      </c>
      <c r="FR109" s="14">
        <f t="shared" si="1"/>
        <v>64.400000000000006</v>
      </c>
      <c r="FS109" s="14">
        <f t="shared" si="1"/>
        <v>64.400000000000006</v>
      </c>
      <c r="FT109" s="14">
        <f>64.4+43.9</f>
        <v>108.30000000000001</v>
      </c>
      <c r="FU109" s="14">
        <f>64.4+3.8+641.3</f>
        <v>709.5</v>
      </c>
      <c r="FV109" s="14">
        <f>64.4+3305.4+1080.8</f>
        <v>4450.6000000000004</v>
      </c>
      <c r="FW109" s="14">
        <f t="shared" si="1"/>
        <v>64.400000000000006</v>
      </c>
      <c r="FX109" s="14">
        <f t="shared" si="1"/>
        <v>64.400000000000006</v>
      </c>
      <c r="FY109" s="14">
        <f>64.4+462.7</f>
        <v>527.1</v>
      </c>
      <c r="FZ109" s="14">
        <f t="shared" si="1"/>
        <v>64.400000000000006</v>
      </c>
      <c r="GA109" s="14">
        <f t="shared" si="1"/>
        <v>64.400000000000006</v>
      </c>
      <c r="GB109" s="14">
        <f t="shared" si="1"/>
        <v>64.400000000000006</v>
      </c>
      <c r="GC109" s="14">
        <f>64.4+116.6</f>
        <v>181</v>
      </c>
      <c r="GD109" s="14">
        <f t="shared" si="1"/>
        <v>64.400000000000006</v>
      </c>
      <c r="GE109" s="14">
        <f>64.4+965.1</f>
        <v>1029.5</v>
      </c>
      <c r="GF109" s="14">
        <f t="shared" si="1"/>
        <v>64.400000000000006</v>
      </c>
      <c r="GG109" s="14">
        <f t="shared" si="1"/>
        <v>64.400000000000006</v>
      </c>
      <c r="GH109" s="14">
        <f t="shared" si="1"/>
        <v>64.400000000000006</v>
      </c>
      <c r="GI109" s="15">
        <f t="shared" si="1"/>
        <v>64.400000000000006</v>
      </c>
    </row>
    <row r="110" spans="1:191" x14ac:dyDescent="0.3">
      <c r="A110" s="10" t="s">
        <v>6</v>
      </c>
      <c r="B110" s="35" t="s">
        <v>8</v>
      </c>
      <c r="C110" s="11">
        <v>7688</v>
      </c>
      <c r="D110" s="13">
        <v>8064</v>
      </c>
      <c r="E110" s="13">
        <v>9117</v>
      </c>
      <c r="F110" s="13">
        <v>13368</v>
      </c>
      <c r="G110" s="13">
        <v>8991</v>
      </c>
      <c r="H110" s="12"/>
      <c r="I110" s="13">
        <v>2109</v>
      </c>
      <c r="J110" s="13">
        <v>0</v>
      </c>
      <c r="K110" s="13">
        <v>11373</v>
      </c>
      <c r="L110" s="13">
        <v>11373</v>
      </c>
      <c r="M110" s="13">
        <v>2152</v>
      </c>
      <c r="N110" s="13">
        <v>2152</v>
      </c>
      <c r="O110" s="13">
        <v>8077</v>
      </c>
      <c r="P110" s="14">
        <v>13329</v>
      </c>
      <c r="Q110" s="14">
        <v>11342</v>
      </c>
      <c r="R110" s="14">
        <v>14250</v>
      </c>
      <c r="S110" s="14">
        <v>13873</v>
      </c>
      <c r="T110" s="14">
        <v>14281</v>
      </c>
      <c r="U110" s="14">
        <v>14010</v>
      </c>
      <c r="V110" s="14">
        <v>14753</v>
      </c>
      <c r="W110" s="14">
        <v>16527</v>
      </c>
      <c r="X110" s="14">
        <v>14825</v>
      </c>
      <c r="Y110" s="14">
        <v>15286</v>
      </c>
      <c r="Z110" s="14">
        <v>14357</v>
      </c>
      <c r="AA110" s="14">
        <v>15109</v>
      </c>
      <c r="AB110" s="14">
        <v>15044</v>
      </c>
      <c r="AC110" s="14">
        <v>14192</v>
      </c>
      <c r="AD110" s="14">
        <v>14429</v>
      </c>
      <c r="AE110" s="14">
        <v>15286</v>
      </c>
      <c r="AF110" s="14">
        <v>16527</v>
      </c>
      <c r="AG110" s="14">
        <v>16527</v>
      </c>
      <c r="AH110" s="14">
        <v>16527</v>
      </c>
      <c r="AI110" s="14">
        <v>18713</v>
      </c>
      <c r="AJ110" s="14">
        <v>17259</v>
      </c>
      <c r="AK110" s="14">
        <v>18713</v>
      </c>
      <c r="AL110" s="14">
        <v>17140</v>
      </c>
      <c r="AM110" s="14">
        <v>8990</v>
      </c>
      <c r="AN110" s="14">
        <v>9521</v>
      </c>
      <c r="AO110" s="14">
        <v>9673</v>
      </c>
      <c r="AP110" s="14">
        <v>12979</v>
      </c>
      <c r="AQ110" s="14">
        <v>12057</v>
      </c>
      <c r="AR110" s="14">
        <v>15862</v>
      </c>
      <c r="AS110" s="14">
        <v>20555</v>
      </c>
      <c r="AT110" s="14">
        <v>20555</v>
      </c>
      <c r="AU110" s="14">
        <v>20555</v>
      </c>
      <c r="AV110" s="14">
        <v>10427</v>
      </c>
      <c r="AW110" s="14">
        <v>16272</v>
      </c>
      <c r="AX110" s="14">
        <v>16272</v>
      </c>
      <c r="AY110" s="14">
        <v>9021</v>
      </c>
      <c r="AZ110" s="14"/>
      <c r="BA110" s="14">
        <v>21583</v>
      </c>
      <c r="BB110" s="14">
        <v>14359</v>
      </c>
      <c r="BC110" s="14">
        <v>15773</v>
      </c>
      <c r="BD110" s="14">
        <v>11784</v>
      </c>
      <c r="BE110" s="14">
        <v>10945</v>
      </c>
      <c r="BF110" s="14">
        <v>10571</v>
      </c>
      <c r="BG110" s="14">
        <v>17846</v>
      </c>
      <c r="BH110" s="14">
        <v>16220</v>
      </c>
      <c r="BI110" s="14">
        <v>5643</v>
      </c>
      <c r="BJ110" s="14">
        <v>8121</v>
      </c>
      <c r="BK110" s="15">
        <v>8121</v>
      </c>
      <c r="BM110" s="10" t="s">
        <v>6</v>
      </c>
      <c r="BN110" s="35" t="s">
        <v>8</v>
      </c>
      <c r="BO110" s="11">
        <f>1636.8</f>
        <v>1636.8</v>
      </c>
      <c r="BP110" s="13">
        <f>1636.8</f>
        <v>1636.8</v>
      </c>
      <c r="BQ110" s="13">
        <f>1636.8+1925.4</f>
        <v>3562.2</v>
      </c>
      <c r="BR110" s="13">
        <f>1636.8</f>
        <v>1636.8</v>
      </c>
      <c r="BS110" s="13">
        <f>1636.8+63</f>
        <v>1699.8</v>
      </c>
      <c r="BT110" s="12"/>
      <c r="BU110" s="13">
        <f>1636.8</f>
        <v>1636.8</v>
      </c>
      <c r="BV110" s="13">
        <f>1636.8</f>
        <v>1636.8</v>
      </c>
      <c r="BW110" s="13">
        <f>1636.8+543.3</f>
        <v>2180.1</v>
      </c>
      <c r="BX110" s="13">
        <f>1636.8</f>
        <v>1636.8</v>
      </c>
      <c r="BY110" s="13">
        <f>1636.8+970.9</f>
        <v>2607.6999999999998</v>
      </c>
      <c r="BZ110" s="13">
        <f>1636.8</f>
        <v>1636.8</v>
      </c>
      <c r="CA110" s="13">
        <f>1636.8+458.8</f>
        <v>2095.6</v>
      </c>
      <c r="CB110" s="14">
        <f>1636.8+441.9</f>
        <v>2078.6999999999998</v>
      </c>
      <c r="CC110" s="14">
        <f>1636.8+51.7</f>
        <v>1688.5</v>
      </c>
      <c r="CD110" s="14">
        <f>1636.8</f>
        <v>1636.8</v>
      </c>
      <c r="CE110" s="14">
        <f>1636.8</f>
        <v>1636.8</v>
      </c>
      <c r="CF110" s="14">
        <f>1636.8</f>
        <v>1636.8</v>
      </c>
      <c r="CG110" s="14">
        <f>1636.8+190.1</f>
        <v>1826.8999999999999</v>
      </c>
      <c r="CH110" s="14">
        <f>1636.8+311.9</f>
        <v>1948.6999999999998</v>
      </c>
      <c r="CI110" s="14">
        <f>1636.8+495.4</f>
        <v>2132.1999999999998</v>
      </c>
      <c r="CJ110" s="14">
        <f>1636.8</f>
        <v>1636.8</v>
      </c>
      <c r="CK110" s="14">
        <f>1636.8+142.8</f>
        <v>1779.6</v>
      </c>
      <c r="CL110" s="14">
        <f>1636.8+252.5</f>
        <v>1889.3</v>
      </c>
      <c r="CM110" s="14">
        <f>1636.8+71.3</f>
        <v>1708.1</v>
      </c>
      <c r="CN110" s="14">
        <f>1636.8+146</f>
        <v>1782.8</v>
      </c>
      <c r="CO110" s="14">
        <f>1636.8+354.6</f>
        <v>1991.4</v>
      </c>
      <c r="CP110" s="14">
        <f>1636.8</f>
        <v>1636.8</v>
      </c>
      <c r="CQ110" s="14">
        <f>1636.8</f>
        <v>1636.8</v>
      </c>
      <c r="CR110" s="14">
        <f>1636.8+931.2</f>
        <v>2568</v>
      </c>
      <c r="CS110" s="14">
        <f>1636.8+745.4</f>
        <v>2382.1999999999998</v>
      </c>
      <c r="CT110" s="14">
        <f>1636.8+522.4</f>
        <v>2159.1999999999998</v>
      </c>
      <c r="CU110" s="14">
        <f>1636.8+1374.6</f>
        <v>3011.3999999999996</v>
      </c>
      <c r="CV110" s="14">
        <f>1636.8</f>
        <v>1636.8</v>
      </c>
      <c r="CW110" s="14">
        <f>1636.8+857.3</f>
        <v>2494.1</v>
      </c>
      <c r="CX110" s="14">
        <f>1636.8</f>
        <v>1636.8</v>
      </c>
      <c r="CY110" s="14">
        <f>1636.8</f>
        <v>1636.8</v>
      </c>
      <c r="CZ110" s="14">
        <f>1636.8</f>
        <v>1636.8</v>
      </c>
      <c r="DA110" s="14">
        <f>1636.8+162.7</f>
        <v>1799.5</v>
      </c>
      <c r="DB110" s="14">
        <f>1636.8</f>
        <v>1636.8</v>
      </c>
      <c r="DC110" s="14">
        <f>1636.8</f>
        <v>1636.8</v>
      </c>
      <c r="DD110" s="14">
        <f>1636.8</f>
        <v>1636.8</v>
      </c>
      <c r="DE110" s="14">
        <f>1636.8</f>
        <v>1636.8</v>
      </c>
      <c r="DF110" s="14">
        <f>1636.8+1855.4</f>
        <v>3492.2</v>
      </c>
      <c r="DG110" s="14">
        <f>1636.8+996.5</f>
        <v>2633.3</v>
      </c>
      <c r="DH110" s="14">
        <f>1636.8+33.8</f>
        <v>1670.6</v>
      </c>
      <c r="DI110" s="14">
        <f>1636.8+701.9</f>
        <v>2338.6999999999998</v>
      </c>
      <c r="DJ110" s="14">
        <f>1636.8+4701.1</f>
        <v>6337.9000000000005</v>
      </c>
      <c r="DK110" s="14">
        <f>1636.8</f>
        <v>1636.8</v>
      </c>
      <c r="DL110" s="14">
        <f>1636.8</f>
        <v>1636.8</v>
      </c>
      <c r="DM110" s="14">
        <f>1636.8+483.6</f>
        <v>2120.4</v>
      </c>
      <c r="DN110" s="14">
        <f>1636.8</f>
        <v>1636.8</v>
      </c>
      <c r="DO110" s="14">
        <f>1636.8</f>
        <v>1636.8</v>
      </c>
      <c r="DP110" s="14">
        <f>1636.8</f>
        <v>1636.8</v>
      </c>
      <c r="DQ110" s="14">
        <f>1636.8+121.2</f>
        <v>1758</v>
      </c>
      <c r="DR110" s="14">
        <f>1636.8</f>
        <v>1636.8</v>
      </c>
      <c r="DS110" s="14">
        <f>1636.8+778.9</f>
        <v>2415.6999999999998</v>
      </c>
      <c r="DT110" s="14">
        <f>1636.8+11.8</f>
        <v>1648.6</v>
      </c>
      <c r="DU110" s="14">
        <f>1636.8+503.6</f>
        <v>2140.4</v>
      </c>
      <c r="DV110" s="14">
        <f>1636.8+114</f>
        <v>1750.8</v>
      </c>
      <c r="DW110" s="15">
        <f>1636.8+1147</f>
        <v>2783.8</v>
      </c>
      <c r="DY110" s="10" t="s">
        <v>6</v>
      </c>
      <c r="DZ110" s="35" t="s">
        <v>8</v>
      </c>
      <c r="EA110" s="11">
        <f>2068.9+889.3</f>
        <v>2958.2</v>
      </c>
      <c r="EB110" s="13">
        <f t="shared" ref="EB110:GI110" si="2">2068.9+889.3</f>
        <v>2958.2</v>
      </c>
      <c r="EC110" s="13">
        <f>2068.9+889.3+2197.2</f>
        <v>5155.3999999999996</v>
      </c>
      <c r="ED110" s="13">
        <f t="shared" si="2"/>
        <v>2958.2</v>
      </c>
      <c r="EE110" s="13">
        <f>2068.9+889.3+64.4</f>
        <v>3022.6</v>
      </c>
      <c r="EF110" s="12"/>
      <c r="EG110" s="13">
        <f t="shared" si="2"/>
        <v>2958.2</v>
      </c>
      <c r="EH110" s="13">
        <f t="shared" si="2"/>
        <v>2958.2</v>
      </c>
      <c r="EI110" s="13">
        <f>2068.9+889.3+535.6</f>
        <v>3493.7999999999997</v>
      </c>
      <c r="EJ110" s="13">
        <f t="shared" si="2"/>
        <v>2958.2</v>
      </c>
      <c r="EK110" s="13">
        <f t="shared" si="2"/>
        <v>2958.2</v>
      </c>
      <c r="EL110" s="13">
        <f t="shared" si="2"/>
        <v>2958.2</v>
      </c>
      <c r="EM110" s="13">
        <f t="shared" si="2"/>
        <v>2958.2</v>
      </c>
      <c r="EN110" s="14">
        <f t="shared" si="2"/>
        <v>2958.2</v>
      </c>
      <c r="EO110" s="14">
        <f t="shared" si="2"/>
        <v>2958.2</v>
      </c>
      <c r="EP110" s="14">
        <f t="shared" si="2"/>
        <v>2958.2</v>
      </c>
      <c r="EQ110" s="14">
        <f t="shared" si="2"/>
        <v>2958.2</v>
      </c>
      <c r="ER110" s="14">
        <f t="shared" si="2"/>
        <v>2958.2</v>
      </c>
      <c r="ES110" s="14">
        <f>2068.9+889.3+226.7</f>
        <v>3184.8999999999996</v>
      </c>
      <c r="ET110" s="14">
        <f>2068.9+889.3+319.5</f>
        <v>3277.7</v>
      </c>
      <c r="EU110" s="14">
        <f>2068.9+889.3+513.8</f>
        <v>3472</v>
      </c>
      <c r="EV110" s="14">
        <f t="shared" si="2"/>
        <v>2958.2</v>
      </c>
      <c r="EW110" s="14">
        <f>2068.9+889.3+135.5</f>
        <v>3093.7</v>
      </c>
      <c r="EX110" s="14">
        <f>2068.9+889.3+263.1</f>
        <v>3221.2999999999997</v>
      </c>
      <c r="EY110" s="14">
        <f>2068.9+889.3+77.9</f>
        <v>3036.1</v>
      </c>
      <c r="EZ110" s="14">
        <f>2068.9+889.3+141.3</f>
        <v>3099.5</v>
      </c>
      <c r="FA110" s="14">
        <f>2068.9+889.3+389.7</f>
        <v>3347.8999999999996</v>
      </c>
      <c r="FB110" s="14">
        <f t="shared" si="2"/>
        <v>2958.2</v>
      </c>
      <c r="FC110" s="14">
        <f t="shared" si="2"/>
        <v>2958.2</v>
      </c>
      <c r="FD110" s="14">
        <f>2068.9+889.3+994.9</f>
        <v>3953.1</v>
      </c>
      <c r="FE110" s="14">
        <f>2068.9+889.3+960.9</f>
        <v>3919.1</v>
      </c>
      <c r="FF110" s="14">
        <f>2068.9+889.3+624.5</f>
        <v>3582.7</v>
      </c>
      <c r="FG110" s="14">
        <f>2068.9+889.3+1386.2</f>
        <v>4344.3999999999996</v>
      </c>
      <c r="FH110" s="14">
        <f t="shared" si="2"/>
        <v>2958.2</v>
      </c>
      <c r="FI110" s="14">
        <f>2068.9+889.3+982.6</f>
        <v>3940.7999999999997</v>
      </c>
      <c r="FJ110" s="14">
        <f t="shared" si="2"/>
        <v>2958.2</v>
      </c>
      <c r="FK110" s="14">
        <f t="shared" si="2"/>
        <v>2958.2</v>
      </c>
      <c r="FL110" s="14">
        <f t="shared" si="2"/>
        <v>2958.2</v>
      </c>
      <c r="FM110" s="14">
        <f>2068.9+889.3+154.6</f>
        <v>3112.7999999999997</v>
      </c>
      <c r="FN110" s="14">
        <f t="shared" si="2"/>
        <v>2958.2</v>
      </c>
      <c r="FO110" s="14">
        <f t="shared" si="2"/>
        <v>2958.2</v>
      </c>
      <c r="FP110" s="14">
        <f t="shared" si="2"/>
        <v>2958.2</v>
      </c>
      <c r="FQ110" s="14">
        <f t="shared" si="2"/>
        <v>2958.2</v>
      </c>
      <c r="FR110" s="14">
        <f t="shared" si="2"/>
        <v>2958.2</v>
      </c>
      <c r="FS110" s="14">
        <f t="shared" si="2"/>
        <v>2958.2</v>
      </c>
      <c r="FT110" s="14">
        <f>2068.9+889.3+43.9</f>
        <v>3002.1</v>
      </c>
      <c r="FU110" s="14">
        <f>2068.9+889.3+3.8+641.3</f>
        <v>3603.3</v>
      </c>
      <c r="FV110" s="14">
        <f>2068.9+889.3+3305.4+1080.8</f>
        <v>7344.4000000000005</v>
      </c>
      <c r="FW110" s="14">
        <f t="shared" si="2"/>
        <v>2958.2</v>
      </c>
      <c r="FX110" s="14">
        <f t="shared" si="2"/>
        <v>2958.2</v>
      </c>
      <c r="FY110" s="14">
        <f>2068.9+889.3+462.7</f>
        <v>3420.8999999999996</v>
      </c>
      <c r="FZ110" s="14">
        <f t="shared" si="2"/>
        <v>2958.2</v>
      </c>
      <c r="GA110" s="14">
        <f t="shared" si="2"/>
        <v>2958.2</v>
      </c>
      <c r="GB110" s="14">
        <f t="shared" si="2"/>
        <v>2958.2</v>
      </c>
      <c r="GC110" s="14">
        <f>2068.9+889.3+116.6</f>
        <v>3074.7999999999997</v>
      </c>
      <c r="GD110" s="14">
        <f t="shared" si="2"/>
        <v>2958.2</v>
      </c>
      <c r="GE110" s="14">
        <f>2068.9+889.3+965.1</f>
        <v>3923.2999999999997</v>
      </c>
      <c r="GF110" s="14">
        <f t="shared" si="2"/>
        <v>2958.2</v>
      </c>
      <c r="GG110" s="14">
        <f t="shared" si="2"/>
        <v>2958.2</v>
      </c>
      <c r="GH110" s="14">
        <f t="shared" si="2"/>
        <v>2958.2</v>
      </c>
      <c r="GI110" s="15">
        <f t="shared" si="2"/>
        <v>2958.2</v>
      </c>
    </row>
    <row r="111" spans="1:191" x14ac:dyDescent="0.3">
      <c r="A111" s="10" t="s">
        <v>63</v>
      </c>
      <c r="B111" s="35" t="s">
        <v>73</v>
      </c>
      <c r="C111" s="11">
        <v>9712</v>
      </c>
      <c r="D111" s="13">
        <v>10088</v>
      </c>
      <c r="E111" s="13">
        <v>11142</v>
      </c>
      <c r="F111" s="13">
        <v>15392</v>
      </c>
      <c r="G111" s="13">
        <v>11016</v>
      </c>
      <c r="H111" s="13">
        <v>2109</v>
      </c>
      <c r="I111" s="12"/>
      <c r="J111" s="13">
        <v>2109</v>
      </c>
      <c r="K111" s="13">
        <v>13397</v>
      </c>
      <c r="L111" s="13">
        <v>13397</v>
      </c>
      <c r="M111" s="13">
        <v>233</v>
      </c>
      <c r="N111" s="13">
        <v>233</v>
      </c>
      <c r="O111" s="13">
        <v>10101</v>
      </c>
      <c r="P111" s="14">
        <v>15353</v>
      </c>
      <c r="Q111" s="14">
        <v>13366</v>
      </c>
      <c r="R111" s="14">
        <v>16273</v>
      </c>
      <c r="S111" s="14">
        <v>15898</v>
      </c>
      <c r="T111" s="14">
        <v>16305</v>
      </c>
      <c r="U111" s="14">
        <v>16035</v>
      </c>
      <c r="V111" s="14">
        <v>16777</v>
      </c>
      <c r="W111" s="14">
        <v>18551</v>
      </c>
      <c r="X111" s="14">
        <v>16849</v>
      </c>
      <c r="Y111" s="14">
        <v>17311</v>
      </c>
      <c r="Z111" s="14">
        <v>16381</v>
      </c>
      <c r="AA111" s="14">
        <v>17133</v>
      </c>
      <c r="AB111" s="14">
        <v>17068</v>
      </c>
      <c r="AC111" s="14">
        <v>16216</v>
      </c>
      <c r="AD111" s="14">
        <v>16453</v>
      </c>
      <c r="AE111" s="14">
        <v>17311</v>
      </c>
      <c r="AF111" s="14">
        <v>18551</v>
      </c>
      <c r="AG111" s="14">
        <v>18551</v>
      </c>
      <c r="AH111" s="14">
        <v>18551</v>
      </c>
      <c r="AI111" s="14">
        <v>17588</v>
      </c>
      <c r="AJ111" s="14">
        <v>16135</v>
      </c>
      <c r="AK111" s="14">
        <v>17588</v>
      </c>
      <c r="AL111" s="14">
        <v>16016</v>
      </c>
      <c r="AM111" s="14">
        <v>7882</v>
      </c>
      <c r="AN111" s="14">
        <v>8404</v>
      </c>
      <c r="AO111" s="14">
        <v>8525</v>
      </c>
      <c r="AP111" s="14">
        <v>13567</v>
      </c>
      <c r="AQ111" s="14">
        <v>12597</v>
      </c>
      <c r="AR111" s="14">
        <v>15572</v>
      </c>
      <c r="AS111" s="14">
        <v>19431</v>
      </c>
      <c r="AT111" s="14">
        <v>19431</v>
      </c>
      <c r="AU111" s="14">
        <v>19431</v>
      </c>
      <c r="AV111" s="14">
        <v>9280</v>
      </c>
      <c r="AW111" s="14">
        <v>18296</v>
      </c>
      <c r="AX111" s="14">
        <v>18296</v>
      </c>
      <c r="AY111" s="14">
        <v>7864</v>
      </c>
      <c r="AZ111" s="14"/>
      <c r="BA111" s="14">
        <v>20459</v>
      </c>
      <c r="BB111" s="14">
        <v>13257</v>
      </c>
      <c r="BC111" s="14">
        <v>17798</v>
      </c>
      <c r="BD111" s="14">
        <v>10630</v>
      </c>
      <c r="BE111" s="14">
        <v>9788</v>
      </c>
      <c r="BF111" s="14">
        <v>9434</v>
      </c>
      <c r="BG111" s="14">
        <v>19870</v>
      </c>
      <c r="BH111" s="14">
        <v>18244</v>
      </c>
      <c r="BI111" s="14">
        <v>7667</v>
      </c>
      <c r="BJ111" s="14">
        <v>10979</v>
      </c>
      <c r="BK111" s="15">
        <v>10979</v>
      </c>
      <c r="BM111" s="10" t="s">
        <v>63</v>
      </c>
      <c r="BN111" s="35" t="s">
        <v>73</v>
      </c>
      <c r="BO111" s="11"/>
      <c r="BP111" s="13"/>
      <c r="BQ111" s="13">
        <v>1925.4</v>
      </c>
      <c r="BR111" s="13"/>
      <c r="BS111" s="13">
        <v>63</v>
      </c>
      <c r="BT111" s="13">
        <v>1636.8</v>
      </c>
      <c r="BU111" s="12"/>
      <c r="BV111" s="13"/>
      <c r="BW111" s="13">
        <v>543.29999999999995</v>
      </c>
      <c r="BX111" s="13"/>
      <c r="BY111" s="13">
        <v>970.9</v>
      </c>
      <c r="BZ111" s="13"/>
      <c r="CA111" s="13">
        <v>458.8</v>
      </c>
      <c r="CB111" s="14">
        <v>441.9</v>
      </c>
      <c r="CC111" s="14">
        <v>51.7</v>
      </c>
      <c r="CD111" s="14"/>
      <c r="CE111" s="14"/>
      <c r="CF111" s="14"/>
      <c r="CG111" s="14">
        <v>190.1</v>
      </c>
      <c r="CH111" s="14">
        <v>311.89999999999998</v>
      </c>
      <c r="CI111" s="14">
        <v>495.4</v>
      </c>
      <c r="CJ111" s="14"/>
      <c r="CK111" s="14">
        <v>142.80000000000001</v>
      </c>
      <c r="CL111" s="14">
        <v>252.5</v>
      </c>
      <c r="CM111" s="14">
        <v>71.3</v>
      </c>
      <c r="CN111" s="14">
        <v>146</v>
      </c>
      <c r="CO111" s="14">
        <v>354.6</v>
      </c>
      <c r="CP111" s="14"/>
      <c r="CQ111" s="14"/>
      <c r="CR111" s="14">
        <v>931.2</v>
      </c>
      <c r="CS111" s="14">
        <v>745.4</v>
      </c>
      <c r="CT111" s="14">
        <v>522.4</v>
      </c>
      <c r="CU111" s="14">
        <v>1374.6</v>
      </c>
      <c r="CV111" s="14"/>
      <c r="CW111" s="14">
        <v>857.3</v>
      </c>
      <c r="CX111" s="14"/>
      <c r="CY111" s="14"/>
      <c r="CZ111" s="14"/>
      <c r="DA111" s="14">
        <v>162.69999999999999</v>
      </c>
      <c r="DB111" s="14"/>
      <c r="DC111" s="14"/>
      <c r="DD111" s="14"/>
      <c r="DE111" s="14"/>
      <c r="DF111" s="14">
        <v>1855.4</v>
      </c>
      <c r="DG111" s="14">
        <v>996.5</v>
      </c>
      <c r="DH111" s="14">
        <v>33.799999999999997</v>
      </c>
      <c r="DI111" s="14">
        <v>701.9</v>
      </c>
      <c r="DJ111" s="14">
        <v>4701.1000000000004</v>
      </c>
      <c r="DK111" s="14"/>
      <c r="DL111" s="14"/>
      <c r="DM111" s="14">
        <v>483.6</v>
      </c>
      <c r="DN111" s="14"/>
      <c r="DO111" s="14"/>
      <c r="DP111" s="14"/>
      <c r="DQ111" s="14">
        <v>121.2</v>
      </c>
      <c r="DR111" s="14"/>
      <c r="DS111" s="14">
        <v>778.9</v>
      </c>
      <c r="DT111" s="14">
        <v>11.8</v>
      </c>
      <c r="DU111" s="14">
        <v>503.6</v>
      </c>
      <c r="DV111" s="14">
        <v>114</v>
      </c>
      <c r="DW111" s="15">
        <v>1147</v>
      </c>
      <c r="DY111" s="10" t="s">
        <v>63</v>
      </c>
      <c r="DZ111" s="35" t="s">
        <v>73</v>
      </c>
      <c r="EA111" s="11"/>
      <c r="EB111" s="13"/>
      <c r="EC111" s="13">
        <v>2197.1999999999998</v>
      </c>
      <c r="ED111" s="13"/>
      <c r="EE111" s="13">
        <v>64.400000000000006</v>
      </c>
      <c r="EF111" s="13">
        <v>2958.2</v>
      </c>
      <c r="EG111" s="12"/>
      <c r="EH111" s="13"/>
      <c r="EI111" s="13">
        <v>535.6</v>
      </c>
      <c r="EJ111" s="13"/>
      <c r="EK111" s="13"/>
      <c r="EL111" s="13"/>
      <c r="EM111" s="13"/>
      <c r="EN111" s="14"/>
      <c r="EO111" s="14"/>
      <c r="EP111" s="14"/>
      <c r="EQ111" s="14"/>
      <c r="ER111" s="14"/>
      <c r="ES111" s="14">
        <v>226.7</v>
      </c>
      <c r="ET111" s="14">
        <v>319.5</v>
      </c>
      <c r="EU111" s="14">
        <v>513.79999999999995</v>
      </c>
      <c r="EV111" s="14"/>
      <c r="EW111" s="14">
        <v>135.5</v>
      </c>
      <c r="EX111" s="14">
        <v>263.10000000000002</v>
      </c>
      <c r="EY111" s="14">
        <v>77.900000000000006</v>
      </c>
      <c r="EZ111" s="14">
        <v>141.30000000000001</v>
      </c>
      <c r="FA111" s="14">
        <v>389.7</v>
      </c>
      <c r="FB111" s="14"/>
      <c r="FC111" s="14"/>
      <c r="FD111" s="14">
        <v>994.9</v>
      </c>
      <c r="FE111" s="14">
        <v>960.9</v>
      </c>
      <c r="FF111" s="14">
        <v>624.5</v>
      </c>
      <c r="FG111" s="14">
        <v>1386.2</v>
      </c>
      <c r="FH111" s="14"/>
      <c r="FI111" s="14">
        <v>982.6</v>
      </c>
      <c r="FJ111" s="14"/>
      <c r="FK111" s="14"/>
      <c r="FL111" s="14"/>
      <c r="FM111" s="14">
        <v>154.6</v>
      </c>
      <c r="FN111" s="14"/>
      <c r="FO111" s="14"/>
      <c r="FP111" s="14"/>
      <c r="FQ111" s="14"/>
      <c r="FR111" s="14"/>
      <c r="FS111" s="14"/>
      <c r="FT111" s="14">
        <v>43.9</v>
      </c>
      <c r="FU111" s="14">
        <f>3.8+641.3</f>
        <v>645.09999999999991</v>
      </c>
      <c r="FV111" s="14">
        <f>3305.4+1080.8</f>
        <v>4386.2</v>
      </c>
      <c r="FW111" s="14"/>
      <c r="FX111" s="14"/>
      <c r="FY111" s="14">
        <v>462.7</v>
      </c>
      <c r="FZ111" s="14"/>
      <c r="GA111" s="14"/>
      <c r="GB111" s="14"/>
      <c r="GC111" s="14">
        <v>116.6</v>
      </c>
      <c r="GD111" s="14"/>
      <c r="GE111" s="14">
        <v>965.1</v>
      </c>
      <c r="GF111" s="14"/>
      <c r="GG111" s="14"/>
      <c r="GH111" s="14"/>
      <c r="GI111" s="15"/>
    </row>
    <row r="112" spans="1:191" x14ac:dyDescent="0.3">
      <c r="A112" s="10" t="s">
        <v>8</v>
      </c>
      <c r="B112" s="35" t="s">
        <v>73</v>
      </c>
      <c r="C112" s="11">
        <v>7688</v>
      </c>
      <c r="D112" s="13">
        <v>8064</v>
      </c>
      <c r="E112" s="13">
        <v>9117</v>
      </c>
      <c r="F112" s="13">
        <v>13368</v>
      </c>
      <c r="G112" s="13">
        <v>8991</v>
      </c>
      <c r="H112" s="13">
        <v>0</v>
      </c>
      <c r="I112" s="13">
        <v>2109</v>
      </c>
      <c r="J112" s="12"/>
      <c r="K112" s="13">
        <v>11373</v>
      </c>
      <c r="L112" s="13">
        <v>11373</v>
      </c>
      <c r="M112" s="13">
        <v>2152</v>
      </c>
      <c r="N112" s="13">
        <v>2152</v>
      </c>
      <c r="O112" s="13">
        <v>8077</v>
      </c>
      <c r="P112" s="14">
        <v>13329</v>
      </c>
      <c r="Q112" s="14">
        <v>11342</v>
      </c>
      <c r="R112" s="14">
        <v>14250</v>
      </c>
      <c r="S112" s="14">
        <v>13873</v>
      </c>
      <c r="T112" s="14">
        <v>14281</v>
      </c>
      <c r="U112" s="14">
        <v>14010</v>
      </c>
      <c r="V112" s="14">
        <v>14753</v>
      </c>
      <c r="W112" s="14">
        <v>16527</v>
      </c>
      <c r="X112" s="14">
        <v>14825</v>
      </c>
      <c r="Y112" s="14">
        <v>15286</v>
      </c>
      <c r="Z112" s="14">
        <v>14357</v>
      </c>
      <c r="AA112" s="14">
        <v>15109</v>
      </c>
      <c r="AB112" s="14">
        <v>15044</v>
      </c>
      <c r="AC112" s="14">
        <v>14192</v>
      </c>
      <c r="AD112" s="14">
        <v>14429</v>
      </c>
      <c r="AE112" s="14">
        <v>15286</v>
      </c>
      <c r="AF112" s="14">
        <v>16527</v>
      </c>
      <c r="AG112" s="14">
        <v>16527</v>
      </c>
      <c r="AH112" s="14">
        <v>16527</v>
      </c>
      <c r="AI112" s="14">
        <v>18713</v>
      </c>
      <c r="AJ112" s="14">
        <v>17259</v>
      </c>
      <c r="AK112" s="14">
        <v>18713</v>
      </c>
      <c r="AL112" s="14">
        <v>17140</v>
      </c>
      <c r="AM112" s="14">
        <v>8990</v>
      </c>
      <c r="AN112" s="14">
        <v>9521</v>
      </c>
      <c r="AO112" s="14">
        <v>9673</v>
      </c>
      <c r="AP112" s="14">
        <v>12979</v>
      </c>
      <c r="AQ112" s="14">
        <v>12057</v>
      </c>
      <c r="AR112" s="14">
        <v>15862</v>
      </c>
      <c r="AS112" s="14">
        <v>20555</v>
      </c>
      <c r="AT112" s="14">
        <v>20555</v>
      </c>
      <c r="AU112" s="14">
        <v>20555</v>
      </c>
      <c r="AV112" s="14">
        <v>10427</v>
      </c>
      <c r="AW112" s="14">
        <v>16272</v>
      </c>
      <c r="AX112" s="14">
        <v>16272</v>
      </c>
      <c r="AY112" s="14">
        <v>9021</v>
      </c>
      <c r="AZ112" s="14"/>
      <c r="BA112" s="14">
        <v>21583</v>
      </c>
      <c r="BB112" s="14">
        <v>14359</v>
      </c>
      <c r="BC112" s="14">
        <v>15773</v>
      </c>
      <c r="BD112" s="14">
        <v>11784</v>
      </c>
      <c r="BE112" s="14">
        <v>10945</v>
      </c>
      <c r="BF112" s="14">
        <v>10571</v>
      </c>
      <c r="BG112" s="14">
        <v>17846</v>
      </c>
      <c r="BH112" s="14">
        <v>16220</v>
      </c>
      <c r="BI112" s="14">
        <v>5643</v>
      </c>
      <c r="BJ112" s="14">
        <v>8121</v>
      </c>
      <c r="BK112" s="15">
        <v>8121</v>
      </c>
      <c r="BM112" s="10" t="s">
        <v>8</v>
      </c>
      <c r="BN112" s="35" t="s">
        <v>73</v>
      </c>
      <c r="BO112" s="11"/>
      <c r="BP112" s="13"/>
      <c r="BQ112" s="13">
        <v>1925.4</v>
      </c>
      <c r="BR112" s="13"/>
      <c r="BS112" s="13">
        <v>63</v>
      </c>
      <c r="BT112" s="13">
        <v>1636.8</v>
      </c>
      <c r="BU112" s="13"/>
      <c r="BV112" s="12"/>
      <c r="BW112" s="13">
        <v>543.29999999999995</v>
      </c>
      <c r="BX112" s="13"/>
      <c r="BY112" s="13">
        <v>970.9</v>
      </c>
      <c r="BZ112" s="13"/>
      <c r="CA112" s="13">
        <v>458.8</v>
      </c>
      <c r="CB112" s="14">
        <v>441.9</v>
      </c>
      <c r="CC112" s="14">
        <v>51.7</v>
      </c>
      <c r="CD112" s="14"/>
      <c r="CE112" s="14"/>
      <c r="CF112" s="14"/>
      <c r="CG112" s="14">
        <v>190.1</v>
      </c>
      <c r="CH112" s="14">
        <v>311.89999999999998</v>
      </c>
      <c r="CI112" s="14">
        <v>495.4</v>
      </c>
      <c r="CJ112" s="14"/>
      <c r="CK112" s="14">
        <v>142.80000000000001</v>
      </c>
      <c r="CL112" s="14">
        <v>252.5</v>
      </c>
      <c r="CM112" s="14">
        <v>71.3</v>
      </c>
      <c r="CN112" s="14">
        <v>146</v>
      </c>
      <c r="CO112" s="14">
        <v>354.6</v>
      </c>
      <c r="CP112" s="14"/>
      <c r="CQ112" s="14"/>
      <c r="CR112" s="14">
        <v>931.2</v>
      </c>
      <c r="CS112" s="14">
        <v>745.4</v>
      </c>
      <c r="CT112" s="14">
        <v>522.4</v>
      </c>
      <c r="CU112" s="14">
        <v>1374.6</v>
      </c>
      <c r="CV112" s="14"/>
      <c r="CW112" s="14">
        <v>857.3</v>
      </c>
      <c r="CX112" s="14"/>
      <c r="CY112" s="14"/>
      <c r="CZ112" s="14"/>
      <c r="DA112" s="14">
        <v>162.69999999999999</v>
      </c>
      <c r="DB112" s="14"/>
      <c r="DC112" s="14"/>
      <c r="DD112" s="14"/>
      <c r="DE112" s="14"/>
      <c r="DF112" s="14">
        <v>1855.4</v>
      </c>
      <c r="DG112" s="14">
        <v>996.5</v>
      </c>
      <c r="DH112" s="14">
        <v>33.799999999999997</v>
      </c>
      <c r="DI112" s="14">
        <v>701.9</v>
      </c>
      <c r="DJ112" s="14">
        <v>4701.1000000000004</v>
      </c>
      <c r="DK112" s="14"/>
      <c r="DL112" s="14"/>
      <c r="DM112" s="14">
        <v>483.6</v>
      </c>
      <c r="DN112" s="14"/>
      <c r="DO112" s="14"/>
      <c r="DP112" s="14"/>
      <c r="DQ112" s="14">
        <v>121.2</v>
      </c>
      <c r="DR112" s="14"/>
      <c r="DS112" s="14">
        <v>778.9</v>
      </c>
      <c r="DT112" s="14">
        <v>11.8</v>
      </c>
      <c r="DU112" s="14">
        <v>503.6</v>
      </c>
      <c r="DV112" s="14">
        <v>114</v>
      </c>
      <c r="DW112" s="15">
        <v>1147</v>
      </c>
      <c r="DY112" s="10" t="s">
        <v>8</v>
      </c>
      <c r="DZ112" s="35" t="s">
        <v>73</v>
      </c>
      <c r="EA112" s="11"/>
      <c r="EB112" s="13"/>
      <c r="EC112" s="13">
        <v>2197.1999999999998</v>
      </c>
      <c r="ED112" s="13"/>
      <c r="EE112" s="13">
        <v>64.400000000000006</v>
      </c>
      <c r="EF112" s="13">
        <v>2958.2</v>
      </c>
      <c r="EG112" s="13"/>
      <c r="EH112" s="12"/>
      <c r="EI112" s="13">
        <v>535.6</v>
      </c>
      <c r="EJ112" s="13"/>
      <c r="EK112" s="13"/>
      <c r="EL112" s="13"/>
      <c r="EM112" s="13"/>
      <c r="EN112" s="14"/>
      <c r="EO112" s="14"/>
      <c r="EP112" s="14"/>
      <c r="EQ112" s="14"/>
      <c r="ER112" s="14"/>
      <c r="ES112" s="14">
        <v>226.7</v>
      </c>
      <c r="ET112" s="14">
        <v>319.5</v>
      </c>
      <c r="EU112" s="14">
        <v>513.79999999999995</v>
      </c>
      <c r="EV112" s="14"/>
      <c r="EW112" s="14">
        <v>135.5</v>
      </c>
      <c r="EX112" s="14">
        <v>263.10000000000002</v>
      </c>
      <c r="EY112" s="14">
        <v>77.900000000000006</v>
      </c>
      <c r="EZ112" s="14">
        <v>141.30000000000001</v>
      </c>
      <c r="FA112" s="14">
        <v>389.7</v>
      </c>
      <c r="FB112" s="14"/>
      <c r="FC112" s="14"/>
      <c r="FD112" s="14">
        <v>994.9</v>
      </c>
      <c r="FE112" s="14">
        <v>960.9</v>
      </c>
      <c r="FF112" s="14">
        <v>624.5</v>
      </c>
      <c r="FG112" s="14">
        <v>1386.2</v>
      </c>
      <c r="FH112" s="14"/>
      <c r="FI112" s="14">
        <v>982.6</v>
      </c>
      <c r="FJ112" s="14"/>
      <c r="FK112" s="14"/>
      <c r="FL112" s="14"/>
      <c r="FM112" s="14">
        <v>154.6</v>
      </c>
      <c r="FN112" s="14"/>
      <c r="FO112" s="14"/>
      <c r="FP112" s="14"/>
      <c r="FQ112" s="14"/>
      <c r="FR112" s="14"/>
      <c r="FS112" s="14"/>
      <c r="FT112" s="14">
        <v>43.9</v>
      </c>
      <c r="FU112" s="14">
        <f>3.8+641.3</f>
        <v>645.09999999999991</v>
      </c>
      <c r="FV112" s="14">
        <f>3305.4+1080.8</f>
        <v>4386.2</v>
      </c>
      <c r="FW112" s="14"/>
      <c r="FX112" s="14"/>
      <c r="FY112" s="14">
        <v>462.7</v>
      </c>
      <c r="FZ112" s="14"/>
      <c r="GA112" s="14"/>
      <c r="GB112" s="14"/>
      <c r="GC112" s="14">
        <v>116.6</v>
      </c>
      <c r="GD112" s="14"/>
      <c r="GE112" s="14">
        <v>965.1</v>
      </c>
      <c r="GF112" s="14"/>
      <c r="GG112" s="14"/>
      <c r="GH112" s="14"/>
      <c r="GI112" s="15"/>
    </row>
    <row r="113" spans="1:191" x14ac:dyDescent="0.3">
      <c r="A113" s="10" t="s">
        <v>67</v>
      </c>
      <c r="B113" s="35" t="s">
        <v>10</v>
      </c>
      <c r="C113" s="11">
        <v>4304</v>
      </c>
      <c r="D113" s="13">
        <v>5684</v>
      </c>
      <c r="E113" s="13">
        <v>2808</v>
      </c>
      <c r="F113" s="13">
        <v>1995</v>
      </c>
      <c r="G113" s="13">
        <v>3371</v>
      </c>
      <c r="H113" s="13">
        <v>11373</v>
      </c>
      <c r="I113" s="13">
        <v>13397</v>
      </c>
      <c r="J113" s="13">
        <v>11373</v>
      </c>
      <c r="K113" s="12"/>
      <c r="L113" s="13">
        <v>0</v>
      </c>
      <c r="M113" s="13">
        <v>13427</v>
      </c>
      <c r="N113" s="13">
        <v>13427</v>
      </c>
      <c r="O113" s="13">
        <v>6145</v>
      </c>
      <c r="P113" s="14">
        <v>9893</v>
      </c>
      <c r="Q113" s="14">
        <v>7906</v>
      </c>
      <c r="R113" s="14">
        <v>5678</v>
      </c>
      <c r="S113" s="14">
        <v>5558</v>
      </c>
      <c r="T113" s="14">
        <v>6017</v>
      </c>
      <c r="U113" s="14">
        <v>5747</v>
      </c>
      <c r="V113" s="14">
        <v>7167</v>
      </c>
      <c r="W113" s="14">
        <v>7830</v>
      </c>
      <c r="X113" s="14">
        <v>6319</v>
      </c>
      <c r="Y113" s="14">
        <v>6715</v>
      </c>
      <c r="Z113" s="14">
        <v>6093</v>
      </c>
      <c r="AA113" s="14">
        <v>7523</v>
      </c>
      <c r="AB113" s="14">
        <v>7458</v>
      </c>
      <c r="AC113" s="14">
        <v>6606</v>
      </c>
      <c r="AD113" s="14">
        <v>6843</v>
      </c>
      <c r="AE113" s="14">
        <v>6715</v>
      </c>
      <c r="AF113" s="14">
        <v>7830</v>
      </c>
      <c r="AG113" s="14">
        <v>7830</v>
      </c>
      <c r="AH113" s="14">
        <v>7830</v>
      </c>
      <c r="AI113" s="14">
        <v>15073</v>
      </c>
      <c r="AJ113" s="14">
        <v>18120</v>
      </c>
      <c r="AK113" s="14">
        <v>15073</v>
      </c>
      <c r="AL113" s="14">
        <v>16909</v>
      </c>
      <c r="AM113" s="14">
        <v>20239</v>
      </c>
      <c r="AN113" s="14">
        <v>20742</v>
      </c>
      <c r="AO113" s="14">
        <v>20961</v>
      </c>
      <c r="AP113" s="14">
        <v>20641</v>
      </c>
      <c r="AQ113" s="14">
        <v>20191</v>
      </c>
      <c r="AR113" s="14">
        <v>21102</v>
      </c>
      <c r="AS113" s="14">
        <v>14786</v>
      </c>
      <c r="AT113" s="14">
        <v>14786</v>
      </c>
      <c r="AU113" s="14">
        <v>14786</v>
      </c>
      <c r="AV113" s="14">
        <v>21700</v>
      </c>
      <c r="AW113" s="14">
        <v>7701</v>
      </c>
      <c r="AX113" s="14">
        <v>7701</v>
      </c>
      <c r="AY113" s="14">
        <v>20311</v>
      </c>
      <c r="AZ113" s="14"/>
      <c r="BA113" s="14">
        <v>14968</v>
      </c>
      <c r="BB113" s="14">
        <v>20257</v>
      </c>
      <c r="BC113" s="14">
        <v>7202</v>
      </c>
      <c r="BD113" s="14">
        <v>21422</v>
      </c>
      <c r="BE113" s="14">
        <v>22226</v>
      </c>
      <c r="BF113" s="14">
        <v>21854</v>
      </c>
      <c r="BG113" s="14">
        <v>10260</v>
      </c>
      <c r="BH113" s="14">
        <v>8634</v>
      </c>
      <c r="BI113" s="14">
        <v>6636</v>
      </c>
      <c r="BJ113" s="14">
        <v>10877</v>
      </c>
      <c r="BK113" s="15">
        <v>10877</v>
      </c>
      <c r="BM113" s="10" t="s">
        <v>67</v>
      </c>
      <c r="BN113" s="35" t="s">
        <v>10</v>
      </c>
      <c r="BO113" s="11">
        <f>543.3</f>
        <v>543.29999999999995</v>
      </c>
      <c r="BP113" s="13">
        <f>543.3</f>
        <v>543.29999999999995</v>
      </c>
      <c r="BQ113" s="13">
        <f>543.3+1925.4</f>
        <v>2468.6999999999998</v>
      </c>
      <c r="BR113" s="13">
        <f>543.3</f>
        <v>543.29999999999995</v>
      </c>
      <c r="BS113" s="13">
        <f>543.3+63</f>
        <v>606.29999999999995</v>
      </c>
      <c r="BT113" s="13">
        <f>543.3+1636.8</f>
        <v>2180.1</v>
      </c>
      <c r="BU113" s="13">
        <f>543.3</f>
        <v>543.29999999999995</v>
      </c>
      <c r="BV113" s="13">
        <f>543.3</f>
        <v>543.29999999999995</v>
      </c>
      <c r="BW113" s="12"/>
      <c r="BX113" s="13">
        <f>543.3</f>
        <v>543.29999999999995</v>
      </c>
      <c r="BY113" s="13">
        <f>543.3+970.9</f>
        <v>1514.1999999999998</v>
      </c>
      <c r="BZ113" s="13">
        <f>543.3</f>
        <v>543.29999999999995</v>
      </c>
      <c r="CA113" s="13">
        <f>543.3+458.8</f>
        <v>1002.0999999999999</v>
      </c>
      <c r="CB113" s="14">
        <f>543.3+441.9</f>
        <v>985.19999999999993</v>
      </c>
      <c r="CC113" s="14">
        <f>543.3+51.7</f>
        <v>595</v>
      </c>
      <c r="CD113" s="14">
        <f>543.3</f>
        <v>543.29999999999995</v>
      </c>
      <c r="CE113" s="14">
        <f>543.3</f>
        <v>543.29999999999995</v>
      </c>
      <c r="CF113" s="14">
        <f>543.3</f>
        <v>543.29999999999995</v>
      </c>
      <c r="CG113" s="14">
        <f>543.3+190.1</f>
        <v>733.4</v>
      </c>
      <c r="CH113" s="14">
        <f>543.3+311.9</f>
        <v>855.19999999999993</v>
      </c>
      <c r="CI113" s="14">
        <f>543.3+495.4</f>
        <v>1038.6999999999998</v>
      </c>
      <c r="CJ113" s="14">
        <f>543.3</f>
        <v>543.29999999999995</v>
      </c>
      <c r="CK113" s="14">
        <f>543.3+142.8</f>
        <v>686.09999999999991</v>
      </c>
      <c r="CL113" s="14">
        <f>543.3+252.5</f>
        <v>795.8</v>
      </c>
      <c r="CM113" s="14">
        <f>543.3+71.3</f>
        <v>614.59999999999991</v>
      </c>
      <c r="CN113" s="14">
        <f>543.3+146</f>
        <v>689.3</v>
      </c>
      <c r="CO113" s="14">
        <f>543.3+354.6</f>
        <v>897.9</v>
      </c>
      <c r="CP113" s="14">
        <f>543.3</f>
        <v>543.29999999999995</v>
      </c>
      <c r="CQ113" s="14">
        <f>543.3</f>
        <v>543.29999999999995</v>
      </c>
      <c r="CR113" s="14">
        <f>543.3+931.2</f>
        <v>1474.5</v>
      </c>
      <c r="CS113" s="14">
        <f>543.3+745.4</f>
        <v>1288.6999999999998</v>
      </c>
      <c r="CT113" s="14">
        <f>543.3+522.4</f>
        <v>1065.6999999999998</v>
      </c>
      <c r="CU113" s="14">
        <f>543.3+1374.6</f>
        <v>1917.8999999999999</v>
      </c>
      <c r="CV113" s="14">
        <f>543.3</f>
        <v>543.29999999999995</v>
      </c>
      <c r="CW113" s="14">
        <f>543.3+857.3</f>
        <v>1400.6</v>
      </c>
      <c r="CX113" s="14">
        <f>543.3</f>
        <v>543.29999999999995</v>
      </c>
      <c r="CY113" s="14">
        <f>543.3</f>
        <v>543.29999999999995</v>
      </c>
      <c r="CZ113" s="14">
        <f>543.3</f>
        <v>543.29999999999995</v>
      </c>
      <c r="DA113" s="14">
        <f>543.3+162.7</f>
        <v>706</v>
      </c>
      <c r="DB113" s="14">
        <f>543.3</f>
        <v>543.29999999999995</v>
      </c>
      <c r="DC113" s="14">
        <f>543.3</f>
        <v>543.29999999999995</v>
      </c>
      <c r="DD113" s="14">
        <f>543.3</f>
        <v>543.29999999999995</v>
      </c>
      <c r="DE113" s="14">
        <f>543.3</f>
        <v>543.29999999999995</v>
      </c>
      <c r="DF113" s="14">
        <f>543.3+1855.4</f>
        <v>2398.6999999999998</v>
      </c>
      <c r="DG113" s="14">
        <f>543.3+996.5</f>
        <v>1539.8</v>
      </c>
      <c r="DH113" s="14">
        <f>543.3+33.8</f>
        <v>577.09999999999991</v>
      </c>
      <c r="DI113" s="14">
        <f>543.3+701.9</f>
        <v>1245.1999999999998</v>
      </c>
      <c r="DJ113" s="14">
        <f>543.3+4701.1</f>
        <v>5244.4000000000005</v>
      </c>
      <c r="DK113" s="14">
        <f>543.3</f>
        <v>543.29999999999995</v>
      </c>
      <c r="DL113" s="14">
        <f>543.3</f>
        <v>543.29999999999995</v>
      </c>
      <c r="DM113" s="14">
        <f>543.3+483.6</f>
        <v>1026.9000000000001</v>
      </c>
      <c r="DN113" s="14">
        <f>543.3</f>
        <v>543.29999999999995</v>
      </c>
      <c r="DO113" s="14">
        <f>543.3</f>
        <v>543.29999999999995</v>
      </c>
      <c r="DP113" s="14">
        <f>543.3</f>
        <v>543.29999999999995</v>
      </c>
      <c r="DQ113" s="14">
        <f>543.3+121.2</f>
        <v>664.5</v>
      </c>
      <c r="DR113" s="14">
        <f>543.3</f>
        <v>543.29999999999995</v>
      </c>
      <c r="DS113" s="14">
        <f>543.3+778.9</f>
        <v>1322.1999999999998</v>
      </c>
      <c r="DT113" s="14">
        <f>543.3+11.8</f>
        <v>555.09999999999991</v>
      </c>
      <c r="DU113" s="14">
        <f>543.3+503.6</f>
        <v>1046.9000000000001</v>
      </c>
      <c r="DV113" s="14">
        <f>543.3+114</f>
        <v>657.3</v>
      </c>
      <c r="DW113" s="15">
        <f>543.3+1147</f>
        <v>1690.3</v>
      </c>
      <c r="DY113" s="10" t="s">
        <v>67</v>
      </c>
      <c r="DZ113" s="35" t="s">
        <v>10</v>
      </c>
      <c r="EA113" s="11">
        <f>535.6</f>
        <v>535.6</v>
      </c>
      <c r="EB113" s="13">
        <f t="shared" ref="EB113:GI113" si="3">535.6</f>
        <v>535.6</v>
      </c>
      <c r="EC113" s="13">
        <f>535.6+2197.2</f>
        <v>2732.7999999999997</v>
      </c>
      <c r="ED113" s="13">
        <f t="shared" si="3"/>
        <v>535.6</v>
      </c>
      <c r="EE113" s="13">
        <f>535.6+64.4</f>
        <v>600</v>
      </c>
      <c r="EF113" s="13">
        <f>535.6+2958.2</f>
        <v>3493.7999999999997</v>
      </c>
      <c r="EG113" s="13">
        <f t="shared" si="3"/>
        <v>535.6</v>
      </c>
      <c r="EH113" s="13">
        <f t="shared" si="3"/>
        <v>535.6</v>
      </c>
      <c r="EI113" s="12"/>
      <c r="EJ113" s="13">
        <f t="shared" si="3"/>
        <v>535.6</v>
      </c>
      <c r="EK113" s="13">
        <f t="shared" si="3"/>
        <v>535.6</v>
      </c>
      <c r="EL113" s="13">
        <f t="shared" si="3"/>
        <v>535.6</v>
      </c>
      <c r="EM113" s="13">
        <f t="shared" si="3"/>
        <v>535.6</v>
      </c>
      <c r="EN113" s="14">
        <f t="shared" si="3"/>
        <v>535.6</v>
      </c>
      <c r="EO113" s="14">
        <f t="shared" si="3"/>
        <v>535.6</v>
      </c>
      <c r="EP113" s="14">
        <f t="shared" si="3"/>
        <v>535.6</v>
      </c>
      <c r="EQ113" s="14">
        <f t="shared" si="3"/>
        <v>535.6</v>
      </c>
      <c r="ER113" s="14">
        <f t="shared" si="3"/>
        <v>535.6</v>
      </c>
      <c r="ES113" s="14">
        <f>535.6+226.7</f>
        <v>762.3</v>
      </c>
      <c r="ET113" s="14">
        <f>535.6+319.5</f>
        <v>855.1</v>
      </c>
      <c r="EU113" s="14">
        <f>535.6+513.8</f>
        <v>1049.4000000000001</v>
      </c>
      <c r="EV113" s="14">
        <f t="shared" si="3"/>
        <v>535.6</v>
      </c>
      <c r="EW113" s="14">
        <f>535.6+135.5</f>
        <v>671.1</v>
      </c>
      <c r="EX113" s="14">
        <f>535.6+263.1</f>
        <v>798.7</v>
      </c>
      <c r="EY113" s="14">
        <f>535.6+77.9</f>
        <v>613.5</v>
      </c>
      <c r="EZ113" s="14">
        <f>535.6+141.3</f>
        <v>676.90000000000009</v>
      </c>
      <c r="FA113" s="14">
        <f>535.6+389.7</f>
        <v>925.3</v>
      </c>
      <c r="FB113" s="14">
        <f t="shared" si="3"/>
        <v>535.6</v>
      </c>
      <c r="FC113" s="14">
        <f t="shared" si="3"/>
        <v>535.6</v>
      </c>
      <c r="FD113" s="14">
        <f>535.6+994.9</f>
        <v>1530.5</v>
      </c>
      <c r="FE113" s="14">
        <f>535.6+960.9</f>
        <v>1496.5</v>
      </c>
      <c r="FF113" s="14">
        <f>535.6+624.5</f>
        <v>1160.0999999999999</v>
      </c>
      <c r="FG113" s="14">
        <f>535.6+1386.2</f>
        <v>1921.8000000000002</v>
      </c>
      <c r="FH113" s="14">
        <f t="shared" si="3"/>
        <v>535.6</v>
      </c>
      <c r="FI113" s="14">
        <f>535.6+982.6</f>
        <v>1518.2</v>
      </c>
      <c r="FJ113" s="14">
        <f t="shared" si="3"/>
        <v>535.6</v>
      </c>
      <c r="FK113" s="14">
        <f t="shared" si="3"/>
        <v>535.6</v>
      </c>
      <c r="FL113" s="14">
        <f t="shared" si="3"/>
        <v>535.6</v>
      </c>
      <c r="FM113" s="14">
        <f>535.6+154.6</f>
        <v>690.2</v>
      </c>
      <c r="FN113" s="14">
        <f t="shared" si="3"/>
        <v>535.6</v>
      </c>
      <c r="FO113" s="14">
        <f t="shared" si="3"/>
        <v>535.6</v>
      </c>
      <c r="FP113" s="14">
        <f t="shared" si="3"/>
        <v>535.6</v>
      </c>
      <c r="FQ113" s="14">
        <f t="shared" si="3"/>
        <v>535.6</v>
      </c>
      <c r="FR113" s="14">
        <f t="shared" si="3"/>
        <v>535.6</v>
      </c>
      <c r="FS113" s="14">
        <f t="shared" si="3"/>
        <v>535.6</v>
      </c>
      <c r="FT113" s="14">
        <f>535.6+43.9</f>
        <v>579.5</v>
      </c>
      <c r="FU113" s="14">
        <f>535.6+3.8+641.3</f>
        <v>1180.6999999999998</v>
      </c>
      <c r="FV113" s="14">
        <f>535.6+3305.4+1080.8</f>
        <v>4921.8</v>
      </c>
      <c r="FW113" s="14">
        <f t="shared" si="3"/>
        <v>535.6</v>
      </c>
      <c r="FX113" s="14">
        <f t="shared" si="3"/>
        <v>535.6</v>
      </c>
      <c r="FY113" s="14">
        <f>535.6+462.7</f>
        <v>998.3</v>
      </c>
      <c r="FZ113" s="14">
        <f t="shared" si="3"/>
        <v>535.6</v>
      </c>
      <c r="GA113" s="14">
        <f t="shared" si="3"/>
        <v>535.6</v>
      </c>
      <c r="GB113" s="14">
        <f t="shared" si="3"/>
        <v>535.6</v>
      </c>
      <c r="GC113" s="14">
        <f>535.6+116.6</f>
        <v>652.20000000000005</v>
      </c>
      <c r="GD113" s="14">
        <f t="shared" si="3"/>
        <v>535.6</v>
      </c>
      <c r="GE113" s="14">
        <f>535.6+965.1</f>
        <v>1500.7</v>
      </c>
      <c r="GF113" s="14">
        <f t="shared" si="3"/>
        <v>535.6</v>
      </c>
      <c r="GG113" s="14">
        <f t="shared" si="3"/>
        <v>535.6</v>
      </c>
      <c r="GH113" s="14">
        <f t="shared" si="3"/>
        <v>535.6</v>
      </c>
      <c r="GI113" s="15">
        <f t="shared" si="3"/>
        <v>535.6</v>
      </c>
    </row>
    <row r="114" spans="1:191" x14ac:dyDescent="0.3">
      <c r="A114" s="10" t="s">
        <v>10</v>
      </c>
      <c r="B114" s="35" t="s">
        <v>73</v>
      </c>
      <c r="C114" s="11">
        <v>4304</v>
      </c>
      <c r="D114" s="13">
        <v>5684</v>
      </c>
      <c r="E114" s="13">
        <v>2808</v>
      </c>
      <c r="F114" s="13">
        <v>1995</v>
      </c>
      <c r="G114" s="13">
        <v>3371</v>
      </c>
      <c r="H114" s="13">
        <v>11373</v>
      </c>
      <c r="I114" s="13">
        <v>13397</v>
      </c>
      <c r="J114" s="13">
        <v>11373</v>
      </c>
      <c r="K114" s="13">
        <v>0</v>
      </c>
      <c r="L114" s="12"/>
      <c r="M114" s="13">
        <v>13427</v>
      </c>
      <c r="N114" s="13">
        <v>13427</v>
      </c>
      <c r="O114" s="13">
        <v>6145</v>
      </c>
      <c r="P114" s="14">
        <v>9893</v>
      </c>
      <c r="Q114" s="14">
        <v>7906</v>
      </c>
      <c r="R114" s="14">
        <v>5678</v>
      </c>
      <c r="S114" s="14">
        <v>5558</v>
      </c>
      <c r="T114" s="14">
        <v>6017</v>
      </c>
      <c r="U114" s="14">
        <v>5747</v>
      </c>
      <c r="V114" s="14">
        <v>7167</v>
      </c>
      <c r="W114" s="14">
        <v>7830</v>
      </c>
      <c r="X114" s="14">
        <v>6319</v>
      </c>
      <c r="Y114" s="14">
        <v>6715</v>
      </c>
      <c r="Z114" s="14">
        <v>6093</v>
      </c>
      <c r="AA114" s="14">
        <v>7523</v>
      </c>
      <c r="AB114" s="14">
        <v>7458</v>
      </c>
      <c r="AC114" s="14">
        <v>6606</v>
      </c>
      <c r="AD114" s="14">
        <v>6843</v>
      </c>
      <c r="AE114" s="14">
        <v>6715</v>
      </c>
      <c r="AF114" s="14">
        <v>7830</v>
      </c>
      <c r="AG114" s="14">
        <v>7830</v>
      </c>
      <c r="AH114" s="14">
        <v>7830</v>
      </c>
      <c r="AI114" s="14">
        <v>15073</v>
      </c>
      <c r="AJ114" s="14">
        <v>18120</v>
      </c>
      <c r="AK114" s="14">
        <v>15073</v>
      </c>
      <c r="AL114" s="14">
        <v>16909</v>
      </c>
      <c r="AM114" s="14">
        <v>20239</v>
      </c>
      <c r="AN114" s="14">
        <v>20742</v>
      </c>
      <c r="AO114" s="14">
        <v>20961</v>
      </c>
      <c r="AP114" s="14">
        <v>20641</v>
      </c>
      <c r="AQ114" s="14">
        <v>20191</v>
      </c>
      <c r="AR114" s="14">
        <v>21102</v>
      </c>
      <c r="AS114" s="14">
        <v>14786</v>
      </c>
      <c r="AT114" s="14">
        <v>14786</v>
      </c>
      <c r="AU114" s="14">
        <v>14786</v>
      </c>
      <c r="AV114" s="14">
        <v>21700</v>
      </c>
      <c r="AW114" s="14">
        <v>7701</v>
      </c>
      <c r="AX114" s="14">
        <v>7701</v>
      </c>
      <c r="AY114" s="14">
        <v>20311</v>
      </c>
      <c r="AZ114" s="14"/>
      <c r="BA114" s="14">
        <v>14968</v>
      </c>
      <c r="BB114" s="14">
        <v>20257</v>
      </c>
      <c r="BC114" s="14">
        <v>7202</v>
      </c>
      <c r="BD114" s="14">
        <v>21422</v>
      </c>
      <c r="BE114" s="14">
        <v>22226</v>
      </c>
      <c r="BF114" s="14">
        <v>21854</v>
      </c>
      <c r="BG114" s="14">
        <v>10260</v>
      </c>
      <c r="BH114" s="14">
        <v>8634</v>
      </c>
      <c r="BI114" s="14">
        <v>6636</v>
      </c>
      <c r="BJ114" s="14">
        <v>10877</v>
      </c>
      <c r="BK114" s="15">
        <v>10877</v>
      </c>
      <c r="BM114" s="10" t="s">
        <v>10</v>
      </c>
      <c r="BN114" s="35" t="s">
        <v>73</v>
      </c>
      <c r="BO114" s="11"/>
      <c r="BP114" s="13"/>
      <c r="BQ114" s="13">
        <v>1925.4</v>
      </c>
      <c r="BR114" s="13"/>
      <c r="BS114" s="13">
        <v>63</v>
      </c>
      <c r="BT114" s="13">
        <v>1636.8</v>
      </c>
      <c r="BU114" s="13"/>
      <c r="BV114" s="13"/>
      <c r="BW114" s="13">
        <v>543.29999999999995</v>
      </c>
      <c r="BX114" s="12"/>
      <c r="BY114" s="13">
        <v>970.9</v>
      </c>
      <c r="BZ114" s="13"/>
      <c r="CA114" s="13">
        <v>458.8</v>
      </c>
      <c r="CB114" s="14">
        <v>441.9</v>
      </c>
      <c r="CC114" s="14">
        <v>51.7</v>
      </c>
      <c r="CD114" s="14"/>
      <c r="CE114" s="14"/>
      <c r="CF114" s="14"/>
      <c r="CG114" s="14">
        <v>190.1</v>
      </c>
      <c r="CH114" s="14">
        <v>311.89999999999998</v>
      </c>
      <c r="CI114" s="14">
        <v>495.4</v>
      </c>
      <c r="CJ114" s="14"/>
      <c r="CK114" s="14">
        <v>142.80000000000001</v>
      </c>
      <c r="CL114" s="14">
        <v>252.5</v>
      </c>
      <c r="CM114" s="14">
        <v>71.3</v>
      </c>
      <c r="CN114" s="14">
        <v>146</v>
      </c>
      <c r="CO114" s="14">
        <v>354.6</v>
      </c>
      <c r="CP114" s="14"/>
      <c r="CQ114" s="14"/>
      <c r="CR114" s="14">
        <v>931.2</v>
      </c>
      <c r="CS114" s="14">
        <v>745.4</v>
      </c>
      <c r="CT114" s="14">
        <v>522.4</v>
      </c>
      <c r="CU114" s="14">
        <v>1374.6</v>
      </c>
      <c r="CV114" s="14"/>
      <c r="CW114" s="14">
        <v>857.3</v>
      </c>
      <c r="CX114" s="14"/>
      <c r="CY114" s="14"/>
      <c r="CZ114" s="14"/>
      <c r="DA114" s="14">
        <v>162.69999999999999</v>
      </c>
      <c r="DB114" s="14"/>
      <c r="DC114" s="14"/>
      <c r="DD114" s="14"/>
      <c r="DE114" s="14"/>
      <c r="DF114" s="14">
        <v>1855.4</v>
      </c>
      <c r="DG114" s="14">
        <v>996.5</v>
      </c>
      <c r="DH114" s="14">
        <v>33.799999999999997</v>
      </c>
      <c r="DI114" s="14">
        <v>701.9</v>
      </c>
      <c r="DJ114" s="14">
        <v>4701.1000000000004</v>
      </c>
      <c r="DK114" s="14"/>
      <c r="DL114" s="14"/>
      <c r="DM114" s="14">
        <v>483.6</v>
      </c>
      <c r="DN114" s="14"/>
      <c r="DO114" s="14"/>
      <c r="DP114" s="14"/>
      <c r="DQ114" s="14">
        <v>121.2</v>
      </c>
      <c r="DR114" s="14"/>
      <c r="DS114" s="14">
        <v>778.9</v>
      </c>
      <c r="DT114" s="14">
        <v>11.8</v>
      </c>
      <c r="DU114" s="14">
        <v>503.6</v>
      </c>
      <c r="DV114" s="14">
        <v>114</v>
      </c>
      <c r="DW114" s="15">
        <v>1147</v>
      </c>
      <c r="DY114" s="10" t="s">
        <v>10</v>
      </c>
      <c r="DZ114" s="35" t="s">
        <v>73</v>
      </c>
      <c r="EA114" s="11"/>
      <c r="EB114" s="13"/>
      <c r="EC114" s="13">
        <v>2197.1999999999998</v>
      </c>
      <c r="ED114" s="13"/>
      <c r="EE114" s="13">
        <v>64.400000000000006</v>
      </c>
      <c r="EF114" s="13">
        <v>2958.2</v>
      </c>
      <c r="EG114" s="13"/>
      <c r="EH114" s="13"/>
      <c r="EI114" s="13">
        <v>535.6</v>
      </c>
      <c r="EJ114" s="12"/>
      <c r="EK114" s="13"/>
      <c r="EL114" s="13"/>
      <c r="EM114" s="13"/>
      <c r="EN114" s="14"/>
      <c r="EO114" s="14"/>
      <c r="EP114" s="14"/>
      <c r="EQ114" s="14"/>
      <c r="ER114" s="14"/>
      <c r="ES114" s="14">
        <v>226.7</v>
      </c>
      <c r="ET114" s="14">
        <v>319.5</v>
      </c>
      <c r="EU114" s="14">
        <v>513.79999999999995</v>
      </c>
      <c r="EV114" s="14"/>
      <c r="EW114" s="14">
        <v>135.5</v>
      </c>
      <c r="EX114" s="14">
        <v>263.10000000000002</v>
      </c>
      <c r="EY114" s="14">
        <v>77.900000000000006</v>
      </c>
      <c r="EZ114" s="14">
        <v>141.30000000000001</v>
      </c>
      <c r="FA114" s="14">
        <v>389.7</v>
      </c>
      <c r="FB114" s="14"/>
      <c r="FC114" s="14"/>
      <c r="FD114" s="14">
        <v>994.9</v>
      </c>
      <c r="FE114" s="14">
        <v>960.9</v>
      </c>
      <c r="FF114" s="14">
        <v>624.5</v>
      </c>
      <c r="FG114" s="14">
        <v>1386.2</v>
      </c>
      <c r="FH114" s="14"/>
      <c r="FI114" s="14">
        <v>982.6</v>
      </c>
      <c r="FJ114" s="14"/>
      <c r="FK114" s="14"/>
      <c r="FL114" s="14"/>
      <c r="FM114" s="14">
        <v>154.6</v>
      </c>
      <c r="FN114" s="14"/>
      <c r="FO114" s="14"/>
      <c r="FP114" s="14"/>
      <c r="FQ114" s="14"/>
      <c r="FR114" s="14"/>
      <c r="FS114" s="14"/>
      <c r="FT114" s="14">
        <v>43.9</v>
      </c>
      <c r="FU114" s="14">
        <f t="shared" ref="FU114:FU122" si="4">3.8+641.3</f>
        <v>645.09999999999991</v>
      </c>
      <c r="FV114" s="14">
        <f t="shared" ref="FV114:FV122" si="5">3305.4+1080.8</f>
        <v>4386.2</v>
      </c>
      <c r="FW114" s="14"/>
      <c r="FX114" s="14"/>
      <c r="FY114" s="14">
        <v>462.7</v>
      </c>
      <c r="FZ114" s="14"/>
      <c r="GA114" s="14"/>
      <c r="GB114" s="14"/>
      <c r="GC114" s="14">
        <v>116.6</v>
      </c>
      <c r="GD114" s="14"/>
      <c r="GE114" s="14">
        <v>965.1</v>
      </c>
      <c r="GF114" s="14"/>
      <c r="GG114" s="14"/>
      <c r="GH114" s="14"/>
      <c r="GI114" s="15"/>
    </row>
    <row r="115" spans="1:191" x14ac:dyDescent="0.3">
      <c r="A115" s="10" t="s">
        <v>11</v>
      </c>
      <c r="B115" s="35" t="s">
        <v>12</v>
      </c>
      <c r="C115" s="11">
        <v>9742</v>
      </c>
      <c r="D115" s="13">
        <v>10117</v>
      </c>
      <c r="E115" s="13">
        <v>11171</v>
      </c>
      <c r="F115" s="13">
        <v>15422</v>
      </c>
      <c r="G115" s="13">
        <v>11045</v>
      </c>
      <c r="H115" s="13">
        <v>2152</v>
      </c>
      <c r="I115" s="13">
        <v>233</v>
      </c>
      <c r="J115" s="13">
        <v>2152</v>
      </c>
      <c r="K115" s="13">
        <v>13427</v>
      </c>
      <c r="L115" s="13">
        <v>13427</v>
      </c>
      <c r="M115" s="12"/>
      <c r="N115" s="13">
        <v>0</v>
      </c>
      <c r="O115" s="13">
        <v>10130</v>
      </c>
      <c r="P115" s="14">
        <v>15383</v>
      </c>
      <c r="Q115" s="14">
        <v>13396</v>
      </c>
      <c r="R115" s="14">
        <v>16303</v>
      </c>
      <c r="S115" s="14">
        <v>15927</v>
      </c>
      <c r="T115" s="14">
        <v>16335</v>
      </c>
      <c r="U115" s="14">
        <v>16064</v>
      </c>
      <c r="V115" s="14">
        <v>16807</v>
      </c>
      <c r="W115" s="14">
        <v>18581</v>
      </c>
      <c r="X115" s="14">
        <v>16879</v>
      </c>
      <c r="Y115" s="14">
        <v>17340</v>
      </c>
      <c r="Z115" s="14">
        <v>16411</v>
      </c>
      <c r="AA115" s="14">
        <v>17200</v>
      </c>
      <c r="AB115" s="14">
        <v>17098</v>
      </c>
      <c r="AC115" s="14">
        <v>16246</v>
      </c>
      <c r="AD115" s="14">
        <v>16483</v>
      </c>
      <c r="AE115" s="14">
        <v>17340</v>
      </c>
      <c r="AF115" s="14">
        <v>18581</v>
      </c>
      <c r="AG115" s="14">
        <v>18581</v>
      </c>
      <c r="AH115" s="14">
        <v>18581</v>
      </c>
      <c r="AI115" s="14">
        <v>17618</v>
      </c>
      <c r="AJ115" s="14">
        <v>16164</v>
      </c>
      <c r="AK115" s="14">
        <v>17618</v>
      </c>
      <c r="AL115" s="14">
        <v>16046</v>
      </c>
      <c r="AM115" s="14">
        <v>7912</v>
      </c>
      <c r="AN115" s="14">
        <v>8434</v>
      </c>
      <c r="AO115" s="14">
        <v>8554</v>
      </c>
      <c r="AP115" s="14">
        <v>13597</v>
      </c>
      <c r="AQ115" s="14">
        <v>12627</v>
      </c>
      <c r="AR115" s="14">
        <v>15601</v>
      </c>
      <c r="AS115" s="14">
        <v>19461</v>
      </c>
      <c r="AT115" s="14">
        <v>19461</v>
      </c>
      <c r="AU115" s="14">
        <v>19461</v>
      </c>
      <c r="AV115" s="14">
        <v>9310</v>
      </c>
      <c r="AW115" s="14">
        <v>18326</v>
      </c>
      <c r="AX115" s="14">
        <v>18326</v>
      </c>
      <c r="AY115" s="14">
        <v>7893</v>
      </c>
      <c r="AZ115" s="14"/>
      <c r="BA115" s="14">
        <v>20489</v>
      </c>
      <c r="BB115" s="14">
        <v>13286</v>
      </c>
      <c r="BC115" s="14">
        <v>17827</v>
      </c>
      <c r="BD115" s="14">
        <v>10660</v>
      </c>
      <c r="BE115" s="14">
        <v>9817</v>
      </c>
      <c r="BF115" s="14">
        <v>9464</v>
      </c>
      <c r="BG115" s="14">
        <v>19899</v>
      </c>
      <c r="BH115" s="14">
        <v>18274</v>
      </c>
      <c r="BI115" s="14">
        <v>7697</v>
      </c>
      <c r="BJ115" s="14">
        <v>11009</v>
      </c>
      <c r="BK115" s="15">
        <v>11009</v>
      </c>
      <c r="BM115" s="10" t="s">
        <v>11</v>
      </c>
      <c r="BN115" s="35" t="s">
        <v>12</v>
      </c>
      <c r="BO115" s="11">
        <f>970.9</f>
        <v>970.9</v>
      </c>
      <c r="BP115" s="13">
        <f>970.9</f>
        <v>970.9</v>
      </c>
      <c r="BQ115" s="13">
        <f>970.9+1925.4</f>
        <v>2896.3</v>
      </c>
      <c r="BR115" s="13">
        <f>970.9</f>
        <v>970.9</v>
      </c>
      <c r="BS115" s="13">
        <f>970.9+63</f>
        <v>1033.9000000000001</v>
      </c>
      <c r="BT115" s="13">
        <f>970.9+1636.8</f>
        <v>2607.6999999999998</v>
      </c>
      <c r="BU115" s="13">
        <f>970.9</f>
        <v>970.9</v>
      </c>
      <c r="BV115" s="13">
        <f>970.9</f>
        <v>970.9</v>
      </c>
      <c r="BW115" s="13">
        <f>970.9+543.3</f>
        <v>1514.1999999999998</v>
      </c>
      <c r="BX115" s="13">
        <f>970.9</f>
        <v>970.9</v>
      </c>
      <c r="BY115" s="12"/>
      <c r="BZ115" s="13">
        <f>970.9</f>
        <v>970.9</v>
      </c>
      <c r="CA115" s="13">
        <f>970.9+458.8</f>
        <v>1429.7</v>
      </c>
      <c r="CB115" s="14">
        <f>970.9+441.9</f>
        <v>1412.8</v>
      </c>
      <c r="CC115" s="14">
        <f>970.9+51.7</f>
        <v>1022.6</v>
      </c>
      <c r="CD115" s="14">
        <f>970.9</f>
        <v>970.9</v>
      </c>
      <c r="CE115" s="14">
        <f>970.9</f>
        <v>970.9</v>
      </c>
      <c r="CF115" s="14">
        <f>970.9</f>
        <v>970.9</v>
      </c>
      <c r="CG115" s="14">
        <f>970.9+190.1</f>
        <v>1161</v>
      </c>
      <c r="CH115" s="14">
        <f>970.9+311.9</f>
        <v>1282.8</v>
      </c>
      <c r="CI115" s="14">
        <f>970.9+495.4</f>
        <v>1466.3</v>
      </c>
      <c r="CJ115" s="14">
        <f>970.9</f>
        <v>970.9</v>
      </c>
      <c r="CK115" s="14">
        <f>970.9+142.8</f>
        <v>1113.7</v>
      </c>
      <c r="CL115" s="14">
        <f>970.9+252.5</f>
        <v>1223.4000000000001</v>
      </c>
      <c r="CM115" s="14">
        <f>970.9+71.3</f>
        <v>1042.2</v>
      </c>
      <c r="CN115" s="14">
        <f>970.9+146</f>
        <v>1116.9000000000001</v>
      </c>
      <c r="CO115" s="14">
        <f>970.9+354.6</f>
        <v>1325.5</v>
      </c>
      <c r="CP115" s="14">
        <f>970.9</f>
        <v>970.9</v>
      </c>
      <c r="CQ115" s="14">
        <f>970.9</f>
        <v>970.9</v>
      </c>
      <c r="CR115" s="14">
        <f>970.9+931.2</f>
        <v>1902.1</v>
      </c>
      <c r="CS115" s="14">
        <f>970.9+745.4</f>
        <v>1716.3</v>
      </c>
      <c r="CT115" s="14">
        <f>970.9+522.4</f>
        <v>1493.3</v>
      </c>
      <c r="CU115" s="14">
        <f>970.9+1374.6</f>
        <v>2345.5</v>
      </c>
      <c r="CV115" s="14">
        <f>970.9</f>
        <v>970.9</v>
      </c>
      <c r="CW115" s="14">
        <f>970.9+857.3</f>
        <v>1828.1999999999998</v>
      </c>
      <c r="CX115" s="14">
        <f>970.9</f>
        <v>970.9</v>
      </c>
      <c r="CY115" s="14">
        <f>970.9</f>
        <v>970.9</v>
      </c>
      <c r="CZ115" s="14">
        <f>970.9</f>
        <v>970.9</v>
      </c>
      <c r="DA115" s="14">
        <f>970.9+162.7</f>
        <v>1133.5999999999999</v>
      </c>
      <c r="DB115" s="14">
        <f>970.9</f>
        <v>970.9</v>
      </c>
      <c r="DC115" s="14">
        <f>970.9</f>
        <v>970.9</v>
      </c>
      <c r="DD115" s="14">
        <f>970.9</f>
        <v>970.9</v>
      </c>
      <c r="DE115" s="14">
        <f>970.9</f>
        <v>970.9</v>
      </c>
      <c r="DF115" s="14">
        <f>970.9+1855.4</f>
        <v>2826.3</v>
      </c>
      <c r="DG115" s="14">
        <f>970.9+996.5</f>
        <v>1967.4</v>
      </c>
      <c r="DH115" s="14">
        <f>970.9+33.8</f>
        <v>1004.6999999999999</v>
      </c>
      <c r="DI115" s="14">
        <f>970.9+701.9</f>
        <v>1672.8</v>
      </c>
      <c r="DJ115" s="14">
        <f>970.9+4701.1</f>
        <v>5672</v>
      </c>
      <c r="DK115" s="14">
        <f>970.9</f>
        <v>970.9</v>
      </c>
      <c r="DL115" s="14">
        <f>970.9</f>
        <v>970.9</v>
      </c>
      <c r="DM115" s="14">
        <f>970.9+483.6</f>
        <v>1454.5</v>
      </c>
      <c r="DN115" s="14">
        <f>970.9</f>
        <v>970.9</v>
      </c>
      <c r="DO115" s="14">
        <f>970.9</f>
        <v>970.9</v>
      </c>
      <c r="DP115" s="14">
        <f>970.9</f>
        <v>970.9</v>
      </c>
      <c r="DQ115" s="14">
        <f>970.9+121.2</f>
        <v>1092.0999999999999</v>
      </c>
      <c r="DR115" s="14">
        <f>970.9</f>
        <v>970.9</v>
      </c>
      <c r="DS115" s="14">
        <f>970.9+778.9</f>
        <v>1749.8</v>
      </c>
      <c r="DT115" s="14">
        <f>970.9+11.8</f>
        <v>982.69999999999993</v>
      </c>
      <c r="DU115" s="14">
        <f>970.9+503.6</f>
        <v>1474.5</v>
      </c>
      <c r="DV115" s="14">
        <f>970.9+114</f>
        <v>1084.9000000000001</v>
      </c>
      <c r="DW115" s="15">
        <f>970.9+1147</f>
        <v>2117.9</v>
      </c>
      <c r="DY115" s="10" t="s">
        <v>11</v>
      </c>
      <c r="DZ115" s="35" t="s">
        <v>12</v>
      </c>
      <c r="EA115" s="11"/>
      <c r="EB115" s="13"/>
      <c r="EC115" s="13">
        <v>2197.1999999999998</v>
      </c>
      <c r="ED115" s="13"/>
      <c r="EE115" s="13">
        <v>64.400000000000006</v>
      </c>
      <c r="EF115" s="13">
        <v>2958.2</v>
      </c>
      <c r="EG115" s="13"/>
      <c r="EH115" s="13"/>
      <c r="EI115" s="13">
        <v>535.6</v>
      </c>
      <c r="EJ115" s="13"/>
      <c r="EK115" s="12"/>
      <c r="EL115" s="13"/>
      <c r="EM115" s="13"/>
      <c r="EN115" s="14"/>
      <c r="EO115" s="14"/>
      <c r="EP115" s="14"/>
      <c r="EQ115" s="14"/>
      <c r="ER115" s="14"/>
      <c r="ES115" s="14">
        <v>226.7</v>
      </c>
      <c r="ET115" s="14">
        <v>319.5</v>
      </c>
      <c r="EU115" s="14">
        <v>513.79999999999995</v>
      </c>
      <c r="EV115" s="14"/>
      <c r="EW115" s="14">
        <v>135.5</v>
      </c>
      <c r="EX115" s="14">
        <v>263.10000000000002</v>
      </c>
      <c r="EY115" s="14">
        <v>77.900000000000006</v>
      </c>
      <c r="EZ115" s="14">
        <v>141.30000000000001</v>
      </c>
      <c r="FA115" s="14">
        <v>389.7</v>
      </c>
      <c r="FB115" s="14"/>
      <c r="FC115" s="14"/>
      <c r="FD115" s="14">
        <v>994.9</v>
      </c>
      <c r="FE115" s="14">
        <v>960.9</v>
      </c>
      <c r="FF115" s="14">
        <v>624.5</v>
      </c>
      <c r="FG115" s="14">
        <v>1386.2</v>
      </c>
      <c r="FH115" s="14"/>
      <c r="FI115" s="14">
        <v>982.6</v>
      </c>
      <c r="FJ115" s="14"/>
      <c r="FK115" s="14"/>
      <c r="FL115" s="14"/>
      <c r="FM115" s="14">
        <v>154.6</v>
      </c>
      <c r="FN115" s="14"/>
      <c r="FO115" s="14"/>
      <c r="FP115" s="14"/>
      <c r="FQ115" s="14"/>
      <c r="FR115" s="14"/>
      <c r="FS115" s="14"/>
      <c r="FT115" s="14">
        <v>43.9</v>
      </c>
      <c r="FU115" s="14">
        <f t="shared" si="4"/>
        <v>645.09999999999991</v>
      </c>
      <c r="FV115" s="14">
        <f t="shared" si="5"/>
        <v>4386.2</v>
      </c>
      <c r="FW115" s="14"/>
      <c r="FX115" s="14"/>
      <c r="FY115" s="14">
        <v>462.7</v>
      </c>
      <c r="FZ115" s="14"/>
      <c r="GA115" s="14"/>
      <c r="GB115" s="14"/>
      <c r="GC115" s="14">
        <v>116.6</v>
      </c>
      <c r="GD115" s="14"/>
      <c r="GE115" s="14">
        <v>965.1</v>
      </c>
      <c r="GF115" s="14"/>
      <c r="GG115" s="14"/>
      <c r="GH115" s="14"/>
      <c r="GI115" s="15"/>
    </row>
    <row r="116" spans="1:191" x14ac:dyDescent="0.3">
      <c r="A116" s="10" t="s">
        <v>12</v>
      </c>
      <c r="B116" s="35" t="s">
        <v>73</v>
      </c>
      <c r="C116" s="11">
        <v>9742</v>
      </c>
      <c r="D116" s="13">
        <v>10117</v>
      </c>
      <c r="E116" s="13">
        <v>11171</v>
      </c>
      <c r="F116" s="13">
        <v>15422</v>
      </c>
      <c r="G116" s="13">
        <v>11045</v>
      </c>
      <c r="H116" s="13">
        <v>2152</v>
      </c>
      <c r="I116" s="13">
        <v>233</v>
      </c>
      <c r="J116" s="13">
        <v>2152</v>
      </c>
      <c r="K116" s="13">
        <v>13427</v>
      </c>
      <c r="L116" s="13">
        <v>13427</v>
      </c>
      <c r="M116" s="13">
        <v>0</v>
      </c>
      <c r="N116" s="12"/>
      <c r="O116" s="13">
        <v>10130</v>
      </c>
      <c r="P116" s="14">
        <v>15383</v>
      </c>
      <c r="Q116" s="14">
        <v>13396</v>
      </c>
      <c r="R116" s="14">
        <v>16303</v>
      </c>
      <c r="S116" s="14">
        <v>15927</v>
      </c>
      <c r="T116" s="14">
        <v>16335</v>
      </c>
      <c r="U116" s="14">
        <v>16064</v>
      </c>
      <c r="V116" s="14">
        <v>16807</v>
      </c>
      <c r="W116" s="14">
        <v>18581</v>
      </c>
      <c r="X116" s="14">
        <v>16879</v>
      </c>
      <c r="Y116" s="14">
        <v>17340</v>
      </c>
      <c r="Z116" s="14">
        <v>16411</v>
      </c>
      <c r="AA116" s="14">
        <v>17200</v>
      </c>
      <c r="AB116" s="14">
        <v>17098</v>
      </c>
      <c r="AC116" s="14">
        <v>16246</v>
      </c>
      <c r="AD116" s="14">
        <v>16483</v>
      </c>
      <c r="AE116" s="14">
        <v>17340</v>
      </c>
      <c r="AF116" s="14">
        <v>18581</v>
      </c>
      <c r="AG116" s="14">
        <v>18581</v>
      </c>
      <c r="AH116" s="14">
        <v>18581</v>
      </c>
      <c r="AI116" s="14">
        <v>17618</v>
      </c>
      <c r="AJ116" s="14">
        <v>16164</v>
      </c>
      <c r="AK116" s="14">
        <v>17618</v>
      </c>
      <c r="AL116" s="14">
        <v>16046</v>
      </c>
      <c r="AM116" s="14">
        <v>7912</v>
      </c>
      <c r="AN116" s="14">
        <v>8434</v>
      </c>
      <c r="AO116" s="14">
        <v>8554</v>
      </c>
      <c r="AP116" s="14">
        <v>13597</v>
      </c>
      <c r="AQ116" s="14">
        <v>12627</v>
      </c>
      <c r="AR116" s="14">
        <v>15601</v>
      </c>
      <c r="AS116" s="14">
        <v>19461</v>
      </c>
      <c r="AT116" s="14">
        <v>19461</v>
      </c>
      <c r="AU116" s="14">
        <v>19461</v>
      </c>
      <c r="AV116" s="14">
        <v>9310</v>
      </c>
      <c r="AW116" s="14">
        <v>18326</v>
      </c>
      <c r="AX116" s="14">
        <v>18326</v>
      </c>
      <c r="AY116" s="14">
        <v>7893</v>
      </c>
      <c r="AZ116" s="14"/>
      <c r="BA116" s="14">
        <v>20489</v>
      </c>
      <c r="BB116" s="14">
        <v>13286</v>
      </c>
      <c r="BC116" s="14">
        <v>17827</v>
      </c>
      <c r="BD116" s="14">
        <v>10660</v>
      </c>
      <c r="BE116" s="14">
        <v>9817</v>
      </c>
      <c r="BF116" s="14">
        <v>9464</v>
      </c>
      <c r="BG116" s="14">
        <v>19899</v>
      </c>
      <c r="BH116" s="14">
        <v>18274</v>
      </c>
      <c r="BI116" s="14">
        <v>7697</v>
      </c>
      <c r="BJ116" s="14">
        <v>11009</v>
      </c>
      <c r="BK116" s="15">
        <v>11009</v>
      </c>
      <c r="BM116" s="10" t="s">
        <v>12</v>
      </c>
      <c r="BN116" s="35" t="s">
        <v>73</v>
      </c>
      <c r="BO116" s="11"/>
      <c r="BP116" s="13"/>
      <c r="BQ116" s="13">
        <v>1925.4</v>
      </c>
      <c r="BR116" s="13"/>
      <c r="BS116" s="13">
        <v>63</v>
      </c>
      <c r="BT116" s="13">
        <v>1636.8</v>
      </c>
      <c r="BU116" s="13"/>
      <c r="BV116" s="13"/>
      <c r="BW116" s="13">
        <v>543.29999999999995</v>
      </c>
      <c r="BX116" s="13"/>
      <c r="BY116" s="13">
        <v>970.9</v>
      </c>
      <c r="BZ116" s="12"/>
      <c r="CA116" s="13">
        <v>458.8</v>
      </c>
      <c r="CB116" s="14">
        <v>441.9</v>
      </c>
      <c r="CC116" s="14">
        <v>51.7</v>
      </c>
      <c r="CD116" s="14"/>
      <c r="CE116" s="14"/>
      <c r="CF116" s="14"/>
      <c r="CG116" s="14">
        <v>190.1</v>
      </c>
      <c r="CH116" s="14">
        <v>311.89999999999998</v>
      </c>
      <c r="CI116" s="14">
        <v>495.4</v>
      </c>
      <c r="CJ116" s="14"/>
      <c r="CK116" s="14">
        <v>142.80000000000001</v>
      </c>
      <c r="CL116" s="14">
        <v>252.5</v>
      </c>
      <c r="CM116" s="14">
        <v>71.3</v>
      </c>
      <c r="CN116" s="14">
        <v>146</v>
      </c>
      <c r="CO116" s="14">
        <v>354.6</v>
      </c>
      <c r="CP116" s="14"/>
      <c r="CQ116" s="14"/>
      <c r="CR116" s="14">
        <v>931.2</v>
      </c>
      <c r="CS116" s="14">
        <v>745.4</v>
      </c>
      <c r="CT116" s="14">
        <v>522.4</v>
      </c>
      <c r="CU116" s="14">
        <v>1374.6</v>
      </c>
      <c r="CV116" s="14"/>
      <c r="CW116" s="14">
        <v>857.3</v>
      </c>
      <c r="CX116" s="14"/>
      <c r="CY116" s="14"/>
      <c r="CZ116" s="14"/>
      <c r="DA116" s="14">
        <v>162.69999999999999</v>
      </c>
      <c r="DB116" s="14"/>
      <c r="DC116" s="14"/>
      <c r="DD116" s="14"/>
      <c r="DE116" s="14"/>
      <c r="DF116" s="14">
        <v>1855.4</v>
      </c>
      <c r="DG116" s="14">
        <v>996.5</v>
      </c>
      <c r="DH116" s="14">
        <v>33.799999999999997</v>
      </c>
      <c r="DI116" s="14">
        <v>701.9</v>
      </c>
      <c r="DJ116" s="14">
        <v>4701.1000000000004</v>
      </c>
      <c r="DK116" s="14"/>
      <c r="DL116" s="14"/>
      <c r="DM116" s="14">
        <v>483.6</v>
      </c>
      <c r="DN116" s="14"/>
      <c r="DO116" s="14"/>
      <c r="DP116" s="14"/>
      <c r="DQ116" s="14">
        <v>121.2</v>
      </c>
      <c r="DR116" s="14"/>
      <c r="DS116" s="14">
        <v>778.9</v>
      </c>
      <c r="DT116" s="14">
        <v>11.8</v>
      </c>
      <c r="DU116" s="14">
        <v>503.6</v>
      </c>
      <c r="DV116" s="14">
        <v>114</v>
      </c>
      <c r="DW116" s="15">
        <v>1147</v>
      </c>
      <c r="DY116" s="10" t="s">
        <v>12</v>
      </c>
      <c r="DZ116" s="35" t="s">
        <v>73</v>
      </c>
      <c r="EA116" s="11"/>
      <c r="EB116" s="13"/>
      <c r="EC116" s="13">
        <v>2197.1999999999998</v>
      </c>
      <c r="ED116" s="13"/>
      <c r="EE116" s="13">
        <v>64.400000000000006</v>
      </c>
      <c r="EF116" s="13">
        <v>2958.2</v>
      </c>
      <c r="EG116" s="13"/>
      <c r="EH116" s="13"/>
      <c r="EI116" s="13">
        <v>535.6</v>
      </c>
      <c r="EJ116" s="13"/>
      <c r="EK116" s="13"/>
      <c r="EL116" s="12"/>
      <c r="EM116" s="13"/>
      <c r="EN116" s="14"/>
      <c r="EO116" s="14"/>
      <c r="EP116" s="14"/>
      <c r="EQ116" s="14"/>
      <c r="ER116" s="14"/>
      <c r="ES116" s="14">
        <v>226.7</v>
      </c>
      <c r="ET116" s="14">
        <v>319.5</v>
      </c>
      <c r="EU116" s="14">
        <v>513.79999999999995</v>
      </c>
      <c r="EV116" s="14"/>
      <c r="EW116" s="14">
        <v>135.5</v>
      </c>
      <c r="EX116" s="14">
        <v>263.10000000000002</v>
      </c>
      <c r="EY116" s="14">
        <v>77.900000000000006</v>
      </c>
      <c r="EZ116" s="14">
        <v>141.30000000000001</v>
      </c>
      <c r="FA116" s="14">
        <v>389.7</v>
      </c>
      <c r="FB116" s="14"/>
      <c r="FC116" s="14"/>
      <c r="FD116" s="14">
        <v>994.9</v>
      </c>
      <c r="FE116" s="14">
        <v>960.9</v>
      </c>
      <c r="FF116" s="14">
        <v>624.5</v>
      </c>
      <c r="FG116" s="14">
        <v>1386.2</v>
      </c>
      <c r="FH116" s="14"/>
      <c r="FI116" s="14">
        <v>982.6</v>
      </c>
      <c r="FJ116" s="14"/>
      <c r="FK116" s="14"/>
      <c r="FL116" s="14"/>
      <c r="FM116" s="14">
        <v>154.6</v>
      </c>
      <c r="FN116" s="14"/>
      <c r="FO116" s="14"/>
      <c r="FP116" s="14"/>
      <c r="FQ116" s="14"/>
      <c r="FR116" s="14"/>
      <c r="FS116" s="14"/>
      <c r="FT116" s="14">
        <v>43.9</v>
      </c>
      <c r="FU116" s="14">
        <f t="shared" si="4"/>
        <v>645.09999999999991</v>
      </c>
      <c r="FV116" s="14">
        <f t="shared" si="5"/>
        <v>4386.2</v>
      </c>
      <c r="FW116" s="14"/>
      <c r="FX116" s="14"/>
      <c r="FY116" s="14">
        <v>462.7</v>
      </c>
      <c r="FZ116" s="14"/>
      <c r="GA116" s="14"/>
      <c r="GB116" s="14"/>
      <c r="GC116" s="14">
        <v>116.6</v>
      </c>
      <c r="GD116" s="14"/>
      <c r="GE116" s="14">
        <v>965.1</v>
      </c>
      <c r="GF116" s="14"/>
      <c r="GG116" s="14"/>
      <c r="GH116" s="14"/>
      <c r="GI116" s="15"/>
    </row>
    <row r="117" spans="1:191" x14ac:dyDescent="0.3">
      <c r="A117" s="10" t="s">
        <v>13</v>
      </c>
      <c r="B117" s="35" t="s">
        <v>76</v>
      </c>
      <c r="C117" s="11">
        <v>1874</v>
      </c>
      <c r="D117" s="13">
        <v>1500</v>
      </c>
      <c r="E117" s="13">
        <v>3626</v>
      </c>
      <c r="F117" s="13">
        <v>8140</v>
      </c>
      <c r="G117" s="13">
        <v>3482</v>
      </c>
      <c r="H117" s="13">
        <v>8077</v>
      </c>
      <c r="I117" s="13">
        <v>10101</v>
      </c>
      <c r="J117" s="13">
        <v>8077</v>
      </c>
      <c r="K117" s="13">
        <v>6145</v>
      </c>
      <c r="L117" s="13">
        <v>6145</v>
      </c>
      <c r="M117" s="13">
        <v>10130</v>
      </c>
      <c r="N117" s="13">
        <v>10130</v>
      </c>
      <c r="O117" s="12"/>
      <c r="P117" s="14">
        <v>9732</v>
      </c>
      <c r="Q117" s="14">
        <v>7745</v>
      </c>
      <c r="R117" s="14">
        <v>9201</v>
      </c>
      <c r="S117" s="14">
        <v>8956</v>
      </c>
      <c r="T117" s="14">
        <v>9377</v>
      </c>
      <c r="U117" s="14">
        <v>9106</v>
      </c>
      <c r="V117" s="14">
        <v>10202</v>
      </c>
      <c r="W117" s="14">
        <v>11977</v>
      </c>
      <c r="X117" s="14">
        <v>9841</v>
      </c>
      <c r="Y117" s="14">
        <v>10238</v>
      </c>
      <c r="Z117" s="14">
        <v>9453</v>
      </c>
      <c r="AA117" s="14">
        <v>10558</v>
      </c>
      <c r="AB117" s="14">
        <v>10493</v>
      </c>
      <c r="AC117" s="14">
        <v>9642</v>
      </c>
      <c r="AD117" s="14">
        <v>9879</v>
      </c>
      <c r="AE117" s="14">
        <v>10238</v>
      </c>
      <c r="AF117" s="14">
        <v>11977</v>
      </c>
      <c r="AG117" s="14">
        <v>11977</v>
      </c>
      <c r="AH117" s="14">
        <v>11977</v>
      </c>
      <c r="AI117" s="14">
        <v>18109</v>
      </c>
      <c r="AJ117" s="14">
        <v>21155</v>
      </c>
      <c r="AK117" s="14">
        <v>18109</v>
      </c>
      <c r="AL117" s="14">
        <v>19944</v>
      </c>
      <c r="AM117" s="14">
        <v>16942</v>
      </c>
      <c r="AN117" s="14">
        <v>17446</v>
      </c>
      <c r="AO117" s="14">
        <v>17664</v>
      </c>
      <c r="AP117" s="14">
        <v>17344</v>
      </c>
      <c r="AQ117" s="14">
        <v>16894</v>
      </c>
      <c r="AR117" s="14">
        <v>20013</v>
      </c>
      <c r="AS117" s="14">
        <v>17822</v>
      </c>
      <c r="AT117" s="14">
        <v>17822</v>
      </c>
      <c r="AU117" s="14">
        <v>17822</v>
      </c>
      <c r="AV117" s="14">
        <v>18403</v>
      </c>
      <c r="AW117" s="14">
        <v>11223</v>
      </c>
      <c r="AX117" s="14">
        <v>11223</v>
      </c>
      <c r="AY117" s="14">
        <v>17014</v>
      </c>
      <c r="AZ117" s="14"/>
      <c r="BA117" s="14">
        <v>18003</v>
      </c>
      <c r="BB117" s="14">
        <v>22285</v>
      </c>
      <c r="BC117" s="14">
        <v>10725</v>
      </c>
      <c r="BD117" s="14">
        <v>19715</v>
      </c>
      <c r="BE117" s="14">
        <v>18929</v>
      </c>
      <c r="BF117" s="14">
        <v>18557</v>
      </c>
      <c r="BG117" s="14">
        <v>13296</v>
      </c>
      <c r="BH117" s="14">
        <v>16670</v>
      </c>
      <c r="BI117" s="14">
        <v>3339</v>
      </c>
      <c r="BJ117" s="14">
        <v>7580</v>
      </c>
      <c r="BK117" s="15">
        <v>7580</v>
      </c>
      <c r="BM117" s="10" t="s">
        <v>13</v>
      </c>
      <c r="BN117" s="35" t="s">
        <v>76</v>
      </c>
      <c r="BO117" s="11">
        <f>458.8</f>
        <v>458.8</v>
      </c>
      <c r="BP117" s="13">
        <f>458.8</f>
        <v>458.8</v>
      </c>
      <c r="BQ117" s="13">
        <f>458.8+1925.4</f>
        <v>2384.2000000000003</v>
      </c>
      <c r="BR117" s="13">
        <f>458.8</f>
        <v>458.8</v>
      </c>
      <c r="BS117" s="13">
        <f>458.8+63</f>
        <v>521.79999999999995</v>
      </c>
      <c r="BT117" s="13">
        <f>458.8+1636.8</f>
        <v>2095.6</v>
      </c>
      <c r="BU117" s="13">
        <f>458.8</f>
        <v>458.8</v>
      </c>
      <c r="BV117" s="13">
        <f>458.8</f>
        <v>458.8</v>
      </c>
      <c r="BW117" s="13">
        <f>458.8+543.3</f>
        <v>1002.0999999999999</v>
      </c>
      <c r="BX117" s="13">
        <f>458.8</f>
        <v>458.8</v>
      </c>
      <c r="BY117" s="13">
        <f>458.8+970.9</f>
        <v>1429.7</v>
      </c>
      <c r="BZ117" s="13">
        <f>458.8</f>
        <v>458.8</v>
      </c>
      <c r="CA117" s="12"/>
      <c r="CB117" s="14">
        <f>458.8+441.9</f>
        <v>900.7</v>
      </c>
      <c r="CC117" s="14">
        <f>458.8+51.7</f>
        <v>510.5</v>
      </c>
      <c r="CD117" s="14">
        <f>458.8</f>
        <v>458.8</v>
      </c>
      <c r="CE117" s="14">
        <f>458.8</f>
        <v>458.8</v>
      </c>
      <c r="CF117" s="14">
        <f>458.8</f>
        <v>458.8</v>
      </c>
      <c r="CG117" s="14">
        <f>458.8+190.1</f>
        <v>648.9</v>
      </c>
      <c r="CH117" s="14">
        <f>458.8+311.9</f>
        <v>770.7</v>
      </c>
      <c r="CI117" s="14">
        <f>458.8+495.4</f>
        <v>954.2</v>
      </c>
      <c r="CJ117" s="14">
        <f>458.8</f>
        <v>458.8</v>
      </c>
      <c r="CK117" s="14">
        <f>458.8+142.8</f>
        <v>601.6</v>
      </c>
      <c r="CL117" s="14">
        <f>458.8+252.5</f>
        <v>711.3</v>
      </c>
      <c r="CM117" s="14">
        <f>458.8+71.3</f>
        <v>530.1</v>
      </c>
      <c r="CN117" s="14">
        <f>458.8+146</f>
        <v>604.79999999999995</v>
      </c>
      <c r="CO117" s="14">
        <f>458.8+354.6</f>
        <v>813.40000000000009</v>
      </c>
      <c r="CP117" s="14">
        <f>458.8</f>
        <v>458.8</v>
      </c>
      <c r="CQ117" s="14">
        <f>458.8</f>
        <v>458.8</v>
      </c>
      <c r="CR117" s="14">
        <f>458.8+931.2</f>
        <v>1390</v>
      </c>
      <c r="CS117" s="14">
        <f>458.8+745.4</f>
        <v>1204.2</v>
      </c>
      <c r="CT117" s="14">
        <f>458.8+522.4</f>
        <v>981.2</v>
      </c>
      <c r="CU117" s="14">
        <f>458.8+1374.6</f>
        <v>1833.3999999999999</v>
      </c>
      <c r="CV117" s="14">
        <f>458.8</f>
        <v>458.8</v>
      </c>
      <c r="CW117" s="14">
        <f>458.8+857.3</f>
        <v>1316.1</v>
      </c>
      <c r="CX117" s="14">
        <f>458.8</f>
        <v>458.8</v>
      </c>
      <c r="CY117" s="14">
        <f>458.8</f>
        <v>458.8</v>
      </c>
      <c r="CZ117" s="14">
        <f>458.8</f>
        <v>458.8</v>
      </c>
      <c r="DA117" s="14">
        <f>458.8+162.7</f>
        <v>621.5</v>
      </c>
      <c r="DB117" s="14">
        <f>458.8</f>
        <v>458.8</v>
      </c>
      <c r="DC117" s="14">
        <f>458.8</f>
        <v>458.8</v>
      </c>
      <c r="DD117" s="14">
        <f>458.8</f>
        <v>458.8</v>
      </c>
      <c r="DE117" s="14">
        <f>458.8</f>
        <v>458.8</v>
      </c>
      <c r="DF117" s="14">
        <f>458.8+1855.4</f>
        <v>2314.2000000000003</v>
      </c>
      <c r="DG117" s="14">
        <f>458.8+996.5</f>
        <v>1455.3</v>
      </c>
      <c r="DH117" s="14">
        <f>458.8+33.8</f>
        <v>492.6</v>
      </c>
      <c r="DI117" s="14">
        <f>458.8+701.9</f>
        <v>1160.7</v>
      </c>
      <c r="DJ117" s="14">
        <f>458.8+4701.1</f>
        <v>5159.9000000000005</v>
      </c>
      <c r="DK117" s="14">
        <f>458.8</f>
        <v>458.8</v>
      </c>
      <c r="DL117" s="14">
        <f>458.8</f>
        <v>458.8</v>
      </c>
      <c r="DM117" s="14">
        <f>458.8+483.6</f>
        <v>942.40000000000009</v>
      </c>
      <c r="DN117" s="14">
        <f>458.8</f>
        <v>458.8</v>
      </c>
      <c r="DO117" s="14">
        <f>458.8</f>
        <v>458.8</v>
      </c>
      <c r="DP117" s="14">
        <f>458.8</f>
        <v>458.8</v>
      </c>
      <c r="DQ117" s="14">
        <f>458.8+121.2</f>
        <v>580</v>
      </c>
      <c r="DR117" s="14">
        <f>458.8</f>
        <v>458.8</v>
      </c>
      <c r="DS117" s="14">
        <f>458.8+778.9</f>
        <v>1237.7</v>
      </c>
      <c r="DT117" s="14">
        <f>458.8+11.8</f>
        <v>470.6</v>
      </c>
      <c r="DU117" s="14">
        <f>458.8+503.6</f>
        <v>962.40000000000009</v>
      </c>
      <c r="DV117" s="14">
        <f>458.8+114</f>
        <v>572.79999999999995</v>
      </c>
      <c r="DW117" s="15">
        <f>458.8+1147</f>
        <v>1605.8</v>
      </c>
      <c r="DY117" s="10" t="s">
        <v>13</v>
      </c>
      <c r="DZ117" s="35" t="s">
        <v>76</v>
      </c>
      <c r="EA117" s="11"/>
      <c r="EB117" s="13"/>
      <c r="EC117" s="13">
        <v>2197.1999999999998</v>
      </c>
      <c r="ED117" s="13"/>
      <c r="EE117" s="13">
        <v>64.400000000000006</v>
      </c>
      <c r="EF117" s="13">
        <v>2958.2</v>
      </c>
      <c r="EG117" s="13"/>
      <c r="EH117" s="13"/>
      <c r="EI117" s="13">
        <v>535.6</v>
      </c>
      <c r="EJ117" s="13"/>
      <c r="EK117" s="13"/>
      <c r="EL117" s="13"/>
      <c r="EM117" s="12"/>
      <c r="EN117" s="14"/>
      <c r="EO117" s="14"/>
      <c r="EP117" s="14"/>
      <c r="EQ117" s="14"/>
      <c r="ER117" s="14"/>
      <c r="ES117" s="14">
        <v>226.7</v>
      </c>
      <c r="ET117" s="14">
        <v>319.5</v>
      </c>
      <c r="EU117" s="14">
        <v>513.79999999999995</v>
      </c>
      <c r="EV117" s="14"/>
      <c r="EW117" s="14">
        <v>135.5</v>
      </c>
      <c r="EX117" s="14">
        <v>263.10000000000002</v>
      </c>
      <c r="EY117" s="14">
        <v>77.900000000000006</v>
      </c>
      <c r="EZ117" s="14">
        <v>141.30000000000001</v>
      </c>
      <c r="FA117" s="14">
        <v>389.7</v>
      </c>
      <c r="FB117" s="14"/>
      <c r="FC117" s="14"/>
      <c r="FD117" s="14">
        <v>994.9</v>
      </c>
      <c r="FE117" s="14">
        <v>960.9</v>
      </c>
      <c r="FF117" s="14">
        <v>624.5</v>
      </c>
      <c r="FG117" s="14">
        <v>1386.2</v>
      </c>
      <c r="FH117" s="14"/>
      <c r="FI117" s="14">
        <v>982.6</v>
      </c>
      <c r="FJ117" s="14"/>
      <c r="FK117" s="14"/>
      <c r="FL117" s="14"/>
      <c r="FM117" s="14">
        <v>154.6</v>
      </c>
      <c r="FN117" s="14"/>
      <c r="FO117" s="14"/>
      <c r="FP117" s="14"/>
      <c r="FQ117" s="14"/>
      <c r="FR117" s="14"/>
      <c r="FS117" s="14"/>
      <c r="FT117" s="14">
        <v>43.9</v>
      </c>
      <c r="FU117" s="14">
        <f t="shared" si="4"/>
        <v>645.09999999999991</v>
      </c>
      <c r="FV117" s="14">
        <f t="shared" si="5"/>
        <v>4386.2</v>
      </c>
      <c r="FW117" s="14"/>
      <c r="FX117" s="14"/>
      <c r="FY117" s="14">
        <v>462.7</v>
      </c>
      <c r="FZ117" s="14"/>
      <c r="GA117" s="14"/>
      <c r="GB117" s="14"/>
      <c r="GC117" s="14">
        <v>116.6</v>
      </c>
      <c r="GD117" s="14"/>
      <c r="GE117" s="14">
        <v>965.1</v>
      </c>
      <c r="GF117" s="14"/>
      <c r="GG117" s="14"/>
      <c r="GH117" s="14"/>
      <c r="GI117" s="15"/>
    </row>
    <row r="118" spans="1:191" x14ac:dyDescent="0.3">
      <c r="A118" s="10" t="s">
        <v>14</v>
      </c>
      <c r="B118" s="35" t="s">
        <v>77</v>
      </c>
      <c r="C118" s="16">
        <v>8830</v>
      </c>
      <c r="D118" s="14">
        <v>9491</v>
      </c>
      <c r="E118" s="14">
        <v>8784</v>
      </c>
      <c r="F118" s="14">
        <v>11888</v>
      </c>
      <c r="G118" s="14">
        <v>8912</v>
      </c>
      <c r="H118" s="14">
        <v>13329</v>
      </c>
      <c r="I118" s="14">
        <v>15353</v>
      </c>
      <c r="J118" s="14">
        <v>13329</v>
      </c>
      <c r="K118" s="14">
        <v>9893</v>
      </c>
      <c r="L118" s="14">
        <v>9893</v>
      </c>
      <c r="M118" s="14">
        <v>15383</v>
      </c>
      <c r="N118" s="14">
        <v>15383</v>
      </c>
      <c r="O118" s="14">
        <v>9732</v>
      </c>
      <c r="P118" s="12"/>
      <c r="Q118" s="13">
        <v>1996</v>
      </c>
      <c r="R118" s="14">
        <v>10189</v>
      </c>
      <c r="S118" s="14">
        <v>9506</v>
      </c>
      <c r="T118" s="14">
        <v>9634</v>
      </c>
      <c r="U118" s="14">
        <v>9330</v>
      </c>
      <c r="V118" s="14">
        <v>9038</v>
      </c>
      <c r="W118" s="14">
        <v>10812</v>
      </c>
      <c r="X118" s="14">
        <v>10179</v>
      </c>
      <c r="Y118" s="14">
        <v>11025</v>
      </c>
      <c r="Z118" s="14">
        <v>9710</v>
      </c>
      <c r="AA118" s="14">
        <v>9393</v>
      </c>
      <c r="AB118" s="14">
        <v>9329</v>
      </c>
      <c r="AC118" s="14">
        <v>8477</v>
      </c>
      <c r="AD118" s="14">
        <v>8714</v>
      </c>
      <c r="AE118" s="14">
        <v>11025</v>
      </c>
      <c r="AF118" s="14">
        <v>10812</v>
      </c>
      <c r="AG118" s="14">
        <v>10812</v>
      </c>
      <c r="AH118" s="14">
        <v>10812</v>
      </c>
      <c r="AI118" s="14">
        <v>14492</v>
      </c>
      <c r="AJ118" s="14">
        <v>16140</v>
      </c>
      <c r="AK118" s="14">
        <v>14492</v>
      </c>
      <c r="AL118" s="14">
        <v>14929</v>
      </c>
      <c r="AM118" s="14">
        <v>21315</v>
      </c>
      <c r="AN118" s="14">
        <v>21074</v>
      </c>
      <c r="AO118" s="14">
        <v>20781</v>
      </c>
      <c r="AP118" s="14">
        <v>15036</v>
      </c>
      <c r="AQ118" s="14">
        <v>14847</v>
      </c>
      <c r="AR118" s="14">
        <v>14707</v>
      </c>
      <c r="AS118" s="14">
        <v>14779</v>
      </c>
      <c r="AT118" s="14">
        <v>14779</v>
      </c>
      <c r="AU118" s="14">
        <v>14779</v>
      </c>
      <c r="AV118" s="14">
        <v>20822</v>
      </c>
      <c r="AW118" s="14">
        <v>12010</v>
      </c>
      <c r="AX118" s="14">
        <v>12010</v>
      </c>
      <c r="AY118" s="14">
        <v>21657</v>
      </c>
      <c r="AZ118" s="14"/>
      <c r="BA118" s="14">
        <v>10621</v>
      </c>
      <c r="BB118" s="14">
        <v>17863</v>
      </c>
      <c r="BC118" s="14">
        <v>11512</v>
      </c>
      <c r="BD118" s="14">
        <v>18785</v>
      </c>
      <c r="BE118" s="14">
        <v>21205</v>
      </c>
      <c r="BF118" s="14">
        <v>20233</v>
      </c>
      <c r="BG118" s="14">
        <v>12130</v>
      </c>
      <c r="BH118" s="14">
        <v>10505</v>
      </c>
      <c r="BI118" s="12">
        <v>8591</v>
      </c>
      <c r="BJ118" s="12">
        <v>6756</v>
      </c>
      <c r="BK118" s="17">
        <v>6756</v>
      </c>
      <c r="BM118" s="10" t="s">
        <v>14</v>
      </c>
      <c r="BN118" s="35" t="s">
        <v>77</v>
      </c>
      <c r="BO118" s="16">
        <f>441.9</f>
        <v>441.9</v>
      </c>
      <c r="BP118" s="14">
        <f>441.9</f>
        <v>441.9</v>
      </c>
      <c r="BQ118" s="14">
        <f>441.9+1925.4</f>
        <v>2367.3000000000002</v>
      </c>
      <c r="BR118" s="14">
        <f>441.9</f>
        <v>441.9</v>
      </c>
      <c r="BS118" s="14">
        <f>441.9+63</f>
        <v>504.9</v>
      </c>
      <c r="BT118" s="14">
        <f>441.9+1636.8</f>
        <v>2078.6999999999998</v>
      </c>
      <c r="BU118" s="14">
        <f>441.9</f>
        <v>441.9</v>
      </c>
      <c r="BV118" s="14">
        <f>441.9</f>
        <v>441.9</v>
      </c>
      <c r="BW118" s="14">
        <f>441.9+543.3</f>
        <v>985.19999999999993</v>
      </c>
      <c r="BX118" s="14">
        <f>441.9</f>
        <v>441.9</v>
      </c>
      <c r="BY118" s="14">
        <f>441.9+970.9</f>
        <v>1412.8</v>
      </c>
      <c r="BZ118" s="14">
        <f>441.9</f>
        <v>441.9</v>
      </c>
      <c r="CA118" s="14">
        <f>441.9+458.8</f>
        <v>900.7</v>
      </c>
      <c r="CB118" s="12"/>
      <c r="CC118" s="13">
        <f>441.9+51.7</f>
        <v>493.59999999999997</v>
      </c>
      <c r="CD118" s="14">
        <f>441.9</f>
        <v>441.9</v>
      </c>
      <c r="CE118" s="14">
        <f>441.9</f>
        <v>441.9</v>
      </c>
      <c r="CF118" s="14">
        <f>441.9</f>
        <v>441.9</v>
      </c>
      <c r="CG118" s="14">
        <f>441.9+190.1</f>
        <v>632</v>
      </c>
      <c r="CH118" s="14">
        <f>441.9+311.9</f>
        <v>753.8</v>
      </c>
      <c r="CI118" s="14">
        <f>441.9+495.4</f>
        <v>937.3</v>
      </c>
      <c r="CJ118" s="14">
        <f>441.9</f>
        <v>441.9</v>
      </c>
      <c r="CK118" s="14">
        <f>441.9+142.8</f>
        <v>584.70000000000005</v>
      </c>
      <c r="CL118" s="14">
        <f>441.9+252.5</f>
        <v>694.4</v>
      </c>
      <c r="CM118" s="14">
        <f>441.9+71.3</f>
        <v>513.19999999999993</v>
      </c>
      <c r="CN118" s="14">
        <f>441.9+146</f>
        <v>587.9</v>
      </c>
      <c r="CO118" s="14">
        <f>441.9+354.6</f>
        <v>796.5</v>
      </c>
      <c r="CP118" s="14">
        <f>441.9</f>
        <v>441.9</v>
      </c>
      <c r="CQ118" s="14">
        <f>441.9</f>
        <v>441.9</v>
      </c>
      <c r="CR118" s="14">
        <f>441.9+931.2</f>
        <v>1373.1</v>
      </c>
      <c r="CS118" s="14">
        <f>441.9+745.4</f>
        <v>1187.3</v>
      </c>
      <c r="CT118" s="14">
        <f>441.9+522.4</f>
        <v>964.3</v>
      </c>
      <c r="CU118" s="14">
        <f>441.9+1374.6</f>
        <v>1816.5</v>
      </c>
      <c r="CV118" s="14">
        <f>441.9</f>
        <v>441.9</v>
      </c>
      <c r="CW118" s="14">
        <f>441.9+857.3</f>
        <v>1299.1999999999998</v>
      </c>
      <c r="CX118" s="14">
        <f>441.9</f>
        <v>441.9</v>
      </c>
      <c r="CY118" s="14">
        <f>441.9</f>
        <v>441.9</v>
      </c>
      <c r="CZ118" s="14">
        <f>441.9</f>
        <v>441.9</v>
      </c>
      <c r="DA118" s="14">
        <f>441.9+162.7</f>
        <v>604.59999999999991</v>
      </c>
      <c r="DB118" s="14">
        <f>441.9</f>
        <v>441.9</v>
      </c>
      <c r="DC118" s="14">
        <f>441.9</f>
        <v>441.9</v>
      </c>
      <c r="DD118" s="14">
        <f>441.9</f>
        <v>441.9</v>
      </c>
      <c r="DE118" s="14">
        <f>441.9</f>
        <v>441.9</v>
      </c>
      <c r="DF118" s="14">
        <f>441.9+1855.4</f>
        <v>2297.3000000000002</v>
      </c>
      <c r="DG118" s="14">
        <f>441.9+996.5</f>
        <v>1438.4</v>
      </c>
      <c r="DH118" s="14">
        <f>441.9+33.8</f>
        <v>475.7</v>
      </c>
      <c r="DI118" s="14">
        <f>441.9+701.9</f>
        <v>1143.8</v>
      </c>
      <c r="DJ118" s="14">
        <f>441.9+4701.1</f>
        <v>5143</v>
      </c>
      <c r="DK118" s="14">
        <f>441.9</f>
        <v>441.9</v>
      </c>
      <c r="DL118" s="14">
        <f>441.9</f>
        <v>441.9</v>
      </c>
      <c r="DM118" s="14">
        <f>441.9+483.6</f>
        <v>925.5</v>
      </c>
      <c r="DN118" s="14">
        <f>441.9</f>
        <v>441.9</v>
      </c>
      <c r="DO118" s="14">
        <f>441.9</f>
        <v>441.9</v>
      </c>
      <c r="DP118" s="14">
        <f>441.9</f>
        <v>441.9</v>
      </c>
      <c r="DQ118" s="14">
        <f>441.9+121.2</f>
        <v>563.1</v>
      </c>
      <c r="DR118" s="14">
        <f>441.9</f>
        <v>441.9</v>
      </c>
      <c r="DS118" s="14">
        <f>441.9+778.9</f>
        <v>1220.8</v>
      </c>
      <c r="DT118" s="14">
        <f>441.9+11.8</f>
        <v>453.7</v>
      </c>
      <c r="DU118" s="12">
        <f>441.9+503.6</f>
        <v>945.5</v>
      </c>
      <c r="DV118" s="12">
        <f>441.9+114</f>
        <v>555.9</v>
      </c>
      <c r="DW118" s="17">
        <f>441.9+1147</f>
        <v>1588.9</v>
      </c>
      <c r="DY118" s="10" t="s">
        <v>14</v>
      </c>
      <c r="DZ118" s="35" t="s">
        <v>77</v>
      </c>
      <c r="EA118" s="16"/>
      <c r="EB118" s="14"/>
      <c r="EC118" s="14">
        <v>2197.1999999999998</v>
      </c>
      <c r="ED118" s="14"/>
      <c r="EE118" s="14">
        <v>64.400000000000006</v>
      </c>
      <c r="EF118" s="14">
        <v>2958.2</v>
      </c>
      <c r="EG118" s="14"/>
      <c r="EH118" s="14"/>
      <c r="EI118" s="14">
        <v>535.6</v>
      </c>
      <c r="EJ118" s="14"/>
      <c r="EK118" s="14"/>
      <c r="EL118" s="14"/>
      <c r="EM118" s="14"/>
      <c r="EN118" s="12"/>
      <c r="EO118" s="13"/>
      <c r="EP118" s="14"/>
      <c r="EQ118" s="14"/>
      <c r="ER118" s="14"/>
      <c r="ES118" s="14">
        <v>226.7</v>
      </c>
      <c r="ET118" s="14">
        <v>319.5</v>
      </c>
      <c r="EU118" s="14">
        <v>513.79999999999995</v>
      </c>
      <c r="EV118" s="14"/>
      <c r="EW118" s="14">
        <v>135.5</v>
      </c>
      <c r="EX118" s="14">
        <v>263.10000000000002</v>
      </c>
      <c r="EY118" s="14">
        <v>77.900000000000006</v>
      </c>
      <c r="EZ118" s="14">
        <v>141.30000000000001</v>
      </c>
      <c r="FA118" s="14">
        <v>389.7</v>
      </c>
      <c r="FB118" s="14"/>
      <c r="FC118" s="14"/>
      <c r="FD118" s="14">
        <v>994.9</v>
      </c>
      <c r="FE118" s="14">
        <v>960.9</v>
      </c>
      <c r="FF118" s="14">
        <v>624.5</v>
      </c>
      <c r="FG118" s="14">
        <v>1386.2</v>
      </c>
      <c r="FH118" s="14"/>
      <c r="FI118" s="14">
        <v>982.6</v>
      </c>
      <c r="FJ118" s="14"/>
      <c r="FK118" s="14"/>
      <c r="FL118" s="14"/>
      <c r="FM118" s="14">
        <v>154.6</v>
      </c>
      <c r="FN118" s="14"/>
      <c r="FO118" s="14"/>
      <c r="FP118" s="14"/>
      <c r="FQ118" s="14"/>
      <c r="FR118" s="14"/>
      <c r="FS118" s="14"/>
      <c r="FT118" s="14">
        <v>43.9</v>
      </c>
      <c r="FU118" s="14">
        <f t="shared" si="4"/>
        <v>645.09999999999991</v>
      </c>
      <c r="FV118" s="14">
        <f t="shared" si="5"/>
        <v>4386.2</v>
      </c>
      <c r="FW118" s="14"/>
      <c r="FX118" s="14"/>
      <c r="FY118" s="14">
        <v>462.7</v>
      </c>
      <c r="FZ118" s="14"/>
      <c r="GA118" s="14"/>
      <c r="GB118" s="14"/>
      <c r="GC118" s="14">
        <v>116.6</v>
      </c>
      <c r="GD118" s="14"/>
      <c r="GE118" s="14">
        <v>965.1</v>
      </c>
      <c r="GF118" s="14"/>
      <c r="GG118" s="12"/>
      <c r="GH118" s="12"/>
      <c r="GI118" s="17"/>
    </row>
    <row r="119" spans="1:191" x14ac:dyDescent="0.3">
      <c r="A119" s="10" t="s">
        <v>15</v>
      </c>
      <c r="B119" s="35" t="s">
        <v>78</v>
      </c>
      <c r="C119" s="16">
        <v>6347</v>
      </c>
      <c r="D119" s="14">
        <v>7504</v>
      </c>
      <c r="E119" s="14">
        <v>6796</v>
      </c>
      <c r="F119" s="14">
        <v>9901</v>
      </c>
      <c r="G119" s="14">
        <v>6871</v>
      </c>
      <c r="H119" s="14">
        <v>11342</v>
      </c>
      <c r="I119" s="14">
        <v>13366</v>
      </c>
      <c r="J119" s="14">
        <v>11342</v>
      </c>
      <c r="K119" s="14">
        <v>7906</v>
      </c>
      <c r="L119" s="14">
        <v>7906</v>
      </c>
      <c r="M119" s="14">
        <v>13396</v>
      </c>
      <c r="N119" s="14">
        <v>13396</v>
      </c>
      <c r="O119" s="14">
        <v>7745</v>
      </c>
      <c r="P119" s="13">
        <v>1996</v>
      </c>
      <c r="Q119" s="12"/>
      <c r="R119" s="14">
        <v>8210</v>
      </c>
      <c r="S119" s="14">
        <v>7525</v>
      </c>
      <c r="T119" s="14">
        <v>7654</v>
      </c>
      <c r="U119" s="14">
        <v>7351</v>
      </c>
      <c r="V119" s="14">
        <v>7071</v>
      </c>
      <c r="W119" s="14">
        <v>8845</v>
      </c>
      <c r="X119" s="14">
        <v>8199</v>
      </c>
      <c r="Y119" s="14">
        <v>9045</v>
      </c>
      <c r="Z119" s="14">
        <v>7730</v>
      </c>
      <c r="AA119" s="14">
        <v>7427</v>
      </c>
      <c r="AB119" s="14">
        <v>7362</v>
      </c>
      <c r="AC119" s="14">
        <v>6510</v>
      </c>
      <c r="AD119" s="14">
        <v>6747</v>
      </c>
      <c r="AE119" s="14">
        <v>9045</v>
      </c>
      <c r="AF119" s="14">
        <v>8845</v>
      </c>
      <c r="AG119" s="14">
        <v>8845</v>
      </c>
      <c r="AH119" s="14">
        <v>8845</v>
      </c>
      <c r="AI119" s="14">
        <v>14601</v>
      </c>
      <c r="AJ119" s="14">
        <v>16240</v>
      </c>
      <c r="AK119" s="14">
        <v>14601</v>
      </c>
      <c r="AL119" s="14">
        <v>15038</v>
      </c>
      <c r="AM119" s="14">
        <v>20207</v>
      </c>
      <c r="AN119" s="14">
        <v>20711</v>
      </c>
      <c r="AO119" s="14">
        <v>20891</v>
      </c>
      <c r="AP119" s="14">
        <v>16907</v>
      </c>
      <c r="AQ119" s="14">
        <v>16718</v>
      </c>
      <c r="AR119" s="14">
        <v>14816</v>
      </c>
      <c r="AS119" s="14">
        <v>14690</v>
      </c>
      <c r="AT119" s="14">
        <v>14690</v>
      </c>
      <c r="AU119" s="14">
        <v>14690</v>
      </c>
      <c r="AV119" s="14">
        <v>20931</v>
      </c>
      <c r="AW119" s="14">
        <v>10030</v>
      </c>
      <c r="AX119" s="14">
        <v>10030</v>
      </c>
      <c r="AY119" s="14">
        <v>20279</v>
      </c>
      <c r="AZ119" s="14"/>
      <c r="BA119" s="14">
        <v>10730</v>
      </c>
      <c r="BB119" s="14">
        <v>17972</v>
      </c>
      <c r="BC119" s="14">
        <v>9532</v>
      </c>
      <c r="BD119" s="14">
        <v>18894</v>
      </c>
      <c r="BE119" s="14">
        <v>21315</v>
      </c>
      <c r="BF119" s="14">
        <v>20342</v>
      </c>
      <c r="BG119" s="14">
        <v>10164</v>
      </c>
      <c r="BH119" s="14">
        <v>8538</v>
      </c>
      <c r="BI119" s="13">
        <v>6604</v>
      </c>
      <c r="BJ119" s="13">
        <v>8627</v>
      </c>
      <c r="BK119" s="18">
        <v>8627</v>
      </c>
      <c r="BM119" s="10" t="s">
        <v>15</v>
      </c>
      <c r="BN119" s="35" t="s">
        <v>99</v>
      </c>
      <c r="BO119" s="16">
        <f>51.7</f>
        <v>51.7</v>
      </c>
      <c r="BP119" s="14">
        <f>51.7</f>
        <v>51.7</v>
      </c>
      <c r="BQ119" s="14">
        <f>51.7+1925.4</f>
        <v>1977.1000000000001</v>
      </c>
      <c r="BR119" s="14">
        <f>51.7</f>
        <v>51.7</v>
      </c>
      <c r="BS119" s="14">
        <f>51.7+63</f>
        <v>114.7</v>
      </c>
      <c r="BT119" s="14">
        <f>51.7+1636.8</f>
        <v>1688.5</v>
      </c>
      <c r="BU119" s="14">
        <f>51.7</f>
        <v>51.7</v>
      </c>
      <c r="BV119" s="14">
        <f>51.7</f>
        <v>51.7</v>
      </c>
      <c r="BW119" s="14">
        <f>51.7+543.3</f>
        <v>595</v>
      </c>
      <c r="BX119" s="14">
        <f>51.7</f>
        <v>51.7</v>
      </c>
      <c r="BY119" s="14">
        <f>51.7+970.9</f>
        <v>1022.6</v>
      </c>
      <c r="BZ119" s="14">
        <f>51.7</f>
        <v>51.7</v>
      </c>
      <c r="CA119" s="14">
        <f>51.7+458.8</f>
        <v>510.5</v>
      </c>
      <c r="CB119" s="13">
        <f>51.7+441.9</f>
        <v>493.59999999999997</v>
      </c>
      <c r="CC119" s="12"/>
      <c r="CD119" s="14">
        <f>51.7</f>
        <v>51.7</v>
      </c>
      <c r="CE119" s="14">
        <f>51.7</f>
        <v>51.7</v>
      </c>
      <c r="CF119" s="14">
        <f>51.7</f>
        <v>51.7</v>
      </c>
      <c r="CG119" s="14">
        <f>51.7+190.1</f>
        <v>241.8</v>
      </c>
      <c r="CH119" s="14">
        <f>51.7+311.9</f>
        <v>363.59999999999997</v>
      </c>
      <c r="CI119" s="14">
        <f>51.7+495.4</f>
        <v>547.1</v>
      </c>
      <c r="CJ119" s="14">
        <f>51.7</f>
        <v>51.7</v>
      </c>
      <c r="CK119" s="14">
        <f>51.7+142.8</f>
        <v>194.5</v>
      </c>
      <c r="CL119" s="14">
        <f>51.7+252.5</f>
        <v>304.2</v>
      </c>
      <c r="CM119" s="14">
        <f>51.7+71.3</f>
        <v>123</v>
      </c>
      <c r="CN119" s="14">
        <f>51.7+146</f>
        <v>197.7</v>
      </c>
      <c r="CO119" s="14">
        <f>51.7+354.6</f>
        <v>406.3</v>
      </c>
      <c r="CP119" s="14">
        <f>51.7</f>
        <v>51.7</v>
      </c>
      <c r="CQ119" s="14">
        <f>51.7</f>
        <v>51.7</v>
      </c>
      <c r="CR119" s="14">
        <f>51.7+931.2</f>
        <v>982.90000000000009</v>
      </c>
      <c r="CS119" s="14">
        <f>51.7+745.4</f>
        <v>797.1</v>
      </c>
      <c r="CT119" s="14">
        <f>51.7+522.4</f>
        <v>574.1</v>
      </c>
      <c r="CU119" s="14">
        <f>51.7+1374.6</f>
        <v>1426.3</v>
      </c>
      <c r="CV119" s="14">
        <f>51.7</f>
        <v>51.7</v>
      </c>
      <c r="CW119" s="14">
        <f>51.7+857.3</f>
        <v>909</v>
      </c>
      <c r="CX119" s="14">
        <f>51.7</f>
        <v>51.7</v>
      </c>
      <c r="CY119" s="14">
        <f>51.7</f>
        <v>51.7</v>
      </c>
      <c r="CZ119" s="14">
        <f>51.7</f>
        <v>51.7</v>
      </c>
      <c r="DA119" s="14">
        <f>51.7+162.7</f>
        <v>214.39999999999998</v>
      </c>
      <c r="DB119" s="14">
        <f>51.7</f>
        <v>51.7</v>
      </c>
      <c r="DC119" s="14">
        <f>51.7</f>
        <v>51.7</v>
      </c>
      <c r="DD119" s="14">
        <f>51.7</f>
        <v>51.7</v>
      </c>
      <c r="DE119" s="14">
        <f>51.7</f>
        <v>51.7</v>
      </c>
      <c r="DF119" s="14">
        <f>51.7+1855.4</f>
        <v>1907.1000000000001</v>
      </c>
      <c r="DG119" s="14">
        <f>51.7+996.5</f>
        <v>1048.2</v>
      </c>
      <c r="DH119" s="14">
        <f>51.7+33.8</f>
        <v>85.5</v>
      </c>
      <c r="DI119" s="14">
        <f>51.7+701.9</f>
        <v>753.6</v>
      </c>
      <c r="DJ119" s="14">
        <f>51.7+4701.1</f>
        <v>4752.8</v>
      </c>
      <c r="DK119" s="14">
        <f>51.7</f>
        <v>51.7</v>
      </c>
      <c r="DL119" s="14">
        <f>51.7</f>
        <v>51.7</v>
      </c>
      <c r="DM119" s="14">
        <f>51.7+483.6</f>
        <v>535.30000000000007</v>
      </c>
      <c r="DN119" s="14">
        <f>51.7</f>
        <v>51.7</v>
      </c>
      <c r="DO119" s="14">
        <f>51.7</f>
        <v>51.7</v>
      </c>
      <c r="DP119" s="14">
        <f>51.7</f>
        <v>51.7</v>
      </c>
      <c r="DQ119" s="14">
        <f>51.7+121.2</f>
        <v>172.9</v>
      </c>
      <c r="DR119" s="14">
        <f>51.7</f>
        <v>51.7</v>
      </c>
      <c r="DS119" s="14">
        <f>51.7+778.9</f>
        <v>830.6</v>
      </c>
      <c r="DT119" s="14">
        <f>51.7+11.8</f>
        <v>63.5</v>
      </c>
      <c r="DU119" s="13">
        <f>51.7+503.6</f>
        <v>555.30000000000007</v>
      </c>
      <c r="DV119" s="13">
        <f>51.7+114</f>
        <v>165.7</v>
      </c>
      <c r="DW119" s="18">
        <f>51.7+1147</f>
        <v>1198.7</v>
      </c>
      <c r="DY119" s="10" t="s">
        <v>15</v>
      </c>
      <c r="DZ119" s="35" t="s">
        <v>99</v>
      </c>
      <c r="EA119" s="16"/>
      <c r="EB119" s="14"/>
      <c r="EC119" s="14">
        <v>2197.1999999999998</v>
      </c>
      <c r="ED119" s="14"/>
      <c r="EE119" s="14">
        <v>64.400000000000006</v>
      </c>
      <c r="EF119" s="14">
        <v>2958.2</v>
      </c>
      <c r="EG119" s="14"/>
      <c r="EH119" s="14"/>
      <c r="EI119" s="14">
        <v>535.6</v>
      </c>
      <c r="EJ119" s="14"/>
      <c r="EK119" s="14"/>
      <c r="EL119" s="14"/>
      <c r="EM119" s="14"/>
      <c r="EN119" s="13"/>
      <c r="EO119" s="12"/>
      <c r="EP119" s="14"/>
      <c r="EQ119" s="14"/>
      <c r="ER119" s="14"/>
      <c r="ES119" s="14">
        <v>226.7</v>
      </c>
      <c r="ET119" s="14">
        <v>319.5</v>
      </c>
      <c r="EU119" s="14">
        <v>513.79999999999995</v>
      </c>
      <c r="EV119" s="14"/>
      <c r="EW119" s="14">
        <v>135.5</v>
      </c>
      <c r="EX119" s="14">
        <v>263.10000000000002</v>
      </c>
      <c r="EY119" s="14">
        <v>77.900000000000006</v>
      </c>
      <c r="EZ119" s="14">
        <v>141.30000000000001</v>
      </c>
      <c r="FA119" s="14">
        <v>389.7</v>
      </c>
      <c r="FB119" s="14"/>
      <c r="FC119" s="14"/>
      <c r="FD119" s="14">
        <v>994.9</v>
      </c>
      <c r="FE119" s="14">
        <v>960.9</v>
      </c>
      <c r="FF119" s="14">
        <v>624.5</v>
      </c>
      <c r="FG119" s="14">
        <v>1386.2</v>
      </c>
      <c r="FH119" s="14"/>
      <c r="FI119" s="14">
        <v>982.6</v>
      </c>
      <c r="FJ119" s="14"/>
      <c r="FK119" s="14"/>
      <c r="FL119" s="14"/>
      <c r="FM119" s="14">
        <v>154.6</v>
      </c>
      <c r="FN119" s="14"/>
      <c r="FO119" s="14"/>
      <c r="FP119" s="14"/>
      <c r="FQ119" s="14"/>
      <c r="FR119" s="14"/>
      <c r="FS119" s="14"/>
      <c r="FT119" s="14">
        <v>43.9</v>
      </c>
      <c r="FU119" s="14">
        <f t="shared" si="4"/>
        <v>645.09999999999991</v>
      </c>
      <c r="FV119" s="14">
        <f t="shared" si="5"/>
        <v>4386.2</v>
      </c>
      <c r="FW119" s="14"/>
      <c r="FX119" s="14"/>
      <c r="FY119" s="14">
        <v>462.7</v>
      </c>
      <c r="FZ119" s="14"/>
      <c r="GA119" s="14"/>
      <c r="GB119" s="14"/>
      <c r="GC119" s="14">
        <v>116.6</v>
      </c>
      <c r="GD119" s="14"/>
      <c r="GE119" s="14">
        <v>965.1</v>
      </c>
      <c r="GF119" s="14"/>
      <c r="GG119" s="13"/>
      <c r="GH119" s="13"/>
      <c r="GI119" s="18"/>
    </row>
    <row r="120" spans="1:191" x14ac:dyDescent="0.3">
      <c r="A120" s="10" t="s">
        <v>16</v>
      </c>
      <c r="B120" s="35" t="s">
        <v>79</v>
      </c>
      <c r="C120" s="16">
        <v>7358</v>
      </c>
      <c r="D120" s="14">
        <v>8738</v>
      </c>
      <c r="E120" s="14">
        <v>6063</v>
      </c>
      <c r="F120" s="14">
        <v>7673</v>
      </c>
      <c r="G120" s="14">
        <v>6595</v>
      </c>
      <c r="H120" s="14">
        <v>14250</v>
      </c>
      <c r="I120" s="14">
        <v>16273</v>
      </c>
      <c r="J120" s="14">
        <v>14250</v>
      </c>
      <c r="K120" s="14">
        <v>5678</v>
      </c>
      <c r="L120" s="14">
        <v>5678</v>
      </c>
      <c r="M120" s="14">
        <v>16303</v>
      </c>
      <c r="N120" s="14">
        <v>16303</v>
      </c>
      <c r="O120" s="14">
        <v>9201</v>
      </c>
      <c r="P120" s="14">
        <v>10189</v>
      </c>
      <c r="Q120" s="14">
        <v>8210</v>
      </c>
      <c r="R120" s="12"/>
      <c r="S120" s="13">
        <v>1202</v>
      </c>
      <c r="T120" s="13">
        <v>765</v>
      </c>
      <c r="U120" s="13">
        <v>937</v>
      </c>
      <c r="V120" s="13">
        <v>4278</v>
      </c>
      <c r="W120" s="13">
        <v>6052</v>
      </c>
      <c r="X120" s="13">
        <v>904</v>
      </c>
      <c r="Y120" s="13">
        <v>1443</v>
      </c>
      <c r="Z120" s="13">
        <v>709</v>
      </c>
      <c r="AA120" s="13">
        <v>4634</v>
      </c>
      <c r="AB120" s="13">
        <v>4754</v>
      </c>
      <c r="AC120" s="13">
        <v>3717</v>
      </c>
      <c r="AD120" s="13">
        <v>3954</v>
      </c>
      <c r="AE120" s="13">
        <v>1443</v>
      </c>
      <c r="AF120" s="13">
        <v>6052</v>
      </c>
      <c r="AG120" s="13">
        <v>6052</v>
      </c>
      <c r="AH120" s="13">
        <v>6052</v>
      </c>
      <c r="AI120" s="14">
        <v>12184</v>
      </c>
      <c r="AJ120" s="14">
        <v>15231</v>
      </c>
      <c r="AK120" s="14">
        <v>12184</v>
      </c>
      <c r="AL120" s="14">
        <v>14020</v>
      </c>
      <c r="AM120" s="14">
        <v>21207</v>
      </c>
      <c r="AN120" s="14">
        <v>20820</v>
      </c>
      <c r="AO120" s="14">
        <v>20529</v>
      </c>
      <c r="AP120" s="14">
        <v>21057</v>
      </c>
      <c r="AQ120" s="14">
        <v>21907</v>
      </c>
      <c r="AR120" s="14">
        <v>18213</v>
      </c>
      <c r="AS120" s="14">
        <v>11897</v>
      </c>
      <c r="AT120" s="14">
        <v>11897</v>
      </c>
      <c r="AU120" s="14">
        <v>11897</v>
      </c>
      <c r="AV120" s="14">
        <v>20555</v>
      </c>
      <c r="AW120" s="14">
        <v>2428</v>
      </c>
      <c r="AX120" s="14">
        <v>2428</v>
      </c>
      <c r="AY120" s="14">
        <v>21398</v>
      </c>
      <c r="AZ120" s="14"/>
      <c r="BA120" s="14">
        <v>12079</v>
      </c>
      <c r="BB120" s="14">
        <v>17368</v>
      </c>
      <c r="BC120" s="13">
        <v>1930</v>
      </c>
      <c r="BD120" s="14">
        <v>18533</v>
      </c>
      <c r="BE120" s="14">
        <v>20948</v>
      </c>
      <c r="BF120" s="14">
        <v>19972</v>
      </c>
      <c r="BG120" s="13">
        <v>7371</v>
      </c>
      <c r="BH120" s="13">
        <v>5745</v>
      </c>
      <c r="BI120" s="14">
        <v>9512</v>
      </c>
      <c r="BJ120" s="14">
        <v>13752</v>
      </c>
      <c r="BK120" s="15">
        <v>13752</v>
      </c>
      <c r="BM120" s="10" t="s">
        <v>16</v>
      </c>
      <c r="BN120" s="35" t="s">
        <v>79</v>
      </c>
      <c r="BO120" s="16"/>
      <c r="BP120" s="14"/>
      <c r="BQ120" s="14">
        <v>1925.4</v>
      </c>
      <c r="BR120" s="14"/>
      <c r="BS120" s="14">
        <v>63</v>
      </c>
      <c r="BT120" s="14">
        <v>1636.8</v>
      </c>
      <c r="BU120" s="14"/>
      <c r="BV120" s="14"/>
      <c r="BW120" s="14">
        <v>543.29999999999995</v>
      </c>
      <c r="BX120" s="14"/>
      <c r="BY120" s="14">
        <v>970.9</v>
      </c>
      <c r="BZ120" s="14"/>
      <c r="CA120" s="14">
        <v>458.8</v>
      </c>
      <c r="CB120" s="14">
        <v>441.9</v>
      </c>
      <c r="CC120" s="14">
        <v>51.7</v>
      </c>
      <c r="CD120" s="12"/>
      <c r="CE120" s="13"/>
      <c r="CF120" s="13"/>
      <c r="CG120" s="13">
        <v>190.1</v>
      </c>
      <c r="CH120" s="13">
        <v>311.89999999999998</v>
      </c>
      <c r="CI120" s="13">
        <v>495.4</v>
      </c>
      <c r="CJ120" s="13"/>
      <c r="CK120" s="13">
        <v>142.80000000000001</v>
      </c>
      <c r="CL120" s="13">
        <v>252.5</v>
      </c>
      <c r="CM120" s="13">
        <v>71.3</v>
      </c>
      <c r="CN120" s="13">
        <v>146</v>
      </c>
      <c r="CO120" s="13">
        <v>354.6</v>
      </c>
      <c r="CP120" s="13"/>
      <c r="CQ120" s="13"/>
      <c r="CR120" s="13">
        <v>931.2</v>
      </c>
      <c r="CS120" s="13">
        <v>745.4</v>
      </c>
      <c r="CT120" s="13">
        <v>522.4</v>
      </c>
      <c r="CU120" s="14">
        <v>1374.6</v>
      </c>
      <c r="CV120" s="14"/>
      <c r="CW120" s="14">
        <v>857.3</v>
      </c>
      <c r="CX120" s="14"/>
      <c r="CY120" s="14"/>
      <c r="CZ120" s="14"/>
      <c r="DA120" s="14">
        <v>162.69999999999999</v>
      </c>
      <c r="DB120" s="14"/>
      <c r="DC120" s="14"/>
      <c r="DD120" s="14"/>
      <c r="DE120" s="14"/>
      <c r="DF120" s="14">
        <v>1855.4</v>
      </c>
      <c r="DG120" s="14">
        <v>996.5</v>
      </c>
      <c r="DH120" s="14">
        <v>33.799999999999997</v>
      </c>
      <c r="DI120" s="14">
        <v>701.9</v>
      </c>
      <c r="DJ120" s="14">
        <v>4701.1000000000004</v>
      </c>
      <c r="DK120" s="14"/>
      <c r="DL120" s="14"/>
      <c r="DM120" s="14">
        <v>483.6</v>
      </c>
      <c r="DN120" s="14"/>
      <c r="DO120" s="13"/>
      <c r="DP120" s="14"/>
      <c r="DQ120" s="14">
        <v>121.2</v>
      </c>
      <c r="DR120" s="14"/>
      <c r="DS120" s="13">
        <v>778.9</v>
      </c>
      <c r="DT120" s="13">
        <v>11.8</v>
      </c>
      <c r="DU120" s="14">
        <v>503.6</v>
      </c>
      <c r="DV120" s="14">
        <v>114</v>
      </c>
      <c r="DW120" s="15">
        <v>1147</v>
      </c>
      <c r="DY120" s="10" t="s">
        <v>16</v>
      </c>
      <c r="DZ120" s="35" t="s">
        <v>79</v>
      </c>
      <c r="EA120" s="16"/>
      <c r="EB120" s="14"/>
      <c r="EC120" s="14">
        <v>2197.1999999999998</v>
      </c>
      <c r="ED120" s="14"/>
      <c r="EE120" s="14">
        <v>64.400000000000006</v>
      </c>
      <c r="EF120" s="14">
        <v>2958.2</v>
      </c>
      <c r="EG120" s="14"/>
      <c r="EH120" s="14"/>
      <c r="EI120" s="14">
        <v>535.6</v>
      </c>
      <c r="EJ120" s="14"/>
      <c r="EK120" s="14"/>
      <c r="EL120" s="14"/>
      <c r="EM120" s="14"/>
      <c r="EN120" s="14"/>
      <c r="EO120" s="14"/>
      <c r="EP120" s="12"/>
      <c r="EQ120" s="13"/>
      <c r="ER120" s="13"/>
      <c r="ES120" s="13">
        <v>226.7</v>
      </c>
      <c r="ET120" s="13">
        <v>319.5</v>
      </c>
      <c r="EU120" s="13">
        <v>513.79999999999995</v>
      </c>
      <c r="EV120" s="13"/>
      <c r="EW120" s="13">
        <v>135.5</v>
      </c>
      <c r="EX120" s="13">
        <v>263.10000000000002</v>
      </c>
      <c r="EY120" s="13">
        <v>77.900000000000006</v>
      </c>
      <c r="EZ120" s="13">
        <v>141.30000000000001</v>
      </c>
      <c r="FA120" s="13">
        <v>389.7</v>
      </c>
      <c r="FB120" s="13"/>
      <c r="FC120" s="13"/>
      <c r="FD120" s="13">
        <v>994.9</v>
      </c>
      <c r="FE120" s="13">
        <v>960.9</v>
      </c>
      <c r="FF120" s="13">
        <v>624.5</v>
      </c>
      <c r="FG120" s="14">
        <v>1386.2</v>
      </c>
      <c r="FH120" s="14"/>
      <c r="FI120" s="14">
        <v>982.6</v>
      </c>
      <c r="FJ120" s="14"/>
      <c r="FK120" s="14"/>
      <c r="FL120" s="14"/>
      <c r="FM120" s="14">
        <v>154.6</v>
      </c>
      <c r="FN120" s="14"/>
      <c r="FO120" s="14"/>
      <c r="FP120" s="14"/>
      <c r="FQ120" s="14"/>
      <c r="FR120" s="14"/>
      <c r="FS120" s="14"/>
      <c r="FT120" s="14">
        <v>43.9</v>
      </c>
      <c r="FU120" s="14">
        <f t="shared" si="4"/>
        <v>645.09999999999991</v>
      </c>
      <c r="FV120" s="14">
        <f t="shared" si="5"/>
        <v>4386.2</v>
      </c>
      <c r="FW120" s="14"/>
      <c r="FX120" s="14"/>
      <c r="FY120" s="14">
        <v>462.7</v>
      </c>
      <c r="FZ120" s="14"/>
      <c r="GA120" s="13"/>
      <c r="GB120" s="14"/>
      <c r="GC120" s="14">
        <v>116.6</v>
      </c>
      <c r="GD120" s="14"/>
      <c r="GE120" s="13">
        <v>965.1</v>
      </c>
      <c r="GF120" s="13"/>
      <c r="GG120" s="14"/>
      <c r="GH120" s="14"/>
      <c r="GI120" s="15"/>
    </row>
    <row r="121" spans="1:191" x14ac:dyDescent="0.3">
      <c r="A121" s="10" t="s">
        <v>17</v>
      </c>
      <c r="B121" s="35" t="s">
        <v>73</v>
      </c>
      <c r="C121" s="16">
        <v>7114</v>
      </c>
      <c r="D121" s="14">
        <v>8494</v>
      </c>
      <c r="E121" s="14">
        <v>5756</v>
      </c>
      <c r="F121" s="14">
        <v>7552</v>
      </c>
      <c r="G121" s="14">
        <v>6288</v>
      </c>
      <c r="H121" s="14">
        <v>13873</v>
      </c>
      <c r="I121" s="14">
        <v>15898</v>
      </c>
      <c r="J121" s="14">
        <v>13873</v>
      </c>
      <c r="K121" s="14">
        <v>5558</v>
      </c>
      <c r="L121" s="14">
        <v>5558</v>
      </c>
      <c r="M121" s="14">
        <v>15927</v>
      </c>
      <c r="N121" s="14">
        <v>15927</v>
      </c>
      <c r="O121" s="14">
        <v>8956</v>
      </c>
      <c r="P121" s="14">
        <v>9506</v>
      </c>
      <c r="Q121" s="14">
        <v>7525</v>
      </c>
      <c r="R121" s="13">
        <v>1202</v>
      </c>
      <c r="S121" s="12"/>
      <c r="T121" s="13">
        <v>1207</v>
      </c>
      <c r="U121" s="13">
        <v>928</v>
      </c>
      <c r="V121" s="13">
        <v>3623</v>
      </c>
      <c r="W121" s="13">
        <v>5397</v>
      </c>
      <c r="X121" s="13">
        <v>1752</v>
      </c>
      <c r="Y121" s="13">
        <v>2239</v>
      </c>
      <c r="Z121" s="13">
        <v>1283</v>
      </c>
      <c r="AA121" s="13">
        <v>3978</v>
      </c>
      <c r="AB121" s="13">
        <v>3913</v>
      </c>
      <c r="AC121" s="13">
        <v>3061</v>
      </c>
      <c r="AD121" s="13">
        <v>3298</v>
      </c>
      <c r="AE121" s="13">
        <v>2239</v>
      </c>
      <c r="AF121" s="13">
        <v>2239</v>
      </c>
      <c r="AG121" s="13">
        <v>2239</v>
      </c>
      <c r="AH121" s="13">
        <v>2239</v>
      </c>
      <c r="AI121" s="14">
        <v>11529</v>
      </c>
      <c r="AJ121" s="14">
        <v>14575</v>
      </c>
      <c r="AK121" s="14">
        <v>11529</v>
      </c>
      <c r="AL121" s="14">
        <v>13364</v>
      </c>
      <c r="AM121" s="14">
        <v>20551</v>
      </c>
      <c r="AN121" s="14">
        <v>20164</v>
      </c>
      <c r="AO121" s="14">
        <v>19874</v>
      </c>
      <c r="AP121" s="14">
        <v>20401</v>
      </c>
      <c r="AQ121" s="14">
        <v>21251</v>
      </c>
      <c r="AR121" s="14">
        <v>17557</v>
      </c>
      <c r="AS121" s="14">
        <v>11241</v>
      </c>
      <c r="AT121" s="14">
        <v>11241</v>
      </c>
      <c r="AU121" s="14">
        <v>11241</v>
      </c>
      <c r="AV121" s="14">
        <v>19899</v>
      </c>
      <c r="AW121" s="14">
        <v>3224</v>
      </c>
      <c r="AX121" s="14">
        <v>3224</v>
      </c>
      <c r="AY121" s="14">
        <v>20742</v>
      </c>
      <c r="AZ121" s="14"/>
      <c r="BA121" s="14">
        <v>11423</v>
      </c>
      <c r="BB121" s="14">
        <v>16712</v>
      </c>
      <c r="BC121" s="13">
        <v>2726</v>
      </c>
      <c r="BD121" s="14">
        <v>17877</v>
      </c>
      <c r="BE121" s="14">
        <v>20292</v>
      </c>
      <c r="BF121" s="14">
        <v>19316</v>
      </c>
      <c r="BG121" s="13">
        <v>6715</v>
      </c>
      <c r="BH121" s="13">
        <v>5089</v>
      </c>
      <c r="BI121" s="14">
        <v>9136</v>
      </c>
      <c r="BJ121" s="14">
        <v>13370</v>
      </c>
      <c r="BK121" s="15">
        <v>13370</v>
      </c>
      <c r="BM121" s="10" t="s">
        <v>17</v>
      </c>
      <c r="BN121" s="35" t="s">
        <v>73</v>
      </c>
      <c r="BO121" s="16"/>
      <c r="BP121" s="14"/>
      <c r="BQ121" s="14">
        <v>1925.4</v>
      </c>
      <c r="BR121" s="14"/>
      <c r="BS121" s="14">
        <v>63</v>
      </c>
      <c r="BT121" s="14">
        <v>1636.8</v>
      </c>
      <c r="BU121" s="14"/>
      <c r="BV121" s="14"/>
      <c r="BW121" s="14">
        <v>543.29999999999995</v>
      </c>
      <c r="BX121" s="14"/>
      <c r="BY121" s="14">
        <v>970.9</v>
      </c>
      <c r="BZ121" s="14"/>
      <c r="CA121" s="14">
        <v>458.8</v>
      </c>
      <c r="CB121" s="14">
        <v>441.9</v>
      </c>
      <c r="CC121" s="14">
        <v>51.7</v>
      </c>
      <c r="CD121" s="13"/>
      <c r="CE121" s="12"/>
      <c r="CF121" s="13"/>
      <c r="CG121" s="13">
        <v>190.1</v>
      </c>
      <c r="CH121" s="13">
        <v>311.89999999999998</v>
      </c>
      <c r="CI121" s="13">
        <v>495.4</v>
      </c>
      <c r="CJ121" s="13"/>
      <c r="CK121" s="13">
        <v>142.80000000000001</v>
      </c>
      <c r="CL121" s="13">
        <v>252.5</v>
      </c>
      <c r="CM121" s="13">
        <v>71.3</v>
      </c>
      <c r="CN121" s="13">
        <v>146</v>
      </c>
      <c r="CO121" s="13">
        <v>354.6</v>
      </c>
      <c r="CP121" s="13"/>
      <c r="CQ121" s="13"/>
      <c r="CR121" s="13">
        <v>931.2</v>
      </c>
      <c r="CS121" s="13">
        <v>745.4</v>
      </c>
      <c r="CT121" s="13">
        <v>522.4</v>
      </c>
      <c r="CU121" s="14">
        <v>1374.6</v>
      </c>
      <c r="CV121" s="14"/>
      <c r="CW121" s="14">
        <v>857.3</v>
      </c>
      <c r="CX121" s="14"/>
      <c r="CY121" s="14"/>
      <c r="CZ121" s="14"/>
      <c r="DA121" s="14">
        <v>162.69999999999999</v>
      </c>
      <c r="DB121" s="14"/>
      <c r="DC121" s="14"/>
      <c r="DD121" s="14"/>
      <c r="DE121" s="14"/>
      <c r="DF121" s="14">
        <v>1855.4</v>
      </c>
      <c r="DG121" s="14">
        <v>996.5</v>
      </c>
      <c r="DH121" s="14">
        <v>33.799999999999997</v>
      </c>
      <c r="DI121" s="14">
        <v>701.9</v>
      </c>
      <c r="DJ121" s="14">
        <v>4701.1000000000004</v>
      </c>
      <c r="DK121" s="14"/>
      <c r="DL121" s="14"/>
      <c r="DM121" s="14">
        <v>483.6</v>
      </c>
      <c r="DN121" s="14"/>
      <c r="DO121" s="13"/>
      <c r="DP121" s="14"/>
      <c r="DQ121" s="14">
        <v>121.2</v>
      </c>
      <c r="DR121" s="14"/>
      <c r="DS121" s="13">
        <v>778.9</v>
      </c>
      <c r="DT121" s="13">
        <v>11.8</v>
      </c>
      <c r="DU121" s="14">
        <v>503.6</v>
      </c>
      <c r="DV121" s="14">
        <v>114</v>
      </c>
      <c r="DW121" s="15">
        <v>1147</v>
      </c>
      <c r="DY121" s="10" t="s">
        <v>17</v>
      </c>
      <c r="DZ121" s="35" t="s">
        <v>73</v>
      </c>
      <c r="EA121" s="16"/>
      <c r="EB121" s="14"/>
      <c r="EC121" s="14">
        <v>2197.1999999999998</v>
      </c>
      <c r="ED121" s="14"/>
      <c r="EE121" s="14">
        <v>64.400000000000006</v>
      </c>
      <c r="EF121" s="14">
        <v>2958.2</v>
      </c>
      <c r="EG121" s="14"/>
      <c r="EH121" s="14"/>
      <c r="EI121" s="14">
        <v>535.6</v>
      </c>
      <c r="EJ121" s="14"/>
      <c r="EK121" s="14"/>
      <c r="EL121" s="14"/>
      <c r="EM121" s="14"/>
      <c r="EN121" s="14"/>
      <c r="EO121" s="14"/>
      <c r="EP121" s="13"/>
      <c r="EQ121" s="12"/>
      <c r="ER121" s="13"/>
      <c r="ES121" s="13">
        <v>226.7</v>
      </c>
      <c r="ET121" s="13">
        <v>319.5</v>
      </c>
      <c r="EU121" s="13">
        <v>513.79999999999995</v>
      </c>
      <c r="EV121" s="13"/>
      <c r="EW121" s="13">
        <v>135.5</v>
      </c>
      <c r="EX121" s="13">
        <v>263.10000000000002</v>
      </c>
      <c r="EY121" s="13">
        <v>77.900000000000006</v>
      </c>
      <c r="EZ121" s="13">
        <v>141.30000000000001</v>
      </c>
      <c r="FA121" s="13">
        <v>389.7</v>
      </c>
      <c r="FB121" s="13"/>
      <c r="FC121" s="13"/>
      <c r="FD121" s="13">
        <v>994.9</v>
      </c>
      <c r="FE121" s="13">
        <v>960.9</v>
      </c>
      <c r="FF121" s="13">
        <v>624.5</v>
      </c>
      <c r="FG121" s="14">
        <v>1386.2</v>
      </c>
      <c r="FH121" s="14"/>
      <c r="FI121" s="14">
        <v>982.6</v>
      </c>
      <c r="FJ121" s="14"/>
      <c r="FK121" s="14"/>
      <c r="FL121" s="14"/>
      <c r="FM121" s="14">
        <v>154.6</v>
      </c>
      <c r="FN121" s="14"/>
      <c r="FO121" s="14"/>
      <c r="FP121" s="14"/>
      <c r="FQ121" s="14"/>
      <c r="FR121" s="14"/>
      <c r="FS121" s="14"/>
      <c r="FT121" s="14">
        <v>43.9</v>
      </c>
      <c r="FU121" s="14">
        <f t="shared" si="4"/>
        <v>645.09999999999991</v>
      </c>
      <c r="FV121" s="14">
        <f t="shared" si="5"/>
        <v>4386.2</v>
      </c>
      <c r="FW121" s="14"/>
      <c r="FX121" s="14"/>
      <c r="FY121" s="14">
        <v>462.7</v>
      </c>
      <c r="FZ121" s="14"/>
      <c r="GA121" s="13"/>
      <c r="GB121" s="14"/>
      <c r="GC121" s="14">
        <v>116.6</v>
      </c>
      <c r="GD121" s="14"/>
      <c r="GE121" s="13">
        <v>965.1</v>
      </c>
      <c r="GF121" s="13"/>
      <c r="GG121" s="14"/>
      <c r="GH121" s="14"/>
      <c r="GI121" s="15"/>
    </row>
    <row r="122" spans="1:191" x14ac:dyDescent="0.3">
      <c r="A122" s="10" t="s">
        <v>18</v>
      </c>
      <c r="B122" s="35" t="s">
        <v>73</v>
      </c>
      <c r="C122" s="16">
        <v>7534</v>
      </c>
      <c r="D122" s="14">
        <v>8914</v>
      </c>
      <c r="E122" s="14">
        <v>6189</v>
      </c>
      <c r="F122" s="14">
        <v>8012</v>
      </c>
      <c r="G122" s="14">
        <v>6721</v>
      </c>
      <c r="H122" s="14">
        <v>14281</v>
      </c>
      <c r="I122" s="14">
        <v>16305</v>
      </c>
      <c r="J122" s="14">
        <v>14281</v>
      </c>
      <c r="K122" s="14">
        <v>6017</v>
      </c>
      <c r="L122" s="14">
        <v>6017</v>
      </c>
      <c r="M122" s="14">
        <v>16335</v>
      </c>
      <c r="N122" s="14">
        <v>16335</v>
      </c>
      <c r="O122" s="14">
        <v>9377</v>
      </c>
      <c r="P122" s="14">
        <v>9634</v>
      </c>
      <c r="Q122" s="14">
        <v>7654</v>
      </c>
      <c r="R122" s="13">
        <v>765</v>
      </c>
      <c r="S122" s="13">
        <v>1207</v>
      </c>
      <c r="T122" s="12"/>
      <c r="U122" s="13">
        <v>381</v>
      </c>
      <c r="V122" s="13">
        <v>3722</v>
      </c>
      <c r="W122" s="13">
        <v>5497</v>
      </c>
      <c r="X122" s="13">
        <v>793</v>
      </c>
      <c r="Y122" s="13">
        <v>1600</v>
      </c>
      <c r="Z122" s="13">
        <v>346</v>
      </c>
      <c r="AA122" s="13">
        <v>4078</v>
      </c>
      <c r="AB122" s="13">
        <v>4013</v>
      </c>
      <c r="AC122" s="13">
        <v>3161</v>
      </c>
      <c r="AD122" s="13">
        <v>3398</v>
      </c>
      <c r="AE122" s="13">
        <v>1600</v>
      </c>
      <c r="AF122" s="13">
        <v>5497</v>
      </c>
      <c r="AG122" s="13">
        <v>5497</v>
      </c>
      <c r="AH122" s="13">
        <v>5497</v>
      </c>
      <c r="AI122" s="14">
        <v>11629</v>
      </c>
      <c r="AJ122" s="14">
        <v>14675</v>
      </c>
      <c r="AK122" s="14">
        <v>11629</v>
      </c>
      <c r="AL122" s="14">
        <v>13464</v>
      </c>
      <c r="AM122" s="14">
        <v>20652</v>
      </c>
      <c r="AN122" s="14">
        <v>20265</v>
      </c>
      <c r="AO122" s="14">
        <v>19974</v>
      </c>
      <c r="AP122" s="14">
        <v>20502</v>
      </c>
      <c r="AQ122" s="14">
        <v>21352</v>
      </c>
      <c r="AR122" s="14">
        <v>17657</v>
      </c>
      <c r="AS122" s="14">
        <v>11341</v>
      </c>
      <c r="AT122" s="14">
        <v>11341</v>
      </c>
      <c r="AU122" s="14">
        <v>11341</v>
      </c>
      <c r="AV122" s="14">
        <v>20000</v>
      </c>
      <c r="AW122" s="14">
        <v>2585</v>
      </c>
      <c r="AX122" s="14">
        <v>2585</v>
      </c>
      <c r="AY122" s="14">
        <v>20842</v>
      </c>
      <c r="AZ122" s="14"/>
      <c r="BA122" s="14">
        <v>11523</v>
      </c>
      <c r="BB122" s="14">
        <v>16812</v>
      </c>
      <c r="BC122" s="13">
        <v>2087</v>
      </c>
      <c r="BD122" s="14">
        <v>17977</v>
      </c>
      <c r="BE122" s="14">
        <v>20392</v>
      </c>
      <c r="BF122" s="14">
        <v>19416</v>
      </c>
      <c r="BG122" s="13">
        <v>6815</v>
      </c>
      <c r="BH122" s="13">
        <v>5189</v>
      </c>
      <c r="BI122" s="14">
        <v>9543</v>
      </c>
      <c r="BJ122" s="14">
        <v>13784</v>
      </c>
      <c r="BK122" s="15">
        <v>13784</v>
      </c>
      <c r="BM122" s="10" t="s">
        <v>18</v>
      </c>
      <c r="BN122" s="35" t="s">
        <v>73</v>
      </c>
      <c r="BO122" s="16"/>
      <c r="BP122" s="14"/>
      <c r="BQ122" s="14">
        <v>1925.4</v>
      </c>
      <c r="BR122" s="14"/>
      <c r="BS122" s="14">
        <v>63</v>
      </c>
      <c r="BT122" s="14">
        <v>1636.8</v>
      </c>
      <c r="BU122" s="14"/>
      <c r="BV122" s="14"/>
      <c r="BW122" s="14">
        <v>543.29999999999995</v>
      </c>
      <c r="BX122" s="14"/>
      <c r="BY122" s="14">
        <v>970.9</v>
      </c>
      <c r="BZ122" s="14"/>
      <c r="CA122" s="14">
        <v>458.8</v>
      </c>
      <c r="CB122" s="14">
        <v>441.9</v>
      </c>
      <c r="CC122" s="14">
        <v>51.7</v>
      </c>
      <c r="CD122" s="13"/>
      <c r="CE122" s="13"/>
      <c r="CF122" s="12"/>
      <c r="CG122" s="13">
        <v>190.1</v>
      </c>
      <c r="CH122" s="13">
        <v>311.89999999999998</v>
      </c>
      <c r="CI122" s="13">
        <v>495.4</v>
      </c>
      <c r="CJ122" s="13"/>
      <c r="CK122" s="13">
        <v>142.80000000000001</v>
      </c>
      <c r="CL122" s="13">
        <v>252.5</v>
      </c>
      <c r="CM122" s="13">
        <v>71.3</v>
      </c>
      <c r="CN122" s="13">
        <v>146</v>
      </c>
      <c r="CO122" s="13">
        <v>354.6</v>
      </c>
      <c r="CP122" s="13"/>
      <c r="CQ122" s="13"/>
      <c r="CR122" s="13">
        <v>931.2</v>
      </c>
      <c r="CS122" s="13">
        <v>745.4</v>
      </c>
      <c r="CT122" s="13">
        <v>522.4</v>
      </c>
      <c r="CU122" s="14">
        <v>1374.6</v>
      </c>
      <c r="CV122" s="14"/>
      <c r="CW122" s="14">
        <v>857.3</v>
      </c>
      <c r="CX122" s="14"/>
      <c r="CY122" s="14"/>
      <c r="CZ122" s="14"/>
      <c r="DA122" s="14">
        <v>162.69999999999999</v>
      </c>
      <c r="DB122" s="14"/>
      <c r="DC122" s="14"/>
      <c r="DD122" s="14"/>
      <c r="DE122" s="14"/>
      <c r="DF122" s="14">
        <v>1855.4</v>
      </c>
      <c r="DG122" s="14">
        <v>996.5</v>
      </c>
      <c r="DH122" s="14">
        <v>33.799999999999997</v>
      </c>
      <c r="DI122" s="14">
        <v>701.9</v>
      </c>
      <c r="DJ122" s="14">
        <v>4701.1000000000004</v>
      </c>
      <c r="DK122" s="14"/>
      <c r="DL122" s="14"/>
      <c r="DM122" s="14">
        <v>483.6</v>
      </c>
      <c r="DN122" s="14"/>
      <c r="DO122" s="13"/>
      <c r="DP122" s="14"/>
      <c r="DQ122" s="14">
        <v>121.2</v>
      </c>
      <c r="DR122" s="14"/>
      <c r="DS122" s="13">
        <v>778.9</v>
      </c>
      <c r="DT122" s="13">
        <v>11.8</v>
      </c>
      <c r="DU122" s="14">
        <v>503.6</v>
      </c>
      <c r="DV122" s="14">
        <v>114</v>
      </c>
      <c r="DW122" s="15">
        <v>1147</v>
      </c>
      <c r="DY122" s="10" t="s">
        <v>18</v>
      </c>
      <c r="DZ122" s="35" t="s">
        <v>73</v>
      </c>
      <c r="EA122" s="16"/>
      <c r="EB122" s="14"/>
      <c r="EC122" s="14">
        <v>2197.1999999999998</v>
      </c>
      <c r="ED122" s="14"/>
      <c r="EE122" s="14">
        <v>64.400000000000006</v>
      </c>
      <c r="EF122" s="14">
        <v>2958.2</v>
      </c>
      <c r="EG122" s="14"/>
      <c r="EH122" s="14"/>
      <c r="EI122" s="14">
        <v>535.6</v>
      </c>
      <c r="EJ122" s="14"/>
      <c r="EK122" s="14"/>
      <c r="EL122" s="14"/>
      <c r="EM122" s="14"/>
      <c r="EN122" s="14"/>
      <c r="EO122" s="14"/>
      <c r="EP122" s="13"/>
      <c r="EQ122" s="13"/>
      <c r="ER122" s="12"/>
      <c r="ES122" s="13">
        <v>226.7</v>
      </c>
      <c r="ET122" s="13">
        <v>319.5</v>
      </c>
      <c r="EU122" s="13">
        <v>513.79999999999995</v>
      </c>
      <c r="EV122" s="13"/>
      <c r="EW122" s="13">
        <v>135.5</v>
      </c>
      <c r="EX122" s="13">
        <v>263.10000000000002</v>
      </c>
      <c r="EY122" s="13">
        <v>77.900000000000006</v>
      </c>
      <c r="EZ122" s="13">
        <v>141.30000000000001</v>
      </c>
      <c r="FA122" s="13">
        <v>389.7</v>
      </c>
      <c r="FB122" s="13"/>
      <c r="FC122" s="13"/>
      <c r="FD122" s="13">
        <v>994.9</v>
      </c>
      <c r="FE122" s="13">
        <v>960.9</v>
      </c>
      <c r="FF122" s="13">
        <v>624.5</v>
      </c>
      <c r="FG122" s="14">
        <v>1386.2</v>
      </c>
      <c r="FH122" s="14"/>
      <c r="FI122" s="14">
        <v>982.6</v>
      </c>
      <c r="FJ122" s="14"/>
      <c r="FK122" s="14"/>
      <c r="FL122" s="14"/>
      <c r="FM122" s="14">
        <v>154.6</v>
      </c>
      <c r="FN122" s="14"/>
      <c r="FO122" s="14"/>
      <c r="FP122" s="14"/>
      <c r="FQ122" s="14"/>
      <c r="FR122" s="14"/>
      <c r="FS122" s="14"/>
      <c r="FT122" s="14">
        <v>43.9</v>
      </c>
      <c r="FU122" s="14">
        <f t="shared" si="4"/>
        <v>645.09999999999991</v>
      </c>
      <c r="FV122" s="14">
        <f t="shared" si="5"/>
        <v>4386.2</v>
      </c>
      <c r="FW122" s="14"/>
      <c r="FX122" s="14"/>
      <c r="FY122" s="14">
        <v>462.7</v>
      </c>
      <c r="FZ122" s="14"/>
      <c r="GA122" s="13"/>
      <c r="GB122" s="14"/>
      <c r="GC122" s="14">
        <v>116.6</v>
      </c>
      <c r="GD122" s="14"/>
      <c r="GE122" s="13">
        <v>965.1</v>
      </c>
      <c r="GF122" s="13"/>
      <c r="GG122" s="14"/>
      <c r="GH122" s="14"/>
      <c r="GI122" s="15"/>
    </row>
    <row r="123" spans="1:191" x14ac:dyDescent="0.3">
      <c r="A123" s="10" t="s">
        <v>19</v>
      </c>
      <c r="B123" s="35" t="s">
        <v>80</v>
      </c>
      <c r="C123" s="16">
        <v>7264</v>
      </c>
      <c r="D123" s="14">
        <v>8643</v>
      </c>
      <c r="E123" s="14">
        <v>5919</v>
      </c>
      <c r="F123" s="14">
        <v>7741</v>
      </c>
      <c r="G123" s="14">
        <v>6451</v>
      </c>
      <c r="H123" s="14">
        <v>14010</v>
      </c>
      <c r="I123" s="14">
        <v>16035</v>
      </c>
      <c r="J123" s="14">
        <v>14010</v>
      </c>
      <c r="K123" s="14">
        <v>5747</v>
      </c>
      <c r="L123" s="14">
        <v>5747</v>
      </c>
      <c r="M123" s="14">
        <v>16064</v>
      </c>
      <c r="N123" s="14">
        <v>16064</v>
      </c>
      <c r="O123" s="14">
        <v>9106</v>
      </c>
      <c r="P123" s="14">
        <v>9330</v>
      </c>
      <c r="Q123" s="14">
        <v>7351</v>
      </c>
      <c r="R123" s="13">
        <v>937</v>
      </c>
      <c r="S123" s="13">
        <v>928</v>
      </c>
      <c r="T123" s="13">
        <v>381</v>
      </c>
      <c r="U123" s="12"/>
      <c r="V123" s="13">
        <v>3419</v>
      </c>
      <c r="W123" s="13">
        <v>5139</v>
      </c>
      <c r="X123" s="13">
        <v>926</v>
      </c>
      <c r="Y123" s="13">
        <v>1772</v>
      </c>
      <c r="Z123" s="13">
        <v>457</v>
      </c>
      <c r="AA123" s="13">
        <v>3774</v>
      </c>
      <c r="AB123" s="13">
        <v>3709</v>
      </c>
      <c r="AC123" s="13">
        <v>2858</v>
      </c>
      <c r="AD123" s="13">
        <v>3095</v>
      </c>
      <c r="AE123" s="13">
        <v>1772</v>
      </c>
      <c r="AF123" s="13">
        <v>5139</v>
      </c>
      <c r="AG123" s="13">
        <v>5139</v>
      </c>
      <c r="AH123" s="13">
        <v>5139</v>
      </c>
      <c r="AI123" s="14">
        <v>11325</v>
      </c>
      <c r="AJ123" s="14">
        <v>14371</v>
      </c>
      <c r="AK123" s="14">
        <v>11325</v>
      </c>
      <c r="AL123" s="14">
        <v>13160</v>
      </c>
      <c r="AM123" s="14">
        <v>20348</v>
      </c>
      <c r="AN123" s="14">
        <v>19968</v>
      </c>
      <c r="AO123" s="14">
        <v>19670</v>
      </c>
      <c r="AP123" s="14">
        <v>20198</v>
      </c>
      <c r="AQ123" s="14">
        <v>21048</v>
      </c>
      <c r="AR123" s="14">
        <v>17353</v>
      </c>
      <c r="AS123" s="14">
        <v>11038</v>
      </c>
      <c r="AT123" s="14">
        <v>11038</v>
      </c>
      <c r="AU123" s="14">
        <v>11038</v>
      </c>
      <c r="AV123" s="14">
        <v>19696</v>
      </c>
      <c r="AW123" s="14">
        <v>2758</v>
      </c>
      <c r="AX123" s="14">
        <v>2758</v>
      </c>
      <c r="AY123" s="14">
        <v>20538</v>
      </c>
      <c r="AZ123" s="14"/>
      <c r="BA123" s="14">
        <v>11219</v>
      </c>
      <c r="BB123" s="14">
        <v>16509</v>
      </c>
      <c r="BC123" s="13">
        <v>2259</v>
      </c>
      <c r="BD123" s="14">
        <v>17674</v>
      </c>
      <c r="BE123" s="14">
        <v>20089</v>
      </c>
      <c r="BF123" s="14">
        <v>19113</v>
      </c>
      <c r="BG123" s="13">
        <v>6512</v>
      </c>
      <c r="BH123" s="13">
        <v>4886</v>
      </c>
      <c r="BI123" s="14">
        <v>9273</v>
      </c>
      <c r="BJ123" s="14">
        <v>13514</v>
      </c>
      <c r="BK123" s="15">
        <v>13514</v>
      </c>
      <c r="BM123" s="10" t="s">
        <v>19</v>
      </c>
      <c r="BN123" s="35" t="s">
        <v>80</v>
      </c>
      <c r="BO123" s="16">
        <f>190.1</f>
        <v>190.1</v>
      </c>
      <c r="BP123" s="14">
        <f>190.1</f>
        <v>190.1</v>
      </c>
      <c r="BQ123" s="14">
        <f>190.1+1925.4</f>
        <v>2115.5</v>
      </c>
      <c r="BR123" s="14">
        <f>190.1</f>
        <v>190.1</v>
      </c>
      <c r="BS123" s="14">
        <f>190.1+63</f>
        <v>253.1</v>
      </c>
      <c r="BT123" s="14">
        <f>190.1+1636.8</f>
        <v>1826.8999999999999</v>
      </c>
      <c r="BU123" s="14">
        <f>190.1</f>
        <v>190.1</v>
      </c>
      <c r="BV123" s="14">
        <f>190.1</f>
        <v>190.1</v>
      </c>
      <c r="BW123" s="14">
        <f>190.1+543.3</f>
        <v>733.4</v>
      </c>
      <c r="BX123" s="14">
        <f>190.1</f>
        <v>190.1</v>
      </c>
      <c r="BY123" s="14">
        <f>190.1+970.9</f>
        <v>1161</v>
      </c>
      <c r="BZ123" s="14">
        <f>190.1</f>
        <v>190.1</v>
      </c>
      <c r="CA123" s="14">
        <f>190.1+458.8</f>
        <v>648.9</v>
      </c>
      <c r="CB123" s="14">
        <f>190.1+441.9</f>
        <v>632</v>
      </c>
      <c r="CC123" s="14">
        <f>190.1+51.7</f>
        <v>241.8</v>
      </c>
      <c r="CD123" s="13">
        <f>190.1</f>
        <v>190.1</v>
      </c>
      <c r="CE123" s="13">
        <f>190.1</f>
        <v>190.1</v>
      </c>
      <c r="CF123" s="13">
        <f>190.1</f>
        <v>190.1</v>
      </c>
      <c r="CG123" s="12"/>
      <c r="CH123" s="13">
        <f>190.1+311.9</f>
        <v>502</v>
      </c>
      <c r="CI123" s="13">
        <f>190.1+495.4</f>
        <v>685.5</v>
      </c>
      <c r="CJ123" s="13">
        <f>190.1</f>
        <v>190.1</v>
      </c>
      <c r="CK123" s="13">
        <f>190.1+142.8</f>
        <v>332.9</v>
      </c>
      <c r="CL123" s="13">
        <f>190.1+252.5</f>
        <v>442.6</v>
      </c>
      <c r="CM123" s="13">
        <f>190.1+71.3</f>
        <v>261.39999999999998</v>
      </c>
      <c r="CN123" s="13">
        <f>190.1+146</f>
        <v>336.1</v>
      </c>
      <c r="CO123" s="13">
        <f>190.1+354.6</f>
        <v>544.70000000000005</v>
      </c>
      <c r="CP123" s="13">
        <f>190.1</f>
        <v>190.1</v>
      </c>
      <c r="CQ123" s="13">
        <f>190.1</f>
        <v>190.1</v>
      </c>
      <c r="CR123" s="13">
        <f>190.1+931.2</f>
        <v>1121.3</v>
      </c>
      <c r="CS123" s="13">
        <f>190.1+745.4</f>
        <v>935.5</v>
      </c>
      <c r="CT123" s="13">
        <f>190.1+522.4</f>
        <v>712.5</v>
      </c>
      <c r="CU123" s="14">
        <f>190.1+1374.6</f>
        <v>1564.6999999999998</v>
      </c>
      <c r="CV123" s="14">
        <f>190.1</f>
        <v>190.1</v>
      </c>
      <c r="CW123" s="14">
        <f>190.1+857.3</f>
        <v>1047.3999999999999</v>
      </c>
      <c r="CX123" s="14">
        <f>190.1</f>
        <v>190.1</v>
      </c>
      <c r="CY123" s="14">
        <f>190.1</f>
        <v>190.1</v>
      </c>
      <c r="CZ123" s="14">
        <f>190.1</f>
        <v>190.1</v>
      </c>
      <c r="DA123" s="14">
        <f>190.1+162.7</f>
        <v>352.79999999999995</v>
      </c>
      <c r="DB123" s="14">
        <f>190.1</f>
        <v>190.1</v>
      </c>
      <c r="DC123" s="14">
        <f>190.1</f>
        <v>190.1</v>
      </c>
      <c r="DD123" s="14">
        <f>190.1</f>
        <v>190.1</v>
      </c>
      <c r="DE123" s="14">
        <f>190.1</f>
        <v>190.1</v>
      </c>
      <c r="DF123" s="14">
        <f>190.1+1855.4</f>
        <v>2045.5</v>
      </c>
      <c r="DG123" s="14">
        <f>190.1+996.5</f>
        <v>1186.5999999999999</v>
      </c>
      <c r="DH123" s="14">
        <f>190.1+33.8</f>
        <v>223.89999999999998</v>
      </c>
      <c r="DI123" s="14">
        <f>190.1+701.9</f>
        <v>892</v>
      </c>
      <c r="DJ123" s="14">
        <f>190.1+4701.1</f>
        <v>4891.2000000000007</v>
      </c>
      <c r="DK123" s="14">
        <f>190.1</f>
        <v>190.1</v>
      </c>
      <c r="DL123" s="14">
        <f>190.1</f>
        <v>190.1</v>
      </c>
      <c r="DM123" s="14">
        <f>190.1+483.6</f>
        <v>673.7</v>
      </c>
      <c r="DN123" s="14">
        <f>190.1</f>
        <v>190.1</v>
      </c>
      <c r="DO123" s="13">
        <f>190.1</f>
        <v>190.1</v>
      </c>
      <c r="DP123" s="14">
        <f>190.1</f>
        <v>190.1</v>
      </c>
      <c r="DQ123" s="14">
        <f>190.1+121.2</f>
        <v>311.3</v>
      </c>
      <c r="DR123" s="14">
        <f>190.1</f>
        <v>190.1</v>
      </c>
      <c r="DS123" s="13">
        <f>190.1+778.9</f>
        <v>969</v>
      </c>
      <c r="DT123" s="13">
        <f>190.1+11.8</f>
        <v>201.9</v>
      </c>
      <c r="DU123" s="14">
        <f>190.1+503.6</f>
        <v>693.7</v>
      </c>
      <c r="DV123" s="14">
        <f>190.1+114</f>
        <v>304.10000000000002</v>
      </c>
      <c r="DW123" s="15">
        <f>190.1+1147</f>
        <v>1337.1</v>
      </c>
      <c r="DY123" s="10" t="s">
        <v>19</v>
      </c>
      <c r="DZ123" s="35" t="s">
        <v>80</v>
      </c>
      <c r="EA123" s="16">
        <f>226.7</f>
        <v>226.7</v>
      </c>
      <c r="EB123" s="14">
        <f t="shared" ref="EB123:GI123" si="6">226.7</f>
        <v>226.7</v>
      </c>
      <c r="EC123" s="14">
        <f>226.7+2197.2</f>
        <v>2423.8999999999996</v>
      </c>
      <c r="ED123" s="14">
        <f t="shared" si="6"/>
        <v>226.7</v>
      </c>
      <c r="EE123" s="14">
        <f>226.7+64.4</f>
        <v>291.10000000000002</v>
      </c>
      <c r="EF123" s="14">
        <f>226.7+2958.2</f>
        <v>3184.8999999999996</v>
      </c>
      <c r="EG123" s="14">
        <f t="shared" si="6"/>
        <v>226.7</v>
      </c>
      <c r="EH123" s="14">
        <f t="shared" si="6"/>
        <v>226.7</v>
      </c>
      <c r="EI123" s="14">
        <f>226.7+535.6</f>
        <v>762.3</v>
      </c>
      <c r="EJ123" s="14">
        <f t="shared" si="6"/>
        <v>226.7</v>
      </c>
      <c r="EK123" s="14">
        <f t="shared" si="6"/>
        <v>226.7</v>
      </c>
      <c r="EL123" s="14">
        <f t="shared" si="6"/>
        <v>226.7</v>
      </c>
      <c r="EM123" s="14">
        <f t="shared" si="6"/>
        <v>226.7</v>
      </c>
      <c r="EN123" s="14">
        <f t="shared" si="6"/>
        <v>226.7</v>
      </c>
      <c r="EO123" s="14">
        <f t="shared" si="6"/>
        <v>226.7</v>
      </c>
      <c r="EP123" s="13">
        <f t="shared" si="6"/>
        <v>226.7</v>
      </c>
      <c r="EQ123" s="13">
        <f t="shared" si="6"/>
        <v>226.7</v>
      </c>
      <c r="ER123" s="13">
        <f t="shared" si="6"/>
        <v>226.7</v>
      </c>
      <c r="ES123" s="12"/>
      <c r="ET123" s="13">
        <f>226.7+319.5</f>
        <v>546.20000000000005</v>
      </c>
      <c r="EU123" s="13">
        <f>226.7+513.8</f>
        <v>740.5</v>
      </c>
      <c r="EV123" s="13">
        <f t="shared" si="6"/>
        <v>226.7</v>
      </c>
      <c r="EW123" s="13">
        <f>226.7+135.5</f>
        <v>362.2</v>
      </c>
      <c r="EX123" s="13">
        <f>226.7+263.1</f>
        <v>489.8</v>
      </c>
      <c r="EY123" s="13">
        <f>226.7+77.9</f>
        <v>304.60000000000002</v>
      </c>
      <c r="EZ123" s="13">
        <f>226.7+141.3</f>
        <v>368</v>
      </c>
      <c r="FA123" s="13">
        <f>226.7+389.7</f>
        <v>616.4</v>
      </c>
      <c r="FB123" s="13">
        <f t="shared" si="6"/>
        <v>226.7</v>
      </c>
      <c r="FC123" s="13">
        <f t="shared" si="6"/>
        <v>226.7</v>
      </c>
      <c r="FD123" s="13">
        <f>226.7+994.9</f>
        <v>1221.5999999999999</v>
      </c>
      <c r="FE123" s="13">
        <f>226.7+960.9</f>
        <v>1187.5999999999999</v>
      </c>
      <c r="FF123" s="13">
        <f>226.7+624.5</f>
        <v>851.2</v>
      </c>
      <c r="FG123" s="14">
        <f>226.7+1386.2</f>
        <v>1612.9</v>
      </c>
      <c r="FH123" s="14">
        <f t="shared" si="6"/>
        <v>226.7</v>
      </c>
      <c r="FI123" s="14">
        <f>226.7+982.6</f>
        <v>1209.3</v>
      </c>
      <c r="FJ123" s="14">
        <f t="shared" si="6"/>
        <v>226.7</v>
      </c>
      <c r="FK123" s="14">
        <f t="shared" si="6"/>
        <v>226.7</v>
      </c>
      <c r="FL123" s="14">
        <f t="shared" si="6"/>
        <v>226.7</v>
      </c>
      <c r="FM123" s="14">
        <f>226.7+154.6</f>
        <v>381.29999999999995</v>
      </c>
      <c r="FN123" s="14">
        <f t="shared" si="6"/>
        <v>226.7</v>
      </c>
      <c r="FO123" s="14">
        <f t="shared" si="6"/>
        <v>226.7</v>
      </c>
      <c r="FP123" s="14">
        <f t="shared" si="6"/>
        <v>226.7</v>
      </c>
      <c r="FQ123" s="14">
        <f t="shared" si="6"/>
        <v>226.7</v>
      </c>
      <c r="FR123" s="14">
        <f t="shared" si="6"/>
        <v>226.7</v>
      </c>
      <c r="FS123" s="14">
        <f t="shared" si="6"/>
        <v>226.7</v>
      </c>
      <c r="FT123" s="14">
        <f>226.7+43.9</f>
        <v>270.59999999999997</v>
      </c>
      <c r="FU123" s="14">
        <f>226.7+3.8+641.3</f>
        <v>871.8</v>
      </c>
      <c r="FV123" s="14">
        <f>226.7+3305.4+1080.8</f>
        <v>4612.8999999999996</v>
      </c>
      <c r="FW123" s="14">
        <f t="shared" si="6"/>
        <v>226.7</v>
      </c>
      <c r="FX123" s="14">
        <f t="shared" si="6"/>
        <v>226.7</v>
      </c>
      <c r="FY123" s="14">
        <f>226.7+462.7</f>
        <v>689.4</v>
      </c>
      <c r="FZ123" s="14">
        <f t="shared" si="6"/>
        <v>226.7</v>
      </c>
      <c r="GA123" s="13">
        <f t="shared" si="6"/>
        <v>226.7</v>
      </c>
      <c r="GB123" s="14">
        <f t="shared" si="6"/>
        <v>226.7</v>
      </c>
      <c r="GC123" s="14">
        <f>226.7+116.6</f>
        <v>343.29999999999995</v>
      </c>
      <c r="GD123" s="14">
        <f t="shared" si="6"/>
        <v>226.7</v>
      </c>
      <c r="GE123" s="13">
        <f>226.7+965.1</f>
        <v>1191.8</v>
      </c>
      <c r="GF123" s="13">
        <f t="shared" si="6"/>
        <v>226.7</v>
      </c>
      <c r="GG123" s="14">
        <f t="shared" si="6"/>
        <v>226.7</v>
      </c>
      <c r="GH123" s="14">
        <f t="shared" si="6"/>
        <v>226.7</v>
      </c>
      <c r="GI123" s="15">
        <f t="shared" si="6"/>
        <v>226.7</v>
      </c>
    </row>
    <row r="124" spans="1:191" x14ac:dyDescent="0.3">
      <c r="A124" s="10" t="s">
        <v>20</v>
      </c>
      <c r="B124" s="35" t="s">
        <v>81</v>
      </c>
      <c r="C124" s="16">
        <v>8382</v>
      </c>
      <c r="D124" s="14">
        <v>9742</v>
      </c>
      <c r="E124" s="14">
        <v>7215</v>
      </c>
      <c r="F124" s="14">
        <v>9162</v>
      </c>
      <c r="G124" s="14">
        <v>7732</v>
      </c>
      <c r="H124" s="14">
        <v>14753</v>
      </c>
      <c r="I124" s="14">
        <v>16777</v>
      </c>
      <c r="J124" s="14">
        <v>14753</v>
      </c>
      <c r="K124" s="14">
        <v>7167</v>
      </c>
      <c r="L124" s="14">
        <v>7167</v>
      </c>
      <c r="M124" s="14">
        <v>16807</v>
      </c>
      <c r="N124" s="14">
        <v>16807</v>
      </c>
      <c r="O124" s="14">
        <v>10202</v>
      </c>
      <c r="P124" s="14">
        <v>9038</v>
      </c>
      <c r="Q124" s="14">
        <v>7071</v>
      </c>
      <c r="R124" s="13">
        <v>4278</v>
      </c>
      <c r="S124" s="13">
        <v>3623</v>
      </c>
      <c r="T124" s="13">
        <v>3722</v>
      </c>
      <c r="U124" s="13">
        <v>3419</v>
      </c>
      <c r="V124" s="12"/>
      <c r="W124" s="13">
        <v>2230</v>
      </c>
      <c r="X124" s="13">
        <v>4267</v>
      </c>
      <c r="Y124" s="13">
        <v>5113</v>
      </c>
      <c r="Z124" s="13">
        <v>3798</v>
      </c>
      <c r="AA124" s="13">
        <v>578</v>
      </c>
      <c r="AB124" s="13">
        <v>372</v>
      </c>
      <c r="AC124" s="13">
        <v>639</v>
      </c>
      <c r="AD124" s="13">
        <v>343</v>
      </c>
      <c r="AE124" s="13">
        <v>5113</v>
      </c>
      <c r="AF124" s="13">
        <v>2230</v>
      </c>
      <c r="AG124" s="13">
        <v>2230</v>
      </c>
      <c r="AH124" s="13">
        <v>2230</v>
      </c>
      <c r="AI124" s="14">
        <v>8441</v>
      </c>
      <c r="AJ124" s="14">
        <v>11488</v>
      </c>
      <c r="AK124" s="14">
        <v>8441</v>
      </c>
      <c r="AL124" s="14">
        <v>10276</v>
      </c>
      <c r="AM124" s="14">
        <v>17464</v>
      </c>
      <c r="AN124" s="14">
        <v>17077</v>
      </c>
      <c r="AO124" s="14">
        <v>16786</v>
      </c>
      <c r="AP124" s="14">
        <v>17314</v>
      </c>
      <c r="AQ124" s="14">
        <v>18164</v>
      </c>
      <c r="AR124" s="14">
        <v>14469</v>
      </c>
      <c r="AS124" s="14">
        <v>8154</v>
      </c>
      <c r="AT124" s="14">
        <v>8154</v>
      </c>
      <c r="AU124" s="14">
        <v>8154</v>
      </c>
      <c r="AV124" s="14">
        <v>16812</v>
      </c>
      <c r="AW124" s="14">
        <v>6099</v>
      </c>
      <c r="AX124" s="14">
        <v>6099</v>
      </c>
      <c r="AY124" s="14">
        <v>17655</v>
      </c>
      <c r="AZ124" s="14"/>
      <c r="BA124" s="14">
        <v>8336</v>
      </c>
      <c r="BB124" s="14">
        <v>13625</v>
      </c>
      <c r="BC124" s="13">
        <v>5600</v>
      </c>
      <c r="BD124" s="14">
        <v>14790</v>
      </c>
      <c r="BE124" s="14">
        <v>17205</v>
      </c>
      <c r="BF124" s="14">
        <v>16229</v>
      </c>
      <c r="BG124" s="13">
        <v>3589</v>
      </c>
      <c r="BH124" s="13">
        <v>1974</v>
      </c>
      <c r="BI124" s="14">
        <v>10016</v>
      </c>
      <c r="BJ124" s="14">
        <v>14257</v>
      </c>
      <c r="BK124" s="15">
        <v>14257</v>
      </c>
      <c r="BM124" s="10" t="s">
        <v>20</v>
      </c>
      <c r="BN124" s="35" t="s">
        <v>81</v>
      </c>
      <c r="BO124" s="16">
        <f>311.9</f>
        <v>311.89999999999998</v>
      </c>
      <c r="BP124" s="14">
        <f>311.9</f>
        <v>311.89999999999998</v>
      </c>
      <c r="BQ124" s="14">
        <f>311.9+1925.4</f>
        <v>2237.3000000000002</v>
      </c>
      <c r="BR124" s="14">
        <f>311.9</f>
        <v>311.89999999999998</v>
      </c>
      <c r="BS124" s="14">
        <f>311.9+63</f>
        <v>374.9</v>
      </c>
      <c r="BT124" s="14">
        <f>311.9+1636.8</f>
        <v>1948.6999999999998</v>
      </c>
      <c r="BU124" s="14">
        <f>311.9</f>
        <v>311.89999999999998</v>
      </c>
      <c r="BV124" s="14">
        <f>311.9</f>
        <v>311.89999999999998</v>
      </c>
      <c r="BW124" s="14">
        <f>311.9+543.3</f>
        <v>855.19999999999993</v>
      </c>
      <c r="BX124" s="14">
        <f>311.9</f>
        <v>311.89999999999998</v>
      </c>
      <c r="BY124" s="14">
        <f>311.9+970.9</f>
        <v>1282.8</v>
      </c>
      <c r="BZ124" s="14">
        <f>311.9</f>
        <v>311.89999999999998</v>
      </c>
      <c r="CA124" s="14">
        <f>311.9+458.8</f>
        <v>770.7</v>
      </c>
      <c r="CB124" s="14">
        <f>311.9+441.9</f>
        <v>753.8</v>
      </c>
      <c r="CC124" s="14">
        <f>311.9+51.7</f>
        <v>363.59999999999997</v>
      </c>
      <c r="CD124" s="13">
        <f>311.9</f>
        <v>311.89999999999998</v>
      </c>
      <c r="CE124" s="13">
        <f>311.9</f>
        <v>311.89999999999998</v>
      </c>
      <c r="CF124" s="13">
        <f>311.9</f>
        <v>311.89999999999998</v>
      </c>
      <c r="CG124" s="13">
        <f>311.9+190.1</f>
        <v>502</v>
      </c>
      <c r="CH124" s="12"/>
      <c r="CI124" s="13">
        <f>311.9+495.4</f>
        <v>807.3</v>
      </c>
      <c r="CJ124" s="13">
        <f>311.9</f>
        <v>311.89999999999998</v>
      </c>
      <c r="CK124" s="13">
        <f>311.9+142.8</f>
        <v>454.7</v>
      </c>
      <c r="CL124" s="13">
        <f>311.9+252.5</f>
        <v>564.4</v>
      </c>
      <c r="CM124" s="13">
        <f>311.9+71.3</f>
        <v>383.2</v>
      </c>
      <c r="CN124" s="13">
        <f>311.9+146</f>
        <v>457.9</v>
      </c>
      <c r="CO124" s="13">
        <f>311.9+354.6</f>
        <v>666.5</v>
      </c>
      <c r="CP124" s="13">
        <f>311.9</f>
        <v>311.89999999999998</v>
      </c>
      <c r="CQ124" s="13">
        <f>311.9</f>
        <v>311.89999999999998</v>
      </c>
      <c r="CR124" s="13">
        <f>311.9+931.2</f>
        <v>1243.0999999999999</v>
      </c>
      <c r="CS124" s="13">
        <f>311.9+745.4</f>
        <v>1057.3</v>
      </c>
      <c r="CT124" s="13">
        <f>311.9+522.4</f>
        <v>834.3</v>
      </c>
      <c r="CU124" s="14">
        <f>311.9+1374.6</f>
        <v>1686.5</v>
      </c>
      <c r="CV124" s="14">
        <f>311.9</f>
        <v>311.89999999999998</v>
      </c>
      <c r="CW124" s="14">
        <f>311.9+857.3</f>
        <v>1169.1999999999998</v>
      </c>
      <c r="CX124" s="14">
        <f>311.9</f>
        <v>311.89999999999998</v>
      </c>
      <c r="CY124" s="14">
        <f>311.9</f>
        <v>311.89999999999998</v>
      </c>
      <c r="CZ124" s="14">
        <f>311.9</f>
        <v>311.89999999999998</v>
      </c>
      <c r="DA124" s="14">
        <f>311.9+162.7</f>
        <v>474.59999999999997</v>
      </c>
      <c r="DB124" s="14">
        <f>311.9</f>
        <v>311.89999999999998</v>
      </c>
      <c r="DC124" s="14">
        <f>311.9</f>
        <v>311.89999999999998</v>
      </c>
      <c r="DD124" s="14">
        <f>311.9</f>
        <v>311.89999999999998</v>
      </c>
      <c r="DE124" s="14">
        <f>311.9</f>
        <v>311.89999999999998</v>
      </c>
      <c r="DF124" s="14">
        <f>311.9+1855.4</f>
        <v>2167.3000000000002</v>
      </c>
      <c r="DG124" s="14">
        <f>311.9+996.5</f>
        <v>1308.4000000000001</v>
      </c>
      <c r="DH124" s="14">
        <f>311.9+33.8</f>
        <v>345.7</v>
      </c>
      <c r="DI124" s="14">
        <f>311.9+701.9</f>
        <v>1013.8</v>
      </c>
      <c r="DJ124" s="14">
        <f>311.9+4701.1</f>
        <v>5013</v>
      </c>
      <c r="DK124" s="14">
        <f>311.9</f>
        <v>311.89999999999998</v>
      </c>
      <c r="DL124" s="14">
        <f>311.9</f>
        <v>311.89999999999998</v>
      </c>
      <c r="DM124" s="14">
        <f>311.9+483.6</f>
        <v>795.5</v>
      </c>
      <c r="DN124" s="14">
        <f>311.9</f>
        <v>311.89999999999998</v>
      </c>
      <c r="DO124" s="13">
        <f>311.9</f>
        <v>311.89999999999998</v>
      </c>
      <c r="DP124" s="14">
        <f>311.9</f>
        <v>311.89999999999998</v>
      </c>
      <c r="DQ124" s="14">
        <f>311.9+121.2</f>
        <v>433.09999999999997</v>
      </c>
      <c r="DR124" s="14">
        <f>311.9</f>
        <v>311.89999999999998</v>
      </c>
      <c r="DS124" s="13">
        <f>311.9+778.9</f>
        <v>1090.8</v>
      </c>
      <c r="DT124" s="13">
        <f>311.9+11.8</f>
        <v>323.7</v>
      </c>
      <c r="DU124" s="14">
        <f>311.9+503.6</f>
        <v>815.5</v>
      </c>
      <c r="DV124" s="14">
        <f>311.9+114</f>
        <v>425.9</v>
      </c>
      <c r="DW124" s="15">
        <f>311.9+1147</f>
        <v>1458.9</v>
      </c>
      <c r="DY124" s="10" t="s">
        <v>20</v>
      </c>
      <c r="DZ124" s="35" t="s">
        <v>81</v>
      </c>
      <c r="EA124" s="16">
        <f>319.5</f>
        <v>319.5</v>
      </c>
      <c r="EB124" s="14">
        <f t="shared" ref="EB124:GI124" si="7">319.5</f>
        <v>319.5</v>
      </c>
      <c r="EC124" s="14">
        <f>319.5+2197.2</f>
        <v>2516.6999999999998</v>
      </c>
      <c r="ED124" s="14">
        <f t="shared" si="7"/>
        <v>319.5</v>
      </c>
      <c r="EE124" s="14">
        <f>319.5+64.4</f>
        <v>383.9</v>
      </c>
      <c r="EF124" s="14">
        <f>319.5+2958.2</f>
        <v>3277.7</v>
      </c>
      <c r="EG124" s="14">
        <f t="shared" si="7"/>
        <v>319.5</v>
      </c>
      <c r="EH124" s="14">
        <f t="shared" si="7"/>
        <v>319.5</v>
      </c>
      <c r="EI124" s="14">
        <f>319.5+535.6</f>
        <v>855.1</v>
      </c>
      <c r="EJ124" s="14">
        <f t="shared" si="7"/>
        <v>319.5</v>
      </c>
      <c r="EK124" s="14">
        <f t="shared" si="7"/>
        <v>319.5</v>
      </c>
      <c r="EL124" s="14">
        <f t="shared" si="7"/>
        <v>319.5</v>
      </c>
      <c r="EM124" s="14">
        <f t="shared" si="7"/>
        <v>319.5</v>
      </c>
      <c r="EN124" s="14">
        <f t="shared" si="7"/>
        <v>319.5</v>
      </c>
      <c r="EO124" s="14">
        <f t="shared" si="7"/>
        <v>319.5</v>
      </c>
      <c r="EP124" s="13">
        <f t="shared" si="7"/>
        <v>319.5</v>
      </c>
      <c r="EQ124" s="13">
        <f t="shared" si="7"/>
        <v>319.5</v>
      </c>
      <c r="ER124" s="13">
        <f t="shared" si="7"/>
        <v>319.5</v>
      </c>
      <c r="ES124" s="13">
        <f>319.5+226.7</f>
        <v>546.20000000000005</v>
      </c>
      <c r="ET124" s="12"/>
      <c r="EU124" s="13">
        <f>319.5+513.8</f>
        <v>833.3</v>
      </c>
      <c r="EV124" s="13">
        <f t="shared" si="7"/>
        <v>319.5</v>
      </c>
      <c r="EW124" s="13">
        <f>319.5+135.5</f>
        <v>455</v>
      </c>
      <c r="EX124" s="13">
        <f>319.5+263.1</f>
        <v>582.6</v>
      </c>
      <c r="EY124" s="13">
        <f>319.5+77.9</f>
        <v>397.4</v>
      </c>
      <c r="EZ124" s="13">
        <f>319.5+141.3</f>
        <v>460.8</v>
      </c>
      <c r="FA124" s="13">
        <f>319.5+389.7</f>
        <v>709.2</v>
      </c>
      <c r="FB124" s="13">
        <f t="shared" si="7"/>
        <v>319.5</v>
      </c>
      <c r="FC124" s="13">
        <f t="shared" si="7"/>
        <v>319.5</v>
      </c>
      <c r="FD124" s="13">
        <f>319.5+994.9</f>
        <v>1314.4</v>
      </c>
      <c r="FE124" s="13">
        <f>319.5+960.9</f>
        <v>1280.4000000000001</v>
      </c>
      <c r="FF124" s="13">
        <f>319.5+624.5</f>
        <v>944</v>
      </c>
      <c r="FG124" s="14">
        <f>319.5+1386.2</f>
        <v>1705.7</v>
      </c>
      <c r="FH124" s="14">
        <f t="shared" si="7"/>
        <v>319.5</v>
      </c>
      <c r="FI124" s="14">
        <f>319.5+982.6</f>
        <v>1302.0999999999999</v>
      </c>
      <c r="FJ124" s="14">
        <f t="shared" si="7"/>
        <v>319.5</v>
      </c>
      <c r="FK124" s="14">
        <f t="shared" si="7"/>
        <v>319.5</v>
      </c>
      <c r="FL124" s="14">
        <f t="shared" si="7"/>
        <v>319.5</v>
      </c>
      <c r="FM124" s="14">
        <f>319.5+154.6</f>
        <v>474.1</v>
      </c>
      <c r="FN124" s="14">
        <f t="shared" si="7"/>
        <v>319.5</v>
      </c>
      <c r="FO124" s="14">
        <f t="shared" si="7"/>
        <v>319.5</v>
      </c>
      <c r="FP124" s="14">
        <f t="shared" si="7"/>
        <v>319.5</v>
      </c>
      <c r="FQ124" s="14">
        <f t="shared" si="7"/>
        <v>319.5</v>
      </c>
      <c r="FR124" s="14">
        <f t="shared" si="7"/>
        <v>319.5</v>
      </c>
      <c r="FS124" s="14">
        <f t="shared" si="7"/>
        <v>319.5</v>
      </c>
      <c r="FT124" s="14">
        <f>319.5+43.9</f>
        <v>363.4</v>
      </c>
      <c r="FU124" s="14">
        <f>319.5+3.8+641.3</f>
        <v>964.59999999999991</v>
      </c>
      <c r="FV124" s="14">
        <f>319.5+3305.4+1080.8</f>
        <v>4705.7</v>
      </c>
      <c r="FW124" s="14">
        <f t="shared" si="7"/>
        <v>319.5</v>
      </c>
      <c r="FX124" s="14">
        <f t="shared" si="7"/>
        <v>319.5</v>
      </c>
      <c r="FY124" s="14">
        <f>319.5+462.7</f>
        <v>782.2</v>
      </c>
      <c r="FZ124" s="14">
        <f t="shared" si="7"/>
        <v>319.5</v>
      </c>
      <c r="GA124" s="13">
        <f t="shared" si="7"/>
        <v>319.5</v>
      </c>
      <c r="GB124" s="14">
        <f t="shared" si="7"/>
        <v>319.5</v>
      </c>
      <c r="GC124" s="14">
        <f>319.5+116.6</f>
        <v>436.1</v>
      </c>
      <c r="GD124" s="14">
        <f t="shared" si="7"/>
        <v>319.5</v>
      </c>
      <c r="GE124" s="13">
        <f>319.5+965.1</f>
        <v>1284.5999999999999</v>
      </c>
      <c r="GF124" s="13">
        <f t="shared" si="7"/>
        <v>319.5</v>
      </c>
      <c r="GG124" s="14">
        <f t="shared" si="7"/>
        <v>319.5</v>
      </c>
      <c r="GH124" s="14">
        <f t="shared" si="7"/>
        <v>319.5</v>
      </c>
      <c r="GI124" s="15">
        <f t="shared" si="7"/>
        <v>319.5</v>
      </c>
    </row>
    <row r="125" spans="1:191" x14ac:dyDescent="0.3">
      <c r="A125" s="10" t="s">
        <v>21</v>
      </c>
      <c r="B125" s="35" t="s">
        <v>82</v>
      </c>
      <c r="C125" s="16">
        <v>10156</v>
      </c>
      <c r="D125" s="14">
        <v>11516</v>
      </c>
      <c r="E125" s="14">
        <v>8989</v>
      </c>
      <c r="F125" s="14">
        <v>10936</v>
      </c>
      <c r="G125" s="14">
        <v>9506</v>
      </c>
      <c r="H125" s="14">
        <v>16527</v>
      </c>
      <c r="I125" s="14">
        <v>18551</v>
      </c>
      <c r="J125" s="14">
        <v>16527</v>
      </c>
      <c r="K125" s="14">
        <v>7830</v>
      </c>
      <c r="L125" s="14">
        <v>7830</v>
      </c>
      <c r="M125" s="14">
        <v>18581</v>
      </c>
      <c r="N125" s="14">
        <v>18581</v>
      </c>
      <c r="O125" s="14">
        <v>11977</v>
      </c>
      <c r="P125" s="14">
        <v>10812</v>
      </c>
      <c r="Q125" s="14">
        <v>8845</v>
      </c>
      <c r="R125" s="13">
        <v>6052</v>
      </c>
      <c r="S125" s="13">
        <v>5397</v>
      </c>
      <c r="T125" s="13">
        <v>5497</v>
      </c>
      <c r="U125" s="13">
        <v>5139</v>
      </c>
      <c r="V125" s="13">
        <v>2230</v>
      </c>
      <c r="W125" s="12"/>
      <c r="X125" s="13">
        <v>6041</v>
      </c>
      <c r="Y125" s="13">
        <v>6888</v>
      </c>
      <c r="Z125" s="13">
        <v>5572</v>
      </c>
      <c r="AA125" s="13">
        <v>1713</v>
      </c>
      <c r="AB125" s="13">
        <v>2058</v>
      </c>
      <c r="AC125" s="13">
        <v>2571</v>
      </c>
      <c r="AD125" s="13">
        <v>2408</v>
      </c>
      <c r="AE125" s="13">
        <v>6888</v>
      </c>
      <c r="AF125" s="13">
        <v>0</v>
      </c>
      <c r="AG125" s="13">
        <v>0</v>
      </c>
      <c r="AH125" s="13">
        <v>0</v>
      </c>
      <c r="AI125" s="14">
        <v>8038</v>
      </c>
      <c r="AJ125" s="14">
        <v>11084</v>
      </c>
      <c r="AK125" s="14">
        <v>8038</v>
      </c>
      <c r="AL125" s="14">
        <v>9873</v>
      </c>
      <c r="AM125" s="14">
        <v>17061</v>
      </c>
      <c r="AN125" s="14">
        <v>16674</v>
      </c>
      <c r="AO125" s="14">
        <v>16383</v>
      </c>
      <c r="AP125" s="14">
        <v>16911</v>
      </c>
      <c r="AQ125" s="14">
        <v>17761</v>
      </c>
      <c r="AR125" s="14">
        <v>14066</v>
      </c>
      <c r="AS125" s="14">
        <v>7751</v>
      </c>
      <c r="AT125" s="14">
        <v>7751</v>
      </c>
      <c r="AU125" s="14">
        <v>7751</v>
      </c>
      <c r="AV125" s="14">
        <v>16409</v>
      </c>
      <c r="AW125" s="14">
        <v>7873</v>
      </c>
      <c r="AX125" s="14">
        <v>7873</v>
      </c>
      <c r="AY125" s="14">
        <v>17251</v>
      </c>
      <c r="AZ125" s="14"/>
      <c r="BA125" s="14">
        <v>7932</v>
      </c>
      <c r="BB125" s="14">
        <v>13221</v>
      </c>
      <c r="BC125" s="13">
        <v>7375</v>
      </c>
      <c r="BD125" s="14">
        <v>14386</v>
      </c>
      <c r="BE125" s="14">
        <v>16801</v>
      </c>
      <c r="BF125" s="14">
        <v>15825</v>
      </c>
      <c r="BG125" s="13">
        <v>3171</v>
      </c>
      <c r="BH125" s="13">
        <v>1556</v>
      </c>
      <c r="BI125" s="14">
        <v>11790</v>
      </c>
      <c r="BJ125" s="14">
        <v>16031</v>
      </c>
      <c r="BK125" s="15">
        <v>16031</v>
      </c>
      <c r="BM125" s="10" t="s">
        <v>21</v>
      </c>
      <c r="BN125" s="35" t="s">
        <v>82</v>
      </c>
      <c r="BO125" s="16">
        <f>495.4</f>
        <v>495.4</v>
      </c>
      <c r="BP125" s="14">
        <f>495.4</f>
        <v>495.4</v>
      </c>
      <c r="BQ125" s="14">
        <f>495.4+1925.4</f>
        <v>2420.8000000000002</v>
      </c>
      <c r="BR125" s="14">
        <f>495.4</f>
        <v>495.4</v>
      </c>
      <c r="BS125" s="14">
        <f>495.4+63</f>
        <v>558.4</v>
      </c>
      <c r="BT125" s="14">
        <f>495.4+1636.8</f>
        <v>2132.1999999999998</v>
      </c>
      <c r="BU125" s="14">
        <f>495.4</f>
        <v>495.4</v>
      </c>
      <c r="BV125" s="14">
        <f>495.4</f>
        <v>495.4</v>
      </c>
      <c r="BW125" s="14">
        <f>495.4+543.3</f>
        <v>1038.6999999999998</v>
      </c>
      <c r="BX125" s="14">
        <f>495.4</f>
        <v>495.4</v>
      </c>
      <c r="BY125" s="14">
        <f>495.4+970.9</f>
        <v>1466.3</v>
      </c>
      <c r="BZ125" s="14">
        <f>495.4</f>
        <v>495.4</v>
      </c>
      <c r="CA125" s="14">
        <f>495.4+458.8</f>
        <v>954.2</v>
      </c>
      <c r="CB125" s="14">
        <f>495.4+441.9</f>
        <v>937.3</v>
      </c>
      <c r="CC125" s="14">
        <f>495.4+51.7</f>
        <v>547.1</v>
      </c>
      <c r="CD125" s="13">
        <f>495.4</f>
        <v>495.4</v>
      </c>
      <c r="CE125" s="13">
        <f>495.4</f>
        <v>495.4</v>
      </c>
      <c r="CF125" s="13">
        <f>495.4</f>
        <v>495.4</v>
      </c>
      <c r="CG125" s="13">
        <f>495.4+190.1</f>
        <v>685.5</v>
      </c>
      <c r="CH125" s="13">
        <f>495.4+311.9</f>
        <v>807.3</v>
      </c>
      <c r="CI125" s="12"/>
      <c r="CJ125" s="13">
        <f>495.4</f>
        <v>495.4</v>
      </c>
      <c r="CK125" s="13">
        <f>495.4+142.8</f>
        <v>638.20000000000005</v>
      </c>
      <c r="CL125" s="13">
        <f>495.4+252.5</f>
        <v>747.9</v>
      </c>
      <c r="CM125" s="13">
        <f>495.4+71.3</f>
        <v>566.69999999999993</v>
      </c>
      <c r="CN125" s="13">
        <f>495.4+146</f>
        <v>641.4</v>
      </c>
      <c r="CO125" s="13">
        <f>495.4+354.6</f>
        <v>850</v>
      </c>
      <c r="CP125" s="13">
        <f>495.4</f>
        <v>495.4</v>
      </c>
      <c r="CQ125" s="13">
        <f>495.4</f>
        <v>495.4</v>
      </c>
      <c r="CR125" s="13">
        <f>495.4+931.2</f>
        <v>1426.6</v>
      </c>
      <c r="CS125" s="13">
        <f>495.4+745.4</f>
        <v>1240.8</v>
      </c>
      <c r="CT125" s="13">
        <f>495.4+522.4</f>
        <v>1017.8</v>
      </c>
      <c r="CU125" s="14">
        <f>495.4+1374.6</f>
        <v>1870</v>
      </c>
      <c r="CV125" s="14">
        <f>495.4</f>
        <v>495.4</v>
      </c>
      <c r="CW125" s="14">
        <f>495.4+857.3</f>
        <v>1352.6999999999998</v>
      </c>
      <c r="CX125" s="14">
        <f>495.4</f>
        <v>495.4</v>
      </c>
      <c r="CY125" s="14">
        <f>495.4</f>
        <v>495.4</v>
      </c>
      <c r="CZ125" s="14">
        <f>495.4</f>
        <v>495.4</v>
      </c>
      <c r="DA125" s="14">
        <f>495.4+162.7</f>
        <v>658.09999999999991</v>
      </c>
      <c r="DB125" s="14">
        <f>495.4</f>
        <v>495.4</v>
      </c>
      <c r="DC125" s="14">
        <f>495.4</f>
        <v>495.4</v>
      </c>
      <c r="DD125" s="14">
        <f>495.4</f>
        <v>495.4</v>
      </c>
      <c r="DE125" s="14">
        <f>495.4</f>
        <v>495.4</v>
      </c>
      <c r="DF125" s="14">
        <f>495.4+1855.4</f>
        <v>2350.8000000000002</v>
      </c>
      <c r="DG125" s="14">
        <f>495.4+996.5</f>
        <v>1491.9</v>
      </c>
      <c r="DH125" s="14">
        <f>495.4+33.8</f>
        <v>529.19999999999993</v>
      </c>
      <c r="DI125" s="14">
        <f>495.4+701.9</f>
        <v>1197.3</v>
      </c>
      <c r="DJ125" s="14">
        <f>495.4+4701.1</f>
        <v>5196.5</v>
      </c>
      <c r="DK125" s="14">
        <f>495.4</f>
        <v>495.4</v>
      </c>
      <c r="DL125" s="14">
        <f>495.4</f>
        <v>495.4</v>
      </c>
      <c r="DM125" s="14">
        <f>495.4+483.6</f>
        <v>979</v>
      </c>
      <c r="DN125" s="14">
        <f>495.4</f>
        <v>495.4</v>
      </c>
      <c r="DO125" s="13">
        <f>495.4</f>
        <v>495.4</v>
      </c>
      <c r="DP125" s="14">
        <f>495.4</f>
        <v>495.4</v>
      </c>
      <c r="DQ125" s="14">
        <f>495.4+121.2</f>
        <v>616.6</v>
      </c>
      <c r="DR125" s="14">
        <f>495.4</f>
        <v>495.4</v>
      </c>
      <c r="DS125" s="13">
        <f>495.4+778.9</f>
        <v>1274.3</v>
      </c>
      <c r="DT125" s="13">
        <f>495.4+11.8</f>
        <v>507.2</v>
      </c>
      <c r="DU125" s="14">
        <f>495.4+503.6</f>
        <v>999</v>
      </c>
      <c r="DV125" s="14">
        <f>495.4+114</f>
        <v>609.4</v>
      </c>
      <c r="DW125" s="15">
        <f>495.4+1147</f>
        <v>1642.4</v>
      </c>
      <c r="DY125" s="10" t="s">
        <v>21</v>
      </c>
      <c r="DZ125" s="35" t="s">
        <v>82</v>
      </c>
      <c r="EA125" s="16">
        <f>146.7+180.3+186.8</f>
        <v>513.79999999999995</v>
      </c>
      <c r="EB125" s="14">
        <f t="shared" ref="EB125:GI125" si="8">146.7+180.3+186.8</f>
        <v>513.79999999999995</v>
      </c>
      <c r="EC125" s="14">
        <f>146.7+180.3+186.8+2197.2</f>
        <v>2711</v>
      </c>
      <c r="ED125" s="14">
        <f t="shared" si="8"/>
        <v>513.79999999999995</v>
      </c>
      <c r="EE125" s="14">
        <f>146.7+180.3+186.8+64.4</f>
        <v>578.19999999999993</v>
      </c>
      <c r="EF125" s="14">
        <f>146.7+180.3+186.8+2958.2</f>
        <v>3472</v>
      </c>
      <c r="EG125" s="14">
        <f t="shared" si="8"/>
        <v>513.79999999999995</v>
      </c>
      <c r="EH125" s="14">
        <f t="shared" si="8"/>
        <v>513.79999999999995</v>
      </c>
      <c r="EI125" s="14">
        <f>146.7+180.3+186.8+535.6</f>
        <v>1049.4000000000001</v>
      </c>
      <c r="EJ125" s="14">
        <f t="shared" si="8"/>
        <v>513.79999999999995</v>
      </c>
      <c r="EK125" s="14">
        <f t="shared" si="8"/>
        <v>513.79999999999995</v>
      </c>
      <c r="EL125" s="14">
        <f t="shared" si="8"/>
        <v>513.79999999999995</v>
      </c>
      <c r="EM125" s="14">
        <f t="shared" si="8"/>
        <v>513.79999999999995</v>
      </c>
      <c r="EN125" s="14">
        <f t="shared" si="8"/>
        <v>513.79999999999995</v>
      </c>
      <c r="EO125" s="14">
        <f t="shared" si="8"/>
        <v>513.79999999999995</v>
      </c>
      <c r="EP125" s="13">
        <f t="shared" si="8"/>
        <v>513.79999999999995</v>
      </c>
      <c r="EQ125" s="13">
        <f t="shared" si="8"/>
        <v>513.79999999999995</v>
      </c>
      <c r="ER125" s="13">
        <f t="shared" si="8"/>
        <v>513.79999999999995</v>
      </c>
      <c r="ES125" s="13">
        <f>146.7+180.3+186.8+226.7</f>
        <v>740.5</v>
      </c>
      <c r="ET125" s="13">
        <f>146.7+180.3+186.8+319.5</f>
        <v>833.3</v>
      </c>
      <c r="EU125" s="12"/>
      <c r="EV125" s="13">
        <f t="shared" si="8"/>
        <v>513.79999999999995</v>
      </c>
      <c r="EW125" s="13">
        <f>146.7+180.3+186.8+135.5</f>
        <v>649.29999999999995</v>
      </c>
      <c r="EX125" s="13">
        <f>146.7+180.3+186.8+263.1</f>
        <v>776.9</v>
      </c>
      <c r="EY125" s="13">
        <f>146.7+180.3+186.8+77.9</f>
        <v>591.69999999999993</v>
      </c>
      <c r="EZ125" s="13">
        <f>146.7+180.3+186.8+141.3</f>
        <v>655.09999999999991</v>
      </c>
      <c r="FA125" s="13">
        <f>146.7+180.3+186.8+389.7</f>
        <v>903.5</v>
      </c>
      <c r="FB125" s="13">
        <f t="shared" si="8"/>
        <v>513.79999999999995</v>
      </c>
      <c r="FC125" s="13">
        <f t="shared" si="8"/>
        <v>513.79999999999995</v>
      </c>
      <c r="FD125" s="13">
        <f>146.7+180.3+186.8+994.9</f>
        <v>1508.6999999999998</v>
      </c>
      <c r="FE125" s="13">
        <f>146.7+180.3+186.8+960.9</f>
        <v>1474.6999999999998</v>
      </c>
      <c r="FF125" s="13">
        <f>146.7+180.3+186.8+624.5</f>
        <v>1138.3</v>
      </c>
      <c r="FG125" s="14">
        <f>146.7+180.3+186.8+1386.2</f>
        <v>1900</v>
      </c>
      <c r="FH125" s="14">
        <f t="shared" si="8"/>
        <v>513.79999999999995</v>
      </c>
      <c r="FI125" s="14">
        <f>146.7+180.3+186.8+982.6</f>
        <v>1496.4</v>
      </c>
      <c r="FJ125" s="14">
        <f t="shared" si="8"/>
        <v>513.79999999999995</v>
      </c>
      <c r="FK125" s="14">
        <f t="shared" si="8"/>
        <v>513.79999999999995</v>
      </c>
      <c r="FL125" s="14">
        <f t="shared" si="8"/>
        <v>513.79999999999995</v>
      </c>
      <c r="FM125" s="14">
        <f>146.7+180.3+186.8+154.6</f>
        <v>668.4</v>
      </c>
      <c r="FN125" s="14">
        <f t="shared" si="8"/>
        <v>513.79999999999995</v>
      </c>
      <c r="FO125" s="14">
        <f t="shared" si="8"/>
        <v>513.79999999999995</v>
      </c>
      <c r="FP125" s="14">
        <f t="shared" si="8"/>
        <v>513.79999999999995</v>
      </c>
      <c r="FQ125" s="14">
        <f t="shared" si="8"/>
        <v>513.79999999999995</v>
      </c>
      <c r="FR125" s="14">
        <f t="shared" si="8"/>
        <v>513.79999999999995</v>
      </c>
      <c r="FS125" s="14">
        <f t="shared" si="8"/>
        <v>513.79999999999995</v>
      </c>
      <c r="FT125" s="14">
        <f>146.7+180.3+186.8+43.9</f>
        <v>557.69999999999993</v>
      </c>
      <c r="FU125" s="14">
        <f>146.7+180.3+186.8+3.8+641.3</f>
        <v>1158.8999999999999</v>
      </c>
      <c r="FV125" s="14">
        <f>146.7+180.3+186.8+3305.4+1080.8</f>
        <v>4900</v>
      </c>
      <c r="FW125" s="14">
        <f t="shared" si="8"/>
        <v>513.79999999999995</v>
      </c>
      <c r="FX125" s="14">
        <f t="shared" si="8"/>
        <v>513.79999999999995</v>
      </c>
      <c r="FY125" s="14">
        <f>146.7+180.3+186.8+462.7</f>
        <v>976.5</v>
      </c>
      <c r="FZ125" s="14">
        <f t="shared" si="8"/>
        <v>513.79999999999995</v>
      </c>
      <c r="GA125" s="13">
        <f t="shared" si="8"/>
        <v>513.79999999999995</v>
      </c>
      <c r="GB125" s="14">
        <f t="shared" si="8"/>
        <v>513.79999999999995</v>
      </c>
      <c r="GC125" s="14">
        <f>146.7+180.3+186.8+116.6</f>
        <v>630.4</v>
      </c>
      <c r="GD125" s="14">
        <f t="shared" si="8"/>
        <v>513.79999999999995</v>
      </c>
      <c r="GE125" s="13">
        <f>146.7+180.3+186.8+965.1</f>
        <v>1478.9</v>
      </c>
      <c r="GF125" s="13">
        <f t="shared" si="8"/>
        <v>513.79999999999995</v>
      </c>
      <c r="GG125" s="14">
        <f t="shared" si="8"/>
        <v>513.79999999999995</v>
      </c>
      <c r="GH125" s="14">
        <f t="shared" si="8"/>
        <v>513.79999999999995</v>
      </c>
      <c r="GI125" s="15">
        <f t="shared" si="8"/>
        <v>513.79999999999995</v>
      </c>
    </row>
    <row r="126" spans="1:191" x14ac:dyDescent="0.3">
      <c r="A126" s="10" t="s">
        <v>22</v>
      </c>
      <c r="B126" s="35" t="s">
        <v>73</v>
      </c>
      <c r="C126" s="16">
        <v>7999</v>
      </c>
      <c r="D126" s="14">
        <v>9379</v>
      </c>
      <c r="E126" s="14">
        <v>6704</v>
      </c>
      <c r="F126" s="14">
        <v>8313</v>
      </c>
      <c r="G126" s="14">
        <v>7236</v>
      </c>
      <c r="H126" s="14">
        <v>14825</v>
      </c>
      <c r="I126" s="14">
        <v>16849</v>
      </c>
      <c r="J126" s="14">
        <v>14825</v>
      </c>
      <c r="K126" s="14">
        <v>6319</v>
      </c>
      <c r="L126" s="14">
        <v>6319</v>
      </c>
      <c r="M126" s="14">
        <v>16879</v>
      </c>
      <c r="N126" s="14">
        <v>16879</v>
      </c>
      <c r="O126" s="14">
        <v>9841</v>
      </c>
      <c r="P126" s="14">
        <v>10179</v>
      </c>
      <c r="Q126" s="14">
        <v>8199</v>
      </c>
      <c r="R126" s="13">
        <v>904</v>
      </c>
      <c r="S126" s="13">
        <v>1752</v>
      </c>
      <c r="T126" s="13">
        <v>793</v>
      </c>
      <c r="U126" s="13">
        <v>926</v>
      </c>
      <c r="V126" s="13">
        <v>4267</v>
      </c>
      <c r="W126" s="13">
        <v>6041</v>
      </c>
      <c r="X126" s="12"/>
      <c r="Y126" s="13">
        <v>576</v>
      </c>
      <c r="Z126" s="13">
        <v>565</v>
      </c>
      <c r="AA126" s="13">
        <v>4623</v>
      </c>
      <c r="AB126" s="13">
        <v>4558</v>
      </c>
      <c r="AC126" s="13">
        <v>3706</v>
      </c>
      <c r="AD126" s="13">
        <v>3943</v>
      </c>
      <c r="AE126" s="13">
        <v>576</v>
      </c>
      <c r="AF126" s="13">
        <v>6041</v>
      </c>
      <c r="AG126" s="13">
        <v>6041</v>
      </c>
      <c r="AH126" s="13">
        <v>6041</v>
      </c>
      <c r="AI126" s="14">
        <v>12173</v>
      </c>
      <c r="AJ126" s="14">
        <v>15220</v>
      </c>
      <c r="AK126" s="14">
        <v>12173</v>
      </c>
      <c r="AL126" s="14">
        <v>14009</v>
      </c>
      <c r="AM126" s="14">
        <v>21196</v>
      </c>
      <c r="AN126" s="14">
        <v>20920</v>
      </c>
      <c r="AO126" s="14">
        <v>20518</v>
      </c>
      <c r="AP126" s="14">
        <v>21046</v>
      </c>
      <c r="AQ126" s="14">
        <v>21896</v>
      </c>
      <c r="AR126" s="14">
        <v>18201</v>
      </c>
      <c r="AS126" s="14">
        <v>11886</v>
      </c>
      <c r="AT126" s="14">
        <v>11886</v>
      </c>
      <c r="AU126" s="14">
        <v>11886</v>
      </c>
      <c r="AV126" s="14">
        <v>20544</v>
      </c>
      <c r="AW126" s="14">
        <v>1608</v>
      </c>
      <c r="AX126" s="14">
        <v>1608</v>
      </c>
      <c r="AY126" s="14">
        <v>21387</v>
      </c>
      <c r="AZ126" s="14"/>
      <c r="BA126" s="14">
        <v>12067</v>
      </c>
      <c r="BB126" s="14">
        <v>17357</v>
      </c>
      <c r="BC126" s="12">
        <v>1087</v>
      </c>
      <c r="BD126" s="14">
        <v>18521</v>
      </c>
      <c r="BE126" s="14">
        <v>20937</v>
      </c>
      <c r="BF126" s="14">
        <v>19961</v>
      </c>
      <c r="BG126" s="13">
        <v>7360</v>
      </c>
      <c r="BH126" s="13">
        <v>5734</v>
      </c>
      <c r="BI126" s="14">
        <v>10088</v>
      </c>
      <c r="BJ126" s="14">
        <v>14329</v>
      </c>
      <c r="BK126" s="15">
        <v>14329</v>
      </c>
      <c r="BM126" s="10" t="s">
        <v>22</v>
      </c>
      <c r="BN126" s="35" t="s">
        <v>73</v>
      </c>
      <c r="BO126" s="16"/>
      <c r="BP126" s="14"/>
      <c r="BQ126" s="14">
        <v>1925.4</v>
      </c>
      <c r="BR126" s="14"/>
      <c r="BS126" s="14">
        <v>63</v>
      </c>
      <c r="BT126" s="14">
        <v>1636.8</v>
      </c>
      <c r="BU126" s="14"/>
      <c r="BV126" s="14"/>
      <c r="BW126" s="14">
        <v>543.29999999999995</v>
      </c>
      <c r="BX126" s="14"/>
      <c r="BY126" s="14">
        <v>970.9</v>
      </c>
      <c r="BZ126" s="14"/>
      <c r="CA126" s="14">
        <v>458.8</v>
      </c>
      <c r="CB126" s="14">
        <v>441.9</v>
      </c>
      <c r="CC126" s="14">
        <v>51.7</v>
      </c>
      <c r="CD126" s="13"/>
      <c r="CE126" s="13"/>
      <c r="CF126" s="13"/>
      <c r="CG126" s="13">
        <v>190.1</v>
      </c>
      <c r="CH126" s="13">
        <v>311.89999999999998</v>
      </c>
      <c r="CI126" s="13">
        <v>495.4</v>
      </c>
      <c r="CJ126" s="12"/>
      <c r="CK126" s="13">
        <v>142.80000000000001</v>
      </c>
      <c r="CL126" s="13">
        <v>252.5</v>
      </c>
      <c r="CM126" s="13">
        <v>71.3</v>
      </c>
      <c r="CN126" s="13">
        <v>146</v>
      </c>
      <c r="CO126" s="13">
        <v>354.6</v>
      </c>
      <c r="CP126" s="13"/>
      <c r="CQ126" s="13"/>
      <c r="CR126" s="13">
        <v>931.2</v>
      </c>
      <c r="CS126" s="13">
        <v>745.4</v>
      </c>
      <c r="CT126" s="13">
        <v>522.4</v>
      </c>
      <c r="CU126" s="14">
        <v>1374.6</v>
      </c>
      <c r="CV126" s="14"/>
      <c r="CW126" s="14">
        <v>857.3</v>
      </c>
      <c r="CX126" s="14"/>
      <c r="CY126" s="14"/>
      <c r="CZ126" s="14"/>
      <c r="DA126" s="14">
        <v>162.69999999999999</v>
      </c>
      <c r="DB126" s="14"/>
      <c r="DC126" s="14"/>
      <c r="DD126" s="14"/>
      <c r="DE126" s="14"/>
      <c r="DF126" s="14">
        <v>1855.4</v>
      </c>
      <c r="DG126" s="14">
        <v>996.5</v>
      </c>
      <c r="DH126" s="14">
        <v>33.799999999999997</v>
      </c>
      <c r="DI126" s="14">
        <v>701.9</v>
      </c>
      <c r="DJ126" s="14">
        <v>4701.1000000000004</v>
      </c>
      <c r="DK126" s="14"/>
      <c r="DL126" s="14"/>
      <c r="DM126" s="14">
        <v>483.6</v>
      </c>
      <c r="DN126" s="14"/>
      <c r="DO126" s="12"/>
      <c r="DP126" s="14"/>
      <c r="DQ126" s="14">
        <v>121.2</v>
      </c>
      <c r="DR126" s="14"/>
      <c r="DS126" s="13">
        <v>778.9</v>
      </c>
      <c r="DT126" s="13">
        <v>11.8</v>
      </c>
      <c r="DU126" s="14">
        <v>503.6</v>
      </c>
      <c r="DV126" s="14">
        <v>114</v>
      </c>
      <c r="DW126" s="15">
        <v>1147</v>
      </c>
      <c r="DY126" s="10" t="s">
        <v>22</v>
      </c>
      <c r="DZ126" s="35" t="s">
        <v>73</v>
      </c>
      <c r="EA126" s="16"/>
      <c r="EB126" s="14"/>
      <c r="EC126" s="14">
        <v>2197.1999999999998</v>
      </c>
      <c r="ED126" s="14"/>
      <c r="EE126" s="14">
        <v>64.400000000000006</v>
      </c>
      <c r="EF126" s="14">
        <v>2958.2</v>
      </c>
      <c r="EG126" s="14"/>
      <c r="EH126" s="14"/>
      <c r="EI126" s="14">
        <v>535.6</v>
      </c>
      <c r="EJ126" s="14"/>
      <c r="EK126" s="14"/>
      <c r="EL126" s="14"/>
      <c r="EM126" s="14"/>
      <c r="EN126" s="14"/>
      <c r="EO126" s="14"/>
      <c r="EP126" s="13"/>
      <c r="EQ126" s="13"/>
      <c r="ER126" s="13"/>
      <c r="ES126" s="13">
        <v>226.7</v>
      </c>
      <c r="ET126" s="13">
        <v>319.5</v>
      </c>
      <c r="EU126" s="13">
        <v>513.79999999999995</v>
      </c>
      <c r="EV126" s="12"/>
      <c r="EW126" s="13">
        <v>135.5</v>
      </c>
      <c r="EX126" s="13">
        <v>263.10000000000002</v>
      </c>
      <c r="EY126" s="13">
        <v>77.900000000000006</v>
      </c>
      <c r="EZ126" s="13">
        <v>141.30000000000001</v>
      </c>
      <c r="FA126" s="13">
        <v>389.7</v>
      </c>
      <c r="FB126" s="13"/>
      <c r="FC126" s="13"/>
      <c r="FD126" s="13">
        <v>994.9</v>
      </c>
      <c r="FE126" s="13">
        <v>960.9</v>
      </c>
      <c r="FF126" s="13">
        <v>624.5</v>
      </c>
      <c r="FG126" s="14">
        <v>1386.2</v>
      </c>
      <c r="FH126" s="14"/>
      <c r="FI126" s="14">
        <v>982.6</v>
      </c>
      <c r="FJ126" s="14"/>
      <c r="FK126" s="14"/>
      <c r="FL126" s="14"/>
      <c r="FM126" s="14">
        <v>154.6</v>
      </c>
      <c r="FN126" s="14"/>
      <c r="FO126" s="14"/>
      <c r="FP126" s="14"/>
      <c r="FQ126" s="14"/>
      <c r="FR126" s="14"/>
      <c r="FS126" s="14"/>
      <c r="FT126" s="14">
        <v>43.9</v>
      </c>
      <c r="FU126" s="14">
        <f>3.8+641.3</f>
        <v>645.09999999999991</v>
      </c>
      <c r="FV126" s="14">
        <f>3305.4+1080.8</f>
        <v>4386.2</v>
      </c>
      <c r="FW126" s="14"/>
      <c r="FX126" s="14"/>
      <c r="FY126" s="14">
        <v>462.7</v>
      </c>
      <c r="FZ126" s="14"/>
      <c r="GA126" s="12"/>
      <c r="GB126" s="14"/>
      <c r="GC126" s="14">
        <v>116.6</v>
      </c>
      <c r="GD126" s="14"/>
      <c r="GE126" s="13">
        <v>965.1</v>
      </c>
      <c r="GF126" s="13"/>
      <c r="GG126" s="14"/>
      <c r="GH126" s="14"/>
      <c r="GI126" s="15"/>
    </row>
    <row r="127" spans="1:191" x14ac:dyDescent="0.3">
      <c r="A127" s="10" t="s">
        <v>23</v>
      </c>
      <c r="B127" s="35" t="s">
        <v>29</v>
      </c>
      <c r="C127" s="16">
        <v>8395</v>
      </c>
      <c r="D127" s="14">
        <v>9775</v>
      </c>
      <c r="E127" s="14">
        <v>7101</v>
      </c>
      <c r="F127" s="14">
        <v>8710</v>
      </c>
      <c r="G127" s="14">
        <v>7632</v>
      </c>
      <c r="H127" s="14">
        <v>15286</v>
      </c>
      <c r="I127" s="14">
        <v>17311</v>
      </c>
      <c r="J127" s="14">
        <v>15286</v>
      </c>
      <c r="K127" s="14">
        <v>6715</v>
      </c>
      <c r="L127" s="14">
        <v>6715</v>
      </c>
      <c r="M127" s="14">
        <v>17340</v>
      </c>
      <c r="N127" s="14">
        <v>17340</v>
      </c>
      <c r="O127" s="14">
        <v>10238</v>
      </c>
      <c r="P127" s="14">
        <v>11025</v>
      </c>
      <c r="Q127" s="14">
        <v>9045</v>
      </c>
      <c r="R127" s="13">
        <v>1443</v>
      </c>
      <c r="S127" s="13">
        <v>2239</v>
      </c>
      <c r="T127" s="13">
        <v>1600</v>
      </c>
      <c r="U127" s="13">
        <v>1772</v>
      </c>
      <c r="V127" s="13">
        <v>5113</v>
      </c>
      <c r="W127" s="13">
        <v>6888</v>
      </c>
      <c r="X127" s="13">
        <v>576</v>
      </c>
      <c r="Y127" s="12"/>
      <c r="Z127" s="13">
        <v>1420</v>
      </c>
      <c r="AA127" s="13">
        <v>5469</v>
      </c>
      <c r="AB127" s="13">
        <v>5404</v>
      </c>
      <c r="AC127" s="13">
        <v>4552</v>
      </c>
      <c r="AD127" s="13">
        <v>4789</v>
      </c>
      <c r="AE127" s="13">
        <v>0</v>
      </c>
      <c r="AF127" s="13">
        <v>6888</v>
      </c>
      <c r="AG127" s="13">
        <v>6888</v>
      </c>
      <c r="AH127" s="13">
        <v>6888</v>
      </c>
      <c r="AI127" s="14">
        <v>13020</v>
      </c>
      <c r="AJ127" s="14">
        <v>16066</v>
      </c>
      <c r="AK127" s="14">
        <v>13020</v>
      </c>
      <c r="AL127" s="14">
        <v>14855</v>
      </c>
      <c r="AM127" s="14">
        <v>22043</v>
      </c>
      <c r="AN127" s="14">
        <v>21655</v>
      </c>
      <c r="AO127" s="14">
        <v>21365</v>
      </c>
      <c r="AP127" s="14">
        <v>21892</v>
      </c>
      <c r="AQ127" s="14">
        <v>22743</v>
      </c>
      <c r="AR127" s="14">
        <v>19048</v>
      </c>
      <c r="AS127" s="14">
        <v>12732</v>
      </c>
      <c r="AT127" s="14">
        <v>12732</v>
      </c>
      <c r="AU127" s="14">
        <v>12732</v>
      </c>
      <c r="AV127" s="14">
        <v>21391</v>
      </c>
      <c r="AW127" s="14">
        <v>1289</v>
      </c>
      <c r="AX127" s="14">
        <v>1289</v>
      </c>
      <c r="AY127" s="14">
        <v>22233</v>
      </c>
      <c r="AZ127" s="14"/>
      <c r="BA127" s="14">
        <v>12914</v>
      </c>
      <c r="BB127" s="14">
        <v>18203</v>
      </c>
      <c r="BC127" s="13">
        <v>796</v>
      </c>
      <c r="BD127" s="14">
        <v>19368</v>
      </c>
      <c r="BE127" s="14">
        <v>21783</v>
      </c>
      <c r="BF127" s="14">
        <v>20807</v>
      </c>
      <c r="BG127" s="13">
        <v>8206</v>
      </c>
      <c r="BH127" s="13">
        <v>6580</v>
      </c>
      <c r="BI127" s="14">
        <v>10589</v>
      </c>
      <c r="BJ127" s="14">
        <v>14790</v>
      </c>
      <c r="BK127" s="15">
        <v>14790</v>
      </c>
      <c r="BM127" s="10" t="s">
        <v>23</v>
      </c>
      <c r="BN127" s="35" t="s">
        <v>29</v>
      </c>
      <c r="BO127" s="16">
        <f>142.8</f>
        <v>142.80000000000001</v>
      </c>
      <c r="BP127" s="14">
        <f>142.8</f>
        <v>142.80000000000001</v>
      </c>
      <c r="BQ127" s="14">
        <f>142.8+1925.4</f>
        <v>2068.2000000000003</v>
      </c>
      <c r="BR127" s="14">
        <f>142.8</f>
        <v>142.80000000000001</v>
      </c>
      <c r="BS127" s="14">
        <f>142.8+63</f>
        <v>205.8</v>
      </c>
      <c r="BT127" s="14">
        <f>142.8+1636.8</f>
        <v>1779.6</v>
      </c>
      <c r="BU127" s="14">
        <f>142.8</f>
        <v>142.80000000000001</v>
      </c>
      <c r="BV127" s="14">
        <f>142.8</f>
        <v>142.80000000000001</v>
      </c>
      <c r="BW127" s="14">
        <f>142.8+543.3</f>
        <v>686.09999999999991</v>
      </c>
      <c r="BX127" s="14">
        <f>142.8</f>
        <v>142.80000000000001</v>
      </c>
      <c r="BY127" s="14">
        <f>142.8+970.9</f>
        <v>1113.7</v>
      </c>
      <c r="BZ127" s="14">
        <f>142.8</f>
        <v>142.80000000000001</v>
      </c>
      <c r="CA127" s="14">
        <f>142.8+458.8</f>
        <v>601.6</v>
      </c>
      <c r="CB127" s="14">
        <f>142.8+441.9</f>
        <v>584.70000000000005</v>
      </c>
      <c r="CC127" s="14">
        <f>142.8+51.7</f>
        <v>194.5</v>
      </c>
      <c r="CD127" s="13">
        <f>142.8</f>
        <v>142.80000000000001</v>
      </c>
      <c r="CE127" s="13">
        <f>142.8</f>
        <v>142.80000000000001</v>
      </c>
      <c r="CF127" s="13">
        <f>142.8</f>
        <v>142.80000000000001</v>
      </c>
      <c r="CG127" s="13">
        <f>142.8+190.1</f>
        <v>332.9</v>
      </c>
      <c r="CH127" s="13">
        <f>142.8+311.9</f>
        <v>454.7</v>
      </c>
      <c r="CI127" s="13">
        <f>142.8+495.4</f>
        <v>638.20000000000005</v>
      </c>
      <c r="CJ127" s="13">
        <f>142.8</f>
        <v>142.80000000000001</v>
      </c>
      <c r="CK127" s="12"/>
      <c r="CL127" s="13">
        <f>142.8+252.5</f>
        <v>395.3</v>
      </c>
      <c r="CM127" s="13">
        <f>142.8+71.3</f>
        <v>214.10000000000002</v>
      </c>
      <c r="CN127" s="13">
        <f>142.8+146</f>
        <v>288.8</v>
      </c>
      <c r="CO127" s="13">
        <f>142.8+354.6</f>
        <v>497.40000000000003</v>
      </c>
      <c r="CP127" s="13">
        <f>142.8</f>
        <v>142.80000000000001</v>
      </c>
      <c r="CQ127" s="13">
        <f>142.8</f>
        <v>142.80000000000001</v>
      </c>
      <c r="CR127" s="13">
        <f>142.8+931.2</f>
        <v>1074</v>
      </c>
      <c r="CS127" s="13">
        <f>142.8+745.4</f>
        <v>888.2</v>
      </c>
      <c r="CT127" s="13">
        <f>142.8+522.4</f>
        <v>665.2</v>
      </c>
      <c r="CU127" s="14">
        <f>142.8+1374.6</f>
        <v>1517.3999999999999</v>
      </c>
      <c r="CV127" s="14">
        <f>142.8</f>
        <v>142.80000000000001</v>
      </c>
      <c r="CW127" s="14">
        <f>142.8+857.3</f>
        <v>1000.0999999999999</v>
      </c>
      <c r="CX127" s="14">
        <f>142.8</f>
        <v>142.80000000000001</v>
      </c>
      <c r="CY127" s="14">
        <f>142.8</f>
        <v>142.80000000000001</v>
      </c>
      <c r="CZ127" s="14">
        <f>142.8</f>
        <v>142.80000000000001</v>
      </c>
      <c r="DA127" s="14">
        <f>142.8+162.7</f>
        <v>305.5</v>
      </c>
      <c r="DB127" s="14">
        <f>142.8</f>
        <v>142.80000000000001</v>
      </c>
      <c r="DC127" s="14">
        <f>142.8</f>
        <v>142.80000000000001</v>
      </c>
      <c r="DD127" s="14">
        <f>142.8</f>
        <v>142.80000000000001</v>
      </c>
      <c r="DE127" s="14">
        <f>142.8</f>
        <v>142.80000000000001</v>
      </c>
      <c r="DF127" s="14">
        <f>142.8+1855.4</f>
        <v>1998.2</v>
      </c>
      <c r="DG127" s="14">
        <f>142.8+996.5</f>
        <v>1139.3</v>
      </c>
      <c r="DH127" s="14">
        <f>142.8+33.8</f>
        <v>176.60000000000002</v>
      </c>
      <c r="DI127" s="14">
        <f>142.8+701.9</f>
        <v>844.7</v>
      </c>
      <c r="DJ127" s="14">
        <f>142.8+4701.1</f>
        <v>4843.9000000000005</v>
      </c>
      <c r="DK127" s="14">
        <f>142.8</f>
        <v>142.80000000000001</v>
      </c>
      <c r="DL127" s="14">
        <f>142.8</f>
        <v>142.80000000000001</v>
      </c>
      <c r="DM127" s="14">
        <f>142.8+483.6</f>
        <v>626.40000000000009</v>
      </c>
      <c r="DN127" s="14">
        <f>142.8</f>
        <v>142.80000000000001</v>
      </c>
      <c r="DO127" s="13">
        <f>142.8</f>
        <v>142.80000000000001</v>
      </c>
      <c r="DP127" s="14">
        <f>142.8</f>
        <v>142.80000000000001</v>
      </c>
      <c r="DQ127" s="14">
        <f>142.8+121.2</f>
        <v>264</v>
      </c>
      <c r="DR127" s="14">
        <f>142.8</f>
        <v>142.80000000000001</v>
      </c>
      <c r="DS127" s="13">
        <f>142.8+778.9</f>
        <v>921.7</v>
      </c>
      <c r="DT127" s="13">
        <f>142.8+11.8</f>
        <v>154.60000000000002</v>
      </c>
      <c r="DU127" s="14">
        <f>142.8+503.6</f>
        <v>646.40000000000009</v>
      </c>
      <c r="DV127" s="14">
        <f>142.8+114</f>
        <v>256.8</v>
      </c>
      <c r="DW127" s="15">
        <f>142.8+1147</f>
        <v>1289.8</v>
      </c>
      <c r="DY127" s="10" t="s">
        <v>23</v>
      </c>
      <c r="DZ127" s="35" t="s">
        <v>29</v>
      </c>
      <c r="EA127" s="16">
        <f>72.2+63.3</f>
        <v>135.5</v>
      </c>
      <c r="EB127" s="14">
        <f t="shared" ref="EB127:GI127" si="9">72.2+63.3</f>
        <v>135.5</v>
      </c>
      <c r="EC127" s="14">
        <f>72.2+63.3+2197.2</f>
        <v>2332.6999999999998</v>
      </c>
      <c r="ED127" s="14">
        <f t="shared" si="9"/>
        <v>135.5</v>
      </c>
      <c r="EE127" s="14">
        <f>72.2+63.3+64.4</f>
        <v>199.9</v>
      </c>
      <c r="EF127" s="14">
        <f>72.2+63.3+2958.2</f>
        <v>3093.7</v>
      </c>
      <c r="EG127" s="14">
        <f t="shared" si="9"/>
        <v>135.5</v>
      </c>
      <c r="EH127" s="14">
        <f t="shared" si="9"/>
        <v>135.5</v>
      </c>
      <c r="EI127" s="14">
        <f>72.2+63.3+535.6</f>
        <v>671.1</v>
      </c>
      <c r="EJ127" s="14">
        <f t="shared" si="9"/>
        <v>135.5</v>
      </c>
      <c r="EK127" s="14">
        <f t="shared" si="9"/>
        <v>135.5</v>
      </c>
      <c r="EL127" s="14">
        <f t="shared" si="9"/>
        <v>135.5</v>
      </c>
      <c r="EM127" s="14">
        <f t="shared" si="9"/>
        <v>135.5</v>
      </c>
      <c r="EN127" s="14">
        <f t="shared" si="9"/>
        <v>135.5</v>
      </c>
      <c r="EO127" s="14">
        <f t="shared" si="9"/>
        <v>135.5</v>
      </c>
      <c r="EP127" s="13">
        <f t="shared" si="9"/>
        <v>135.5</v>
      </c>
      <c r="EQ127" s="13">
        <f t="shared" si="9"/>
        <v>135.5</v>
      </c>
      <c r="ER127" s="13">
        <f t="shared" si="9"/>
        <v>135.5</v>
      </c>
      <c r="ES127" s="13">
        <f>72.2+63.3+226.7</f>
        <v>362.2</v>
      </c>
      <c r="ET127" s="13">
        <f>72.2+63.3+319.5</f>
        <v>455</v>
      </c>
      <c r="EU127" s="13">
        <f>72.2+63.3+513.8</f>
        <v>649.29999999999995</v>
      </c>
      <c r="EV127" s="13">
        <f t="shared" si="9"/>
        <v>135.5</v>
      </c>
      <c r="EW127" s="12"/>
      <c r="EX127" s="13">
        <f>72.2+63.3+263.1</f>
        <v>398.6</v>
      </c>
      <c r="EY127" s="13">
        <f>72.2+63.3+77.9</f>
        <v>213.4</v>
      </c>
      <c r="EZ127" s="13">
        <f>72.2+63.3+141.3</f>
        <v>276.8</v>
      </c>
      <c r="FA127" s="13">
        <f>72.2+63.3+389.7</f>
        <v>525.20000000000005</v>
      </c>
      <c r="FB127" s="13">
        <f t="shared" si="9"/>
        <v>135.5</v>
      </c>
      <c r="FC127" s="13">
        <f t="shared" si="9"/>
        <v>135.5</v>
      </c>
      <c r="FD127" s="13">
        <f>72.2+63.3+994.9</f>
        <v>1130.4000000000001</v>
      </c>
      <c r="FE127" s="13">
        <f>72.2+63.3+960.9</f>
        <v>1096.4000000000001</v>
      </c>
      <c r="FF127" s="13">
        <f>72.2+63.3+624.5</f>
        <v>760</v>
      </c>
      <c r="FG127" s="14">
        <f>72.2+63.3+1386.2</f>
        <v>1521.7</v>
      </c>
      <c r="FH127" s="14">
        <f t="shared" si="9"/>
        <v>135.5</v>
      </c>
      <c r="FI127" s="14">
        <f>72.2+63.3+982.6</f>
        <v>1118.0999999999999</v>
      </c>
      <c r="FJ127" s="14">
        <f t="shared" si="9"/>
        <v>135.5</v>
      </c>
      <c r="FK127" s="14">
        <f t="shared" si="9"/>
        <v>135.5</v>
      </c>
      <c r="FL127" s="14">
        <f t="shared" si="9"/>
        <v>135.5</v>
      </c>
      <c r="FM127" s="14">
        <f>72.2+63.3+154.6</f>
        <v>290.10000000000002</v>
      </c>
      <c r="FN127" s="14">
        <f t="shared" si="9"/>
        <v>135.5</v>
      </c>
      <c r="FO127" s="14">
        <f t="shared" si="9"/>
        <v>135.5</v>
      </c>
      <c r="FP127" s="14">
        <f t="shared" si="9"/>
        <v>135.5</v>
      </c>
      <c r="FQ127" s="14">
        <f t="shared" si="9"/>
        <v>135.5</v>
      </c>
      <c r="FR127" s="14">
        <f t="shared" si="9"/>
        <v>135.5</v>
      </c>
      <c r="FS127" s="14">
        <f t="shared" si="9"/>
        <v>135.5</v>
      </c>
      <c r="FT127" s="14">
        <f>72.2+63.3+43.9</f>
        <v>179.4</v>
      </c>
      <c r="FU127" s="14">
        <f>72.2+63.3+3.8+641.3</f>
        <v>780.59999999999991</v>
      </c>
      <c r="FV127" s="14">
        <f>72.2+63.3+3305.4+1080.8</f>
        <v>4521.7</v>
      </c>
      <c r="FW127" s="14">
        <f t="shared" si="9"/>
        <v>135.5</v>
      </c>
      <c r="FX127" s="14">
        <f t="shared" si="9"/>
        <v>135.5</v>
      </c>
      <c r="FY127" s="14">
        <f>72.2+63.3+462.7</f>
        <v>598.20000000000005</v>
      </c>
      <c r="FZ127" s="14">
        <f t="shared" si="9"/>
        <v>135.5</v>
      </c>
      <c r="GA127" s="13">
        <f t="shared" si="9"/>
        <v>135.5</v>
      </c>
      <c r="GB127" s="14">
        <f t="shared" si="9"/>
        <v>135.5</v>
      </c>
      <c r="GC127" s="14">
        <f>72.2+63.3+116.6</f>
        <v>252.1</v>
      </c>
      <c r="GD127" s="14">
        <f t="shared" si="9"/>
        <v>135.5</v>
      </c>
      <c r="GE127" s="13">
        <f>72.2+63.3+965.1</f>
        <v>1100.5999999999999</v>
      </c>
      <c r="GF127" s="13">
        <f t="shared" si="9"/>
        <v>135.5</v>
      </c>
      <c r="GG127" s="14">
        <f t="shared" si="9"/>
        <v>135.5</v>
      </c>
      <c r="GH127" s="14">
        <f t="shared" si="9"/>
        <v>135.5</v>
      </c>
      <c r="GI127" s="15">
        <f t="shared" si="9"/>
        <v>135.5</v>
      </c>
    </row>
    <row r="128" spans="1:191" x14ac:dyDescent="0.3">
      <c r="A128" s="10" t="s">
        <v>24</v>
      </c>
      <c r="B128" s="35" t="s">
        <v>83</v>
      </c>
      <c r="C128" s="16">
        <v>7610</v>
      </c>
      <c r="D128" s="14">
        <v>8990</v>
      </c>
      <c r="E128" s="14">
        <v>6265</v>
      </c>
      <c r="F128" s="14">
        <v>8088</v>
      </c>
      <c r="G128" s="14">
        <v>6797</v>
      </c>
      <c r="H128" s="14">
        <v>14357</v>
      </c>
      <c r="I128" s="14">
        <v>16381</v>
      </c>
      <c r="J128" s="14">
        <v>14357</v>
      </c>
      <c r="K128" s="14">
        <v>6093</v>
      </c>
      <c r="L128" s="14">
        <v>6093</v>
      </c>
      <c r="M128" s="14">
        <v>16411</v>
      </c>
      <c r="N128" s="14">
        <v>16411</v>
      </c>
      <c r="O128" s="14">
        <v>9453</v>
      </c>
      <c r="P128" s="14">
        <v>9710</v>
      </c>
      <c r="Q128" s="14">
        <v>7730</v>
      </c>
      <c r="R128" s="13">
        <v>709</v>
      </c>
      <c r="S128" s="13">
        <v>1283</v>
      </c>
      <c r="T128" s="13">
        <v>346</v>
      </c>
      <c r="U128" s="13">
        <v>457</v>
      </c>
      <c r="V128" s="13">
        <v>3798</v>
      </c>
      <c r="W128" s="13">
        <v>5572</v>
      </c>
      <c r="X128" s="13">
        <v>565</v>
      </c>
      <c r="Y128" s="13">
        <v>1420</v>
      </c>
      <c r="Z128" s="12"/>
      <c r="AA128" s="13">
        <v>4154</v>
      </c>
      <c r="AB128" s="13">
        <v>4089</v>
      </c>
      <c r="AC128" s="13">
        <v>3237</v>
      </c>
      <c r="AD128" s="13">
        <v>3474</v>
      </c>
      <c r="AE128" s="13">
        <v>1420</v>
      </c>
      <c r="AF128" s="13">
        <v>5572</v>
      </c>
      <c r="AG128" s="13">
        <v>5572</v>
      </c>
      <c r="AH128" s="13">
        <v>5572</v>
      </c>
      <c r="AI128" s="14">
        <v>11705</v>
      </c>
      <c r="AJ128" s="14">
        <v>14751</v>
      </c>
      <c r="AK128" s="14">
        <v>11705</v>
      </c>
      <c r="AL128" s="14">
        <v>13540</v>
      </c>
      <c r="AM128" s="14">
        <v>20728</v>
      </c>
      <c r="AN128" s="14">
        <v>20340</v>
      </c>
      <c r="AO128" s="14">
        <v>20050</v>
      </c>
      <c r="AP128" s="14">
        <v>20578</v>
      </c>
      <c r="AQ128" s="14">
        <v>21428</v>
      </c>
      <c r="AR128" s="14">
        <v>17733</v>
      </c>
      <c r="AS128" s="14">
        <v>11418</v>
      </c>
      <c r="AT128" s="14">
        <v>11418</v>
      </c>
      <c r="AU128" s="14">
        <v>11418</v>
      </c>
      <c r="AV128" s="14">
        <v>20076</v>
      </c>
      <c r="AW128" s="14">
        <v>2406</v>
      </c>
      <c r="AX128" s="14">
        <v>2406</v>
      </c>
      <c r="AY128" s="14">
        <v>20918</v>
      </c>
      <c r="AZ128" s="14"/>
      <c r="BA128" s="14">
        <v>11599</v>
      </c>
      <c r="BB128" s="14">
        <v>16888</v>
      </c>
      <c r="BC128" s="13">
        <v>1908</v>
      </c>
      <c r="BD128" s="14">
        <v>18053</v>
      </c>
      <c r="BE128" s="14">
        <v>20468</v>
      </c>
      <c r="BF128" s="14">
        <v>19492</v>
      </c>
      <c r="BG128" s="13">
        <v>6891</v>
      </c>
      <c r="BH128" s="13">
        <v>5265</v>
      </c>
      <c r="BI128" s="14">
        <v>9619</v>
      </c>
      <c r="BJ128" s="14">
        <v>13860</v>
      </c>
      <c r="BK128" s="15">
        <v>13860</v>
      </c>
      <c r="BM128" s="10" t="s">
        <v>24</v>
      </c>
      <c r="BN128" s="35" t="s">
        <v>83</v>
      </c>
      <c r="BO128" s="16">
        <f>252.5</f>
        <v>252.5</v>
      </c>
      <c r="BP128" s="14">
        <f>252.5</f>
        <v>252.5</v>
      </c>
      <c r="BQ128" s="14">
        <f>252.5+1925.4</f>
        <v>2177.9</v>
      </c>
      <c r="BR128" s="14">
        <f>252.5</f>
        <v>252.5</v>
      </c>
      <c r="BS128" s="14">
        <f>252.5+63</f>
        <v>315.5</v>
      </c>
      <c r="BT128" s="14">
        <f>252.5+1636.8</f>
        <v>1889.3</v>
      </c>
      <c r="BU128" s="14">
        <f>252.5</f>
        <v>252.5</v>
      </c>
      <c r="BV128" s="14">
        <f>252.5</f>
        <v>252.5</v>
      </c>
      <c r="BW128" s="14">
        <f>252.5+543.3</f>
        <v>795.8</v>
      </c>
      <c r="BX128" s="14">
        <f>252.5</f>
        <v>252.5</v>
      </c>
      <c r="BY128" s="14">
        <f>252.5+970.9</f>
        <v>1223.4000000000001</v>
      </c>
      <c r="BZ128" s="14">
        <f>252.5</f>
        <v>252.5</v>
      </c>
      <c r="CA128" s="14">
        <f>252.5+458.8</f>
        <v>711.3</v>
      </c>
      <c r="CB128" s="14">
        <f>252.5+441.9</f>
        <v>694.4</v>
      </c>
      <c r="CC128" s="14">
        <f>252.5+51.7</f>
        <v>304.2</v>
      </c>
      <c r="CD128" s="13">
        <f>252.5</f>
        <v>252.5</v>
      </c>
      <c r="CE128" s="13">
        <f>252.5</f>
        <v>252.5</v>
      </c>
      <c r="CF128" s="13">
        <f>252.5</f>
        <v>252.5</v>
      </c>
      <c r="CG128" s="13">
        <f>252.5+190.1</f>
        <v>442.6</v>
      </c>
      <c r="CH128" s="13">
        <f>252.5+311.9</f>
        <v>564.4</v>
      </c>
      <c r="CI128" s="13">
        <f>252.5+495.4</f>
        <v>747.9</v>
      </c>
      <c r="CJ128" s="13">
        <f>252.5</f>
        <v>252.5</v>
      </c>
      <c r="CK128" s="13">
        <f>252.5+142.8</f>
        <v>395.3</v>
      </c>
      <c r="CL128" s="12"/>
      <c r="CM128" s="13">
        <f>252.5+71.3</f>
        <v>323.8</v>
      </c>
      <c r="CN128" s="13">
        <f>252.5+146</f>
        <v>398.5</v>
      </c>
      <c r="CO128" s="13">
        <f>252.5+354.6</f>
        <v>607.1</v>
      </c>
      <c r="CP128" s="13">
        <f>252.5</f>
        <v>252.5</v>
      </c>
      <c r="CQ128" s="13">
        <f>252.5</f>
        <v>252.5</v>
      </c>
      <c r="CR128" s="13">
        <f>252.5+931.2</f>
        <v>1183.7</v>
      </c>
      <c r="CS128" s="13">
        <f>252.5+745.4</f>
        <v>997.9</v>
      </c>
      <c r="CT128" s="13">
        <f>252.5+522.4</f>
        <v>774.9</v>
      </c>
      <c r="CU128" s="14">
        <f>252.5+1374.6</f>
        <v>1627.1</v>
      </c>
      <c r="CV128" s="14">
        <f>252.5</f>
        <v>252.5</v>
      </c>
      <c r="CW128" s="14">
        <f>252.5+857.3</f>
        <v>1109.8</v>
      </c>
      <c r="CX128" s="14">
        <f>252.5</f>
        <v>252.5</v>
      </c>
      <c r="CY128" s="14">
        <f>252.5</f>
        <v>252.5</v>
      </c>
      <c r="CZ128" s="14">
        <f>252.5</f>
        <v>252.5</v>
      </c>
      <c r="DA128" s="14">
        <f>252.5+162.7</f>
        <v>415.2</v>
      </c>
      <c r="DB128" s="14">
        <f>252.5</f>
        <v>252.5</v>
      </c>
      <c r="DC128" s="14">
        <f>252.5</f>
        <v>252.5</v>
      </c>
      <c r="DD128" s="14">
        <f>252.5</f>
        <v>252.5</v>
      </c>
      <c r="DE128" s="14">
        <f>252.5</f>
        <v>252.5</v>
      </c>
      <c r="DF128" s="14">
        <f>252.5+1855.4</f>
        <v>2107.9</v>
      </c>
      <c r="DG128" s="14">
        <f>252.5+996.5</f>
        <v>1249</v>
      </c>
      <c r="DH128" s="14">
        <f>252.5+33.8</f>
        <v>286.3</v>
      </c>
      <c r="DI128" s="14">
        <f>252.5+701.9</f>
        <v>954.4</v>
      </c>
      <c r="DJ128" s="14">
        <f>252.5+4701.1</f>
        <v>4953.6000000000004</v>
      </c>
      <c r="DK128" s="14">
        <f>252.5</f>
        <v>252.5</v>
      </c>
      <c r="DL128" s="14">
        <f>252.5</f>
        <v>252.5</v>
      </c>
      <c r="DM128" s="14">
        <f>252.5+483.6</f>
        <v>736.1</v>
      </c>
      <c r="DN128" s="14">
        <f>252.5</f>
        <v>252.5</v>
      </c>
      <c r="DO128" s="13">
        <f>252.5</f>
        <v>252.5</v>
      </c>
      <c r="DP128" s="14">
        <f>252.5</f>
        <v>252.5</v>
      </c>
      <c r="DQ128" s="14">
        <f>252.5+121.2</f>
        <v>373.7</v>
      </c>
      <c r="DR128" s="14">
        <f>252.5</f>
        <v>252.5</v>
      </c>
      <c r="DS128" s="13">
        <f>252.5+778.9</f>
        <v>1031.4000000000001</v>
      </c>
      <c r="DT128" s="13">
        <f>252.5+11.8</f>
        <v>264.3</v>
      </c>
      <c r="DU128" s="14">
        <f>252.5+503.6</f>
        <v>756.1</v>
      </c>
      <c r="DV128" s="14">
        <f>252.5+114</f>
        <v>366.5</v>
      </c>
      <c r="DW128" s="15">
        <f>252.5+1147</f>
        <v>1399.5</v>
      </c>
      <c r="DY128" s="10" t="s">
        <v>24</v>
      </c>
      <c r="DZ128" s="35" t="s">
        <v>83</v>
      </c>
      <c r="EA128" s="16">
        <f>52.5+155.1+55.5</f>
        <v>263.10000000000002</v>
      </c>
      <c r="EB128" s="14">
        <f t="shared" ref="EB128:GI128" si="10">52.5+155.1+55.5</f>
        <v>263.10000000000002</v>
      </c>
      <c r="EC128" s="14">
        <f>52.5+155.1+55.5+2197.2</f>
        <v>2460.2999999999997</v>
      </c>
      <c r="ED128" s="14">
        <f t="shared" si="10"/>
        <v>263.10000000000002</v>
      </c>
      <c r="EE128" s="14">
        <f>52.5+155.1+55.5+64.4</f>
        <v>327.5</v>
      </c>
      <c r="EF128" s="14">
        <f>52.5+155.1+55.5+2958.2</f>
        <v>3221.2999999999997</v>
      </c>
      <c r="EG128" s="14">
        <f t="shared" si="10"/>
        <v>263.10000000000002</v>
      </c>
      <c r="EH128" s="14">
        <f t="shared" si="10"/>
        <v>263.10000000000002</v>
      </c>
      <c r="EI128" s="14">
        <f>52.5+155.1+55.5+535.6</f>
        <v>798.7</v>
      </c>
      <c r="EJ128" s="14">
        <f t="shared" si="10"/>
        <v>263.10000000000002</v>
      </c>
      <c r="EK128" s="14">
        <f t="shared" si="10"/>
        <v>263.10000000000002</v>
      </c>
      <c r="EL128" s="14">
        <f t="shared" si="10"/>
        <v>263.10000000000002</v>
      </c>
      <c r="EM128" s="14">
        <f t="shared" si="10"/>
        <v>263.10000000000002</v>
      </c>
      <c r="EN128" s="14">
        <f t="shared" si="10"/>
        <v>263.10000000000002</v>
      </c>
      <c r="EO128" s="14">
        <f t="shared" si="10"/>
        <v>263.10000000000002</v>
      </c>
      <c r="EP128" s="13">
        <f t="shared" si="10"/>
        <v>263.10000000000002</v>
      </c>
      <c r="EQ128" s="13">
        <f t="shared" si="10"/>
        <v>263.10000000000002</v>
      </c>
      <c r="ER128" s="13">
        <f t="shared" si="10"/>
        <v>263.10000000000002</v>
      </c>
      <c r="ES128" s="13">
        <f>52.5+155.1+55.5+226.7</f>
        <v>489.8</v>
      </c>
      <c r="ET128" s="13">
        <f>52.5+155.1+55.5+319.5</f>
        <v>582.6</v>
      </c>
      <c r="EU128" s="13">
        <f>52.5+155.1+55.5+513.8</f>
        <v>776.9</v>
      </c>
      <c r="EV128" s="13">
        <f t="shared" si="10"/>
        <v>263.10000000000002</v>
      </c>
      <c r="EW128" s="13">
        <f>52.5+155.1+55.5+135.5</f>
        <v>398.6</v>
      </c>
      <c r="EX128" s="12"/>
      <c r="EY128" s="13">
        <f>52.5+155.1+55.5+77.9</f>
        <v>341</v>
      </c>
      <c r="EZ128" s="13">
        <f>52.5+155.1+55.5+141.3</f>
        <v>404.40000000000003</v>
      </c>
      <c r="FA128" s="13">
        <f>52.5+155.1+55.5+389.7</f>
        <v>652.79999999999995</v>
      </c>
      <c r="FB128" s="13">
        <f t="shared" si="10"/>
        <v>263.10000000000002</v>
      </c>
      <c r="FC128" s="13">
        <f t="shared" si="10"/>
        <v>263.10000000000002</v>
      </c>
      <c r="FD128" s="13">
        <f>52.5+155.1+55.5+994.9</f>
        <v>1258</v>
      </c>
      <c r="FE128" s="13">
        <f>52.5+155.1+55.5+960.9</f>
        <v>1224</v>
      </c>
      <c r="FF128" s="13">
        <f>52.5+155.1+55.5+624.5</f>
        <v>887.6</v>
      </c>
      <c r="FG128" s="14">
        <f>52.5+155.1+55.5+1386.2</f>
        <v>1649.3000000000002</v>
      </c>
      <c r="FH128" s="14">
        <f t="shared" si="10"/>
        <v>263.10000000000002</v>
      </c>
      <c r="FI128" s="14">
        <f>52.5+155.1+55.5+982.6</f>
        <v>1245.7</v>
      </c>
      <c r="FJ128" s="14">
        <f t="shared" si="10"/>
        <v>263.10000000000002</v>
      </c>
      <c r="FK128" s="14">
        <f t="shared" si="10"/>
        <v>263.10000000000002</v>
      </c>
      <c r="FL128" s="14">
        <f t="shared" si="10"/>
        <v>263.10000000000002</v>
      </c>
      <c r="FM128" s="14">
        <f>52.5+155.1+55.5+154.6</f>
        <v>417.70000000000005</v>
      </c>
      <c r="FN128" s="14">
        <f t="shared" si="10"/>
        <v>263.10000000000002</v>
      </c>
      <c r="FO128" s="14">
        <f t="shared" si="10"/>
        <v>263.10000000000002</v>
      </c>
      <c r="FP128" s="14">
        <f t="shared" si="10"/>
        <v>263.10000000000002</v>
      </c>
      <c r="FQ128" s="14">
        <f t="shared" si="10"/>
        <v>263.10000000000002</v>
      </c>
      <c r="FR128" s="14">
        <f t="shared" si="10"/>
        <v>263.10000000000002</v>
      </c>
      <c r="FS128" s="14">
        <f t="shared" si="10"/>
        <v>263.10000000000002</v>
      </c>
      <c r="FT128" s="14">
        <f>52.5+155.1+55.5+43.9</f>
        <v>307</v>
      </c>
      <c r="FU128" s="14">
        <f>52.5+155.1+55.5+3.8+641.3</f>
        <v>908.2</v>
      </c>
      <c r="FV128" s="14">
        <f>52.5+155.1+55.5+3305.4+1080.8</f>
        <v>4649.3</v>
      </c>
      <c r="FW128" s="14">
        <f t="shared" si="10"/>
        <v>263.10000000000002</v>
      </c>
      <c r="FX128" s="14">
        <f t="shared" si="10"/>
        <v>263.10000000000002</v>
      </c>
      <c r="FY128" s="14">
        <f>52.5+155.1+55.5+462.7</f>
        <v>725.8</v>
      </c>
      <c r="FZ128" s="14">
        <f t="shared" si="10"/>
        <v>263.10000000000002</v>
      </c>
      <c r="GA128" s="13">
        <f t="shared" si="10"/>
        <v>263.10000000000002</v>
      </c>
      <c r="GB128" s="14">
        <f t="shared" si="10"/>
        <v>263.10000000000002</v>
      </c>
      <c r="GC128" s="14">
        <f>52.5+155.1+55.5+116.6</f>
        <v>379.70000000000005</v>
      </c>
      <c r="GD128" s="14">
        <f t="shared" si="10"/>
        <v>263.10000000000002</v>
      </c>
      <c r="GE128" s="13">
        <f>52.5+155.1+55.5+965.1</f>
        <v>1228.2</v>
      </c>
      <c r="GF128" s="13">
        <f t="shared" si="10"/>
        <v>263.10000000000002</v>
      </c>
      <c r="GG128" s="14">
        <f t="shared" si="10"/>
        <v>263.10000000000002</v>
      </c>
      <c r="GH128" s="14">
        <f t="shared" si="10"/>
        <v>263.10000000000002</v>
      </c>
      <c r="GI128" s="15">
        <f t="shared" si="10"/>
        <v>263.10000000000002</v>
      </c>
    </row>
    <row r="129" spans="1:191" x14ac:dyDescent="0.3">
      <c r="A129" s="10" t="s">
        <v>25</v>
      </c>
      <c r="B129" s="35" t="s">
        <v>100</v>
      </c>
      <c r="C129" s="16">
        <v>8738</v>
      </c>
      <c r="D129" s="14">
        <v>10097</v>
      </c>
      <c r="E129" s="14">
        <v>7571</v>
      </c>
      <c r="F129" s="14">
        <v>9517</v>
      </c>
      <c r="G129" s="14">
        <v>8088</v>
      </c>
      <c r="H129" s="14">
        <v>15109</v>
      </c>
      <c r="I129" s="14">
        <v>17133</v>
      </c>
      <c r="J129" s="14">
        <v>15109</v>
      </c>
      <c r="K129" s="14">
        <v>7523</v>
      </c>
      <c r="L129" s="14">
        <v>7523</v>
      </c>
      <c r="M129" s="14">
        <v>17200</v>
      </c>
      <c r="N129" s="14">
        <v>17200</v>
      </c>
      <c r="O129" s="14">
        <v>10558</v>
      </c>
      <c r="P129" s="14">
        <v>9393</v>
      </c>
      <c r="Q129" s="14">
        <v>7427</v>
      </c>
      <c r="R129" s="13">
        <v>4634</v>
      </c>
      <c r="S129" s="13">
        <v>3978</v>
      </c>
      <c r="T129" s="13">
        <v>4078</v>
      </c>
      <c r="U129" s="13">
        <v>3774</v>
      </c>
      <c r="V129" s="13">
        <v>578</v>
      </c>
      <c r="W129" s="13">
        <v>1713</v>
      </c>
      <c r="X129" s="13">
        <v>4623</v>
      </c>
      <c r="Y129" s="13">
        <v>5469</v>
      </c>
      <c r="Z129" s="13">
        <v>4154</v>
      </c>
      <c r="AA129" s="12"/>
      <c r="AB129" s="13">
        <v>352</v>
      </c>
      <c r="AC129" s="13">
        <v>1059</v>
      </c>
      <c r="AD129" s="13">
        <v>813</v>
      </c>
      <c r="AE129" s="13">
        <v>5469</v>
      </c>
      <c r="AF129" s="13">
        <v>1713</v>
      </c>
      <c r="AG129" s="13">
        <v>1713</v>
      </c>
      <c r="AH129" s="13">
        <v>1713</v>
      </c>
      <c r="AI129" s="14">
        <v>7925</v>
      </c>
      <c r="AJ129" s="14">
        <v>10971</v>
      </c>
      <c r="AK129" s="14">
        <v>7925</v>
      </c>
      <c r="AL129" s="14">
        <v>9760</v>
      </c>
      <c r="AM129" s="14">
        <v>16947</v>
      </c>
      <c r="AN129" s="14">
        <v>16561</v>
      </c>
      <c r="AO129" s="14">
        <v>16270</v>
      </c>
      <c r="AP129" s="14">
        <v>16798</v>
      </c>
      <c r="AQ129" s="14">
        <v>17648</v>
      </c>
      <c r="AR129" s="14">
        <v>13953</v>
      </c>
      <c r="AS129" s="14">
        <v>7637</v>
      </c>
      <c r="AT129" s="14">
        <v>7637</v>
      </c>
      <c r="AU129" s="14">
        <v>7637</v>
      </c>
      <c r="AV129" s="14">
        <v>16296</v>
      </c>
      <c r="AW129" s="14">
        <v>6454</v>
      </c>
      <c r="AX129" s="14">
        <v>6454</v>
      </c>
      <c r="AY129" s="14">
        <v>17138</v>
      </c>
      <c r="AZ129" s="14"/>
      <c r="BA129" s="14">
        <v>7819</v>
      </c>
      <c r="BB129" s="14">
        <v>13108</v>
      </c>
      <c r="BC129" s="13">
        <v>5956</v>
      </c>
      <c r="BD129" s="14">
        <v>14273</v>
      </c>
      <c r="BE129" s="14">
        <v>16688</v>
      </c>
      <c r="BF129" s="14">
        <v>15712</v>
      </c>
      <c r="BG129" s="13">
        <v>3072</v>
      </c>
      <c r="BH129" s="13">
        <v>1457</v>
      </c>
      <c r="BI129" s="14">
        <v>10371</v>
      </c>
      <c r="BJ129" s="14">
        <v>14612</v>
      </c>
      <c r="BK129" s="15">
        <v>14612</v>
      </c>
      <c r="BM129" s="10" t="s">
        <v>25</v>
      </c>
      <c r="BN129" s="35" t="s">
        <v>100</v>
      </c>
      <c r="BO129" s="16">
        <f>71.3</f>
        <v>71.3</v>
      </c>
      <c r="BP129" s="14">
        <f>71.3</f>
        <v>71.3</v>
      </c>
      <c r="BQ129" s="14">
        <f>71.3+1925.4</f>
        <v>1996.7</v>
      </c>
      <c r="BR129" s="14">
        <f>71.3</f>
        <v>71.3</v>
      </c>
      <c r="BS129" s="14">
        <f>71.3+63</f>
        <v>134.30000000000001</v>
      </c>
      <c r="BT129" s="14">
        <f>71.3+1636.8</f>
        <v>1708.1</v>
      </c>
      <c r="BU129" s="14">
        <f>71.3</f>
        <v>71.3</v>
      </c>
      <c r="BV129" s="14">
        <f>71.3</f>
        <v>71.3</v>
      </c>
      <c r="BW129" s="14">
        <f>71.3+543.3</f>
        <v>614.59999999999991</v>
      </c>
      <c r="BX129" s="14">
        <f>71.3</f>
        <v>71.3</v>
      </c>
      <c r="BY129" s="14">
        <f>71.3+970.9</f>
        <v>1042.2</v>
      </c>
      <c r="BZ129" s="14">
        <f>71.3</f>
        <v>71.3</v>
      </c>
      <c r="CA129" s="14">
        <f>71.3+458.8</f>
        <v>530.1</v>
      </c>
      <c r="CB129" s="14">
        <f>71.3+441.9</f>
        <v>513.19999999999993</v>
      </c>
      <c r="CC129" s="14">
        <f>71.3+51.7</f>
        <v>123</v>
      </c>
      <c r="CD129" s="13">
        <f>71.3</f>
        <v>71.3</v>
      </c>
      <c r="CE129" s="13">
        <f>71.3</f>
        <v>71.3</v>
      </c>
      <c r="CF129" s="13">
        <f>71.3</f>
        <v>71.3</v>
      </c>
      <c r="CG129" s="13">
        <f>71.3+190.1</f>
        <v>261.39999999999998</v>
      </c>
      <c r="CH129" s="13">
        <f>71.3+311.9</f>
        <v>383.2</v>
      </c>
      <c r="CI129" s="13">
        <f>71.3+495.4</f>
        <v>566.69999999999993</v>
      </c>
      <c r="CJ129" s="13">
        <f>71.3</f>
        <v>71.3</v>
      </c>
      <c r="CK129" s="13">
        <f>71.3+142.8</f>
        <v>214.10000000000002</v>
      </c>
      <c r="CL129" s="13">
        <f>71.3+252.5</f>
        <v>323.8</v>
      </c>
      <c r="CM129" s="12"/>
      <c r="CN129" s="13">
        <f>71.3+146</f>
        <v>217.3</v>
      </c>
      <c r="CO129" s="13">
        <f>71.3+354.6</f>
        <v>425.90000000000003</v>
      </c>
      <c r="CP129" s="13">
        <f>71.3</f>
        <v>71.3</v>
      </c>
      <c r="CQ129" s="13">
        <f>71.3</f>
        <v>71.3</v>
      </c>
      <c r="CR129" s="13">
        <f>71.3+931.2</f>
        <v>1002.5</v>
      </c>
      <c r="CS129" s="13">
        <f>71.3+745.4</f>
        <v>816.69999999999993</v>
      </c>
      <c r="CT129" s="13">
        <f>71.3+522.4</f>
        <v>593.69999999999993</v>
      </c>
      <c r="CU129" s="14">
        <f>71.3+1374.6</f>
        <v>1445.8999999999999</v>
      </c>
      <c r="CV129" s="14">
        <f>71.3</f>
        <v>71.3</v>
      </c>
      <c r="CW129" s="14">
        <f>71.3+857.3</f>
        <v>928.59999999999991</v>
      </c>
      <c r="CX129" s="14">
        <f>71.3</f>
        <v>71.3</v>
      </c>
      <c r="CY129" s="14">
        <f>71.3</f>
        <v>71.3</v>
      </c>
      <c r="CZ129" s="14">
        <f>71.3</f>
        <v>71.3</v>
      </c>
      <c r="DA129" s="14">
        <f>71.3+162.7</f>
        <v>234</v>
      </c>
      <c r="DB129" s="14">
        <f>71.3</f>
        <v>71.3</v>
      </c>
      <c r="DC129" s="14">
        <f>71.3</f>
        <v>71.3</v>
      </c>
      <c r="DD129" s="14">
        <f>71.3</f>
        <v>71.3</v>
      </c>
      <c r="DE129" s="14">
        <f>71.3</f>
        <v>71.3</v>
      </c>
      <c r="DF129" s="14">
        <f>71.3+1855.4</f>
        <v>1926.7</v>
      </c>
      <c r="DG129" s="14">
        <f>71.3+996.5</f>
        <v>1067.8</v>
      </c>
      <c r="DH129" s="14">
        <f>71.3+33.8</f>
        <v>105.1</v>
      </c>
      <c r="DI129" s="14">
        <f>71.3+701.9</f>
        <v>773.19999999999993</v>
      </c>
      <c r="DJ129" s="14">
        <f>71.3+4701.1</f>
        <v>4772.4000000000005</v>
      </c>
      <c r="DK129" s="14">
        <f>71.3</f>
        <v>71.3</v>
      </c>
      <c r="DL129" s="14">
        <f>71.3</f>
        <v>71.3</v>
      </c>
      <c r="DM129" s="14">
        <f>71.3+483.6</f>
        <v>554.9</v>
      </c>
      <c r="DN129" s="14">
        <f>71.3</f>
        <v>71.3</v>
      </c>
      <c r="DO129" s="13">
        <f>71.3</f>
        <v>71.3</v>
      </c>
      <c r="DP129" s="14">
        <f>71.3</f>
        <v>71.3</v>
      </c>
      <c r="DQ129" s="14">
        <f>71.3+121.2</f>
        <v>192.5</v>
      </c>
      <c r="DR129" s="14">
        <f>71.3</f>
        <v>71.3</v>
      </c>
      <c r="DS129" s="13">
        <f>71.3+778.9</f>
        <v>850.19999999999993</v>
      </c>
      <c r="DT129" s="13">
        <f>71.3+11.8</f>
        <v>83.1</v>
      </c>
      <c r="DU129" s="14">
        <f>71.3+503.6</f>
        <v>574.9</v>
      </c>
      <c r="DV129" s="14">
        <f>71.3+114</f>
        <v>185.3</v>
      </c>
      <c r="DW129" s="15">
        <f>71.3+1147</f>
        <v>1218.3</v>
      </c>
      <c r="DY129" s="10" t="s">
        <v>25</v>
      </c>
      <c r="DZ129" s="35" t="s">
        <v>100</v>
      </c>
      <c r="EA129" s="16">
        <f>77.9</f>
        <v>77.900000000000006</v>
      </c>
      <c r="EB129" s="14">
        <f t="shared" ref="EB129:GI129" si="11">77.9</f>
        <v>77.900000000000006</v>
      </c>
      <c r="EC129" s="14">
        <f>77.9+2197.2</f>
        <v>2275.1</v>
      </c>
      <c r="ED129" s="14">
        <f t="shared" si="11"/>
        <v>77.900000000000006</v>
      </c>
      <c r="EE129" s="14">
        <f>77.9+64.4</f>
        <v>142.30000000000001</v>
      </c>
      <c r="EF129" s="14">
        <f>77.9+2958.2</f>
        <v>3036.1</v>
      </c>
      <c r="EG129" s="14">
        <f t="shared" si="11"/>
        <v>77.900000000000006</v>
      </c>
      <c r="EH129" s="14">
        <f t="shared" si="11"/>
        <v>77.900000000000006</v>
      </c>
      <c r="EI129" s="14">
        <f>77.9+535.6</f>
        <v>613.5</v>
      </c>
      <c r="EJ129" s="14">
        <f t="shared" si="11"/>
        <v>77.900000000000006</v>
      </c>
      <c r="EK129" s="14">
        <f t="shared" si="11"/>
        <v>77.900000000000006</v>
      </c>
      <c r="EL129" s="14">
        <f t="shared" si="11"/>
        <v>77.900000000000006</v>
      </c>
      <c r="EM129" s="14">
        <f t="shared" si="11"/>
        <v>77.900000000000006</v>
      </c>
      <c r="EN129" s="14">
        <f t="shared" si="11"/>
        <v>77.900000000000006</v>
      </c>
      <c r="EO129" s="14">
        <f t="shared" si="11"/>
        <v>77.900000000000006</v>
      </c>
      <c r="EP129" s="13">
        <f t="shared" si="11"/>
        <v>77.900000000000006</v>
      </c>
      <c r="EQ129" s="13">
        <f t="shared" si="11"/>
        <v>77.900000000000006</v>
      </c>
      <c r="ER129" s="13">
        <f t="shared" si="11"/>
        <v>77.900000000000006</v>
      </c>
      <c r="ES129" s="13">
        <f>77.9+226.7</f>
        <v>304.60000000000002</v>
      </c>
      <c r="ET129" s="13">
        <f>77.9+319.5</f>
        <v>397.4</v>
      </c>
      <c r="EU129" s="13">
        <f>77.9+513.8</f>
        <v>591.69999999999993</v>
      </c>
      <c r="EV129" s="13">
        <f t="shared" si="11"/>
        <v>77.900000000000006</v>
      </c>
      <c r="EW129" s="13">
        <f>77.9+135.5</f>
        <v>213.4</v>
      </c>
      <c r="EX129" s="13">
        <f>77.9+263.1</f>
        <v>341</v>
      </c>
      <c r="EY129" s="12"/>
      <c r="EZ129" s="13">
        <f>77.9+141.3</f>
        <v>219.20000000000002</v>
      </c>
      <c r="FA129" s="13">
        <f>77.9+389.7</f>
        <v>467.6</v>
      </c>
      <c r="FB129" s="13">
        <f t="shared" si="11"/>
        <v>77.900000000000006</v>
      </c>
      <c r="FC129" s="13">
        <f t="shared" si="11"/>
        <v>77.900000000000006</v>
      </c>
      <c r="FD129" s="13">
        <f>77.9+994.9</f>
        <v>1072.8</v>
      </c>
      <c r="FE129" s="13">
        <f>77.9+960.9</f>
        <v>1038.8</v>
      </c>
      <c r="FF129" s="13">
        <f>77.9+624.5</f>
        <v>702.4</v>
      </c>
      <c r="FG129" s="14">
        <f>77.9+1386.2</f>
        <v>1464.1000000000001</v>
      </c>
      <c r="FH129" s="14">
        <f t="shared" si="11"/>
        <v>77.900000000000006</v>
      </c>
      <c r="FI129" s="14">
        <f>77.9+982.6</f>
        <v>1060.5</v>
      </c>
      <c r="FJ129" s="14">
        <f t="shared" si="11"/>
        <v>77.900000000000006</v>
      </c>
      <c r="FK129" s="14">
        <f t="shared" si="11"/>
        <v>77.900000000000006</v>
      </c>
      <c r="FL129" s="14">
        <f t="shared" si="11"/>
        <v>77.900000000000006</v>
      </c>
      <c r="FM129" s="14">
        <f>77.9+154.6</f>
        <v>232.5</v>
      </c>
      <c r="FN129" s="14">
        <f t="shared" si="11"/>
        <v>77.900000000000006</v>
      </c>
      <c r="FO129" s="14">
        <f t="shared" si="11"/>
        <v>77.900000000000006</v>
      </c>
      <c r="FP129" s="14">
        <f t="shared" si="11"/>
        <v>77.900000000000006</v>
      </c>
      <c r="FQ129" s="14">
        <f t="shared" si="11"/>
        <v>77.900000000000006</v>
      </c>
      <c r="FR129" s="14">
        <f t="shared" si="11"/>
        <v>77.900000000000006</v>
      </c>
      <c r="FS129" s="14">
        <f t="shared" si="11"/>
        <v>77.900000000000006</v>
      </c>
      <c r="FT129" s="14">
        <f>77.9+43.9</f>
        <v>121.80000000000001</v>
      </c>
      <c r="FU129" s="14">
        <f>77.9+3.8+641.3</f>
        <v>723</v>
      </c>
      <c r="FV129" s="14">
        <f>77.9+3305.4+1080.8</f>
        <v>4464.1000000000004</v>
      </c>
      <c r="FW129" s="14">
        <f t="shared" si="11"/>
        <v>77.900000000000006</v>
      </c>
      <c r="FX129" s="14">
        <f t="shared" si="11"/>
        <v>77.900000000000006</v>
      </c>
      <c r="FY129" s="14">
        <f>77.9+462.7</f>
        <v>540.6</v>
      </c>
      <c r="FZ129" s="14">
        <f t="shared" si="11"/>
        <v>77.900000000000006</v>
      </c>
      <c r="GA129" s="13">
        <f t="shared" si="11"/>
        <v>77.900000000000006</v>
      </c>
      <c r="GB129" s="14">
        <f t="shared" si="11"/>
        <v>77.900000000000006</v>
      </c>
      <c r="GC129" s="14">
        <f>77.9+116.6</f>
        <v>194.5</v>
      </c>
      <c r="GD129" s="14">
        <f t="shared" si="11"/>
        <v>77.900000000000006</v>
      </c>
      <c r="GE129" s="13">
        <f>77.9+965.1</f>
        <v>1043</v>
      </c>
      <c r="GF129" s="13">
        <f t="shared" si="11"/>
        <v>77.900000000000006</v>
      </c>
      <c r="GG129" s="14">
        <f t="shared" si="11"/>
        <v>77.900000000000006</v>
      </c>
      <c r="GH129" s="14">
        <f t="shared" si="11"/>
        <v>77.900000000000006</v>
      </c>
      <c r="GI129" s="15">
        <f t="shared" si="11"/>
        <v>77.900000000000006</v>
      </c>
    </row>
    <row r="130" spans="1:191" x14ac:dyDescent="0.3">
      <c r="A130" s="10" t="s">
        <v>26</v>
      </c>
      <c r="B130" s="35" t="s">
        <v>85</v>
      </c>
      <c r="C130" s="16">
        <v>8673</v>
      </c>
      <c r="D130" s="14">
        <v>10032</v>
      </c>
      <c r="E130" s="14">
        <v>7506</v>
      </c>
      <c r="F130" s="14">
        <v>9453</v>
      </c>
      <c r="G130" s="14">
        <v>8023</v>
      </c>
      <c r="H130" s="14">
        <v>15044</v>
      </c>
      <c r="I130" s="14">
        <v>17068</v>
      </c>
      <c r="J130" s="14">
        <v>15044</v>
      </c>
      <c r="K130" s="14">
        <v>7458</v>
      </c>
      <c r="L130" s="14">
        <v>7458</v>
      </c>
      <c r="M130" s="14">
        <v>17098</v>
      </c>
      <c r="N130" s="14">
        <v>17098</v>
      </c>
      <c r="O130" s="14">
        <v>10493</v>
      </c>
      <c r="P130" s="14">
        <v>9329</v>
      </c>
      <c r="Q130" s="14">
        <v>7362</v>
      </c>
      <c r="R130" s="13">
        <v>4754</v>
      </c>
      <c r="S130" s="13">
        <v>3913</v>
      </c>
      <c r="T130" s="13">
        <v>4013</v>
      </c>
      <c r="U130" s="13">
        <v>3709</v>
      </c>
      <c r="V130" s="13">
        <v>372</v>
      </c>
      <c r="W130" s="13">
        <v>2058</v>
      </c>
      <c r="X130" s="13">
        <v>4558</v>
      </c>
      <c r="Y130" s="13">
        <v>5404</v>
      </c>
      <c r="Z130" s="13">
        <v>4089</v>
      </c>
      <c r="AA130" s="13">
        <v>352</v>
      </c>
      <c r="AB130" s="12"/>
      <c r="AC130" s="13">
        <v>944</v>
      </c>
      <c r="AD130" s="13">
        <v>652</v>
      </c>
      <c r="AE130" s="13">
        <v>5404</v>
      </c>
      <c r="AF130" s="13">
        <v>2058</v>
      </c>
      <c r="AG130" s="13">
        <v>2058</v>
      </c>
      <c r="AH130" s="13">
        <v>2058</v>
      </c>
      <c r="AI130" s="14">
        <v>8269</v>
      </c>
      <c r="AJ130" s="14">
        <v>11316</v>
      </c>
      <c r="AK130" s="14">
        <v>8269</v>
      </c>
      <c r="AL130" s="14">
        <v>10105</v>
      </c>
      <c r="AM130" s="14">
        <v>17292</v>
      </c>
      <c r="AN130" s="14">
        <v>16905</v>
      </c>
      <c r="AO130" s="14">
        <v>16614</v>
      </c>
      <c r="AP130" s="14">
        <v>17142</v>
      </c>
      <c r="AQ130" s="14">
        <v>17992</v>
      </c>
      <c r="AR130" s="14">
        <v>14297</v>
      </c>
      <c r="AS130" s="14">
        <v>7982</v>
      </c>
      <c r="AT130" s="14">
        <v>7982</v>
      </c>
      <c r="AU130" s="14">
        <v>7982</v>
      </c>
      <c r="AV130" s="14">
        <v>16640</v>
      </c>
      <c r="AW130" s="14">
        <v>6389</v>
      </c>
      <c r="AX130" s="14">
        <v>6389</v>
      </c>
      <c r="AY130" s="14">
        <v>17483</v>
      </c>
      <c r="AZ130" s="14"/>
      <c r="BA130" s="14">
        <v>8163</v>
      </c>
      <c r="BB130" s="14">
        <v>13453</v>
      </c>
      <c r="BC130" s="13">
        <v>5891</v>
      </c>
      <c r="BD130" s="14">
        <v>14618</v>
      </c>
      <c r="BE130" s="14">
        <v>17033</v>
      </c>
      <c r="BF130" s="14">
        <v>16057</v>
      </c>
      <c r="BG130" s="13">
        <v>3417</v>
      </c>
      <c r="BH130" s="13">
        <v>1802</v>
      </c>
      <c r="BI130" s="14">
        <v>10306</v>
      </c>
      <c r="BJ130" s="14">
        <v>14547</v>
      </c>
      <c r="BK130" s="15">
        <v>14547</v>
      </c>
      <c r="BM130" s="10" t="s">
        <v>26</v>
      </c>
      <c r="BN130" s="35" t="s">
        <v>85</v>
      </c>
      <c r="BO130" s="16">
        <f>146</f>
        <v>146</v>
      </c>
      <c r="BP130" s="14">
        <f>146</f>
        <v>146</v>
      </c>
      <c r="BQ130" s="14">
        <f>146+1925.4</f>
        <v>2071.4</v>
      </c>
      <c r="BR130" s="14">
        <f>146</f>
        <v>146</v>
      </c>
      <c r="BS130" s="14">
        <f>146+63</f>
        <v>209</v>
      </c>
      <c r="BT130" s="14">
        <f>146+1636.8</f>
        <v>1782.8</v>
      </c>
      <c r="BU130" s="14">
        <f>146</f>
        <v>146</v>
      </c>
      <c r="BV130" s="14">
        <f>146</f>
        <v>146</v>
      </c>
      <c r="BW130" s="14">
        <f>146+543.3</f>
        <v>689.3</v>
      </c>
      <c r="BX130" s="14">
        <f>146</f>
        <v>146</v>
      </c>
      <c r="BY130" s="14">
        <f>146+970.9</f>
        <v>1116.9000000000001</v>
      </c>
      <c r="BZ130" s="14">
        <f>146</f>
        <v>146</v>
      </c>
      <c r="CA130" s="14">
        <f>146+458.8</f>
        <v>604.79999999999995</v>
      </c>
      <c r="CB130" s="14">
        <f>146+441.9</f>
        <v>587.9</v>
      </c>
      <c r="CC130" s="14">
        <f>146+51.7</f>
        <v>197.7</v>
      </c>
      <c r="CD130" s="13">
        <f>146</f>
        <v>146</v>
      </c>
      <c r="CE130" s="13">
        <f>146</f>
        <v>146</v>
      </c>
      <c r="CF130" s="13">
        <f>146</f>
        <v>146</v>
      </c>
      <c r="CG130" s="13">
        <f>146+190.1</f>
        <v>336.1</v>
      </c>
      <c r="CH130" s="13">
        <f>146+311.9</f>
        <v>457.9</v>
      </c>
      <c r="CI130" s="13">
        <f>146+495.4</f>
        <v>641.4</v>
      </c>
      <c r="CJ130" s="13">
        <f>146</f>
        <v>146</v>
      </c>
      <c r="CK130" s="13">
        <f>146+142.8</f>
        <v>288.8</v>
      </c>
      <c r="CL130" s="13">
        <f>146+252.5</f>
        <v>398.5</v>
      </c>
      <c r="CM130" s="13">
        <f>146+71.3</f>
        <v>217.3</v>
      </c>
      <c r="CN130" s="12"/>
      <c r="CO130" s="13">
        <f>146+354.6</f>
        <v>500.6</v>
      </c>
      <c r="CP130" s="13">
        <f>146</f>
        <v>146</v>
      </c>
      <c r="CQ130" s="13">
        <f>146</f>
        <v>146</v>
      </c>
      <c r="CR130" s="13">
        <f>146+931.2</f>
        <v>1077.2</v>
      </c>
      <c r="CS130" s="13">
        <f>146+745.4</f>
        <v>891.4</v>
      </c>
      <c r="CT130" s="13">
        <f>146+522.4</f>
        <v>668.4</v>
      </c>
      <c r="CU130" s="14">
        <f>146+1374.6</f>
        <v>1520.6</v>
      </c>
      <c r="CV130" s="14">
        <f>146</f>
        <v>146</v>
      </c>
      <c r="CW130" s="14">
        <f>146+857.3</f>
        <v>1003.3</v>
      </c>
      <c r="CX130" s="14">
        <f>146</f>
        <v>146</v>
      </c>
      <c r="CY130" s="14">
        <f>146</f>
        <v>146</v>
      </c>
      <c r="CZ130" s="14">
        <f>146</f>
        <v>146</v>
      </c>
      <c r="DA130" s="14">
        <f>146+162.7</f>
        <v>308.7</v>
      </c>
      <c r="DB130" s="14">
        <f>146</f>
        <v>146</v>
      </c>
      <c r="DC130" s="14">
        <f>146</f>
        <v>146</v>
      </c>
      <c r="DD130" s="14">
        <f>146</f>
        <v>146</v>
      </c>
      <c r="DE130" s="14">
        <f>146</f>
        <v>146</v>
      </c>
      <c r="DF130" s="14">
        <f>146+1855.4</f>
        <v>2001.4</v>
      </c>
      <c r="DG130" s="14">
        <f>146+996.5</f>
        <v>1142.5</v>
      </c>
      <c r="DH130" s="14">
        <f>146+33.8</f>
        <v>179.8</v>
      </c>
      <c r="DI130" s="14">
        <f>146+701.9</f>
        <v>847.9</v>
      </c>
      <c r="DJ130" s="14">
        <v>4701.1000000000004</v>
      </c>
      <c r="DK130" s="14">
        <f>146</f>
        <v>146</v>
      </c>
      <c r="DL130" s="14">
        <f>146</f>
        <v>146</v>
      </c>
      <c r="DM130" s="14">
        <f>146+483.6</f>
        <v>629.6</v>
      </c>
      <c r="DN130" s="14">
        <f>146</f>
        <v>146</v>
      </c>
      <c r="DO130" s="13">
        <f>146</f>
        <v>146</v>
      </c>
      <c r="DP130" s="14">
        <f>146</f>
        <v>146</v>
      </c>
      <c r="DQ130" s="14">
        <f>146+121.2</f>
        <v>267.2</v>
      </c>
      <c r="DR130" s="14">
        <f>146</f>
        <v>146</v>
      </c>
      <c r="DS130" s="13">
        <f>146+778.9</f>
        <v>924.9</v>
      </c>
      <c r="DT130" s="13">
        <f>146+11.8</f>
        <v>157.80000000000001</v>
      </c>
      <c r="DU130" s="14">
        <f>146+503.6</f>
        <v>649.6</v>
      </c>
      <c r="DV130" s="14">
        <f>146+114</f>
        <v>260</v>
      </c>
      <c r="DW130" s="15">
        <f>146+1147</f>
        <v>1293</v>
      </c>
      <c r="DY130" s="10" t="s">
        <v>26</v>
      </c>
      <c r="DZ130" s="35" t="s">
        <v>85</v>
      </c>
      <c r="EA130" s="16">
        <f>141.3</f>
        <v>141.30000000000001</v>
      </c>
      <c r="EB130" s="14">
        <f t="shared" ref="EB130:GI130" si="12">141.3</f>
        <v>141.30000000000001</v>
      </c>
      <c r="EC130" s="14">
        <f>141.3+2197.2</f>
        <v>2338.5</v>
      </c>
      <c r="ED130" s="14">
        <f t="shared" si="12"/>
        <v>141.30000000000001</v>
      </c>
      <c r="EE130" s="14">
        <f>141.3+64.4</f>
        <v>205.70000000000002</v>
      </c>
      <c r="EF130" s="14">
        <f>141.3+2958.2</f>
        <v>3099.5</v>
      </c>
      <c r="EG130" s="14">
        <f t="shared" si="12"/>
        <v>141.30000000000001</v>
      </c>
      <c r="EH130" s="14">
        <f t="shared" si="12"/>
        <v>141.30000000000001</v>
      </c>
      <c r="EI130" s="14">
        <f>141.3+535.6</f>
        <v>676.90000000000009</v>
      </c>
      <c r="EJ130" s="14">
        <f t="shared" si="12"/>
        <v>141.30000000000001</v>
      </c>
      <c r="EK130" s="14">
        <f t="shared" si="12"/>
        <v>141.30000000000001</v>
      </c>
      <c r="EL130" s="14">
        <f t="shared" si="12"/>
        <v>141.30000000000001</v>
      </c>
      <c r="EM130" s="14">
        <f t="shared" si="12"/>
        <v>141.30000000000001</v>
      </c>
      <c r="EN130" s="14">
        <f t="shared" si="12"/>
        <v>141.30000000000001</v>
      </c>
      <c r="EO130" s="14">
        <f t="shared" si="12"/>
        <v>141.30000000000001</v>
      </c>
      <c r="EP130" s="13">
        <f t="shared" si="12"/>
        <v>141.30000000000001</v>
      </c>
      <c r="EQ130" s="13">
        <f t="shared" si="12"/>
        <v>141.30000000000001</v>
      </c>
      <c r="ER130" s="13">
        <f t="shared" si="12"/>
        <v>141.30000000000001</v>
      </c>
      <c r="ES130" s="13">
        <f>141.3+226.7</f>
        <v>368</v>
      </c>
      <c r="ET130" s="13">
        <f>141.3+319.5</f>
        <v>460.8</v>
      </c>
      <c r="EU130" s="13">
        <f>141.3+513.8</f>
        <v>655.09999999999991</v>
      </c>
      <c r="EV130" s="13">
        <f t="shared" si="12"/>
        <v>141.30000000000001</v>
      </c>
      <c r="EW130" s="13">
        <f>141.3+135.5</f>
        <v>276.8</v>
      </c>
      <c r="EX130" s="13">
        <f>141.3+263.1</f>
        <v>404.40000000000003</v>
      </c>
      <c r="EY130" s="13">
        <f>141.3+77.9</f>
        <v>219.20000000000002</v>
      </c>
      <c r="EZ130" s="12"/>
      <c r="FA130" s="13">
        <f>141.3+389.7</f>
        <v>531</v>
      </c>
      <c r="FB130" s="13">
        <f t="shared" si="12"/>
        <v>141.30000000000001</v>
      </c>
      <c r="FC130" s="13">
        <f t="shared" si="12"/>
        <v>141.30000000000001</v>
      </c>
      <c r="FD130" s="13">
        <f>141.3+994.9</f>
        <v>1136.2</v>
      </c>
      <c r="FE130" s="13">
        <f>141.3+960.9</f>
        <v>1102.2</v>
      </c>
      <c r="FF130" s="13">
        <f>141.3+624.5</f>
        <v>765.8</v>
      </c>
      <c r="FG130" s="14">
        <f>141.3+1386.2</f>
        <v>1527.5</v>
      </c>
      <c r="FH130" s="14">
        <f t="shared" si="12"/>
        <v>141.30000000000001</v>
      </c>
      <c r="FI130" s="14">
        <f>141.3+982.6</f>
        <v>1123.9000000000001</v>
      </c>
      <c r="FJ130" s="14">
        <f t="shared" si="12"/>
        <v>141.30000000000001</v>
      </c>
      <c r="FK130" s="14">
        <f t="shared" si="12"/>
        <v>141.30000000000001</v>
      </c>
      <c r="FL130" s="14">
        <f t="shared" si="12"/>
        <v>141.30000000000001</v>
      </c>
      <c r="FM130" s="14">
        <f>141.3+154.6</f>
        <v>295.89999999999998</v>
      </c>
      <c r="FN130" s="14">
        <f t="shared" si="12"/>
        <v>141.30000000000001</v>
      </c>
      <c r="FO130" s="14">
        <f t="shared" si="12"/>
        <v>141.30000000000001</v>
      </c>
      <c r="FP130" s="14">
        <f t="shared" si="12"/>
        <v>141.30000000000001</v>
      </c>
      <c r="FQ130" s="14">
        <f t="shared" si="12"/>
        <v>141.30000000000001</v>
      </c>
      <c r="FR130" s="14">
        <f t="shared" si="12"/>
        <v>141.30000000000001</v>
      </c>
      <c r="FS130" s="14">
        <f t="shared" si="12"/>
        <v>141.30000000000001</v>
      </c>
      <c r="FT130" s="14">
        <f>141.3+43.9</f>
        <v>185.20000000000002</v>
      </c>
      <c r="FU130" s="14">
        <f>141.3+3.8+641.3</f>
        <v>786.4</v>
      </c>
      <c r="FV130" s="14">
        <f>141.3+3305.4+1080.8</f>
        <v>4527.5</v>
      </c>
      <c r="FW130" s="14">
        <f t="shared" si="12"/>
        <v>141.30000000000001</v>
      </c>
      <c r="FX130" s="14">
        <f t="shared" si="12"/>
        <v>141.30000000000001</v>
      </c>
      <c r="FY130" s="14">
        <f>141.3+462.7</f>
        <v>604</v>
      </c>
      <c r="FZ130" s="14">
        <f t="shared" si="12"/>
        <v>141.30000000000001</v>
      </c>
      <c r="GA130" s="13">
        <f t="shared" si="12"/>
        <v>141.30000000000001</v>
      </c>
      <c r="GB130" s="14">
        <f t="shared" si="12"/>
        <v>141.30000000000001</v>
      </c>
      <c r="GC130" s="14">
        <f>141.3+116.6</f>
        <v>257.89999999999998</v>
      </c>
      <c r="GD130" s="14">
        <f t="shared" si="12"/>
        <v>141.30000000000001</v>
      </c>
      <c r="GE130" s="13">
        <f>141.3+965.1</f>
        <v>1106.4000000000001</v>
      </c>
      <c r="GF130" s="13">
        <f t="shared" si="12"/>
        <v>141.30000000000001</v>
      </c>
      <c r="GG130" s="14">
        <f t="shared" si="12"/>
        <v>141.30000000000001</v>
      </c>
      <c r="GH130" s="14">
        <f t="shared" si="12"/>
        <v>141.30000000000001</v>
      </c>
      <c r="GI130" s="15">
        <f t="shared" si="12"/>
        <v>141.30000000000001</v>
      </c>
    </row>
    <row r="131" spans="1:191" x14ac:dyDescent="0.3">
      <c r="A131" s="10" t="s">
        <v>27</v>
      </c>
      <c r="B131" s="35" t="s">
        <v>86</v>
      </c>
      <c r="C131" s="16">
        <v>7821</v>
      </c>
      <c r="D131" s="14">
        <v>9180</v>
      </c>
      <c r="E131" s="14">
        <v>6654</v>
      </c>
      <c r="F131" s="14">
        <v>8601</v>
      </c>
      <c r="G131" s="14">
        <v>7171</v>
      </c>
      <c r="H131" s="14">
        <v>14192</v>
      </c>
      <c r="I131" s="14">
        <v>16216</v>
      </c>
      <c r="J131" s="14">
        <v>14192</v>
      </c>
      <c r="K131" s="14">
        <v>6606</v>
      </c>
      <c r="L131" s="14">
        <v>6606</v>
      </c>
      <c r="M131" s="14">
        <v>16246</v>
      </c>
      <c r="N131" s="14">
        <v>16246</v>
      </c>
      <c r="O131" s="14">
        <v>9642</v>
      </c>
      <c r="P131" s="14">
        <v>8477</v>
      </c>
      <c r="Q131" s="14">
        <v>6510</v>
      </c>
      <c r="R131" s="13">
        <v>3717</v>
      </c>
      <c r="S131" s="13">
        <v>3061</v>
      </c>
      <c r="T131" s="13">
        <v>3161</v>
      </c>
      <c r="U131" s="13">
        <v>2858</v>
      </c>
      <c r="V131" s="13">
        <v>639</v>
      </c>
      <c r="W131" s="13">
        <v>2571</v>
      </c>
      <c r="X131" s="13">
        <v>3706</v>
      </c>
      <c r="Y131" s="13">
        <v>4552</v>
      </c>
      <c r="Z131" s="13">
        <v>3237</v>
      </c>
      <c r="AA131" s="13">
        <v>1059</v>
      </c>
      <c r="AB131" s="13">
        <v>944</v>
      </c>
      <c r="AC131" s="12"/>
      <c r="AD131" s="13">
        <v>304</v>
      </c>
      <c r="AE131" s="13">
        <v>4552</v>
      </c>
      <c r="AF131" s="13">
        <v>2571</v>
      </c>
      <c r="AG131" s="13">
        <v>2571</v>
      </c>
      <c r="AH131" s="13">
        <v>2571</v>
      </c>
      <c r="AI131" s="14">
        <v>8732</v>
      </c>
      <c r="AJ131" s="14">
        <v>11779</v>
      </c>
      <c r="AK131" s="14">
        <v>8732</v>
      </c>
      <c r="AL131" s="14">
        <v>10567</v>
      </c>
      <c r="AM131" s="14">
        <v>17755</v>
      </c>
      <c r="AN131" s="14">
        <v>17368</v>
      </c>
      <c r="AO131" s="14">
        <v>17077</v>
      </c>
      <c r="AP131" s="14">
        <v>17605</v>
      </c>
      <c r="AQ131" s="14">
        <v>18455</v>
      </c>
      <c r="AR131" s="14">
        <v>14760</v>
      </c>
      <c r="AS131" s="14">
        <v>8445</v>
      </c>
      <c r="AT131" s="14">
        <v>8445</v>
      </c>
      <c r="AU131" s="14">
        <v>8445</v>
      </c>
      <c r="AV131" s="14">
        <v>17103</v>
      </c>
      <c r="AW131" s="14">
        <v>5537</v>
      </c>
      <c r="AX131" s="14">
        <v>5537</v>
      </c>
      <c r="AY131" s="14">
        <v>17946</v>
      </c>
      <c r="AZ131" s="14"/>
      <c r="BA131" s="14">
        <v>8627</v>
      </c>
      <c r="BB131" s="14">
        <v>13916</v>
      </c>
      <c r="BC131" s="13">
        <v>5039</v>
      </c>
      <c r="BD131" s="14">
        <v>15081</v>
      </c>
      <c r="BE131" s="14">
        <v>17496</v>
      </c>
      <c r="BF131" s="14">
        <v>16520</v>
      </c>
      <c r="BG131" s="13">
        <v>3908</v>
      </c>
      <c r="BH131" s="13">
        <v>2293</v>
      </c>
      <c r="BI131" s="14">
        <v>9454</v>
      </c>
      <c r="BJ131" s="14">
        <v>13696</v>
      </c>
      <c r="BK131" s="15">
        <v>13696</v>
      </c>
      <c r="BM131" s="10" t="s">
        <v>27</v>
      </c>
      <c r="BN131" s="35" t="s">
        <v>86</v>
      </c>
      <c r="BO131" s="16">
        <f>354.6</f>
        <v>354.6</v>
      </c>
      <c r="BP131" s="14">
        <f>354.6</f>
        <v>354.6</v>
      </c>
      <c r="BQ131" s="14">
        <f>354.6+1925.4</f>
        <v>2280</v>
      </c>
      <c r="BR131" s="14">
        <f>354.6</f>
        <v>354.6</v>
      </c>
      <c r="BS131" s="14">
        <f>354.6+63</f>
        <v>417.6</v>
      </c>
      <c r="BT131" s="14">
        <f>354.6+1636.8</f>
        <v>1991.4</v>
      </c>
      <c r="BU131" s="14">
        <f>354.6</f>
        <v>354.6</v>
      </c>
      <c r="BV131" s="14">
        <f>354.6</f>
        <v>354.6</v>
      </c>
      <c r="BW131" s="14">
        <f>354.6+543.3</f>
        <v>897.9</v>
      </c>
      <c r="BX131" s="14">
        <f>354.6</f>
        <v>354.6</v>
      </c>
      <c r="BY131" s="14">
        <f>354.6+970.9</f>
        <v>1325.5</v>
      </c>
      <c r="BZ131" s="14">
        <f>354.6</f>
        <v>354.6</v>
      </c>
      <c r="CA131" s="14">
        <f>354.6+458.8</f>
        <v>813.40000000000009</v>
      </c>
      <c r="CB131" s="14">
        <f>354.6+441.9</f>
        <v>796.5</v>
      </c>
      <c r="CC131" s="14">
        <f>354.6+51.7</f>
        <v>406.3</v>
      </c>
      <c r="CD131" s="13">
        <f>354.6</f>
        <v>354.6</v>
      </c>
      <c r="CE131" s="13">
        <f>354.6</f>
        <v>354.6</v>
      </c>
      <c r="CF131" s="13">
        <f>354.6</f>
        <v>354.6</v>
      </c>
      <c r="CG131" s="13">
        <f>354.6+190.1</f>
        <v>544.70000000000005</v>
      </c>
      <c r="CH131" s="13">
        <f>354.6+311.9</f>
        <v>666.5</v>
      </c>
      <c r="CI131" s="13">
        <f>354.6+495.4</f>
        <v>850</v>
      </c>
      <c r="CJ131" s="13">
        <f>354.6</f>
        <v>354.6</v>
      </c>
      <c r="CK131" s="13">
        <f>354.6+142.8</f>
        <v>497.40000000000003</v>
      </c>
      <c r="CL131" s="13">
        <f>354.6+252.5</f>
        <v>607.1</v>
      </c>
      <c r="CM131" s="13">
        <f>354.6+71.3</f>
        <v>425.90000000000003</v>
      </c>
      <c r="CN131" s="13">
        <f>354.6+146</f>
        <v>500.6</v>
      </c>
      <c r="CO131" s="12"/>
      <c r="CP131" s="13">
        <f>354.6</f>
        <v>354.6</v>
      </c>
      <c r="CQ131" s="13">
        <f>354.6</f>
        <v>354.6</v>
      </c>
      <c r="CR131" s="13">
        <f>354.6+931.2</f>
        <v>1285.8000000000002</v>
      </c>
      <c r="CS131" s="13">
        <f>354.6+745.4</f>
        <v>1100</v>
      </c>
      <c r="CT131" s="13">
        <f>354.6+522.4</f>
        <v>877</v>
      </c>
      <c r="CU131" s="14">
        <f>354.6+1374.6</f>
        <v>1729.1999999999998</v>
      </c>
      <c r="CV131" s="14">
        <f>354.6</f>
        <v>354.6</v>
      </c>
      <c r="CW131" s="14">
        <f>354.6+857.3</f>
        <v>1211.9000000000001</v>
      </c>
      <c r="CX131" s="14">
        <f>354.6</f>
        <v>354.6</v>
      </c>
      <c r="CY131" s="14">
        <f>354.6</f>
        <v>354.6</v>
      </c>
      <c r="CZ131" s="14">
        <f>354.6</f>
        <v>354.6</v>
      </c>
      <c r="DA131" s="14">
        <f>354.6+162.7</f>
        <v>517.29999999999995</v>
      </c>
      <c r="DB131" s="14">
        <f>354.6</f>
        <v>354.6</v>
      </c>
      <c r="DC131" s="14">
        <f>354.6</f>
        <v>354.6</v>
      </c>
      <c r="DD131" s="14">
        <f>354.6</f>
        <v>354.6</v>
      </c>
      <c r="DE131" s="14">
        <f>354.6</f>
        <v>354.6</v>
      </c>
      <c r="DF131" s="14">
        <f>354.6+1855.4</f>
        <v>2210</v>
      </c>
      <c r="DG131" s="14">
        <f>354.6+996.5</f>
        <v>1351.1</v>
      </c>
      <c r="DH131" s="14">
        <f>354.6+33.8</f>
        <v>388.40000000000003</v>
      </c>
      <c r="DI131" s="14">
        <f>354.6+701.9</f>
        <v>1056.5</v>
      </c>
      <c r="DJ131" s="14">
        <f>354.6+4701.1</f>
        <v>5055.7000000000007</v>
      </c>
      <c r="DK131" s="14">
        <f>354.6</f>
        <v>354.6</v>
      </c>
      <c r="DL131" s="14">
        <f>354.6</f>
        <v>354.6</v>
      </c>
      <c r="DM131" s="14">
        <f>354.6+483.6</f>
        <v>838.2</v>
      </c>
      <c r="DN131" s="14">
        <f>354.6</f>
        <v>354.6</v>
      </c>
      <c r="DO131" s="13">
        <f>354.6</f>
        <v>354.6</v>
      </c>
      <c r="DP131" s="14">
        <f>354.6</f>
        <v>354.6</v>
      </c>
      <c r="DQ131" s="14">
        <f>354.6+121.2</f>
        <v>475.8</v>
      </c>
      <c r="DR131" s="14">
        <f>354.6</f>
        <v>354.6</v>
      </c>
      <c r="DS131" s="13">
        <f>354.6+778.9</f>
        <v>1133.5</v>
      </c>
      <c r="DT131" s="13">
        <f>354.6+11.8</f>
        <v>366.40000000000003</v>
      </c>
      <c r="DU131" s="14">
        <f>354.6+503.6</f>
        <v>858.2</v>
      </c>
      <c r="DV131" s="14">
        <f>354.6+114</f>
        <v>468.6</v>
      </c>
      <c r="DW131" s="15">
        <f>354.6+1147</f>
        <v>1501.6</v>
      </c>
      <c r="DY131" s="10" t="s">
        <v>27</v>
      </c>
      <c r="DZ131" s="35" t="s">
        <v>86</v>
      </c>
      <c r="EA131" s="16">
        <f>389.7</f>
        <v>389.7</v>
      </c>
      <c r="EB131" s="14">
        <f t="shared" ref="EB131:GI131" si="13">389.7</f>
        <v>389.7</v>
      </c>
      <c r="EC131" s="14">
        <f>389.7+2197.2</f>
        <v>2586.8999999999996</v>
      </c>
      <c r="ED131" s="14">
        <f t="shared" si="13"/>
        <v>389.7</v>
      </c>
      <c r="EE131" s="14">
        <f>389.7+64.4</f>
        <v>454.1</v>
      </c>
      <c r="EF131" s="14">
        <f>389.7+2958.2</f>
        <v>3347.8999999999996</v>
      </c>
      <c r="EG131" s="14">
        <f t="shared" si="13"/>
        <v>389.7</v>
      </c>
      <c r="EH131" s="14">
        <f t="shared" si="13"/>
        <v>389.7</v>
      </c>
      <c r="EI131" s="14">
        <f>389.7+535.6</f>
        <v>925.3</v>
      </c>
      <c r="EJ131" s="14">
        <f t="shared" si="13"/>
        <v>389.7</v>
      </c>
      <c r="EK131" s="14">
        <f t="shared" si="13"/>
        <v>389.7</v>
      </c>
      <c r="EL131" s="14">
        <f t="shared" si="13"/>
        <v>389.7</v>
      </c>
      <c r="EM131" s="14">
        <f t="shared" si="13"/>
        <v>389.7</v>
      </c>
      <c r="EN131" s="14">
        <f t="shared" si="13"/>
        <v>389.7</v>
      </c>
      <c r="EO131" s="14">
        <f t="shared" si="13"/>
        <v>389.7</v>
      </c>
      <c r="EP131" s="13">
        <f t="shared" si="13"/>
        <v>389.7</v>
      </c>
      <c r="EQ131" s="13">
        <f t="shared" si="13"/>
        <v>389.7</v>
      </c>
      <c r="ER131" s="13">
        <f t="shared" si="13"/>
        <v>389.7</v>
      </c>
      <c r="ES131" s="13">
        <f>389.7+226.7</f>
        <v>616.4</v>
      </c>
      <c r="ET131" s="13">
        <f>389.7+319.5</f>
        <v>709.2</v>
      </c>
      <c r="EU131" s="13">
        <f>389.7+513.8</f>
        <v>903.5</v>
      </c>
      <c r="EV131" s="13">
        <f t="shared" si="13"/>
        <v>389.7</v>
      </c>
      <c r="EW131" s="13">
        <f>389.7+135.5</f>
        <v>525.20000000000005</v>
      </c>
      <c r="EX131" s="13">
        <f>389.7+263.1</f>
        <v>652.79999999999995</v>
      </c>
      <c r="EY131" s="13">
        <f>389.7+77.9</f>
        <v>467.6</v>
      </c>
      <c r="EZ131" s="13">
        <f>389.7+141.3</f>
        <v>531</v>
      </c>
      <c r="FA131" s="12"/>
      <c r="FB131" s="13">
        <f t="shared" si="13"/>
        <v>389.7</v>
      </c>
      <c r="FC131" s="13">
        <f t="shared" si="13"/>
        <v>389.7</v>
      </c>
      <c r="FD131" s="13">
        <f>389.7+994.9</f>
        <v>1384.6</v>
      </c>
      <c r="FE131" s="13">
        <f>389.7+960.9</f>
        <v>1350.6</v>
      </c>
      <c r="FF131" s="13">
        <f>389.7+624.5</f>
        <v>1014.2</v>
      </c>
      <c r="FG131" s="14">
        <f>389.7+1386.2</f>
        <v>1775.9</v>
      </c>
      <c r="FH131" s="14">
        <f t="shared" si="13"/>
        <v>389.7</v>
      </c>
      <c r="FI131" s="14">
        <f>389.7+982.6</f>
        <v>1372.3</v>
      </c>
      <c r="FJ131" s="14">
        <f t="shared" si="13"/>
        <v>389.7</v>
      </c>
      <c r="FK131" s="14">
        <f t="shared" si="13"/>
        <v>389.7</v>
      </c>
      <c r="FL131" s="14">
        <f t="shared" si="13"/>
        <v>389.7</v>
      </c>
      <c r="FM131" s="14">
        <f>389.7+154.6</f>
        <v>544.29999999999995</v>
      </c>
      <c r="FN131" s="14">
        <f t="shared" si="13"/>
        <v>389.7</v>
      </c>
      <c r="FO131" s="14">
        <f t="shared" si="13"/>
        <v>389.7</v>
      </c>
      <c r="FP131" s="14">
        <f t="shared" si="13"/>
        <v>389.7</v>
      </c>
      <c r="FQ131" s="14">
        <f t="shared" si="13"/>
        <v>389.7</v>
      </c>
      <c r="FR131" s="14">
        <f t="shared" si="13"/>
        <v>389.7</v>
      </c>
      <c r="FS131" s="14">
        <f t="shared" si="13"/>
        <v>389.7</v>
      </c>
      <c r="FT131" s="14">
        <f>389.7+43.9</f>
        <v>433.59999999999997</v>
      </c>
      <c r="FU131" s="14">
        <f>389.7+3.8+641.3</f>
        <v>1034.8</v>
      </c>
      <c r="FV131" s="14">
        <f>389.7+3305.4+1080.8</f>
        <v>4775.8999999999996</v>
      </c>
      <c r="FW131" s="14">
        <f t="shared" si="13"/>
        <v>389.7</v>
      </c>
      <c r="FX131" s="14">
        <f t="shared" si="13"/>
        <v>389.7</v>
      </c>
      <c r="FY131" s="14">
        <f>389.7+462.7</f>
        <v>852.4</v>
      </c>
      <c r="FZ131" s="14">
        <f t="shared" si="13"/>
        <v>389.7</v>
      </c>
      <c r="GA131" s="13">
        <f t="shared" si="13"/>
        <v>389.7</v>
      </c>
      <c r="GB131" s="14">
        <f t="shared" si="13"/>
        <v>389.7</v>
      </c>
      <c r="GC131" s="14">
        <f>389.7+116.6</f>
        <v>506.29999999999995</v>
      </c>
      <c r="GD131" s="14">
        <f t="shared" si="13"/>
        <v>389.7</v>
      </c>
      <c r="GE131" s="13">
        <f>389.7+965.1</f>
        <v>1354.8</v>
      </c>
      <c r="GF131" s="13">
        <f t="shared" si="13"/>
        <v>389.7</v>
      </c>
      <c r="GG131" s="14">
        <f t="shared" si="13"/>
        <v>389.7</v>
      </c>
      <c r="GH131" s="14">
        <f t="shared" si="13"/>
        <v>389.7</v>
      </c>
      <c r="GI131" s="15">
        <f t="shared" si="13"/>
        <v>389.7</v>
      </c>
    </row>
    <row r="132" spans="1:191" x14ac:dyDescent="0.3">
      <c r="A132" s="10" t="s">
        <v>65</v>
      </c>
      <c r="B132" s="35" t="s">
        <v>73</v>
      </c>
      <c r="C132" s="16">
        <v>8058</v>
      </c>
      <c r="D132" s="14">
        <v>9417</v>
      </c>
      <c r="E132" s="14">
        <v>6891</v>
      </c>
      <c r="F132" s="14">
        <v>8838</v>
      </c>
      <c r="G132" s="14">
        <v>7408</v>
      </c>
      <c r="H132" s="14">
        <v>14429</v>
      </c>
      <c r="I132" s="14">
        <v>16453</v>
      </c>
      <c r="J132" s="14">
        <v>14429</v>
      </c>
      <c r="K132" s="14">
        <v>6843</v>
      </c>
      <c r="L132" s="14">
        <v>6843</v>
      </c>
      <c r="M132" s="14">
        <v>16483</v>
      </c>
      <c r="N132" s="14">
        <v>16483</v>
      </c>
      <c r="O132" s="14">
        <v>9879</v>
      </c>
      <c r="P132" s="14">
        <v>8714</v>
      </c>
      <c r="Q132" s="14">
        <v>6747</v>
      </c>
      <c r="R132" s="13">
        <v>3954</v>
      </c>
      <c r="S132" s="13">
        <v>3298</v>
      </c>
      <c r="T132" s="13">
        <v>3398</v>
      </c>
      <c r="U132" s="13">
        <v>3095</v>
      </c>
      <c r="V132" s="13">
        <v>343</v>
      </c>
      <c r="W132" s="13">
        <v>2408</v>
      </c>
      <c r="X132" s="13">
        <v>3943</v>
      </c>
      <c r="Y132" s="13">
        <v>4789</v>
      </c>
      <c r="Z132" s="13">
        <v>3474</v>
      </c>
      <c r="AA132" s="13">
        <v>813</v>
      </c>
      <c r="AB132" s="13">
        <v>652</v>
      </c>
      <c r="AC132" s="13">
        <v>304</v>
      </c>
      <c r="AD132" s="12"/>
      <c r="AE132" s="13">
        <v>4789</v>
      </c>
      <c r="AF132" s="13">
        <v>2408</v>
      </c>
      <c r="AG132" s="13">
        <v>2408</v>
      </c>
      <c r="AH132" s="13">
        <v>2408</v>
      </c>
      <c r="AI132" s="14">
        <v>8582</v>
      </c>
      <c r="AJ132" s="14">
        <v>11629</v>
      </c>
      <c r="AK132" s="14">
        <v>8582</v>
      </c>
      <c r="AL132" s="14">
        <v>10417</v>
      </c>
      <c r="AM132" s="14">
        <v>17605</v>
      </c>
      <c r="AN132" s="14">
        <v>17218</v>
      </c>
      <c r="AO132" s="14">
        <v>16927</v>
      </c>
      <c r="AP132" s="14">
        <v>17455</v>
      </c>
      <c r="AQ132" s="14">
        <v>18305</v>
      </c>
      <c r="AR132" s="14">
        <v>14610</v>
      </c>
      <c r="AS132" s="14">
        <v>8295</v>
      </c>
      <c r="AT132" s="14">
        <v>8295</v>
      </c>
      <c r="AU132" s="14">
        <v>8295</v>
      </c>
      <c r="AV132" s="14">
        <v>16953</v>
      </c>
      <c r="AW132" s="14">
        <v>5775</v>
      </c>
      <c r="AX132" s="14">
        <v>5775</v>
      </c>
      <c r="AY132" s="14">
        <v>17795</v>
      </c>
      <c r="AZ132" s="14"/>
      <c r="BA132" s="14">
        <v>8477</v>
      </c>
      <c r="BB132" s="14">
        <v>13766</v>
      </c>
      <c r="BC132" s="13">
        <v>5276</v>
      </c>
      <c r="BD132" s="14">
        <v>14931</v>
      </c>
      <c r="BE132" s="14">
        <v>17346</v>
      </c>
      <c r="BF132" s="14">
        <v>16369</v>
      </c>
      <c r="BG132" s="13">
        <v>3758</v>
      </c>
      <c r="BH132" s="13">
        <v>2143</v>
      </c>
      <c r="BI132" s="14">
        <v>9692</v>
      </c>
      <c r="BJ132" s="14">
        <v>13933</v>
      </c>
      <c r="BK132" s="15">
        <v>13933</v>
      </c>
      <c r="BM132" s="10" t="s">
        <v>65</v>
      </c>
      <c r="BN132" s="35" t="s">
        <v>73</v>
      </c>
      <c r="BO132" s="16"/>
      <c r="BP132" s="14"/>
      <c r="BQ132" s="14">
        <v>1925.4</v>
      </c>
      <c r="BR132" s="14"/>
      <c r="BS132" s="14">
        <v>63</v>
      </c>
      <c r="BT132" s="14">
        <v>1636.8</v>
      </c>
      <c r="BU132" s="14"/>
      <c r="BV132" s="14"/>
      <c r="BW132" s="14">
        <v>543.29999999999995</v>
      </c>
      <c r="BX132" s="14"/>
      <c r="BY132" s="14">
        <v>970.9</v>
      </c>
      <c r="BZ132" s="14"/>
      <c r="CA132" s="14">
        <v>458.8</v>
      </c>
      <c r="CB132" s="14">
        <v>441.9</v>
      </c>
      <c r="CC132" s="14">
        <v>51.7</v>
      </c>
      <c r="CD132" s="13"/>
      <c r="CE132" s="13"/>
      <c r="CF132" s="13"/>
      <c r="CG132" s="13">
        <v>190.1</v>
      </c>
      <c r="CH132" s="13">
        <v>311.89999999999998</v>
      </c>
      <c r="CI132" s="13">
        <v>495.4</v>
      </c>
      <c r="CJ132" s="13"/>
      <c r="CK132" s="13">
        <v>142.80000000000001</v>
      </c>
      <c r="CL132" s="13">
        <v>252.5</v>
      </c>
      <c r="CM132" s="13">
        <v>71.3</v>
      </c>
      <c r="CN132" s="13">
        <v>146</v>
      </c>
      <c r="CO132" s="13">
        <v>354.6</v>
      </c>
      <c r="CP132" s="12"/>
      <c r="CQ132" s="13"/>
      <c r="CR132" s="13">
        <v>931.2</v>
      </c>
      <c r="CS132" s="13">
        <v>745.4</v>
      </c>
      <c r="CT132" s="13">
        <v>522.4</v>
      </c>
      <c r="CU132" s="14">
        <v>1374.6</v>
      </c>
      <c r="CV132" s="14"/>
      <c r="CW132" s="14">
        <v>857.3</v>
      </c>
      <c r="CX132" s="14"/>
      <c r="CY132" s="14"/>
      <c r="CZ132" s="14"/>
      <c r="DA132" s="14">
        <v>162.69999999999999</v>
      </c>
      <c r="DB132" s="14"/>
      <c r="DC132" s="14"/>
      <c r="DD132" s="14"/>
      <c r="DE132" s="14"/>
      <c r="DF132" s="14">
        <v>1855.4</v>
      </c>
      <c r="DG132" s="14">
        <v>996.5</v>
      </c>
      <c r="DH132" s="14">
        <v>33.799999999999997</v>
      </c>
      <c r="DI132" s="14">
        <v>701.9</v>
      </c>
      <c r="DJ132" s="14">
        <v>4701.1000000000004</v>
      </c>
      <c r="DK132" s="14"/>
      <c r="DL132" s="14"/>
      <c r="DM132" s="14">
        <v>483.6</v>
      </c>
      <c r="DN132" s="14"/>
      <c r="DO132" s="13"/>
      <c r="DP132" s="14"/>
      <c r="DQ132" s="14">
        <v>121.2</v>
      </c>
      <c r="DR132" s="14"/>
      <c r="DS132" s="13">
        <v>778.9</v>
      </c>
      <c r="DT132" s="13">
        <v>11.8</v>
      </c>
      <c r="DU132" s="14">
        <v>503.6</v>
      </c>
      <c r="DV132" s="14">
        <v>114</v>
      </c>
      <c r="DW132" s="15">
        <v>1147</v>
      </c>
      <c r="DY132" s="10" t="s">
        <v>65</v>
      </c>
      <c r="DZ132" s="35" t="s">
        <v>73</v>
      </c>
      <c r="EA132" s="16"/>
      <c r="EB132" s="14"/>
      <c r="EC132" s="14">
        <v>2197.1999999999998</v>
      </c>
      <c r="ED132" s="14"/>
      <c r="EE132" s="14">
        <v>64.400000000000006</v>
      </c>
      <c r="EF132" s="14">
        <v>2958.2</v>
      </c>
      <c r="EG132" s="14"/>
      <c r="EH132" s="14"/>
      <c r="EI132" s="14">
        <v>535.6</v>
      </c>
      <c r="EJ132" s="14"/>
      <c r="EK132" s="14"/>
      <c r="EL132" s="14"/>
      <c r="EM132" s="14"/>
      <c r="EN132" s="14"/>
      <c r="EO132" s="14"/>
      <c r="EP132" s="13"/>
      <c r="EQ132" s="13"/>
      <c r="ER132" s="13"/>
      <c r="ES132" s="13">
        <v>226.7</v>
      </c>
      <c r="ET132" s="13">
        <v>319.5</v>
      </c>
      <c r="EU132" s="13">
        <v>513.79999999999995</v>
      </c>
      <c r="EV132" s="13"/>
      <c r="EW132" s="13">
        <v>135.5</v>
      </c>
      <c r="EX132" s="13">
        <v>263.10000000000002</v>
      </c>
      <c r="EY132" s="13">
        <v>77.900000000000006</v>
      </c>
      <c r="EZ132" s="13">
        <v>141.30000000000001</v>
      </c>
      <c r="FA132" s="13">
        <v>389.7</v>
      </c>
      <c r="FB132" s="12"/>
      <c r="FC132" s="13"/>
      <c r="FD132" s="13">
        <v>994.9</v>
      </c>
      <c r="FE132" s="13">
        <v>960.9</v>
      </c>
      <c r="FF132" s="13">
        <v>624.5</v>
      </c>
      <c r="FG132" s="14">
        <v>1386.2</v>
      </c>
      <c r="FH132" s="14"/>
      <c r="FI132" s="14">
        <v>982.6</v>
      </c>
      <c r="FJ132" s="14"/>
      <c r="FK132" s="14"/>
      <c r="FL132" s="14"/>
      <c r="FM132" s="14">
        <v>154.6</v>
      </c>
      <c r="FN132" s="14"/>
      <c r="FO132" s="14"/>
      <c r="FP132" s="14"/>
      <c r="FQ132" s="14"/>
      <c r="FR132" s="14"/>
      <c r="FS132" s="14"/>
      <c r="FT132" s="14">
        <v>43.9</v>
      </c>
      <c r="FU132" s="14">
        <f>3.8+641.3</f>
        <v>645.09999999999991</v>
      </c>
      <c r="FV132" s="14">
        <f>3305.4+1080.8</f>
        <v>4386.2</v>
      </c>
      <c r="FW132" s="14"/>
      <c r="FX132" s="14"/>
      <c r="FY132" s="14">
        <v>462.7</v>
      </c>
      <c r="FZ132" s="14"/>
      <c r="GA132" s="13"/>
      <c r="GB132" s="14"/>
      <c r="GC132" s="14">
        <v>116.6</v>
      </c>
      <c r="GD132" s="14"/>
      <c r="GE132" s="13">
        <v>965.1</v>
      </c>
      <c r="GF132" s="13"/>
      <c r="GG132" s="14"/>
      <c r="GH132" s="14"/>
      <c r="GI132" s="15"/>
    </row>
    <row r="133" spans="1:191" x14ac:dyDescent="0.3">
      <c r="A133" s="10" t="s">
        <v>29</v>
      </c>
      <c r="B133" s="35" t="s">
        <v>73</v>
      </c>
      <c r="C133" s="16">
        <v>8395</v>
      </c>
      <c r="D133" s="14">
        <v>9775</v>
      </c>
      <c r="E133" s="14">
        <v>7101</v>
      </c>
      <c r="F133" s="14">
        <v>8710</v>
      </c>
      <c r="G133" s="14">
        <v>7632</v>
      </c>
      <c r="H133" s="14">
        <v>15286</v>
      </c>
      <c r="I133" s="14">
        <v>17311</v>
      </c>
      <c r="J133" s="14">
        <v>15286</v>
      </c>
      <c r="K133" s="14">
        <v>6715</v>
      </c>
      <c r="L133" s="14">
        <v>6715</v>
      </c>
      <c r="M133" s="14">
        <v>17340</v>
      </c>
      <c r="N133" s="14">
        <v>17340</v>
      </c>
      <c r="O133" s="14">
        <v>10238</v>
      </c>
      <c r="P133" s="14">
        <v>11025</v>
      </c>
      <c r="Q133" s="14">
        <v>9045</v>
      </c>
      <c r="R133" s="13">
        <v>1443</v>
      </c>
      <c r="S133" s="13">
        <v>2239</v>
      </c>
      <c r="T133" s="13">
        <v>1600</v>
      </c>
      <c r="U133" s="13">
        <v>1772</v>
      </c>
      <c r="V133" s="13">
        <v>5113</v>
      </c>
      <c r="W133" s="13">
        <v>6888</v>
      </c>
      <c r="X133" s="13">
        <v>576</v>
      </c>
      <c r="Y133" s="13">
        <v>0</v>
      </c>
      <c r="Z133" s="13">
        <v>1420</v>
      </c>
      <c r="AA133" s="13">
        <v>5469</v>
      </c>
      <c r="AB133" s="13">
        <v>5404</v>
      </c>
      <c r="AC133" s="13">
        <v>4552</v>
      </c>
      <c r="AD133" s="13">
        <v>4789</v>
      </c>
      <c r="AE133" s="12"/>
      <c r="AF133" s="13">
        <v>6888</v>
      </c>
      <c r="AG133" s="13">
        <v>6888</v>
      </c>
      <c r="AH133" s="13">
        <v>6888</v>
      </c>
      <c r="AI133" s="14">
        <v>13020</v>
      </c>
      <c r="AJ133" s="14">
        <v>16066</v>
      </c>
      <c r="AK133" s="14">
        <v>13020</v>
      </c>
      <c r="AL133" s="14">
        <v>14855</v>
      </c>
      <c r="AM133" s="14">
        <v>22043</v>
      </c>
      <c r="AN133" s="14">
        <v>21655</v>
      </c>
      <c r="AO133" s="14">
        <v>21365</v>
      </c>
      <c r="AP133" s="14">
        <v>21892</v>
      </c>
      <c r="AQ133" s="14">
        <v>22743</v>
      </c>
      <c r="AR133" s="14">
        <v>19048</v>
      </c>
      <c r="AS133" s="14">
        <v>12732</v>
      </c>
      <c r="AT133" s="14">
        <v>12732</v>
      </c>
      <c r="AU133" s="14">
        <v>12732</v>
      </c>
      <c r="AV133" s="14">
        <v>21391</v>
      </c>
      <c r="AW133" s="14">
        <v>1289</v>
      </c>
      <c r="AX133" s="14">
        <v>1289</v>
      </c>
      <c r="AY133" s="14">
        <v>22233</v>
      </c>
      <c r="AZ133" s="14"/>
      <c r="BA133" s="14">
        <v>12914</v>
      </c>
      <c r="BB133" s="14">
        <v>18203</v>
      </c>
      <c r="BC133" s="13">
        <v>796</v>
      </c>
      <c r="BD133" s="14">
        <v>19368</v>
      </c>
      <c r="BE133" s="14">
        <v>21783</v>
      </c>
      <c r="BF133" s="14">
        <v>20807</v>
      </c>
      <c r="BG133" s="13">
        <v>8206</v>
      </c>
      <c r="BH133" s="13">
        <v>6580</v>
      </c>
      <c r="BI133" s="14">
        <v>10589</v>
      </c>
      <c r="BJ133" s="14">
        <v>14790</v>
      </c>
      <c r="BK133" s="15">
        <v>14790</v>
      </c>
      <c r="BM133" s="10" t="s">
        <v>29</v>
      </c>
      <c r="BN133" s="35" t="s">
        <v>73</v>
      </c>
      <c r="BO133" s="16"/>
      <c r="BP133" s="14"/>
      <c r="BQ133" s="14">
        <v>1925.4</v>
      </c>
      <c r="BR133" s="14"/>
      <c r="BS133" s="14">
        <v>63</v>
      </c>
      <c r="BT133" s="14">
        <v>1636.8</v>
      </c>
      <c r="BU133" s="14"/>
      <c r="BV133" s="14"/>
      <c r="BW133" s="14">
        <v>543.29999999999995</v>
      </c>
      <c r="BX133" s="14"/>
      <c r="BY133" s="14">
        <v>970.9</v>
      </c>
      <c r="BZ133" s="14"/>
      <c r="CA133" s="14">
        <v>458.8</v>
      </c>
      <c r="CB133" s="14">
        <v>441.9</v>
      </c>
      <c r="CC133" s="14">
        <v>51.7</v>
      </c>
      <c r="CD133" s="13"/>
      <c r="CE133" s="13"/>
      <c r="CF133" s="13"/>
      <c r="CG133" s="13">
        <v>190.1</v>
      </c>
      <c r="CH133" s="13">
        <v>311.89999999999998</v>
      </c>
      <c r="CI133" s="13">
        <v>495.4</v>
      </c>
      <c r="CJ133" s="13"/>
      <c r="CK133" s="13">
        <v>142.80000000000001</v>
      </c>
      <c r="CL133" s="13">
        <v>252.5</v>
      </c>
      <c r="CM133" s="13">
        <v>71.3</v>
      </c>
      <c r="CN133" s="13">
        <v>146</v>
      </c>
      <c r="CO133" s="13">
        <v>354.6</v>
      </c>
      <c r="CP133" s="13"/>
      <c r="CQ133" s="12"/>
      <c r="CR133" s="13">
        <v>931.2</v>
      </c>
      <c r="CS133" s="13">
        <v>745.4</v>
      </c>
      <c r="CT133" s="13">
        <v>522.4</v>
      </c>
      <c r="CU133" s="14">
        <v>1374.6</v>
      </c>
      <c r="CV133" s="14"/>
      <c r="CW133" s="14">
        <v>857.3</v>
      </c>
      <c r="CX133" s="14"/>
      <c r="CY133" s="14"/>
      <c r="CZ133" s="14"/>
      <c r="DA133" s="14">
        <v>162.69999999999999</v>
      </c>
      <c r="DB133" s="14"/>
      <c r="DC133" s="14"/>
      <c r="DD133" s="14"/>
      <c r="DE133" s="14"/>
      <c r="DF133" s="14">
        <v>1855.4</v>
      </c>
      <c r="DG133" s="14">
        <v>996.5</v>
      </c>
      <c r="DH133" s="14">
        <v>33.799999999999997</v>
      </c>
      <c r="DI133" s="14">
        <v>701.9</v>
      </c>
      <c r="DJ133" s="14">
        <v>4701.1000000000004</v>
      </c>
      <c r="DK133" s="14"/>
      <c r="DL133" s="14"/>
      <c r="DM133" s="14">
        <v>483.6</v>
      </c>
      <c r="DN133" s="14"/>
      <c r="DO133" s="13"/>
      <c r="DP133" s="14"/>
      <c r="DQ133" s="14">
        <v>121.2</v>
      </c>
      <c r="DR133" s="14"/>
      <c r="DS133" s="13">
        <v>778.9</v>
      </c>
      <c r="DT133" s="13">
        <v>11.8</v>
      </c>
      <c r="DU133" s="14">
        <v>503.6</v>
      </c>
      <c r="DV133" s="14">
        <v>114</v>
      </c>
      <c r="DW133" s="15">
        <v>1147</v>
      </c>
      <c r="DY133" s="10" t="s">
        <v>29</v>
      </c>
      <c r="DZ133" s="35" t="s">
        <v>73</v>
      </c>
      <c r="EA133" s="16"/>
      <c r="EB133" s="14"/>
      <c r="EC133" s="14">
        <v>2197.1999999999998</v>
      </c>
      <c r="ED133" s="14"/>
      <c r="EE133" s="14">
        <v>64.400000000000006</v>
      </c>
      <c r="EF133" s="14">
        <v>2958.2</v>
      </c>
      <c r="EG133" s="14"/>
      <c r="EH133" s="14"/>
      <c r="EI133" s="14">
        <v>535.6</v>
      </c>
      <c r="EJ133" s="14"/>
      <c r="EK133" s="14"/>
      <c r="EL133" s="14"/>
      <c r="EM133" s="14"/>
      <c r="EN133" s="14"/>
      <c r="EO133" s="14"/>
      <c r="EP133" s="13"/>
      <c r="EQ133" s="13"/>
      <c r="ER133" s="13"/>
      <c r="ES133" s="13">
        <v>226.7</v>
      </c>
      <c r="ET133" s="13">
        <v>319.5</v>
      </c>
      <c r="EU133" s="13">
        <v>513.79999999999995</v>
      </c>
      <c r="EV133" s="13"/>
      <c r="EW133" s="13">
        <v>135.5</v>
      </c>
      <c r="EX133" s="13">
        <v>263.10000000000002</v>
      </c>
      <c r="EY133" s="13">
        <v>77.900000000000006</v>
      </c>
      <c r="EZ133" s="13">
        <v>141.30000000000001</v>
      </c>
      <c r="FA133" s="13">
        <v>389.7</v>
      </c>
      <c r="FB133" s="13"/>
      <c r="FC133" s="12"/>
      <c r="FD133" s="13">
        <v>994.9</v>
      </c>
      <c r="FE133" s="13">
        <v>960.9</v>
      </c>
      <c r="FF133" s="13">
        <v>624.5</v>
      </c>
      <c r="FG133" s="14">
        <v>1386.2</v>
      </c>
      <c r="FH133" s="14"/>
      <c r="FI133" s="14">
        <v>982.6</v>
      </c>
      <c r="FJ133" s="14"/>
      <c r="FK133" s="14"/>
      <c r="FL133" s="14"/>
      <c r="FM133" s="14">
        <v>154.6</v>
      </c>
      <c r="FN133" s="14"/>
      <c r="FO133" s="14"/>
      <c r="FP133" s="14"/>
      <c r="FQ133" s="14"/>
      <c r="FR133" s="14"/>
      <c r="FS133" s="14"/>
      <c r="FT133" s="14">
        <v>43.9</v>
      </c>
      <c r="FU133" s="14">
        <f>3.8+641.3</f>
        <v>645.09999999999991</v>
      </c>
      <c r="FV133" s="14">
        <f>3305.4+1080.8</f>
        <v>4386.2</v>
      </c>
      <c r="FW133" s="14"/>
      <c r="FX133" s="14"/>
      <c r="FY133" s="14">
        <v>462.7</v>
      </c>
      <c r="FZ133" s="14"/>
      <c r="GA133" s="13"/>
      <c r="GB133" s="14"/>
      <c r="GC133" s="14">
        <v>116.6</v>
      </c>
      <c r="GD133" s="14"/>
      <c r="GE133" s="13">
        <v>965.1</v>
      </c>
      <c r="GF133" s="13"/>
      <c r="GG133" s="14"/>
      <c r="GH133" s="14"/>
      <c r="GI133" s="15"/>
    </row>
    <row r="134" spans="1:191" x14ac:dyDescent="0.3">
      <c r="A134" s="10" t="s">
        <v>30</v>
      </c>
      <c r="B134" s="35" t="s">
        <v>82</v>
      </c>
      <c r="C134" s="16">
        <v>10156</v>
      </c>
      <c r="D134" s="14">
        <v>11516</v>
      </c>
      <c r="E134" s="14">
        <v>8989</v>
      </c>
      <c r="F134" s="14">
        <v>10936</v>
      </c>
      <c r="G134" s="14">
        <v>9506</v>
      </c>
      <c r="H134" s="14">
        <v>16527</v>
      </c>
      <c r="I134" s="14">
        <v>18551</v>
      </c>
      <c r="J134" s="14">
        <v>16527</v>
      </c>
      <c r="K134" s="14">
        <v>7830</v>
      </c>
      <c r="L134" s="14">
        <v>7830</v>
      </c>
      <c r="M134" s="14">
        <v>18581</v>
      </c>
      <c r="N134" s="14">
        <v>18581</v>
      </c>
      <c r="O134" s="14">
        <v>11977</v>
      </c>
      <c r="P134" s="14">
        <v>10812</v>
      </c>
      <c r="Q134" s="14">
        <v>8845</v>
      </c>
      <c r="R134" s="13">
        <v>6052</v>
      </c>
      <c r="S134" s="13">
        <v>2239</v>
      </c>
      <c r="T134" s="13">
        <v>5497</v>
      </c>
      <c r="U134" s="13">
        <v>5139</v>
      </c>
      <c r="V134" s="13">
        <v>2230</v>
      </c>
      <c r="W134" s="13">
        <v>0</v>
      </c>
      <c r="X134" s="13">
        <v>6041</v>
      </c>
      <c r="Y134" s="13">
        <v>6888</v>
      </c>
      <c r="Z134" s="13">
        <v>5572</v>
      </c>
      <c r="AA134" s="13">
        <v>1713</v>
      </c>
      <c r="AB134" s="13">
        <v>2058</v>
      </c>
      <c r="AC134" s="13">
        <v>2571</v>
      </c>
      <c r="AD134" s="13">
        <v>2408</v>
      </c>
      <c r="AE134" s="13">
        <v>6888</v>
      </c>
      <c r="AF134" s="12"/>
      <c r="AG134" s="13">
        <v>0</v>
      </c>
      <c r="AH134" s="13">
        <v>0</v>
      </c>
      <c r="AI134" s="14">
        <v>8038</v>
      </c>
      <c r="AJ134" s="14">
        <v>11084</v>
      </c>
      <c r="AK134" s="14">
        <v>8038</v>
      </c>
      <c r="AL134" s="14">
        <v>9873</v>
      </c>
      <c r="AM134" s="14">
        <v>17061</v>
      </c>
      <c r="AN134" s="14">
        <v>16674</v>
      </c>
      <c r="AO134" s="14">
        <v>16383</v>
      </c>
      <c r="AP134" s="14">
        <v>16911</v>
      </c>
      <c r="AQ134" s="14">
        <v>17761</v>
      </c>
      <c r="AR134" s="14">
        <v>14066</v>
      </c>
      <c r="AS134" s="14">
        <v>7751</v>
      </c>
      <c r="AT134" s="14">
        <v>7751</v>
      </c>
      <c r="AU134" s="14">
        <v>7751</v>
      </c>
      <c r="AV134" s="14">
        <v>16409</v>
      </c>
      <c r="AW134" s="14">
        <v>7873</v>
      </c>
      <c r="AX134" s="14">
        <v>7873</v>
      </c>
      <c r="AY134" s="14">
        <v>17251</v>
      </c>
      <c r="AZ134" s="14"/>
      <c r="BA134" s="14">
        <v>7932</v>
      </c>
      <c r="BB134" s="14">
        <v>13221</v>
      </c>
      <c r="BC134" s="13">
        <v>7375</v>
      </c>
      <c r="BD134" s="14">
        <v>14386</v>
      </c>
      <c r="BE134" s="14">
        <v>16801</v>
      </c>
      <c r="BF134" s="14">
        <v>15825</v>
      </c>
      <c r="BG134" s="13">
        <v>3171</v>
      </c>
      <c r="BH134" s="13">
        <v>1556</v>
      </c>
      <c r="BI134" s="14">
        <v>11790</v>
      </c>
      <c r="BJ134" s="14">
        <v>16031</v>
      </c>
      <c r="BK134" s="15">
        <v>16031</v>
      </c>
      <c r="BM134" s="10" t="s">
        <v>30</v>
      </c>
      <c r="BN134" s="35" t="s">
        <v>82</v>
      </c>
      <c r="BO134" s="16">
        <f>931.2</f>
        <v>931.2</v>
      </c>
      <c r="BP134" s="14">
        <f>931.2</f>
        <v>931.2</v>
      </c>
      <c r="BQ134" s="14">
        <f>931.2+1925.4</f>
        <v>2856.6000000000004</v>
      </c>
      <c r="BR134" s="14">
        <f>931.2</f>
        <v>931.2</v>
      </c>
      <c r="BS134" s="14">
        <f>931.2+63</f>
        <v>994.2</v>
      </c>
      <c r="BT134" s="14">
        <f>931.2+1636.8</f>
        <v>2568</v>
      </c>
      <c r="BU134" s="14">
        <f>931.2</f>
        <v>931.2</v>
      </c>
      <c r="BV134" s="14">
        <f>931.2</f>
        <v>931.2</v>
      </c>
      <c r="BW134" s="14">
        <f>931.2+543.3</f>
        <v>1474.5</v>
      </c>
      <c r="BX134" s="14">
        <f>931.2</f>
        <v>931.2</v>
      </c>
      <c r="BY134" s="14">
        <f>931.2+970.9</f>
        <v>1902.1</v>
      </c>
      <c r="BZ134" s="14">
        <f>931.2</f>
        <v>931.2</v>
      </c>
      <c r="CA134" s="14">
        <f>931.2+458.8</f>
        <v>1390</v>
      </c>
      <c r="CB134" s="14">
        <f>931.2+441.9</f>
        <v>1373.1</v>
      </c>
      <c r="CC134" s="14">
        <f>931.2+51.7</f>
        <v>982.90000000000009</v>
      </c>
      <c r="CD134" s="13">
        <f>931.2</f>
        <v>931.2</v>
      </c>
      <c r="CE134" s="13">
        <f>931.2</f>
        <v>931.2</v>
      </c>
      <c r="CF134" s="13">
        <f>931.2</f>
        <v>931.2</v>
      </c>
      <c r="CG134" s="13">
        <f>931.2+190.1</f>
        <v>1121.3</v>
      </c>
      <c r="CH134" s="13">
        <f>931.2+311.9</f>
        <v>1243.0999999999999</v>
      </c>
      <c r="CI134" s="13">
        <f>931.2+495.4</f>
        <v>1426.6</v>
      </c>
      <c r="CJ134" s="13">
        <f>931.2</f>
        <v>931.2</v>
      </c>
      <c r="CK134" s="13">
        <f>931.2+142.8</f>
        <v>1074</v>
      </c>
      <c r="CL134" s="13">
        <f>931.2+252.5</f>
        <v>1183.7</v>
      </c>
      <c r="CM134" s="13">
        <f>931.2+71.3</f>
        <v>1002.5</v>
      </c>
      <c r="CN134" s="13">
        <f>931.2+146</f>
        <v>1077.2</v>
      </c>
      <c r="CO134" s="13">
        <f>931.2+354.6</f>
        <v>1285.8000000000002</v>
      </c>
      <c r="CP134" s="13">
        <f>931.2</f>
        <v>931.2</v>
      </c>
      <c r="CQ134" s="13">
        <f>931.2</f>
        <v>931.2</v>
      </c>
      <c r="CR134" s="12"/>
      <c r="CS134" s="13">
        <f>931.2+745.4</f>
        <v>1676.6</v>
      </c>
      <c r="CT134" s="13">
        <f>931.2+522.4</f>
        <v>1453.6</v>
      </c>
      <c r="CU134" s="14">
        <f>931.2+1374.6</f>
        <v>2305.8000000000002</v>
      </c>
      <c r="CV134" s="14">
        <f>931.2</f>
        <v>931.2</v>
      </c>
      <c r="CW134" s="14">
        <f>931.2+857.3</f>
        <v>1788.5</v>
      </c>
      <c r="CX134" s="14">
        <f>931.2</f>
        <v>931.2</v>
      </c>
      <c r="CY134" s="14">
        <f>931.2</f>
        <v>931.2</v>
      </c>
      <c r="CZ134" s="14">
        <f>931.2</f>
        <v>931.2</v>
      </c>
      <c r="DA134" s="14">
        <f>931.2+162.7</f>
        <v>1093.9000000000001</v>
      </c>
      <c r="DB134" s="14">
        <f>931.2</f>
        <v>931.2</v>
      </c>
      <c r="DC134" s="14">
        <f>931.2</f>
        <v>931.2</v>
      </c>
      <c r="DD134" s="14">
        <f>931.2</f>
        <v>931.2</v>
      </c>
      <c r="DE134" s="14">
        <f>931.2</f>
        <v>931.2</v>
      </c>
      <c r="DF134" s="14">
        <f>931.2+1855.4</f>
        <v>2786.6000000000004</v>
      </c>
      <c r="DG134" s="14">
        <f>931.2+996.5</f>
        <v>1927.7</v>
      </c>
      <c r="DH134" s="14">
        <f>931.2+33.8</f>
        <v>965</v>
      </c>
      <c r="DI134" s="12">
        <f>931.2+701.9</f>
        <v>1633.1</v>
      </c>
      <c r="DJ134" s="14">
        <f>931.2+4701.1</f>
        <v>5632.3</v>
      </c>
      <c r="DK134" s="14">
        <f>931.2</f>
        <v>931.2</v>
      </c>
      <c r="DL134" s="14">
        <f>931.2</f>
        <v>931.2</v>
      </c>
      <c r="DM134" s="14">
        <f>931.2+483.6</f>
        <v>1414.8000000000002</v>
      </c>
      <c r="DN134" s="14">
        <f>931.2</f>
        <v>931.2</v>
      </c>
      <c r="DO134" s="13">
        <f>931.2</f>
        <v>931.2</v>
      </c>
      <c r="DP134" s="14">
        <f>931.2</f>
        <v>931.2</v>
      </c>
      <c r="DQ134" s="14">
        <f>931.2+121.2</f>
        <v>1052.4000000000001</v>
      </c>
      <c r="DR134" s="14">
        <f>931.2</f>
        <v>931.2</v>
      </c>
      <c r="DS134" s="12">
        <f>931.2+778.9</f>
        <v>1710.1</v>
      </c>
      <c r="DT134" s="13">
        <f>931.2+11.8</f>
        <v>943</v>
      </c>
      <c r="DU134" s="14">
        <f>931.2+503.6</f>
        <v>1434.8000000000002</v>
      </c>
      <c r="DV134" s="14">
        <f>931.2+114</f>
        <v>1045.2</v>
      </c>
      <c r="DW134" s="15">
        <f>931.2+1147</f>
        <v>2078.1999999999998</v>
      </c>
      <c r="DY134" s="10" t="s">
        <v>30</v>
      </c>
      <c r="DZ134" s="35" t="s">
        <v>82</v>
      </c>
      <c r="EA134" s="16">
        <f>435.3+477.6+82</f>
        <v>994.90000000000009</v>
      </c>
      <c r="EB134" s="14">
        <f t="shared" ref="EB134:GI134" si="14">435.3+477.6+82</f>
        <v>994.90000000000009</v>
      </c>
      <c r="EC134" s="14">
        <f>435.3+477.6+82+2197.2</f>
        <v>3192.1</v>
      </c>
      <c r="ED134" s="14">
        <f t="shared" si="14"/>
        <v>994.90000000000009</v>
      </c>
      <c r="EE134" s="14">
        <f>435.3+477.6+82+64.4</f>
        <v>1059.3000000000002</v>
      </c>
      <c r="EF134" s="14">
        <f>435.3+477.6+82+2958.2</f>
        <v>3953.1</v>
      </c>
      <c r="EG134" s="14">
        <f t="shared" si="14"/>
        <v>994.90000000000009</v>
      </c>
      <c r="EH134" s="14">
        <f t="shared" si="14"/>
        <v>994.90000000000009</v>
      </c>
      <c r="EI134" s="14">
        <f>435.3+477.6+82+535.6</f>
        <v>1530.5</v>
      </c>
      <c r="EJ134" s="14">
        <f t="shared" si="14"/>
        <v>994.90000000000009</v>
      </c>
      <c r="EK134" s="14">
        <f t="shared" si="14"/>
        <v>994.90000000000009</v>
      </c>
      <c r="EL134" s="14">
        <f t="shared" si="14"/>
        <v>994.90000000000009</v>
      </c>
      <c r="EM134" s="14">
        <f t="shared" si="14"/>
        <v>994.90000000000009</v>
      </c>
      <c r="EN134" s="14">
        <f t="shared" si="14"/>
        <v>994.90000000000009</v>
      </c>
      <c r="EO134" s="14">
        <f t="shared" si="14"/>
        <v>994.90000000000009</v>
      </c>
      <c r="EP134" s="13">
        <f t="shared" si="14"/>
        <v>994.90000000000009</v>
      </c>
      <c r="EQ134" s="13">
        <f t="shared" si="14"/>
        <v>994.90000000000009</v>
      </c>
      <c r="ER134" s="13">
        <f t="shared" si="14"/>
        <v>994.90000000000009</v>
      </c>
      <c r="ES134" s="13">
        <f>435.3+477.6+82+226.7</f>
        <v>1221.6000000000001</v>
      </c>
      <c r="ET134" s="13">
        <f>435.3+477.6+82+319.5</f>
        <v>1314.4</v>
      </c>
      <c r="EU134" s="13">
        <f>435.3+477.6+82+513.8</f>
        <v>1508.7</v>
      </c>
      <c r="EV134" s="13">
        <f t="shared" si="14"/>
        <v>994.90000000000009</v>
      </c>
      <c r="EW134" s="13">
        <f>435.3+477.6+82+135.5</f>
        <v>1130.4000000000001</v>
      </c>
      <c r="EX134" s="13">
        <f>435.3+477.6+82+263.1</f>
        <v>1258</v>
      </c>
      <c r="EY134" s="13">
        <f>435.3+477.6+82+77.9</f>
        <v>1072.8000000000002</v>
      </c>
      <c r="EZ134" s="13">
        <f>435.3+477.6+82+141.3</f>
        <v>1136.2</v>
      </c>
      <c r="FA134" s="13">
        <f>435.3+477.6+82+389.7</f>
        <v>1384.6000000000001</v>
      </c>
      <c r="FB134" s="13">
        <f t="shared" si="14"/>
        <v>994.90000000000009</v>
      </c>
      <c r="FC134" s="13">
        <f t="shared" si="14"/>
        <v>994.90000000000009</v>
      </c>
      <c r="FD134" s="12"/>
      <c r="FE134" s="13">
        <f>435.3+477.6+82+960.9</f>
        <v>1955.8000000000002</v>
      </c>
      <c r="FF134" s="13">
        <f>435.3+477.6+82+624.5</f>
        <v>1619.4</v>
      </c>
      <c r="FG134" s="14">
        <f>435.3+477.6+82+1386.2</f>
        <v>2381.1000000000004</v>
      </c>
      <c r="FH134" s="14">
        <f t="shared" si="14"/>
        <v>994.90000000000009</v>
      </c>
      <c r="FI134" s="14">
        <f>435.3+477.6+82+982.6</f>
        <v>1977.5</v>
      </c>
      <c r="FJ134" s="14">
        <f t="shared" si="14"/>
        <v>994.90000000000009</v>
      </c>
      <c r="FK134" s="14">
        <f t="shared" si="14"/>
        <v>994.90000000000009</v>
      </c>
      <c r="FL134" s="14">
        <f t="shared" si="14"/>
        <v>994.90000000000009</v>
      </c>
      <c r="FM134" s="14">
        <f>435.3+477.6+82+154.6</f>
        <v>1149.5</v>
      </c>
      <c r="FN134" s="14">
        <f t="shared" si="14"/>
        <v>994.90000000000009</v>
      </c>
      <c r="FO134" s="14">
        <f t="shared" si="14"/>
        <v>994.90000000000009</v>
      </c>
      <c r="FP134" s="14">
        <f t="shared" si="14"/>
        <v>994.90000000000009</v>
      </c>
      <c r="FQ134" s="14">
        <f t="shared" si="14"/>
        <v>994.90000000000009</v>
      </c>
      <c r="FR134" s="14">
        <f t="shared" si="14"/>
        <v>994.90000000000009</v>
      </c>
      <c r="FS134" s="14">
        <f t="shared" si="14"/>
        <v>994.90000000000009</v>
      </c>
      <c r="FT134" s="14">
        <f>435.3+477.6+82+43.9</f>
        <v>1038.8000000000002</v>
      </c>
      <c r="FU134" s="12">
        <f>435.3+477.6+82+3.8+641.3</f>
        <v>1640</v>
      </c>
      <c r="FV134" s="14">
        <f>435.3+477.6+82+3305.4+1080.8</f>
        <v>5381.1</v>
      </c>
      <c r="FW134" s="14">
        <f t="shared" si="14"/>
        <v>994.90000000000009</v>
      </c>
      <c r="FX134" s="14">
        <f t="shared" si="14"/>
        <v>994.90000000000009</v>
      </c>
      <c r="FY134" s="14">
        <f>435.3+477.6+82+462.7</f>
        <v>1457.6000000000001</v>
      </c>
      <c r="FZ134" s="14">
        <f t="shared" si="14"/>
        <v>994.90000000000009</v>
      </c>
      <c r="GA134" s="13">
        <f t="shared" si="14"/>
        <v>994.90000000000009</v>
      </c>
      <c r="GB134" s="14">
        <f t="shared" si="14"/>
        <v>994.90000000000009</v>
      </c>
      <c r="GC134" s="14">
        <f>435.3+477.6+82+116.6</f>
        <v>1111.5</v>
      </c>
      <c r="GD134" s="14">
        <f t="shared" si="14"/>
        <v>994.90000000000009</v>
      </c>
      <c r="GE134" s="12">
        <f>435.3+477.6+82+965.1</f>
        <v>1960</v>
      </c>
      <c r="GF134" s="13">
        <f t="shared" si="14"/>
        <v>994.90000000000009</v>
      </c>
      <c r="GG134" s="14">
        <f t="shared" si="14"/>
        <v>994.90000000000009</v>
      </c>
      <c r="GH134" s="14">
        <f t="shared" si="14"/>
        <v>994.90000000000009</v>
      </c>
      <c r="GI134" s="15">
        <f t="shared" si="14"/>
        <v>994.90000000000009</v>
      </c>
    </row>
    <row r="135" spans="1:191" x14ac:dyDescent="0.3">
      <c r="A135" s="10" t="s">
        <v>31</v>
      </c>
      <c r="B135" s="35" t="s">
        <v>82</v>
      </c>
      <c r="C135" s="16">
        <v>10156</v>
      </c>
      <c r="D135" s="14">
        <v>11516</v>
      </c>
      <c r="E135" s="14">
        <v>8989</v>
      </c>
      <c r="F135" s="14">
        <v>10936</v>
      </c>
      <c r="G135" s="14">
        <v>9506</v>
      </c>
      <c r="H135" s="14">
        <v>16527</v>
      </c>
      <c r="I135" s="14">
        <v>18551</v>
      </c>
      <c r="J135" s="14">
        <v>16527</v>
      </c>
      <c r="K135" s="14">
        <v>7830</v>
      </c>
      <c r="L135" s="14">
        <v>7830</v>
      </c>
      <c r="M135" s="14">
        <v>18581</v>
      </c>
      <c r="N135" s="14">
        <v>18581</v>
      </c>
      <c r="O135" s="14">
        <v>11977</v>
      </c>
      <c r="P135" s="14">
        <v>10812</v>
      </c>
      <c r="Q135" s="14">
        <v>8845</v>
      </c>
      <c r="R135" s="13">
        <v>6052</v>
      </c>
      <c r="S135" s="13">
        <v>2239</v>
      </c>
      <c r="T135" s="13">
        <v>5497</v>
      </c>
      <c r="U135" s="13">
        <v>5139</v>
      </c>
      <c r="V135" s="13">
        <v>2230</v>
      </c>
      <c r="W135" s="13">
        <v>0</v>
      </c>
      <c r="X135" s="13">
        <v>6041</v>
      </c>
      <c r="Y135" s="13">
        <v>6888</v>
      </c>
      <c r="Z135" s="13">
        <v>5572</v>
      </c>
      <c r="AA135" s="13">
        <v>1713</v>
      </c>
      <c r="AB135" s="13">
        <v>2058</v>
      </c>
      <c r="AC135" s="13">
        <v>2571</v>
      </c>
      <c r="AD135" s="13">
        <v>2408</v>
      </c>
      <c r="AE135" s="13">
        <v>6888</v>
      </c>
      <c r="AF135" s="13">
        <v>0</v>
      </c>
      <c r="AG135" s="12"/>
      <c r="AH135" s="13">
        <v>0</v>
      </c>
      <c r="AI135" s="14">
        <v>8038</v>
      </c>
      <c r="AJ135" s="14">
        <v>11084</v>
      </c>
      <c r="AK135" s="14">
        <v>8038</v>
      </c>
      <c r="AL135" s="14">
        <v>9873</v>
      </c>
      <c r="AM135" s="14">
        <v>17061</v>
      </c>
      <c r="AN135" s="14">
        <v>16674</v>
      </c>
      <c r="AO135" s="14">
        <v>16383</v>
      </c>
      <c r="AP135" s="14">
        <v>16911</v>
      </c>
      <c r="AQ135" s="14">
        <v>17761</v>
      </c>
      <c r="AR135" s="14">
        <v>14066</v>
      </c>
      <c r="AS135" s="14">
        <v>7751</v>
      </c>
      <c r="AT135" s="14">
        <v>7751</v>
      </c>
      <c r="AU135" s="14">
        <v>7751</v>
      </c>
      <c r="AV135" s="14">
        <v>16409</v>
      </c>
      <c r="AW135" s="14">
        <v>7873</v>
      </c>
      <c r="AX135" s="14">
        <v>7873</v>
      </c>
      <c r="AY135" s="14">
        <v>17251</v>
      </c>
      <c r="AZ135" s="14"/>
      <c r="BA135" s="14">
        <v>7932</v>
      </c>
      <c r="BB135" s="14">
        <v>13221</v>
      </c>
      <c r="BC135" s="13">
        <v>7375</v>
      </c>
      <c r="BD135" s="14">
        <v>14386</v>
      </c>
      <c r="BE135" s="14">
        <v>16801</v>
      </c>
      <c r="BF135" s="14">
        <v>15825</v>
      </c>
      <c r="BG135" s="13">
        <v>3171</v>
      </c>
      <c r="BH135" s="13">
        <v>1556</v>
      </c>
      <c r="BI135" s="14">
        <v>11790</v>
      </c>
      <c r="BJ135" s="14">
        <v>16031</v>
      </c>
      <c r="BK135" s="15">
        <v>16031</v>
      </c>
      <c r="BM135" s="10" t="s">
        <v>31</v>
      </c>
      <c r="BN135" s="35" t="s">
        <v>82</v>
      </c>
      <c r="BO135" s="16">
        <f>745.4</f>
        <v>745.4</v>
      </c>
      <c r="BP135" s="14">
        <f>745.4</f>
        <v>745.4</v>
      </c>
      <c r="BQ135" s="14">
        <f>745.4+1925.4</f>
        <v>2670.8</v>
      </c>
      <c r="BR135" s="14">
        <f>745.4</f>
        <v>745.4</v>
      </c>
      <c r="BS135" s="14">
        <f>745.4+63</f>
        <v>808.4</v>
      </c>
      <c r="BT135" s="14">
        <f>745.4+1636.8</f>
        <v>2382.1999999999998</v>
      </c>
      <c r="BU135" s="14">
        <f>745.4</f>
        <v>745.4</v>
      </c>
      <c r="BV135" s="14">
        <f>745.4</f>
        <v>745.4</v>
      </c>
      <c r="BW135" s="14">
        <f>745.4+543.3</f>
        <v>1288.6999999999998</v>
      </c>
      <c r="BX135" s="14">
        <f>745.4</f>
        <v>745.4</v>
      </c>
      <c r="BY135" s="14">
        <f>745.4+970.9</f>
        <v>1716.3</v>
      </c>
      <c r="BZ135" s="14">
        <f>745.4</f>
        <v>745.4</v>
      </c>
      <c r="CA135" s="14">
        <f>745.4+458.8</f>
        <v>1204.2</v>
      </c>
      <c r="CB135" s="14">
        <f>745.4+441.9</f>
        <v>1187.3</v>
      </c>
      <c r="CC135" s="14">
        <f>745.4+51.7</f>
        <v>797.1</v>
      </c>
      <c r="CD135" s="13">
        <f>745.4</f>
        <v>745.4</v>
      </c>
      <c r="CE135" s="13">
        <f>745.4</f>
        <v>745.4</v>
      </c>
      <c r="CF135" s="13">
        <f>745.4</f>
        <v>745.4</v>
      </c>
      <c r="CG135" s="13">
        <f>745.4+190.1</f>
        <v>935.5</v>
      </c>
      <c r="CH135" s="13">
        <f>745.4+311.9</f>
        <v>1057.3</v>
      </c>
      <c r="CI135" s="13">
        <f>745.4+495.4</f>
        <v>1240.8</v>
      </c>
      <c r="CJ135" s="13">
        <f>745.4</f>
        <v>745.4</v>
      </c>
      <c r="CK135" s="13">
        <f>745.4+142.8</f>
        <v>888.2</v>
      </c>
      <c r="CL135" s="13">
        <f>745.4+252.5</f>
        <v>997.9</v>
      </c>
      <c r="CM135" s="13">
        <f>745.4+71.3</f>
        <v>816.69999999999993</v>
      </c>
      <c r="CN135" s="13">
        <f>745.4+146</f>
        <v>891.4</v>
      </c>
      <c r="CO135" s="13">
        <f>745.4+354.6</f>
        <v>1100</v>
      </c>
      <c r="CP135" s="13">
        <f>745.4</f>
        <v>745.4</v>
      </c>
      <c r="CQ135" s="13">
        <f>745.4</f>
        <v>745.4</v>
      </c>
      <c r="CR135" s="13">
        <f>745.4+931.2</f>
        <v>1676.6</v>
      </c>
      <c r="CS135" s="12"/>
      <c r="CT135" s="13">
        <f>745.4+522.4</f>
        <v>1267.8</v>
      </c>
      <c r="CU135" s="14">
        <f>745.4+1374.6</f>
        <v>2120</v>
      </c>
      <c r="CV135" s="14">
        <f>745.4</f>
        <v>745.4</v>
      </c>
      <c r="CW135" s="14">
        <f>745.4+857.3</f>
        <v>1602.6999999999998</v>
      </c>
      <c r="CX135" s="14">
        <f>745.4</f>
        <v>745.4</v>
      </c>
      <c r="CY135" s="14">
        <f>745.4</f>
        <v>745.4</v>
      </c>
      <c r="CZ135" s="14">
        <f>745.4</f>
        <v>745.4</v>
      </c>
      <c r="DA135" s="14">
        <f>745.4+162.7</f>
        <v>908.09999999999991</v>
      </c>
      <c r="DB135" s="14">
        <f>745.4</f>
        <v>745.4</v>
      </c>
      <c r="DC135" s="14">
        <f>745.4</f>
        <v>745.4</v>
      </c>
      <c r="DD135" s="14">
        <f>745.4</f>
        <v>745.4</v>
      </c>
      <c r="DE135" s="14">
        <f>745.4</f>
        <v>745.4</v>
      </c>
      <c r="DF135" s="14">
        <f>745.4+1855.4</f>
        <v>2600.8000000000002</v>
      </c>
      <c r="DG135" s="14">
        <f>745.4+996.5</f>
        <v>1741.9</v>
      </c>
      <c r="DH135" s="14">
        <f>745.4+33.8</f>
        <v>779.19999999999993</v>
      </c>
      <c r="DI135" s="14">
        <f>745.4+701.9</f>
        <v>1447.3</v>
      </c>
      <c r="DJ135" s="14">
        <f>745.4+4701.1</f>
        <v>5446.5</v>
      </c>
      <c r="DK135" s="14">
        <f>745.4</f>
        <v>745.4</v>
      </c>
      <c r="DL135" s="14">
        <f>745.4</f>
        <v>745.4</v>
      </c>
      <c r="DM135" s="14">
        <f>745.4+483.6</f>
        <v>1229</v>
      </c>
      <c r="DN135" s="14">
        <f>745.4</f>
        <v>745.4</v>
      </c>
      <c r="DO135" s="13">
        <f>745.4</f>
        <v>745.4</v>
      </c>
      <c r="DP135" s="14">
        <f>745.4</f>
        <v>745.4</v>
      </c>
      <c r="DQ135" s="14">
        <f>745.4+121.2</f>
        <v>866.6</v>
      </c>
      <c r="DR135" s="14">
        <f>745.4</f>
        <v>745.4</v>
      </c>
      <c r="DS135" s="13">
        <f>745.4+778.9</f>
        <v>1524.3</v>
      </c>
      <c r="DT135" s="13">
        <f>745.4+11.8</f>
        <v>757.19999999999993</v>
      </c>
      <c r="DU135" s="14">
        <f>745.4+503.6</f>
        <v>1249</v>
      </c>
      <c r="DV135" s="14">
        <f>745.4+114</f>
        <v>859.4</v>
      </c>
      <c r="DW135" s="15">
        <f>745.4+1147</f>
        <v>1892.4</v>
      </c>
      <c r="DY135" s="10" t="s">
        <v>31</v>
      </c>
      <c r="DZ135" s="35" t="s">
        <v>82</v>
      </c>
      <c r="EA135" s="16">
        <f>82+477.6+401.3</f>
        <v>960.90000000000009</v>
      </c>
      <c r="EB135" s="14">
        <f t="shared" ref="EB135:GI135" si="15">82+477.6+401.3</f>
        <v>960.90000000000009</v>
      </c>
      <c r="EC135" s="14">
        <f>82+477.6+401.3+2197.2</f>
        <v>3158.1</v>
      </c>
      <c r="ED135" s="14">
        <f t="shared" si="15"/>
        <v>960.90000000000009</v>
      </c>
      <c r="EE135" s="14">
        <f>82+477.6+401.3+64.4</f>
        <v>1025.3000000000002</v>
      </c>
      <c r="EF135" s="14">
        <f>82+477.6+401.3+2958.2</f>
        <v>3919.1</v>
      </c>
      <c r="EG135" s="14">
        <f t="shared" si="15"/>
        <v>960.90000000000009</v>
      </c>
      <c r="EH135" s="14">
        <f t="shared" si="15"/>
        <v>960.90000000000009</v>
      </c>
      <c r="EI135" s="14">
        <f>82+477.6+401.3+535.6</f>
        <v>1496.5</v>
      </c>
      <c r="EJ135" s="14">
        <f t="shared" si="15"/>
        <v>960.90000000000009</v>
      </c>
      <c r="EK135" s="14">
        <f t="shared" si="15"/>
        <v>960.90000000000009</v>
      </c>
      <c r="EL135" s="14">
        <f t="shared" si="15"/>
        <v>960.90000000000009</v>
      </c>
      <c r="EM135" s="14">
        <f t="shared" si="15"/>
        <v>960.90000000000009</v>
      </c>
      <c r="EN135" s="14">
        <f t="shared" si="15"/>
        <v>960.90000000000009</v>
      </c>
      <c r="EO135" s="14">
        <f t="shared" si="15"/>
        <v>960.90000000000009</v>
      </c>
      <c r="EP135" s="13">
        <f t="shared" si="15"/>
        <v>960.90000000000009</v>
      </c>
      <c r="EQ135" s="13">
        <f t="shared" si="15"/>
        <v>960.90000000000009</v>
      </c>
      <c r="ER135" s="13">
        <f t="shared" si="15"/>
        <v>960.90000000000009</v>
      </c>
      <c r="ES135" s="13">
        <f>82+477.6+401.3+226.7</f>
        <v>1187.6000000000001</v>
      </c>
      <c r="ET135" s="13">
        <f>82+477.6+401.3+319.5</f>
        <v>1280.4000000000001</v>
      </c>
      <c r="EU135" s="13">
        <f>82+477.6+401.3+513.8</f>
        <v>1474.7</v>
      </c>
      <c r="EV135" s="13">
        <f t="shared" si="15"/>
        <v>960.90000000000009</v>
      </c>
      <c r="EW135" s="13">
        <f>82+477.6+401.3+135.5</f>
        <v>1096.4000000000001</v>
      </c>
      <c r="EX135" s="13">
        <f>82+477.6+401.3+263.1</f>
        <v>1224</v>
      </c>
      <c r="EY135" s="13">
        <f>82+477.6+401.3+77.9</f>
        <v>1038.8000000000002</v>
      </c>
      <c r="EZ135" s="13">
        <f>82+477.6+401.3+141.3</f>
        <v>1102.2</v>
      </c>
      <c r="FA135" s="13">
        <f>82+477.6+401.3+389.7</f>
        <v>1350.6000000000001</v>
      </c>
      <c r="FB135" s="13">
        <f t="shared" si="15"/>
        <v>960.90000000000009</v>
      </c>
      <c r="FC135" s="13">
        <f t="shared" si="15"/>
        <v>960.90000000000009</v>
      </c>
      <c r="FD135" s="13">
        <f>82+477.6+401.3+994.9</f>
        <v>1955.8000000000002</v>
      </c>
      <c r="FE135" s="12"/>
      <c r="FF135" s="13">
        <f>82+477.6+401.3+624.5</f>
        <v>1585.4</v>
      </c>
      <c r="FG135" s="14">
        <f>82+477.6+401.3+1386.2</f>
        <v>2347.1000000000004</v>
      </c>
      <c r="FH135" s="14">
        <f t="shared" si="15"/>
        <v>960.90000000000009</v>
      </c>
      <c r="FI135" s="14">
        <f>82+477.6+401.3+982.6</f>
        <v>1943.5</v>
      </c>
      <c r="FJ135" s="14">
        <f t="shared" si="15"/>
        <v>960.90000000000009</v>
      </c>
      <c r="FK135" s="14">
        <f t="shared" si="15"/>
        <v>960.90000000000009</v>
      </c>
      <c r="FL135" s="14">
        <f t="shared" si="15"/>
        <v>960.90000000000009</v>
      </c>
      <c r="FM135" s="14">
        <f>82+477.6+401.3+154.6</f>
        <v>1115.5</v>
      </c>
      <c r="FN135" s="14">
        <f t="shared" si="15"/>
        <v>960.90000000000009</v>
      </c>
      <c r="FO135" s="14">
        <f t="shared" si="15"/>
        <v>960.90000000000009</v>
      </c>
      <c r="FP135" s="14">
        <f t="shared" si="15"/>
        <v>960.90000000000009</v>
      </c>
      <c r="FQ135" s="14">
        <f t="shared" si="15"/>
        <v>960.90000000000009</v>
      </c>
      <c r="FR135" s="14">
        <f t="shared" si="15"/>
        <v>960.90000000000009</v>
      </c>
      <c r="FS135" s="14">
        <f t="shared" si="15"/>
        <v>960.90000000000009</v>
      </c>
      <c r="FT135" s="14">
        <f>82+477.6+401.3+43.9</f>
        <v>1004.8000000000001</v>
      </c>
      <c r="FU135" s="14">
        <f>82+477.6+401.3+3.8+641.3</f>
        <v>1606</v>
      </c>
      <c r="FV135" s="14">
        <f>82+477.6+401.3+3305.4+1080.8</f>
        <v>5347.1</v>
      </c>
      <c r="FW135" s="14">
        <f t="shared" si="15"/>
        <v>960.90000000000009</v>
      </c>
      <c r="FX135" s="14">
        <f t="shared" si="15"/>
        <v>960.90000000000009</v>
      </c>
      <c r="FY135" s="14">
        <f>82+477.6+401.3+462.7</f>
        <v>1423.6000000000001</v>
      </c>
      <c r="FZ135" s="14">
        <f t="shared" si="15"/>
        <v>960.90000000000009</v>
      </c>
      <c r="GA135" s="13">
        <f t="shared" si="15"/>
        <v>960.90000000000009</v>
      </c>
      <c r="GB135" s="14">
        <f t="shared" si="15"/>
        <v>960.90000000000009</v>
      </c>
      <c r="GC135" s="14">
        <f>82+477.6+401.3+116.6</f>
        <v>1077.5</v>
      </c>
      <c r="GD135" s="14">
        <f t="shared" si="15"/>
        <v>960.90000000000009</v>
      </c>
      <c r="GE135" s="13">
        <f>82+477.6+401.3+965.1</f>
        <v>1926</v>
      </c>
      <c r="GF135" s="13">
        <f t="shared" si="15"/>
        <v>960.90000000000009</v>
      </c>
      <c r="GG135" s="14">
        <f t="shared" si="15"/>
        <v>960.90000000000009</v>
      </c>
      <c r="GH135" s="14">
        <f t="shared" si="15"/>
        <v>960.90000000000009</v>
      </c>
      <c r="GI135" s="15">
        <f t="shared" si="15"/>
        <v>960.90000000000009</v>
      </c>
    </row>
    <row r="136" spans="1:191" x14ac:dyDescent="0.3">
      <c r="A136" s="10" t="s">
        <v>32</v>
      </c>
      <c r="B136" s="35" t="s">
        <v>82</v>
      </c>
      <c r="C136" s="16">
        <v>10156</v>
      </c>
      <c r="D136" s="14">
        <v>11516</v>
      </c>
      <c r="E136" s="14">
        <v>8989</v>
      </c>
      <c r="F136" s="14">
        <v>10936</v>
      </c>
      <c r="G136" s="14">
        <v>9506</v>
      </c>
      <c r="H136" s="14">
        <v>16527</v>
      </c>
      <c r="I136" s="14">
        <v>18551</v>
      </c>
      <c r="J136" s="14">
        <v>16527</v>
      </c>
      <c r="K136" s="14">
        <v>7830</v>
      </c>
      <c r="L136" s="14">
        <v>7830</v>
      </c>
      <c r="M136" s="14">
        <v>18581</v>
      </c>
      <c r="N136" s="14">
        <v>18581</v>
      </c>
      <c r="O136" s="14">
        <v>11977</v>
      </c>
      <c r="P136" s="14">
        <v>10812</v>
      </c>
      <c r="Q136" s="14">
        <v>8845</v>
      </c>
      <c r="R136" s="13">
        <v>6052</v>
      </c>
      <c r="S136" s="13">
        <v>2239</v>
      </c>
      <c r="T136" s="13">
        <v>5497</v>
      </c>
      <c r="U136" s="13">
        <v>5139</v>
      </c>
      <c r="V136" s="13">
        <v>2230</v>
      </c>
      <c r="W136" s="13">
        <v>0</v>
      </c>
      <c r="X136" s="13">
        <v>6041</v>
      </c>
      <c r="Y136" s="13">
        <v>6888</v>
      </c>
      <c r="Z136" s="13">
        <v>5572</v>
      </c>
      <c r="AA136" s="13">
        <v>1713</v>
      </c>
      <c r="AB136" s="13">
        <v>2058</v>
      </c>
      <c r="AC136" s="13">
        <v>2571</v>
      </c>
      <c r="AD136" s="13">
        <v>2408</v>
      </c>
      <c r="AE136" s="13">
        <v>6888</v>
      </c>
      <c r="AF136" s="13">
        <v>0</v>
      </c>
      <c r="AG136" s="13">
        <v>0</v>
      </c>
      <c r="AH136" s="12"/>
      <c r="AI136" s="14">
        <v>8038</v>
      </c>
      <c r="AJ136" s="14">
        <v>11084</v>
      </c>
      <c r="AK136" s="14">
        <v>8038</v>
      </c>
      <c r="AL136" s="14">
        <v>9873</v>
      </c>
      <c r="AM136" s="14">
        <v>17061</v>
      </c>
      <c r="AN136" s="14">
        <v>16674</v>
      </c>
      <c r="AO136" s="14">
        <v>16383</v>
      </c>
      <c r="AP136" s="14">
        <v>16911</v>
      </c>
      <c r="AQ136" s="14">
        <v>17761</v>
      </c>
      <c r="AR136" s="14">
        <v>14066</v>
      </c>
      <c r="AS136" s="14">
        <v>7751</v>
      </c>
      <c r="AT136" s="14">
        <v>7751</v>
      </c>
      <c r="AU136" s="14">
        <v>7751</v>
      </c>
      <c r="AV136" s="14">
        <v>16409</v>
      </c>
      <c r="AW136" s="14">
        <v>7873</v>
      </c>
      <c r="AX136" s="14">
        <v>7873</v>
      </c>
      <c r="AY136" s="14">
        <v>17251</v>
      </c>
      <c r="AZ136" s="14"/>
      <c r="BA136" s="14">
        <v>7932</v>
      </c>
      <c r="BB136" s="14">
        <v>13221</v>
      </c>
      <c r="BC136" s="13">
        <v>7375</v>
      </c>
      <c r="BD136" s="14">
        <v>14386</v>
      </c>
      <c r="BE136" s="14">
        <v>16801</v>
      </c>
      <c r="BF136" s="14">
        <v>15825</v>
      </c>
      <c r="BG136" s="13">
        <v>3171</v>
      </c>
      <c r="BH136" s="13">
        <v>1556</v>
      </c>
      <c r="BI136" s="14">
        <v>11790</v>
      </c>
      <c r="BJ136" s="14">
        <v>16031</v>
      </c>
      <c r="BK136" s="15">
        <v>16031</v>
      </c>
      <c r="BM136" s="10" t="s">
        <v>32</v>
      </c>
      <c r="BN136" s="35" t="s">
        <v>82</v>
      </c>
      <c r="BO136" s="16">
        <f>522.4</f>
        <v>522.4</v>
      </c>
      <c r="BP136" s="14">
        <f>522.4</f>
        <v>522.4</v>
      </c>
      <c r="BQ136" s="14">
        <f>522.4+1925.4</f>
        <v>2447.8000000000002</v>
      </c>
      <c r="BR136" s="14">
        <f>522.4</f>
        <v>522.4</v>
      </c>
      <c r="BS136" s="14">
        <f>522.4+63</f>
        <v>585.4</v>
      </c>
      <c r="BT136" s="14">
        <f>522.4+1636.8</f>
        <v>2159.1999999999998</v>
      </c>
      <c r="BU136" s="14">
        <f>522.4</f>
        <v>522.4</v>
      </c>
      <c r="BV136" s="14">
        <f>522.4</f>
        <v>522.4</v>
      </c>
      <c r="BW136" s="14">
        <f>522.4+543.3</f>
        <v>1065.6999999999998</v>
      </c>
      <c r="BX136" s="14">
        <f>522.4</f>
        <v>522.4</v>
      </c>
      <c r="BY136" s="14">
        <f>522.4+970.9</f>
        <v>1493.3</v>
      </c>
      <c r="BZ136" s="14">
        <f>522.4</f>
        <v>522.4</v>
      </c>
      <c r="CA136" s="14">
        <f>522.4+458.8</f>
        <v>981.2</v>
      </c>
      <c r="CB136" s="14">
        <f>522.4+441.9</f>
        <v>964.3</v>
      </c>
      <c r="CC136" s="14">
        <f>522.4+51.7</f>
        <v>574.1</v>
      </c>
      <c r="CD136" s="13">
        <f>522.4</f>
        <v>522.4</v>
      </c>
      <c r="CE136" s="13">
        <f>522.4</f>
        <v>522.4</v>
      </c>
      <c r="CF136" s="13">
        <f>522.4</f>
        <v>522.4</v>
      </c>
      <c r="CG136" s="13">
        <f>522.4+190.1</f>
        <v>712.5</v>
      </c>
      <c r="CH136" s="13">
        <f>522.4+311.9</f>
        <v>834.3</v>
      </c>
      <c r="CI136" s="13">
        <f>522.4+495.4</f>
        <v>1017.8</v>
      </c>
      <c r="CJ136" s="13">
        <f>522.4</f>
        <v>522.4</v>
      </c>
      <c r="CK136" s="13">
        <f>522.4+142.8</f>
        <v>665.2</v>
      </c>
      <c r="CL136" s="13">
        <f>522.4+252.5</f>
        <v>774.9</v>
      </c>
      <c r="CM136" s="13">
        <f>522.4+71.3</f>
        <v>593.69999999999993</v>
      </c>
      <c r="CN136" s="13">
        <f>522.4+146</f>
        <v>668.4</v>
      </c>
      <c r="CO136" s="13">
        <f>522.4+354.6</f>
        <v>877</v>
      </c>
      <c r="CP136" s="13">
        <f>522.4</f>
        <v>522.4</v>
      </c>
      <c r="CQ136" s="13">
        <f>522.4</f>
        <v>522.4</v>
      </c>
      <c r="CR136" s="13">
        <f>522.4+931.2</f>
        <v>1453.6</v>
      </c>
      <c r="CS136" s="13">
        <f>522.4+745.4</f>
        <v>1267.8</v>
      </c>
      <c r="CT136" s="12"/>
      <c r="CU136" s="14">
        <f>522.4+1374.6</f>
        <v>1897</v>
      </c>
      <c r="CV136" s="14">
        <f>522.4</f>
        <v>522.4</v>
      </c>
      <c r="CW136" s="14">
        <f>522.4+857.3</f>
        <v>1379.6999999999998</v>
      </c>
      <c r="CX136" s="14">
        <f>522.4</f>
        <v>522.4</v>
      </c>
      <c r="CY136" s="14">
        <f>522.4</f>
        <v>522.4</v>
      </c>
      <c r="CZ136" s="14">
        <f>522.4</f>
        <v>522.4</v>
      </c>
      <c r="DA136" s="14">
        <f>522.4+162.7</f>
        <v>685.09999999999991</v>
      </c>
      <c r="DB136" s="14">
        <f>522.4</f>
        <v>522.4</v>
      </c>
      <c r="DC136" s="14">
        <f>522.4</f>
        <v>522.4</v>
      </c>
      <c r="DD136" s="14">
        <f>522.4</f>
        <v>522.4</v>
      </c>
      <c r="DE136" s="14">
        <f>522.4</f>
        <v>522.4</v>
      </c>
      <c r="DF136" s="14">
        <f>522.4+1855.4</f>
        <v>2377.8000000000002</v>
      </c>
      <c r="DG136" s="14">
        <f>522.4+996.5</f>
        <v>1518.9</v>
      </c>
      <c r="DH136" s="14">
        <f>522.4+33.8</f>
        <v>556.19999999999993</v>
      </c>
      <c r="DI136" s="14">
        <f>522.4+701.9</f>
        <v>1224.3</v>
      </c>
      <c r="DJ136" s="14">
        <f>522.4+4701.1</f>
        <v>5223.5</v>
      </c>
      <c r="DK136" s="14">
        <f>522.4</f>
        <v>522.4</v>
      </c>
      <c r="DL136" s="14">
        <f>522.4</f>
        <v>522.4</v>
      </c>
      <c r="DM136" s="14">
        <f>522.4+483.6</f>
        <v>1006</v>
      </c>
      <c r="DN136" s="14">
        <f>522.4</f>
        <v>522.4</v>
      </c>
      <c r="DO136" s="13">
        <f>522.4</f>
        <v>522.4</v>
      </c>
      <c r="DP136" s="14">
        <f>522.4</f>
        <v>522.4</v>
      </c>
      <c r="DQ136" s="14">
        <f>522.4+121.2</f>
        <v>643.6</v>
      </c>
      <c r="DR136" s="14">
        <f>522.4</f>
        <v>522.4</v>
      </c>
      <c r="DS136" s="13">
        <f>522.4+778.9</f>
        <v>1301.3</v>
      </c>
      <c r="DT136" s="12">
        <f>522.4+11.8</f>
        <v>534.19999999999993</v>
      </c>
      <c r="DU136" s="14">
        <f>522.4+503.6</f>
        <v>1026</v>
      </c>
      <c r="DV136" s="14">
        <f>522.4+114</f>
        <v>636.4</v>
      </c>
      <c r="DW136" s="15">
        <f>522.4+1147</f>
        <v>1669.4</v>
      </c>
      <c r="DY136" s="10" t="s">
        <v>32</v>
      </c>
      <c r="DZ136" s="35" t="s">
        <v>82</v>
      </c>
      <c r="EA136" s="16">
        <f>64.9+477.6+82</f>
        <v>624.5</v>
      </c>
      <c r="EB136" s="14">
        <f t="shared" ref="EB136:GI136" si="16">64.9+477.6+82</f>
        <v>624.5</v>
      </c>
      <c r="EC136" s="14">
        <f>64.9+477.6+82+2197.2</f>
        <v>2821.7</v>
      </c>
      <c r="ED136" s="14">
        <f t="shared" si="16"/>
        <v>624.5</v>
      </c>
      <c r="EE136" s="14">
        <f>64.9+477.6+82+64.4</f>
        <v>688.9</v>
      </c>
      <c r="EF136" s="14">
        <f>64.9+477.6+82+2958.2</f>
        <v>3582.7</v>
      </c>
      <c r="EG136" s="14">
        <f t="shared" si="16"/>
        <v>624.5</v>
      </c>
      <c r="EH136" s="14">
        <f t="shared" si="16"/>
        <v>624.5</v>
      </c>
      <c r="EI136" s="14">
        <f>64.9+477.6+82+535.6</f>
        <v>1160.0999999999999</v>
      </c>
      <c r="EJ136" s="14">
        <f t="shared" si="16"/>
        <v>624.5</v>
      </c>
      <c r="EK136" s="14">
        <f t="shared" si="16"/>
        <v>624.5</v>
      </c>
      <c r="EL136" s="14">
        <f t="shared" si="16"/>
        <v>624.5</v>
      </c>
      <c r="EM136" s="14">
        <f t="shared" si="16"/>
        <v>624.5</v>
      </c>
      <c r="EN136" s="14">
        <f t="shared" si="16"/>
        <v>624.5</v>
      </c>
      <c r="EO136" s="14">
        <f t="shared" si="16"/>
        <v>624.5</v>
      </c>
      <c r="EP136" s="13">
        <f t="shared" si="16"/>
        <v>624.5</v>
      </c>
      <c r="EQ136" s="13">
        <f t="shared" si="16"/>
        <v>624.5</v>
      </c>
      <c r="ER136" s="13">
        <f t="shared" si="16"/>
        <v>624.5</v>
      </c>
      <c r="ES136" s="13">
        <f>64.9+477.6+82+226.7</f>
        <v>851.2</v>
      </c>
      <c r="ET136" s="13">
        <f>64.9+477.6+82+319.5</f>
        <v>944</v>
      </c>
      <c r="EU136" s="13">
        <f>64.9+477.6+82+513.8</f>
        <v>1138.3</v>
      </c>
      <c r="EV136" s="13">
        <f t="shared" si="16"/>
        <v>624.5</v>
      </c>
      <c r="EW136" s="13">
        <f>64.9+477.6+82+135.5</f>
        <v>760</v>
      </c>
      <c r="EX136" s="13">
        <f>64.9+477.6+82+263.1</f>
        <v>887.6</v>
      </c>
      <c r="EY136" s="13">
        <f>64.9+477.6+82+77.9</f>
        <v>702.4</v>
      </c>
      <c r="EZ136" s="13">
        <f>64.9+477.6+82+141.3</f>
        <v>765.8</v>
      </c>
      <c r="FA136" s="13">
        <f>64.9+477.6+82+389.7</f>
        <v>1014.2</v>
      </c>
      <c r="FB136" s="13">
        <f t="shared" si="16"/>
        <v>624.5</v>
      </c>
      <c r="FC136" s="13">
        <f t="shared" si="16"/>
        <v>624.5</v>
      </c>
      <c r="FD136" s="13">
        <f>64.9+477.6+82+994.9</f>
        <v>1619.4</v>
      </c>
      <c r="FE136" s="13">
        <f>64.9+477.6+82+960.9</f>
        <v>1585.4</v>
      </c>
      <c r="FF136" s="12"/>
      <c r="FG136" s="14">
        <f>64.9+477.6+82+1386.2</f>
        <v>2010.7</v>
      </c>
      <c r="FH136" s="14">
        <f t="shared" si="16"/>
        <v>624.5</v>
      </c>
      <c r="FI136" s="14">
        <f>64.9+477.6+82+982.6</f>
        <v>1607.1</v>
      </c>
      <c r="FJ136" s="14">
        <f t="shared" si="16"/>
        <v>624.5</v>
      </c>
      <c r="FK136" s="14">
        <f t="shared" si="16"/>
        <v>624.5</v>
      </c>
      <c r="FL136" s="14">
        <f t="shared" si="16"/>
        <v>624.5</v>
      </c>
      <c r="FM136" s="14">
        <f>64.9+477.6+82+154.6</f>
        <v>779.1</v>
      </c>
      <c r="FN136" s="14">
        <f t="shared" si="16"/>
        <v>624.5</v>
      </c>
      <c r="FO136" s="14">
        <f t="shared" si="16"/>
        <v>624.5</v>
      </c>
      <c r="FP136" s="14">
        <f t="shared" si="16"/>
        <v>624.5</v>
      </c>
      <c r="FQ136" s="14">
        <f t="shared" si="16"/>
        <v>624.5</v>
      </c>
      <c r="FR136" s="14">
        <f t="shared" si="16"/>
        <v>624.5</v>
      </c>
      <c r="FS136" s="14">
        <f t="shared" si="16"/>
        <v>624.5</v>
      </c>
      <c r="FT136" s="14">
        <f>64.9+477.6+82+43.9</f>
        <v>668.4</v>
      </c>
      <c r="FU136" s="14">
        <f>64.9+477.6+82+3.8+641.3</f>
        <v>1269.5999999999999</v>
      </c>
      <c r="FV136" s="14">
        <f>64.9+477.6+82+3305.4+1080.8</f>
        <v>5010.7</v>
      </c>
      <c r="FW136" s="14">
        <f t="shared" si="16"/>
        <v>624.5</v>
      </c>
      <c r="FX136" s="14">
        <f t="shared" si="16"/>
        <v>624.5</v>
      </c>
      <c r="FY136" s="14">
        <f>64.9+477.6+82+462.7</f>
        <v>1087.2</v>
      </c>
      <c r="FZ136" s="14">
        <f t="shared" si="16"/>
        <v>624.5</v>
      </c>
      <c r="GA136" s="13">
        <f t="shared" si="16"/>
        <v>624.5</v>
      </c>
      <c r="GB136" s="14">
        <f t="shared" si="16"/>
        <v>624.5</v>
      </c>
      <c r="GC136" s="14">
        <f>64.9+477.6+82+116.6</f>
        <v>741.1</v>
      </c>
      <c r="GD136" s="14">
        <f t="shared" si="16"/>
        <v>624.5</v>
      </c>
      <c r="GE136" s="13">
        <f>64.9+477.6+82+965.1</f>
        <v>1589.6</v>
      </c>
      <c r="GF136" s="12">
        <f t="shared" si="16"/>
        <v>624.5</v>
      </c>
      <c r="GG136" s="14">
        <f t="shared" si="16"/>
        <v>624.5</v>
      </c>
      <c r="GH136" s="14">
        <f t="shared" si="16"/>
        <v>624.5</v>
      </c>
      <c r="GI136" s="15">
        <f t="shared" si="16"/>
        <v>624.5</v>
      </c>
    </row>
    <row r="137" spans="1:191" x14ac:dyDescent="0.3">
      <c r="A137" s="10" t="s">
        <v>33</v>
      </c>
      <c r="B137" s="35" t="s">
        <v>101</v>
      </c>
      <c r="C137" s="16">
        <v>16288</v>
      </c>
      <c r="D137" s="14">
        <v>17648</v>
      </c>
      <c r="E137" s="14">
        <v>15122</v>
      </c>
      <c r="F137" s="14">
        <v>17068</v>
      </c>
      <c r="G137" s="14">
        <v>15638</v>
      </c>
      <c r="H137" s="14">
        <v>18713</v>
      </c>
      <c r="I137" s="14">
        <v>17588</v>
      </c>
      <c r="J137" s="14">
        <v>18713</v>
      </c>
      <c r="K137" s="14">
        <v>15073</v>
      </c>
      <c r="L137" s="14">
        <v>15073</v>
      </c>
      <c r="M137" s="14">
        <v>17618</v>
      </c>
      <c r="N137" s="14">
        <v>17618</v>
      </c>
      <c r="O137" s="14">
        <v>18109</v>
      </c>
      <c r="P137" s="14">
        <v>14492</v>
      </c>
      <c r="Q137" s="14">
        <v>14601</v>
      </c>
      <c r="R137" s="14">
        <v>12184</v>
      </c>
      <c r="S137" s="14">
        <v>11529</v>
      </c>
      <c r="T137" s="14">
        <v>11629</v>
      </c>
      <c r="U137" s="14">
        <v>11325</v>
      </c>
      <c r="V137" s="14">
        <v>8441</v>
      </c>
      <c r="W137" s="14">
        <v>8038</v>
      </c>
      <c r="X137" s="14">
        <v>12173</v>
      </c>
      <c r="Y137" s="14">
        <v>13020</v>
      </c>
      <c r="Z137" s="14">
        <v>11705</v>
      </c>
      <c r="AA137" s="14">
        <v>7925</v>
      </c>
      <c r="AB137" s="14">
        <v>8269</v>
      </c>
      <c r="AC137" s="14">
        <v>8732</v>
      </c>
      <c r="AD137" s="14">
        <v>8582</v>
      </c>
      <c r="AE137" s="14">
        <v>13020</v>
      </c>
      <c r="AF137" s="14">
        <v>8038</v>
      </c>
      <c r="AG137" s="14">
        <v>8038</v>
      </c>
      <c r="AH137" s="14">
        <v>8038</v>
      </c>
      <c r="AI137" s="12"/>
      <c r="AJ137" s="13">
        <v>3911</v>
      </c>
      <c r="AK137" s="13">
        <v>0</v>
      </c>
      <c r="AL137" s="13">
        <v>2700</v>
      </c>
      <c r="AM137" s="13">
        <v>9888</v>
      </c>
      <c r="AN137" s="13">
        <v>9501</v>
      </c>
      <c r="AO137" s="13">
        <v>9210</v>
      </c>
      <c r="AP137" s="14">
        <v>10293</v>
      </c>
      <c r="AQ137" s="14">
        <v>11143</v>
      </c>
      <c r="AR137" s="14">
        <v>7375</v>
      </c>
      <c r="AS137" s="13">
        <v>2078</v>
      </c>
      <c r="AT137" s="13">
        <v>2078</v>
      </c>
      <c r="AU137" s="13">
        <v>2078</v>
      </c>
      <c r="AV137" s="13">
        <v>9236</v>
      </c>
      <c r="AW137" s="13">
        <v>14005</v>
      </c>
      <c r="AX137" s="12">
        <v>14005</v>
      </c>
      <c r="AY137" s="13">
        <v>10078</v>
      </c>
      <c r="AZ137" s="14"/>
      <c r="BA137" s="14">
        <v>4445</v>
      </c>
      <c r="BB137" s="13">
        <v>6049</v>
      </c>
      <c r="BC137" s="14">
        <v>13507</v>
      </c>
      <c r="BD137" s="13">
        <v>7214</v>
      </c>
      <c r="BE137" s="13">
        <v>9629</v>
      </c>
      <c r="BF137" s="13">
        <v>8653</v>
      </c>
      <c r="BG137" s="14">
        <v>8134</v>
      </c>
      <c r="BH137" s="14">
        <v>6741</v>
      </c>
      <c r="BI137" s="14">
        <v>24183</v>
      </c>
      <c r="BJ137" s="14">
        <v>21625</v>
      </c>
      <c r="BK137" s="15">
        <v>21625</v>
      </c>
      <c r="BM137" s="10" t="s">
        <v>33</v>
      </c>
      <c r="BN137" s="35" t="s">
        <v>101</v>
      </c>
      <c r="BO137" s="16">
        <f>1374.6</f>
        <v>1374.6</v>
      </c>
      <c r="BP137" s="14">
        <f>1374.6</f>
        <v>1374.6</v>
      </c>
      <c r="BQ137" s="14">
        <f>1374.6+1925.4</f>
        <v>3300</v>
      </c>
      <c r="BR137" s="14">
        <f>1374.6</f>
        <v>1374.6</v>
      </c>
      <c r="BS137" s="14">
        <f>1374.6+63</f>
        <v>1437.6</v>
      </c>
      <c r="BT137" s="14">
        <f>1374.6+1636.8</f>
        <v>3011.3999999999996</v>
      </c>
      <c r="BU137" s="14">
        <f>1374.6</f>
        <v>1374.6</v>
      </c>
      <c r="BV137" s="14">
        <f>1374.6</f>
        <v>1374.6</v>
      </c>
      <c r="BW137" s="14">
        <f>1374.6+543.3</f>
        <v>1917.8999999999999</v>
      </c>
      <c r="BX137" s="14">
        <f>1374.6</f>
        <v>1374.6</v>
      </c>
      <c r="BY137" s="14">
        <f>1374.6+970.9</f>
        <v>2345.5</v>
      </c>
      <c r="BZ137" s="14">
        <f>1374.6</f>
        <v>1374.6</v>
      </c>
      <c r="CA137" s="14">
        <f>1374.6+458.8</f>
        <v>1833.3999999999999</v>
      </c>
      <c r="CB137" s="14">
        <f>1374.6+441.9</f>
        <v>1816.5</v>
      </c>
      <c r="CC137" s="14">
        <f>1374.6+51.7</f>
        <v>1426.3</v>
      </c>
      <c r="CD137" s="14">
        <f>1374.6</f>
        <v>1374.6</v>
      </c>
      <c r="CE137" s="14">
        <f>1374.6</f>
        <v>1374.6</v>
      </c>
      <c r="CF137" s="14">
        <f>1374.6</f>
        <v>1374.6</v>
      </c>
      <c r="CG137" s="14">
        <f>1374.6+190.1</f>
        <v>1564.6999999999998</v>
      </c>
      <c r="CH137" s="14">
        <f>1374.6+311.9</f>
        <v>1686.5</v>
      </c>
      <c r="CI137" s="14">
        <f>1374.6+495.4</f>
        <v>1870</v>
      </c>
      <c r="CJ137" s="14">
        <f>1374.6</f>
        <v>1374.6</v>
      </c>
      <c r="CK137" s="14">
        <f>1374.6+142.8</f>
        <v>1517.3999999999999</v>
      </c>
      <c r="CL137" s="14">
        <f>1374.6+252.5</f>
        <v>1627.1</v>
      </c>
      <c r="CM137" s="14">
        <f>1374.6+71.3</f>
        <v>1445.8999999999999</v>
      </c>
      <c r="CN137" s="14">
        <f>1374.6+146</f>
        <v>1520.6</v>
      </c>
      <c r="CO137" s="14">
        <f>1374.6+354.6</f>
        <v>1729.1999999999998</v>
      </c>
      <c r="CP137" s="14">
        <f>1374.6</f>
        <v>1374.6</v>
      </c>
      <c r="CQ137" s="14">
        <f>1374.6</f>
        <v>1374.6</v>
      </c>
      <c r="CR137" s="14">
        <f>1374.6+931.2</f>
        <v>2305.8000000000002</v>
      </c>
      <c r="CS137" s="14">
        <f>1374.6+745.4</f>
        <v>2120</v>
      </c>
      <c r="CT137" s="14">
        <f>1374.6+522.4</f>
        <v>1897</v>
      </c>
      <c r="CU137" s="12"/>
      <c r="CV137" s="13">
        <f>1374.6</f>
        <v>1374.6</v>
      </c>
      <c r="CW137" s="13">
        <f>1374.6+857.3</f>
        <v>2231.8999999999996</v>
      </c>
      <c r="CX137" s="13">
        <f>1374.6</f>
        <v>1374.6</v>
      </c>
      <c r="CY137" s="13">
        <f>1374.6</f>
        <v>1374.6</v>
      </c>
      <c r="CZ137" s="13">
        <f>1374.6</f>
        <v>1374.6</v>
      </c>
      <c r="DA137" s="13">
        <f>1374.6+162.7</f>
        <v>1537.3</v>
      </c>
      <c r="DB137" s="14">
        <f>1374.6</f>
        <v>1374.6</v>
      </c>
      <c r="DC137" s="14">
        <f>1374.6</f>
        <v>1374.6</v>
      </c>
      <c r="DD137" s="14">
        <f>1374.6</f>
        <v>1374.6</v>
      </c>
      <c r="DE137" s="13">
        <f>1374.6</f>
        <v>1374.6</v>
      </c>
      <c r="DF137" s="13">
        <f>1374.6+1855.4</f>
        <v>3230</v>
      </c>
      <c r="DG137" s="13">
        <f>1374.6+996.5</f>
        <v>2371.1</v>
      </c>
      <c r="DH137" s="13">
        <f>1374.6+33.8</f>
        <v>1408.3999999999999</v>
      </c>
      <c r="DI137" s="13">
        <f>1374.6+701.9</f>
        <v>2076.5</v>
      </c>
      <c r="DJ137" s="12">
        <f>1374.6+4701.1</f>
        <v>6075.7000000000007</v>
      </c>
      <c r="DK137" s="13">
        <f>1374.6</f>
        <v>1374.6</v>
      </c>
      <c r="DL137" s="14">
        <f>1374.6</f>
        <v>1374.6</v>
      </c>
      <c r="DM137" s="14">
        <f>1374.6+483.6</f>
        <v>1858.1999999999998</v>
      </c>
      <c r="DN137" s="13">
        <f>1374.6</f>
        <v>1374.6</v>
      </c>
      <c r="DO137" s="14">
        <f>1374.6</f>
        <v>1374.6</v>
      </c>
      <c r="DP137" s="13">
        <f>1374.6</f>
        <v>1374.6</v>
      </c>
      <c r="DQ137" s="13">
        <f>1374.6+121.2</f>
        <v>1495.8</v>
      </c>
      <c r="DR137" s="13">
        <f>1374.6</f>
        <v>1374.6</v>
      </c>
      <c r="DS137" s="14">
        <f>1374.6+778.9</f>
        <v>2153.5</v>
      </c>
      <c r="DT137" s="14">
        <f>1374.6+11.8</f>
        <v>1386.3999999999999</v>
      </c>
      <c r="DU137" s="14">
        <f>1374.6+503.6</f>
        <v>1878.1999999999998</v>
      </c>
      <c r="DV137" s="14">
        <f>1374.6+114</f>
        <v>1488.6</v>
      </c>
      <c r="DW137" s="15">
        <f>1374.6+1147</f>
        <v>2521.6</v>
      </c>
      <c r="DY137" s="10" t="s">
        <v>33</v>
      </c>
      <c r="DZ137" s="35" t="s">
        <v>101</v>
      </c>
      <c r="EA137" s="16">
        <f>1386.2</f>
        <v>1386.2</v>
      </c>
      <c r="EB137" s="14">
        <f t="shared" ref="EB137:GI137" si="17">1386.2</f>
        <v>1386.2</v>
      </c>
      <c r="EC137" s="14">
        <f>1386.2+2197.2</f>
        <v>3583.3999999999996</v>
      </c>
      <c r="ED137" s="14">
        <f t="shared" si="17"/>
        <v>1386.2</v>
      </c>
      <c r="EE137" s="14">
        <f>1386.2+64.4</f>
        <v>1450.6000000000001</v>
      </c>
      <c r="EF137" s="14">
        <f>1386.2+2958.2</f>
        <v>4344.3999999999996</v>
      </c>
      <c r="EG137" s="14">
        <f t="shared" si="17"/>
        <v>1386.2</v>
      </c>
      <c r="EH137" s="14">
        <f t="shared" si="17"/>
        <v>1386.2</v>
      </c>
      <c r="EI137" s="14">
        <f>1386.2+535.6</f>
        <v>1921.8000000000002</v>
      </c>
      <c r="EJ137" s="14">
        <f t="shared" si="17"/>
        <v>1386.2</v>
      </c>
      <c r="EK137" s="14">
        <f t="shared" si="17"/>
        <v>1386.2</v>
      </c>
      <c r="EL137" s="14">
        <f t="shared" si="17"/>
        <v>1386.2</v>
      </c>
      <c r="EM137" s="14">
        <f t="shared" si="17"/>
        <v>1386.2</v>
      </c>
      <c r="EN137" s="14">
        <f t="shared" si="17"/>
        <v>1386.2</v>
      </c>
      <c r="EO137" s="14">
        <f t="shared" si="17"/>
        <v>1386.2</v>
      </c>
      <c r="EP137" s="14">
        <f t="shared" si="17"/>
        <v>1386.2</v>
      </c>
      <c r="EQ137" s="14">
        <f t="shared" si="17"/>
        <v>1386.2</v>
      </c>
      <c r="ER137" s="14">
        <f t="shared" si="17"/>
        <v>1386.2</v>
      </c>
      <c r="ES137" s="14">
        <f>1386.2+226.7</f>
        <v>1612.9</v>
      </c>
      <c r="ET137" s="14">
        <f>1386.2+319.5</f>
        <v>1705.7</v>
      </c>
      <c r="EU137" s="14">
        <f>1386.2+513.8</f>
        <v>1900</v>
      </c>
      <c r="EV137" s="14">
        <f t="shared" si="17"/>
        <v>1386.2</v>
      </c>
      <c r="EW137" s="14">
        <f>1386.2+135.5</f>
        <v>1521.7</v>
      </c>
      <c r="EX137" s="14">
        <f>1386.2+263.1</f>
        <v>1649.3000000000002</v>
      </c>
      <c r="EY137" s="14">
        <f>1386.2+77.9</f>
        <v>1464.1000000000001</v>
      </c>
      <c r="EZ137" s="14">
        <f>1386.2+141.3</f>
        <v>1527.5</v>
      </c>
      <c r="FA137" s="14">
        <f>1386.2+389.7</f>
        <v>1775.9</v>
      </c>
      <c r="FB137" s="14">
        <f t="shared" si="17"/>
        <v>1386.2</v>
      </c>
      <c r="FC137" s="14">
        <f t="shared" si="17"/>
        <v>1386.2</v>
      </c>
      <c r="FD137" s="14">
        <f>1386.2+994.9</f>
        <v>2381.1</v>
      </c>
      <c r="FE137" s="14">
        <f>1386.2+960.9</f>
        <v>2347.1</v>
      </c>
      <c r="FF137" s="14">
        <f>1386.2+624.5</f>
        <v>2010.7</v>
      </c>
      <c r="FG137" s="12"/>
      <c r="FH137" s="13">
        <f t="shared" si="17"/>
        <v>1386.2</v>
      </c>
      <c r="FI137" s="13">
        <f>1386.2+982.6</f>
        <v>2368.8000000000002</v>
      </c>
      <c r="FJ137" s="13">
        <f t="shared" si="17"/>
        <v>1386.2</v>
      </c>
      <c r="FK137" s="13">
        <f t="shared" si="17"/>
        <v>1386.2</v>
      </c>
      <c r="FL137" s="13">
        <f t="shared" si="17"/>
        <v>1386.2</v>
      </c>
      <c r="FM137" s="13">
        <f>1386.2+154.6</f>
        <v>1540.8</v>
      </c>
      <c r="FN137" s="14">
        <f t="shared" si="17"/>
        <v>1386.2</v>
      </c>
      <c r="FO137" s="14">
        <f t="shared" si="17"/>
        <v>1386.2</v>
      </c>
      <c r="FP137" s="14">
        <f t="shared" si="17"/>
        <v>1386.2</v>
      </c>
      <c r="FQ137" s="13">
        <f t="shared" si="17"/>
        <v>1386.2</v>
      </c>
      <c r="FR137" s="13">
        <f t="shared" si="17"/>
        <v>1386.2</v>
      </c>
      <c r="FS137" s="13">
        <f t="shared" si="17"/>
        <v>1386.2</v>
      </c>
      <c r="FT137" s="13">
        <f>1386.2+43.9</f>
        <v>1430.1000000000001</v>
      </c>
      <c r="FU137" s="13">
        <f>1386.2+3.8+641.3</f>
        <v>2031.3</v>
      </c>
      <c r="FV137" s="12">
        <f>1386.2+3305.4+1080.8</f>
        <v>5772.4000000000005</v>
      </c>
      <c r="FW137" s="13">
        <f t="shared" si="17"/>
        <v>1386.2</v>
      </c>
      <c r="FX137" s="14">
        <f t="shared" si="17"/>
        <v>1386.2</v>
      </c>
      <c r="FY137" s="14">
        <f>1386.2+462.7</f>
        <v>1848.9</v>
      </c>
      <c r="FZ137" s="13">
        <f t="shared" si="17"/>
        <v>1386.2</v>
      </c>
      <c r="GA137" s="14">
        <f t="shared" si="17"/>
        <v>1386.2</v>
      </c>
      <c r="GB137" s="13">
        <f t="shared" si="17"/>
        <v>1386.2</v>
      </c>
      <c r="GC137" s="13">
        <f>1386.2+116.6</f>
        <v>1502.8</v>
      </c>
      <c r="GD137" s="13">
        <f t="shared" si="17"/>
        <v>1386.2</v>
      </c>
      <c r="GE137" s="14">
        <f>1386.2+965.1</f>
        <v>2351.3000000000002</v>
      </c>
      <c r="GF137" s="14">
        <f t="shared" si="17"/>
        <v>1386.2</v>
      </c>
      <c r="GG137" s="14">
        <f t="shared" si="17"/>
        <v>1386.2</v>
      </c>
      <c r="GH137" s="14">
        <f t="shared" si="17"/>
        <v>1386.2</v>
      </c>
      <c r="GI137" s="15">
        <f t="shared" si="17"/>
        <v>1386.2</v>
      </c>
    </row>
    <row r="138" spans="1:191" x14ac:dyDescent="0.3">
      <c r="A138" s="10" t="s">
        <v>34</v>
      </c>
      <c r="B138" s="35" t="s">
        <v>73</v>
      </c>
      <c r="C138" s="16">
        <v>19335</v>
      </c>
      <c r="D138" s="14">
        <v>20694</v>
      </c>
      <c r="E138" s="14">
        <v>18168</v>
      </c>
      <c r="F138" s="14">
        <v>20115</v>
      </c>
      <c r="G138" s="14">
        <v>18685</v>
      </c>
      <c r="H138" s="14">
        <v>17259</v>
      </c>
      <c r="I138" s="14">
        <v>16135</v>
      </c>
      <c r="J138" s="14">
        <v>17259</v>
      </c>
      <c r="K138" s="14">
        <v>18120</v>
      </c>
      <c r="L138" s="14">
        <v>18120</v>
      </c>
      <c r="M138" s="14">
        <v>16164</v>
      </c>
      <c r="N138" s="14">
        <v>16164</v>
      </c>
      <c r="O138" s="14">
        <v>21155</v>
      </c>
      <c r="P138" s="14">
        <v>16140</v>
      </c>
      <c r="Q138" s="14">
        <v>16240</v>
      </c>
      <c r="R138" s="14">
        <v>15231</v>
      </c>
      <c r="S138" s="14">
        <v>14575</v>
      </c>
      <c r="T138" s="14">
        <v>14675</v>
      </c>
      <c r="U138" s="14">
        <v>14371</v>
      </c>
      <c r="V138" s="14">
        <v>11488</v>
      </c>
      <c r="W138" s="14">
        <v>11084</v>
      </c>
      <c r="X138" s="14">
        <v>15220</v>
      </c>
      <c r="Y138" s="14">
        <v>16066</v>
      </c>
      <c r="Z138" s="14">
        <v>14751</v>
      </c>
      <c r="AA138" s="14">
        <v>10971</v>
      </c>
      <c r="AB138" s="14">
        <v>11316</v>
      </c>
      <c r="AC138" s="14">
        <v>11779</v>
      </c>
      <c r="AD138" s="14">
        <v>11629</v>
      </c>
      <c r="AE138" s="14">
        <v>16066</v>
      </c>
      <c r="AF138" s="14">
        <v>11084</v>
      </c>
      <c r="AG138" s="14">
        <v>11084</v>
      </c>
      <c r="AH138" s="14">
        <v>11084</v>
      </c>
      <c r="AI138" s="13">
        <v>3911</v>
      </c>
      <c r="AJ138" s="12"/>
      <c r="AK138" s="13">
        <v>3911</v>
      </c>
      <c r="AL138" s="13">
        <v>1435</v>
      </c>
      <c r="AM138" s="13">
        <v>8434</v>
      </c>
      <c r="AN138" s="13">
        <v>8047</v>
      </c>
      <c r="AO138" s="13">
        <v>7756</v>
      </c>
      <c r="AP138" s="14">
        <v>9806</v>
      </c>
      <c r="AQ138" s="14">
        <v>10656</v>
      </c>
      <c r="AR138" s="14">
        <v>6823</v>
      </c>
      <c r="AS138" s="13">
        <v>5754</v>
      </c>
      <c r="AT138" s="13">
        <v>5754</v>
      </c>
      <c r="AU138" s="13">
        <v>5754</v>
      </c>
      <c r="AV138" s="12">
        <v>7782</v>
      </c>
      <c r="AW138" s="13">
        <v>17051</v>
      </c>
      <c r="AX138" s="13">
        <v>17051</v>
      </c>
      <c r="AY138" s="12">
        <v>8625</v>
      </c>
      <c r="AZ138" s="14"/>
      <c r="BA138" s="14">
        <v>6854</v>
      </c>
      <c r="BB138" s="13">
        <v>4595</v>
      </c>
      <c r="BC138" s="14">
        <v>16553</v>
      </c>
      <c r="BD138" s="12">
        <v>5760</v>
      </c>
      <c r="BE138" s="12">
        <v>8175</v>
      </c>
      <c r="BF138" s="12">
        <v>7198</v>
      </c>
      <c r="BG138" s="14">
        <v>11180</v>
      </c>
      <c r="BH138" s="14">
        <v>9788</v>
      </c>
      <c r="BI138" s="14">
        <v>22730</v>
      </c>
      <c r="BJ138" s="14">
        <v>21139</v>
      </c>
      <c r="BK138" s="15">
        <v>21139</v>
      </c>
      <c r="BM138" s="10" t="s">
        <v>34</v>
      </c>
      <c r="BN138" s="35" t="s">
        <v>73</v>
      </c>
      <c r="BO138" s="16"/>
      <c r="BP138" s="14"/>
      <c r="BQ138" s="14">
        <v>1925.4</v>
      </c>
      <c r="BR138" s="14"/>
      <c r="BS138" s="14">
        <v>63</v>
      </c>
      <c r="BT138" s="14">
        <v>1636.8</v>
      </c>
      <c r="BU138" s="14"/>
      <c r="BV138" s="14"/>
      <c r="BW138" s="14">
        <v>543.29999999999995</v>
      </c>
      <c r="BX138" s="14"/>
      <c r="BY138" s="14">
        <v>970.9</v>
      </c>
      <c r="BZ138" s="14"/>
      <c r="CA138" s="14">
        <v>458.8</v>
      </c>
      <c r="CB138" s="14">
        <v>441.9</v>
      </c>
      <c r="CC138" s="14">
        <v>51.7</v>
      </c>
      <c r="CD138" s="14"/>
      <c r="CE138" s="14"/>
      <c r="CF138" s="14"/>
      <c r="CG138" s="14">
        <v>190.1</v>
      </c>
      <c r="CH138" s="14">
        <v>311.89999999999998</v>
      </c>
      <c r="CI138" s="14">
        <v>495.4</v>
      </c>
      <c r="CJ138" s="14"/>
      <c r="CK138" s="14">
        <v>142.80000000000001</v>
      </c>
      <c r="CL138" s="14">
        <v>252.5</v>
      </c>
      <c r="CM138" s="14">
        <v>71.3</v>
      </c>
      <c r="CN138" s="14">
        <v>146</v>
      </c>
      <c r="CO138" s="14">
        <v>354.6</v>
      </c>
      <c r="CP138" s="14"/>
      <c r="CQ138" s="14"/>
      <c r="CR138" s="14">
        <v>931.2</v>
      </c>
      <c r="CS138" s="14">
        <v>745.4</v>
      </c>
      <c r="CT138" s="14">
        <v>522.4</v>
      </c>
      <c r="CU138" s="13">
        <v>1374.6</v>
      </c>
      <c r="CV138" s="12"/>
      <c r="CW138" s="13">
        <v>857.3</v>
      </c>
      <c r="CX138" s="13"/>
      <c r="CY138" s="13"/>
      <c r="CZ138" s="13"/>
      <c r="DA138" s="13">
        <v>162.69999999999999</v>
      </c>
      <c r="DB138" s="14"/>
      <c r="DC138" s="14"/>
      <c r="DD138" s="14"/>
      <c r="DE138" s="13"/>
      <c r="DF138" s="13">
        <v>1855.4</v>
      </c>
      <c r="DG138" s="13">
        <v>996.5</v>
      </c>
      <c r="DH138" s="12">
        <v>33.799999999999997</v>
      </c>
      <c r="DI138" s="13">
        <v>701.9</v>
      </c>
      <c r="DJ138" s="13">
        <v>4701.1000000000004</v>
      </c>
      <c r="DK138" s="12"/>
      <c r="DL138" s="14"/>
      <c r="DM138" s="14">
        <v>483.6</v>
      </c>
      <c r="DN138" s="13"/>
      <c r="DO138" s="14"/>
      <c r="DP138" s="12"/>
      <c r="DQ138" s="12">
        <v>121.2</v>
      </c>
      <c r="DR138" s="12"/>
      <c r="DS138" s="14">
        <v>778.9</v>
      </c>
      <c r="DT138" s="14">
        <v>11.8</v>
      </c>
      <c r="DU138" s="14">
        <v>503.6</v>
      </c>
      <c r="DV138" s="14">
        <v>114</v>
      </c>
      <c r="DW138" s="15">
        <v>1147</v>
      </c>
      <c r="DY138" s="10" t="s">
        <v>34</v>
      </c>
      <c r="DZ138" s="35" t="s">
        <v>73</v>
      </c>
      <c r="EA138" s="16"/>
      <c r="EB138" s="14"/>
      <c r="EC138" s="14">
        <v>2197.1999999999998</v>
      </c>
      <c r="ED138" s="14"/>
      <c r="EE138" s="14">
        <v>64.400000000000006</v>
      </c>
      <c r="EF138" s="14">
        <v>2958.2</v>
      </c>
      <c r="EG138" s="14"/>
      <c r="EH138" s="14"/>
      <c r="EI138" s="14">
        <v>535.6</v>
      </c>
      <c r="EJ138" s="14"/>
      <c r="EK138" s="14"/>
      <c r="EL138" s="14"/>
      <c r="EM138" s="14"/>
      <c r="EN138" s="14"/>
      <c r="EO138" s="14"/>
      <c r="EP138" s="14"/>
      <c r="EQ138" s="14"/>
      <c r="ER138" s="14"/>
      <c r="ES138" s="14">
        <v>226.7</v>
      </c>
      <c r="ET138" s="14">
        <v>319.5</v>
      </c>
      <c r="EU138" s="14">
        <v>513.79999999999995</v>
      </c>
      <c r="EV138" s="14"/>
      <c r="EW138" s="14">
        <v>135.5</v>
      </c>
      <c r="EX138" s="14">
        <v>263.10000000000002</v>
      </c>
      <c r="EY138" s="14">
        <v>77.900000000000006</v>
      </c>
      <c r="EZ138" s="14">
        <v>141.30000000000001</v>
      </c>
      <c r="FA138" s="14">
        <v>389.7</v>
      </c>
      <c r="FB138" s="14"/>
      <c r="FC138" s="14"/>
      <c r="FD138" s="14">
        <v>994.9</v>
      </c>
      <c r="FE138" s="14">
        <v>960.9</v>
      </c>
      <c r="FF138" s="14">
        <v>624.5</v>
      </c>
      <c r="FG138" s="13">
        <v>1386.2</v>
      </c>
      <c r="FH138" s="12"/>
      <c r="FI138" s="13">
        <v>982.6</v>
      </c>
      <c r="FJ138" s="13"/>
      <c r="FK138" s="13"/>
      <c r="FL138" s="13"/>
      <c r="FM138" s="13">
        <v>154.6</v>
      </c>
      <c r="FN138" s="14"/>
      <c r="FO138" s="14"/>
      <c r="FP138" s="14"/>
      <c r="FQ138" s="13"/>
      <c r="FR138" s="13"/>
      <c r="FS138" s="13"/>
      <c r="FT138" s="12">
        <v>43.9</v>
      </c>
      <c r="FU138" s="13">
        <f>3.8+641.3</f>
        <v>645.09999999999991</v>
      </c>
      <c r="FV138" s="13">
        <f>3305.4+1080.8</f>
        <v>4386.2</v>
      </c>
      <c r="FW138" s="12"/>
      <c r="FX138" s="14"/>
      <c r="FY138" s="14">
        <v>462.7</v>
      </c>
      <c r="FZ138" s="13"/>
      <c r="GA138" s="14"/>
      <c r="GB138" s="12"/>
      <c r="GC138" s="12">
        <v>116.6</v>
      </c>
      <c r="GD138" s="12"/>
      <c r="GE138" s="14">
        <v>965.1</v>
      </c>
      <c r="GF138" s="14"/>
      <c r="GG138" s="14"/>
      <c r="GH138" s="14"/>
      <c r="GI138" s="15"/>
    </row>
    <row r="139" spans="1:191" x14ac:dyDescent="0.3">
      <c r="A139" s="10" t="s">
        <v>35</v>
      </c>
      <c r="B139" s="35" t="s">
        <v>101</v>
      </c>
      <c r="C139" s="16">
        <v>16288</v>
      </c>
      <c r="D139" s="14">
        <v>17648</v>
      </c>
      <c r="E139" s="14">
        <v>15122</v>
      </c>
      <c r="F139" s="14">
        <v>17068</v>
      </c>
      <c r="G139" s="14">
        <v>15638</v>
      </c>
      <c r="H139" s="14">
        <v>18713</v>
      </c>
      <c r="I139" s="14">
        <v>17588</v>
      </c>
      <c r="J139" s="14">
        <v>18713</v>
      </c>
      <c r="K139" s="14">
        <v>15073</v>
      </c>
      <c r="L139" s="14">
        <v>15073</v>
      </c>
      <c r="M139" s="14">
        <v>17618</v>
      </c>
      <c r="N139" s="14">
        <v>17618</v>
      </c>
      <c r="O139" s="14">
        <v>18109</v>
      </c>
      <c r="P139" s="14">
        <v>14492</v>
      </c>
      <c r="Q139" s="14">
        <v>14601</v>
      </c>
      <c r="R139" s="14">
        <v>12184</v>
      </c>
      <c r="S139" s="14">
        <v>11529</v>
      </c>
      <c r="T139" s="14">
        <v>11629</v>
      </c>
      <c r="U139" s="14">
        <v>11325</v>
      </c>
      <c r="V139" s="14">
        <v>8441</v>
      </c>
      <c r="W139" s="14">
        <v>8038</v>
      </c>
      <c r="X139" s="14">
        <v>12173</v>
      </c>
      <c r="Y139" s="14">
        <v>13020</v>
      </c>
      <c r="Z139" s="14">
        <v>11705</v>
      </c>
      <c r="AA139" s="14">
        <v>7925</v>
      </c>
      <c r="AB139" s="14">
        <v>8269</v>
      </c>
      <c r="AC139" s="14">
        <v>8732</v>
      </c>
      <c r="AD139" s="14">
        <v>8582</v>
      </c>
      <c r="AE139" s="14">
        <v>13020</v>
      </c>
      <c r="AF139" s="14">
        <v>8038</v>
      </c>
      <c r="AG139" s="14">
        <v>8038</v>
      </c>
      <c r="AH139" s="14">
        <v>8038</v>
      </c>
      <c r="AI139" s="13">
        <v>0</v>
      </c>
      <c r="AJ139" s="13">
        <v>3911</v>
      </c>
      <c r="AK139" s="12"/>
      <c r="AL139" s="13">
        <v>2700</v>
      </c>
      <c r="AM139" s="13">
        <v>9888</v>
      </c>
      <c r="AN139" s="13">
        <v>9501</v>
      </c>
      <c r="AO139" s="13">
        <v>9210</v>
      </c>
      <c r="AP139" s="14">
        <v>10293</v>
      </c>
      <c r="AQ139" s="14">
        <v>11143</v>
      </c>
      <c r="AR139" s="14">
        <v>7375</v>
      </c>
      <c r="AS139" s="13">
        <v>2078</v>
      </c>
      <c r="AT139" s="13">
        <v>2078</v>
      </c>
      <c r="AU139" s="13">
        <v>2078</v>
      </c>
      <c r="AV139" s="13">
        <v>9236</v>
      </c>
      <c r="AW139" s="13">
        <v>14005</v>
      </c>
      <c r="AX139" s="12">
        <v>14005</v>
      </c>
      <c r="AY139" s="13">
        <v>10078</v>
      </c>
      <c r="AZ139" s="14"/>
      <c r="BA139" s="14">
        <v>4445</v>
      </c>
      <c r="BB139" s="13">
        <v>6049</v>
      </c>
      <c r="BC139" s="14">
        <v>13507</v>
      </c>
      <c r="BD139" s="13">
        <v>7214</v>
      </c>
      <c r="BE139" s="13">
        <v>9629</v>
      </c>
      <c r="BF139" s="13">
        <v>8653</v>
      </c>
      <c r="BG139" s="14">
        <v>8134</v>
      </c>
      <c r="BH139" s="14">
        <v>6741</v>
      </c>
      <c r="BI139" s="14">
        <v>24183</v>
      </c>
      <c r="BJ139" s="14">
        <v>21625</v>
      </c>
      <c r="BK139" s="15">
        <v>21625</v>
      </c>
      <c r="BM139" s="10" t="s">
        <v>35</v>
      </c>
      <c r="BN139" s="35" t="s">
        <v>101</v>
      </c>
      <c r="BO139" s="16">
        <f>857.3</f>
        <v>857.3</v>
      </c>
      <c r="BP139" s="14">
        <f>857.3</f>
        <v>857.3</v>
      </c>
      <c r="BQ139" s="14">
        <f>857.3+1925.4</f>
        <v>2782.7</v>
      </c>
      <c r="BR139" s="14">
        <f>857.3</f>
        <v>857.3</v>
      </c>
      <c r="BS139" s="14">
        <f>857.3+63</f>
        <v>920.3</v>
      </c>
      <c r="BT139" s="14">
        <f>857.3+1636.8</f>
        <v>2494.1</v>
      </c>
      <c r="BU139" s="14">
        <f>857.3</f>
        <v>857.3</v>
      </c>
      <c r="BV139" s="14">
        <f>857.3</f>
        <v>857.3</v>
      </c>
      <c r="BW139" s="14">
        <f>857.3+543.3</f>
        <v>1400.6</v>
      </c>
      <c r="BX139" s="14">
        <f>857.3</f>
        <v>857.3</v>
      </c>
      <c r="BY139" s="14">
        <f>857.3+970.9</f>
        <v>1828.1999999999998</v>
      </c>
      <c r="BZ139" s="14">
        <f>857.3</f>
        <v>857.3</v>
      </c>
      <c r="CA139" s="14">
        <f>857.3+458.8</f>
        <v>1316.1</v>
      </c>
      <c r="CB139" s="14">
        <f>857.3+441.9</f>
        <v>1299.1999999999998</v>
      </c>
      <c r="CC139" s="14">
        <f>857.3+51.7</f>
        <v>909</v>
      </c>
      <c r="CD139" s="14">
        <f>857.3</f>
        <v>857.3</v>
      </c>
      <c r="CE139" s="14">
        <f>857.3</f>
        <v>857.3</v>
      </c>
      <c r="CF139" s="14">
        <f>857.3</f>
        <v>857.3</v>
      </c>
      <c r="CG139" s="14">
        <f>857.3+190.1</f>
        <v>1047.3999999999999</v>
      </c>
      <c r="CH139" s="14">
        <f>857.3+311.9</f>
        <v>1169.1999999999998</v>
      </c>
      <c r="CI139" s="14">
        <f>857.3+495.4</f>
        <v>1352.6999999999998</v>
      </c>
      <c r="CJ139" s="14">
        <f>857.3</f>
        <v>857.3</v>
      </c>
      <c r="CK139" s="14">
        <f>857.3+142.8</f>
        <v>1000.0999999999999</v>
      </c>
      <c r="CL139" s="14">
        <f>857.3+252.5</f>
        <v>1109.8</v>
      </c>
      <c r="CM139" s="14">
        <f>857.3+71.3</f>
        <v>928.59999999999991</v>
      </c>
      <c r="CN139" s="14">
        <f>857.3+146</f>
        <v>1003.3</v>
      </c>
      <c r="CO139" s="14">
        <f>857.3+354.6</f>
        <v>1211.9000000000001</v>
      </c>
      <c r="CP139" s="14">
        <f>857.3</f>
        <v>857.3</v>
      </c>
      <c r="CQ139" s="14">
        <f>857.3</f>
        <v>857.3</v>
      </c>
      <c r="CR139" s="14">
        <f>857.3+931.2</f>
        <v>1788.5</v>
      </c>
      <c r="CS139" s="14">
        <f>857.3+745.4</f>
        <v>1602.6999999999998</v>
      </c>
      <c r="CT139" s="14">
        <f>857.3+522.4</f>
        <v>1379.6999999999998</v>
      </c>
      <c r="CU139" s="13">
        <f>857.3+1374.6</f>
        <v>2231.8999999999996</v>
      </c>
      <c r="CV139" s="13">
        <f>857.3</f>
        <v>857.3</v>
      </c>
      <c r="CW139" s="12"/>
      <c r="CX139" s="13">
        <f>857.3</f>
        <v>857.3</v>
      </c>
      <c r="CY139" s="13">
        <f>857.3</f>
        <v>857.3</v>
      </c>
      <c r="CZ139" s="13">
        <f>857.3</f>
        <v>857.3</v>
      </c>
      <c r="DA139" s="13">
        <f>857.3+162.7</f>
        <v>1020</v>
      </c>
      <c r="DB139" s="14">
        <f>857.3</f>
        <v>857.3</v>
      </c>
      <c r="DC139" s="14">
        <f>857.3</f>
        <v>857.3</v>
      </c>
      <c r="DD139" s="14">
        <f>857.3</f>
        <v>857.3</v>
      </c>
      <c r="DE139" s="13">
        <f>857.3</f>
        <v>857.3</v>
      </c>
      <c r="DF139" s="13">
        <f>857.3+1855.4</f>
        <v>2712.7</v>
      </c>
      <c r="DG139" s="13">
        <f>857.3+996.5</f>
        <v>1853.8</v>
      </c>
      <c r="DH139" s="13">
        <f>857.3+33.8</f>
        <v>891.09999999999991</v>
      </c>
      <c r="DI139" s="13">
        <f>857.3+701.9</f>
        <v>1559.1999999999998</v>
      </c>
      <c r="DJ139" s="13">
        <f>857.3+4701.1</f>
        <v>5558.4000000000005</v>
      </c>
      <c r="DK139" s="13">
        <f>857.3</f>
        <v>857.3</v>
      </c>
      <c r="DL139" s="14">
        <f>857.3</f>
        <v>857.3</v>
      </c>
      <c r="DM139" s="14">
        <f>857.3+483.6</f>
        <v>1340.9</v>
      </c>
      <c r="DN139" s="13">
        <f>857.3</f>
        <v>857.3</v>
      </c>
      <c r="DO139" s="14">
        <f>857.3</f>
        <v>857.3</v>
      </c>
      <c r="DP139" s="13">
        <f>857.3</f>
        <v>857.3</v>
      </c>
      <c r="DQ139" s="13">
        <f>857.3+121.2</f>
        <v>978.5</v>
      </c>
      <c r="DR139" s="13">
        <f>857.3</f>
        <v>857.3</v>
      </c>
      <c r="DS139" s="14">
        <f>857.3+778.9</f>
        <v>1636.1999999999998</v>
      </c>
      <c r="DT139" s="14">
        <f>857.3+11.8</f>
        <v>869.09999999999991</v>
      </c>
      <c r="DU139" s="14">
        <f>857.3+503.6</f>
        <v>1360.9</v>
      </c>
      <c r="DV139" s="14">
        <f>857.3+114</f>
        <v>971.3</v>
      </c>
      <c r="DW139" s="15">
        <f>857.3+1147</f>
        <v>2004.3</v>
      </c>
      <c r="DY139" s="10" t="s">
        <v>35</v>
      </c>
      <c r="DZ139" s="35" t="s">
        <v>101</v>
      </c>
      <c r="EA139" s="16">
        <f>243.8+738.8</f>
        <v>982.59999999999991</v>
      </c>
      <c r="EB139" s="14">
        <f t="shared" ref="EB139:GI139" si="18">243.8+738.8</f>
        <v>982.59999999999991</v>
      </c>
      <c r="EC139" s="14">
        <f>243.8+738.8+2197.2</f>
        <v>3179.7999999999997</v>
      </c>
      <c r="ED139" s="14">
        <f t="shared" si="18"/>
        <v>982.59999999999991</v>
      </c>
      <c r="EE139" s="14">
        <f>243.8+738.8+64.4</f>
        <v>1047</v>
      </c>
      <c r="EF139" s="14">
        <f>243.8+738.8+2958.2</f>
        <v>3940.7999999999997</v>
      </c>
      <c r="EG139" s="14">
        <f t="shared" si="18"/>
        <v>982.59999999999991</v>
      </c>
      <c r="EH139" s="14">
        <f t="shared" si="18"/>
        <v>982.59999999999991</v>
      </c>
      <c r="EI139" s="14">
        <f>243.8+738.8+535.6</f>
        <v>1518.1999999999998</v>
      </c>
      <c r="EJ139" s="14">
        <f t="shared" si="18"/>
        <v>982.59999999999991</v>
      </c>
      <c r="EK139" s="14">
        <f t="shared" si="18"/>
        <v>982.59999999999991</v>
      </c>
      <c r="EL139" s="14">
        <f t="shared" si="18"/>
        <v>982.59999999999991</v>
      </c>
      <c r="EM139" s="14">
        <f t="shared" si="18"/>
        <v>982.59999999999991</v>
      </c>
      <c r="EN139" s="14">
        <f t="shared" si="18"/>
        <v>982.59999999999991</v>
      </c>
      <c r="EO139" s="14">
        <f t="shared" si="18"/>
        <v>982.59999999999991</v>
      </c>
      <c r="EP139" s="14">
        <f t="shared" si="18"/>
        <v>982.59999999999991</v>
      </c>
      <c r="EQ139" s="14">
        <f t="shared" si="18"/>
        <v>982.59999999999991</v>
      </c>
      <c r="ER139" s="14">
        <f t="shared" si="18"/>
        <v>982.59999999999991</v>
      </c>
      <c r="ES139" s="14">
        <f>243.8+738.8+226.7</f>
        <v>1209.3</v>
      </c>
      <c r="ET139" s="14">
        <f>243.8+738.8+319.5</f>
        <v>1302.0999999999999</v>
      </c>
      <c r="EU139" s="14">
        <f>243.8+738.8+513.8</f>
        <v>1496.3999999999999</v>
      </c>
      <c r="EV139" s="14">
        <f t="shared" si="18"/>
        <v>982.59999999999991</v>
      </c>
      <c r="EW139" s="14">
        <f>243.8+738.8+135.5</f>
        <v>1118.0999999999999</v>
      </c>
      <c r="EX139" s="14">
        <f>243.8+738.8+263.1</f>
        <v>1245.6999999999998</v>
      </c>
      <c r="EY139" s="14">
        <f>243.8+738.8+77.9</f>
        <v>1060.5</v>
      </c>
      <c r="EZ139" s="14">
        <f>243.8+738.8+141.3</f>
        <v>1123.8999999999999</v>
      </c>
      <c r="FA139" s="14">
        <f>243.8+738.8+389.7</f>
        <v>1372.3</v>
      </c>
      <c r="FB139" s="14">
        <f t="shared" si="18"/>
        <v>982.59999999999991</v>
      </c>
      <c r="FC139" s="14">
        <f t="shared" si="18"/>
        <v>982.59999999999991</v>
      </c>
      <c r="FD139" s="14">
        <f>243.8+738.8+994.9</f>
        <v>1977.5</v>
      </c>
      <c r="FE139" s="14">
        <f>243.8+738.8+960.9</f>
        <v>1943.5</v>
      </c>
      <c r="FF139" s="14">
        <f>243.8+738.8+624.5</f>
        <v>1607.1</v>
      </c>
      <c r="FG139" s="13">
        <f>243.8+738.8+1386.2</f>
        <v>2368.8000000000002</v>
      </c>
      <c r="FH139" s="13">
        <f t="shared" si="18"/>
        <v>982.59999999999991</v>
      </c>
      <c r="FI139" s="12"/>
      <c r="FJ139" s="13">
        <f t="shared" si="18"/>
        <v>982.59999999999991</v>
      </c>
      <c r="FK139" s="13">
        <f t="shared" si="18"/>
        <v>982.59999999999991</v>
      </c>
      <c r="FL139" s="13">
        <f t="shared" si="18"/>
        <v>982.59999999999991</v>
      </c>
      <c r="FM139" s="13">
        <f>243.8+738.8+154.6</f>
        <v>1137.1999999999998</v>
      </c>
      <c r="FN139" s="14">
        <f t="shared" si="18"/>
        <v>982.59999999999991</v>
      </c>
      <c r="FO139" s="14">
        <f t="shared" si="18"/>
        <v>982.59999999999991</v>
      </c>
      <c r="FP139" s="14">
        <f t="shared" si="18"/>
        <v>982.59999999999991</v>
      </c>
      <c r="FQ139" s="13">
        <f t="shared" si="18"/>
        <v>982.59999999999991</v>
      </c>
      <c r="FR139" s="13">
        <f t="shared" si="18"/>
        <v>982.59999999999991</v>
      </c>
      <c r="FS139" s="13">
        <f t="shared" si="18"/>
        <v>982.59999999999991</v>
      </c>
      <c r="FT139" s="13">
        <f>243.8+738.8+43.9</f>
        <v>1026.5</v>
      </c>
      <c r="FU139" s="13">
        <f>243.8+738.8+3.8+641.3</f>
        <v>1627.6999999999998</v>
      </c>
      <c r="FV139" s="13">
        <f>243.8+738.8+3305.4+1080.8</f>
        <v>5368.8</v>
      </c>
      <c r="FW139" s="13">
        <f t="shared" si="18"/>
        <v>982.59999999999991</v>
      </c>
      <c r="FX139" s="14">
        <f t="shared" si="18"/>
        <v>982.59999999999991</v>
      </c>
      <c r="FY139" s="14">
        <f>243.8+738.8+462.7</f>
        <v>1445.3</v>
      </c>
      <c r="FZ139" s="13">
        <f t="shared" si="18"/>
        <v>982.59999999999991</v>
      </c>
      <c r="GA139" s="14">
        <f t="shared" si="18"/>
        <v>982.59999999999991</v>
      </c>
      <c r="GB139" s="13">
        <f t="shared" si="18"/>
        <v>982.59999999999991</v>
      </c>
      <c r="GC139" s="13">
        <f>243.8+738.8+116.6+116.6</f>
        <v>1215.7999999999997</v>
      </c>
      <c r="GD139" s="13">
        <f t="shared" si="18"/>
        <v>982.59999999999991</v>
      </c>
      <c r="GE139" s="14">
        <f>243.8+738.8+965.1</f>
        <v>1947.6999999999998</v>
      </c>
      <c r="GF139" s="14">
        <f t="shared" si="18"/>
        <v>982.59999999999991</v>
      </c>
      <c r="GG139" s="14">
        <f t="shared" si="18"/>
        <v>982.59999999999991</v>
      </c>
      <c r="GH139" s="14">
        <f t="shared" si="18"/>
        <v>982.59999999999991</v>
      </c>
      <c r="GI139" s="15">
        <f t="shared" si="18"/>
        <v>982.59999999999991</v>
      </c>
    </row>
    <row r="140" spans="1:191" x14ac:dyDescent="0.3">
      <c r="A140" s="10" t="s">
        <v>36</v>
      </c>
      <c r="B140" s="35" t="s">
        <v>73</v>
      </c>
      <c r="C140" s="16">
        <v>18124</v>
      </c>
      <c r="D140" s="14">
        <v>19483</v>
      </c>
      <c r="E140" s="14">
        <v>16957</v>
      </c>
      <c r="F140" s="14">
        <v>18903</v>
      </c>
      <c r="G140" s="14">
        <v>17474</v>
      </c>
      <c r="H140" s="14">
        <v>17140</v>
      </c>
      <c r="I140" s="14">
        <v>16016</v>
      </c>
      <c r="J140" s="14">
        <v>17140</v>
      </c>
      <c r="K140" s="14">
        <v>16909</v>
      </c>
      <c r="L140" s="14">
        <v>16909</v>
      </c>
      <c r="M140" s="14">
        <v>16046</v>
      </c>
      <c r="N140" s="14">
        <v>16046</v>
      </c>
      <c r="O140" s="14">
        <v>19944</v>
      </c>
      <c r="P140" s="14">
        <v>14929</v>
      </c>
      <c r="Q140" s="14">
        <v>15038</v>
      </c>
      <c r="R140" s="14">
        <v>14020</v>
      </c>
      <c r="S140" s="14">
        <v>13364</v>
      </c>
      <c r="T140" s="14">
        <v>13464</v>
      </c>
      <c r="U140" s="14">
        <v>13160</v>
      </c>
      <c r="V140" s="14">
        <v>10276</v>
      </c>
      <c r="W140" s="14">
        <v>9873</v>
      </c>
      <c r="X140" s="14">
        <v>14009</v>
      </c>
      <c r="Y140" s="14">
        <v>14855</v>
      </c>
      <c r="Z140" s="14">
        <v>13540</v>
      </c>
      <c r="AA140" s="14">
        <v>9760</v>
      </c>
      <c r="AB140" s="14">
        <v>10105</v>
      </c>
      <c r="AC140" s="14">
        <v>10567</v>
      </c>
      <c r="AD140" s="14">
        <v>10417</v>
      </c>
      <c r="AE140" s="14">
        <v>14855</v>
      </c>
      <c r="AF140" s="14">
        <v>9873</v>
      </c>
      <c r="AG140" s="14">
        <v>9873</v>
      </c>
      <c r="AH140" s="14">
        <v>9873</v>
      </c>
      <c r="AI140" s="13">
        <v>2700</v>
      </c>
      <c r="AJ140" s="13">
        <v>1435</v>
      </c>
      <c r="AK140" s="13">
        <v>2700</v>
      </c>
      <c r="AL140" s="12"/>
      <c r="AM140" s="13">
        <v>8315</v>
      </c>
      <c r="AN140" s="13">
        <v>7928</v>
      </c>
      <c r="AO140" s="13">
        <v>7638</v>
      </c>
      <c r="AP140" s="14">
        <v>9223</v>
      </c>
      <c r="AQ140" s="14">
        <v>10073</v>
      </c>
      <c r="AR140" s="14">
        <v>6276</v>
      </c>
      <c r="AS140" s="13">
        <v>4543</v>
      </c>
      <c r="AT140" s="13">
        <v>4543</v>
      </c>
      <c r="AU140" s="13">
        <v>4543</v>
      </c>
      <c r="AV140" s="13">
        <v>7663</v>
      </c>
      <c r="AW140" s="13">
        <v>15840</v>
      </c>
      <c r="AX140" s="13">
        <v>15840</v>
      </c>
      <c r="AY140" s="13">
        <v>8506</v>
      </c>
      <c r="AZ140" s="14"/>
      <c r="BA140" s="14">
        <v>5643</v>
      </c>
      <c r="BB140" s="13">
        <v>4476</v>
      </c>
      <c r="BC140" s="14">
        <v>15342</v>
      </c>
      <c r="BD140" s="13">
        <v>5641</v>
      </c>
      <c r="BE140" s="13">
        <v>8056</v>
      </c>
      <c r="BF140" s="13">
        <v>7080</v>
      </c>
      <c r="BG140" s="14">
        <v>9969</v>
      </c>
      <c r="BH140" s="14">
        <v>8577</v>
      </c>
      <c r="BI140" s="14">
        <v>22611</v>
      </c>
      <c r="BJ140" s="14">
        <v>20555</v>
      </c>
      <c r="BK140" s="15">
        <v>20555</v>
      </c>
      <c r="BM140" s="10" t="s">
        <v>36</v>
      </c>
      <c r="BN140" s="35" t="s">
        <v>73</v>
      </c>
      <c r="BO140" s="16"/>
      <c r="BP140" s="14"/>
      <c r="BQ140" s="14">
        <v>1925.4</v>
      </c>
      <c r="BR140" s="14"/>
      <c r="BS140" s="14">
        <v>63</v>
      </c>
      <c r="BT140" s="14">
        <v>1636.8</v>
      </c>
      <c r="BU140" s="14"/>
      <c r="BV140" s="14"/>
      <c r="BW140" s="14">
        <v>543.29999999999995</v>
      </c>
      <c r="BX140" s="14"/>
      <c r="BY140" s="14">
        <v>970.9</v>
      </c>
      <c r="BZ140" s="14"/>
      <c r="CA140" s="14">
        <v>458.8</v>
      </c>
      <c r="CB140" s="14">
        <v>441.9</v>
      </c>
      <c r="CC140" s="14">
        <v>51.7</v>
      </c>
      <c r="CD140" s="14"/>
      <c r="CE140" s="14"/>
      <c r="CF140" s="14"/>
      <c r="CG140" s="14">
        <v>190.1</v>
      </c>
      <c r="CH140" s="14">
        <v>311.89999999999998</v>
      </c>
      <c r="CI140" s="14">
        <v>495.4</v>
      </c>
      <c r="CJ140" s="14"/>
      <c r="CK140" s="14">
        <v>142.80000000000001</v>
      </c>
      <c r="CL140" s="14">
        <v>252.5</v>
      </c>
      <c r="CM140" s="14">
        <v>71.3</v>
      </c>
      <c r="CN140" s="14">
        <v>146</v>
      </c>
      <c r="CO140" s="14">
        <v>354.6</v>
      </c>
      <c r="CP140" s="14"/>
      <c r="CQ140" s="14"/>
      <c r="CR140" s="14">
        <v>931.2</v>
      </c>
      <c r="CS140" s="14">
        <v>745.4</v>
      </c>
      <c r="CT140" s="14">
        <v>522.4</v>
      </c>
      <c r="CU140" s="13">
        <v>1374.6</v>
      </c>
      <c r="CV140" s="13"/>
      <c r="CW140" s="13">
        <v>857.3</v>
      </c>
      <c r="CX140" s="12"/>
      <c r="CY140" s="13"/>
      <c r="CZ140" s="13"/>
      <c r="DA140" s="13">
        <v>162.69999999999999</v>
      </c>
      <c r="DB140" s="14"/>
      <c r="DC140" s="14"/>
      <c r="DD140" s="14"/>
      <c r="DE140" s="13"/>
      <c r="DF140" s="13">
        <v>1855.4</v>
      </c>
      <c r="DG140" s="13">
        <v>996.5</v>
      </c>
      <c r="DH140" s="13">
        <v>33.799999999999997</v>
      </c>
      <c r="DI140" s="13">
        <v>701.9</v>
      </c>
      <c r="DJ140" s="13">
        <v>4701.1000000000004</v>
      </c>
      <c r="DK140" s="13"/>
      <c r="DL140" s="14"/>
      <c r="DM140" s="14">
        <v>483.6</v>
      </c>
      <c r="DN140" s="13"/>
      <c r="DO140" s="14"/>
      <c r="DP140" s="13"/>
      <c r="DQ140" s="13">
        <v>121.2</v>
      </c>
      <c r="DR140" s="13"/>
      <c r="DS140" s="14">
        <v>778.9</v>
      </c>
      <c r="DT140" s="14">
        <v>11.8</v>
      </c>
      <c r="DU140" s="14">
        <v>503.6</v>
      </c>
      <c r="DV140" s="14">
        <v>114</v>
      </c>
      <c r="DW140" s="15">
        <v>1147</v>
      </c>
      <c r="DY140" s="10" t="s">
        <v>36</v>
      </c>
      <c r="DZ140" s="35" t="s">
        <v>73</v>
      </c>
      <c r="EA140" s="16"/>
      <c r="EB140" s="14"/>
      <c r="EC140" s="14">
        <v>2197.1999999999998</v>
      </c>
      <c r="ED140" s="14"/>
      <c r="EE140" s="14">
        <v>64.400000000000006</v>
      </c>
      <c r="EF140" s="14">
        <v>2958.2</v>
      </c>
      <c r="EG140" s="14"/>
      <c r="EH140" s="14"/>
      <c r="EI140" s="14">
        <v>535.6</v>
      </c>
      <c r="EJ140" s="14"/>
      <c r="EK140" s="14"/>
      <c r="EL140" s="14"/>
      <c r="EM140" s="14"/>
      <c r="EN140" s="14"/>
      <c r="EO140" s="14"/>
      <c r="EP140" s="14"/>
      <c r="EQ140" s="14"/>
      <c r="ER140" s="14"/>
      <c r="ES140" s="14">
        <v>226.7</v>
      </c>
      <c r="ET140" s="14">
        <v>319.5</v>
      </c>
      <c r="EU140" s="14">
        <v>513.79999999999995</v>
      </c>
      <c r="EV140" s="14"/>
      <c r="EW140" s="14">
        <v>135.5</v>
      </c>
      <c r="EX140" s="14">
        <v>263.10000000000002</v>
      </c>
      <c r="EY140" s="14">
        <v>77.900000000000006</v>
      </c>
      <c r="EZ140" s="14">
        <v>141.30000000000001</v>
      </c>
      <c r="FA140" s="14">
        <v>389.7</v>
      </c>
      <c r="FB140" s="14"/>
      <c r="FC140" s="14"/>
      <c r="FD140" s="14">
        <v>994.9</v>
      </c>
      <c r="FE140" s="14">
        <v>960.9</v>
      </c>
      <c r="FF140" s="14">
        <v>624.5</v>
      </c>
      <c r="FG140" s="13">
        <v>1386.2</v>
      </c>
      <c r="FH140" s="13"/>
      <c r="FI140" s="13">
        <v>982.6</v>
      </c>
      <c r="FJ140" s="12"/>
      <c r="FK140" s="13"/>
      <c r="FL140" s="13"/>
      <c r="FM140" s="13">
        <v>154.6</v>
      </c>
      <c r="FN140" s="14"/>
      <c r="FO140" s="14"/>
      <c r="FP140" s="14"/>
      <c r="FQ140" s="13"/>
      <c r="FR140" s="13"/>
      <c r="FS140" s="13"/>
      <c r="FT140" s="13">
        <v>43.9</v>
      </c>
      <c r="FU140" s="13">
        <f>3.8+641.3</f>
        <v>645.09999999999991</v>
      </c>
      <c r="FV140" s="13">
        <f>3305.4+1080.8</f>
        <v>4386.2</v>
      </c>
      <c r="FW140" s="13"/>
      <c r="FX140" s="14"/>
      <c r="FY140" s="14">
        <v>462.7</v>
      </c>
      <c r="FZ140" s="13"/>
      <c r="GA140" s="14"/>
      <c r="GB140" s="13"/>
      <c r="GC140" s="13">
        <v>116.6</v>
      </c>
      <c r="GD140" s="13"/>
      <c r="GE140" s="14">
        <v>965.1</v>
      </c>
      <c r="GF140" s="14"/>
      <c r="GG140" s="14"/>
      <c r="GH140" s="14"/>
      <c r="GI140" s="15"/>
    </row>
    <row r="141" spans="1:191" x14ac:dyDescent="0.3">
      <c r="A141" s="10" t="s">
        <v>37</v>
      </c>
      <c r="B141" s="35" t="s">
        <v>73</v>
      </c>
      <c r="C141" s="16">
        <v>16554</v>
      </c>
      <c r="D141" s="14">
        <v>16929</v>
      </c>
      <c r="E141" s="14">
        <v>17983</v>
      </c>
      <c r="F141" s="14">
        <v>22233</v>
      </c>
      <c r="G141" s="14">
        <v>17857</v>
      </c>
      <c r="H141" s="14">
        <v>8990</v>
      </c>
      <c r="I141" s="14">
        <v>7882</v>
      </c>
      <c r="J141" s="14">
        <v>8990</v>
      </c>
      <c r="K141" s="14">
        <v>20239</v>
      </c>
      <c r="L141" s="14">
        <v>20239</v>
      </c>
      <c r="M141" s="14">
        <v>7912</v>
      </c>
      <c r="N141" s="14">
        <v>7912</v>
      </c>
      <c r="O141" s="14">
        <v>16942</v>
      </c>
      <c r="P141" s="14">
        <v>21315</v>
      </c>
      <c r="Q141" s="14">
        <v>20207</v>
      </c>
      <c r="R141" s="14">
        <v>21207</v>
      </c>
      <c r="S141" s="14">
        <v>20551</v>
      </c>
      <c r="T141" s="14">
        <v>20652</v>
      </c>
      <c r="U141" s="14">
        <v>20348</v>
      </c>
      <c r="V141" s="14">
        <v>17464</v>
      </c>
      <c r="W141" s="14">
        <v>17061</v>
      </c>
      <c r="X141" s="14">
        <v>21196</v>
      </c>
      <c r="Y141" s="14">
        <v>22043</v>
      </c>
      <c r="Z141" s="14">
        <v>20728</v>
      </c>
      <c r="AA141" s="14">
        <v>16947</v>
      </c>
      <c r="AB141" s="14">
        <v>17292</v>
      </c>
      <c r="AC141" s="14">
        <v>17755</v>
      </c>
      <c r="AD141" s="14">
        <v>17605</v>
      </c>
      <c r="AE141" s="14">
        <v>22043</v>
      </c>
      <c r="AF141" s="14">
        <v>17061</v>
      </c>
      <c r="AG141" s="14">
        <v>17061</v>
      </c>
      <c r="AH141" s="14">
        <v>17061</v>
      </c>
      <c r="AI141" s="13">
        <v>9888</v>
      </c>
      <c r="AJ141" s="13">
        <v>8434</v>
      </c>
      <c r="AK141" s="13">
        <v>9888</v>
      </c>
      <c r="AL141" s="13">
        <v>8315</v>
      </c>
      <c r="AM141" s="12"/>
      <c r="AN141" s="13">
        <v>689</v>
      </c>
      <c r="AO141" s="13">
        <v>1035</v>
      </c>
      <c r="AP141" s="14">
        <v>9110</v>
      </c>
      <c r="AQ141" s="14">
        <v>8043</v>
      </c>
      <c r="AR141" s="14">
        <v>8334</v>
      </c>
      <c r="AS141" s="13">
        <v>11731</v>
      </c>
      <c r="AT141" s="13">
        <v>11731</v>
      </c>
      <c r="AU141" s="13">
        <v>11731</v>
      </c>
      <c r="AV141" s="13">
        <v>1882</v>
      </c>
      <c r="AW141" s="13">
        <v>23028</v>
      </c>
      <c r="AX141" s="13">
        <v>23028</v>
      </c>
      <c r="AY141" s="13">
        <v>1758</v>
      </c>
      <c r="AZ141" s="14"/>
      <c r="BA141" s="14">
        <v>12758</v>
      </c>
      <c r="BB141" s="13">
        <v>5540</v>
      </c>
      <c r="BC141" s="14">
        <v>22530</v>
      </c>
      <c r="BD141" s="13">
        <v>2956</v>
      </c>
      <c r="BE141" s="13">
        <v>2424</v>
      </c>
      <c r="BF141" s="13">
        <v>1940</v>
      </c>
      <c r="BG141" s="14">
        <v>17157</v>
      </c>
      <c r="BH141" s="14">
        <v>15764</v>
      </c>
      <c r="BI141" s="14">
        <v>14496</v>
      </c>
      <c r="BJ141" s="14">
        <v>17244</v>
      </c>
      <c r="BK141" s="15">
        <v>17244</v>
      </c>
      <c r="BM141" s="10" t="s">
        <v>37</v>
      </c>
      <c r="BN141" s="35" t="s">
        <v>73</v>
      </c>
      <c r="BO141" s="16"/>
      <c r="BP141" s="14"/>
      <c r="BQ141" s="14">
        <v>1925.4</v>
      </c>
      <c r="BR141" s="14"/>
      <c r="BS141" s="14">
        <v>63</v>
      </c>
      <c r="BT141" s="14">
        <v>1636.8</v>
      </c>
      <c r="BU141" s="14"/>
      <c r="BV141" s="14"/>
      <c r="BW141" s="14">
        <v>543.29999999999995</v>
      </c>
      <c r="BX141" s="14"/>
      <c r="BY141" s="14">
        <v>970.9</v>
      </c>
      <c r="BZ141" s="14"/>
      <c r="CA141" s="14">
        <v>458.8</v>
      </c>
      <c r="CB141" s="14">
        <v>441.9</v>
      </c>
      <c r="CC141" s="14">
        <v>51.7</v>
      </c>
      <c r="CD141" s="14"/>
      <c r="CE141" s="14"/>
      <c r="CF141" s="14"/>
      <c r="CG141" s="14">
        <v>190.1</v>
      </c>
      <c r="CH141" s="14">
        <v>311.89999999999998</v>
      </c>
      <c r="CI141" s="14">
        <v>495.4</v>
      </c>
      <c r="CJ141" s="14"/>
      <c r="CK141" s="14">
        <v>142.80000000000001</v>
      </c>
      <c r="CL141" s="14">
        <v>252.5</v>
      </c>
      <c r="CM141" s="14">
        <v>71.3</v>
      </c>
      <c r="CN141" s="14">
        <v>146</v>
      </c>
      <c r="CO141" s="14">
        <v>354.6</v>
      </c>
      <c r="CP141" s="14"/>
      <c r="CQ141" s="14"/>
      <c r="CR141" s="14">
        <v>931.2</v>
      </c>
      <c r="CS141" s="14">
        <v>745.4</v>
      </c>
      <c r="CT141" s="14">
        <v>522.4</v>
      </c>
      <c r="CU141" s="13">
        <v>1374.6</v>
      </c>
      <c r="CV141" s="13"/>
      <c r="CW141" s="13">
        <v>857.3</v>
      </c>
      <c r="CX141" s="13"/>
      <c r="CY141" s="12"/>
      <c r="CZ141" s="13"/>
      <c r="DA141" s="13">
        <v>162.69999999999999</v>
      </c>
      <c r="DB141" s="14"/>
      <c r="DC141" s="14"/>
      <c r="DD141" s="14"/>
      <c r="DE141" s="13"/>
      <c r="DF141" s="13">
        <v>1855.4</v>
      </c>
      <c r="DG141" s="13">
        <v>996.5</v>
      </c>
      <c r="DH141" s="13">
        <v>33.799999999999997</v>
      </c>
      <c r="DI141" s="13">
        <v>701.9</v>
      </c>
      <c r="DJ141" s="13">
        <v>4701.1000000000004</v>
      </c>
      <c r="DK141" s="13"/>
      <c r="DL141" s="14"/>
      <c r="DM141" s="14">
        <v>483.6</v>
      </c>
      <c r="DN141" s="13"/>
      <c r="DO141" s="14"/>
      <c r="DP141" s="13"/>
      <c r="DQ141" s="13">
        <v>121.2</v>
      </c>
      <c r="DR141" s="13"/>
      <c r="DS141" s="14">
        <v>778.9</v>
      </c>
      <c r="DT141" s="14">
        <v>11.8</v>
      </c>
      <c r="DU141" s="14">
        <v>503.6</v>
      </c>
      <c r="DV141" s="14">
        <v>114</v>
      </c>
      <c r="DW141" s="15">
        <v>1147</v>
      </c>
      <c r="DY141" s="10" t="s">
        <v>37</v>
      </c>
      <c r="DZ141" s="35" t="s">
        <v>73</v>
      </c>
      <c r="EA141" s="16"/>
      <c r="EB141" s="14"/>
      <c r="EC141" s="14">
        <v>2197.1999999999998</v>
      </c>
      <c r="ED141" s="14"/>
      <c r="EE141" s="14">
        <v>64.400000000000006</v>
      </c>
      <c r="EF141" s="14">
        <v>2958.2</v>
      </c>
      <c r="EG141" s="14"/>
      <c r="EH141" s="14"/>
      <c r="EI141" s="14">
        <v>535.6</v>
      </c>
      <c r="EJ141" s="14"/>
      <c r="EK141" s="14"/>
      <c r="EL141" s="14"/>
      <c r="EM141" s="14"/>
      <c r="EN141" s="14"/>
      <c r="EO141" s="14"/>
      <c r="EP141" s="14"/>
      <c r="EQ141" s="14"/>
      <c r="ER141" s="14"/>
      <c r="ES141" s="14">
        <v>226.7</v>
      </c>
      <c r="ET141" s="14">
        <v>319.5</v>
      </c>
      <c r="EU141" s="14">
        <v>513.79999999999995</v>
      </c>
      <c r="EV141" s="14"/>
      <c r="EW141" s="14">
        <v>135.5</v>
      </c>
      <c r="EX141" s="14">
        <v>263.10000000000002</v>
      </c>
      <c r="EY141" s="14">
        <v>77.900000000000006</v>
      </c>
      <c r="EZ141" s="14">
        <v>141.30000000000001</v>
      </c>
      <c r="FA141" s="14">
        <v>389.7</v>
      </c>
      <c r="FB141" s="14"/>
      <c r="FC141" s="14"/>
      <c r="FD141" s="14">
        <v>994.9</v>
      </c>
      <c r="FE141" s="14">
        <v>960.9</v>
      </c>
      <c r="FF141" s="14">
        <v>624.5</v>
      </c>
      <c r="FG141" s="13">
        <v>1386.2</v>
      </c>
      <c r="FH141" s="13"/>
      <c r="FI141" s="13">
        <v>982.6</v>
      </c>
      <c r="FJ141" s="13"/>
      <c r="FK141" s="12"/>
      <c r="FL141" s="13"/>
      <c r="FM141" s="13">
        <v>154.6</v>
      </c>
      <c r="FN141" s="14"/>
      <c r="FO141" s="14"/>
      <c r="FP141" s="14"/>
      <c r="FQ141" s="13"/>
      <c r="FR141" s="13"/>
      <c r="FS141" s="13"/>
      <c r="FT141" s="13">
        <v>43.9</v>
      </c>
      <c r="FU141" s="13">
        <f>3.8+641.3</f>
        <v>645.09999999999991</v>
      </c>
      <c r="FV141" s="13">
        <f>3305.4+1080.8</f>
        <v>4386.2</v>
      </c>
      <c r="FW141" s="13"/>
      <c r="FX141" s="14"/>
      <c r="FY141" s="14">
        <v>462.7</v>
      </c>
      <c r="FZ141" s="13"/>
      <c r="GA141" s="14"/>
      <c r="GB141" s="13"/>
      <c r="GC141" s="13">
        <v>116.6</v>
      </c>
      <c r="GD141" s="13"/>
      <c r="GE141" s="14">
        <v>965.1</v>
      </c>
      <c r="GF141" s="14"/>
      <c r="GG141" s="14"/>
      <c r="GH141" s="14"/>
      <c r="GI141" s="15"/>
    </row>
    <row r="142" spans="1:191" x14ac:dyDescent="0.3">
      <c r="A142" s="10" t="s">
        <v>38</v>
      </c>
      <c r="B142" s="35" t="s">
        <v>73</v>
      </c>
      <c r="C142" s="16">
        <v>17057</v>
      </c>
      <c r="D142" s="14">
        <v>17433</v>
      </c>
      <c r="E142" s="14">
        <v>18487</v>
      </c>
      <c r="F142" s="14">
        <v>22644</v>
      </c>
      <c r="G142" s="14">
        <v>18361</v>
      </c>
      <c r="H142" s="14">
        <v>9521</v>
      </c>
      <c r="I142" s="14">
        <v>8404</v>
      </c>
      <c r="J142" s="14">
        <v>9521</v>
      </c>
      <c r="K142" s="14">
        <v>20742</v>
      </c>
      <c r="L142" s="14">
        <v>20742</v>
      </c>
      <c r="M142" s="14">
        <v>8434</v>
      </c>
      <c r="N142" s="14">
        <v>8434</v>
      </c>
      <c r="O142" s="14">
        <v>17446</v>
      </c>
      <c r="P142" s="14">
        <v>21074</v>
      </c>
      <c r="Q142" s="14">
        <v>20711</v>
      </c>
      <c r="R142" s="14">
        <v>20820</v>
      </c>
      <c r="S142" s="14">
        <v>20164</v>
      </c>
      <c r="T142" s="14">
        <v>20265</v>
      </c>
      <c r="U142" s="14">
        <v>19968</v>
      </c>
      <c r="V142" s="14">
        <v>17077</v>
      </c>
      <c r="W142" s="14">
        <v>16674</v>
      </c>
      <c r="X142" s="14">
        <v>20920</v>
      </c>
      <c r="Y142" s="14">
        <v>21655</v>
      </c>
      <c r="Z142" s="14">
        <v>20340</v>
      </c>
      <c r="AA142" s="14">
        <v>16561</v>
      </c>
      <c r="AB142" s="14">
        <v>16905</v>
      </c>
      <c r="AC142" s="14">
        <v>17368</v>
      </c>
      <c r="AD142" s="14">
        <v>17218</v>
      </c>
      <c r="AE142" s="14">
        <v>21655</v>
      </c>
      <c r="AF142" s="14">
        <v>16674</v>
      </c>
      <c r="AG142" s="14">
        <v>16674</v>
      </c>
      <c r="AH142" s="14">
        <v>16674</v>
      </c>
      <c r="AI142" s="13">
        <v>9501</v>
      </c>
      <c r="AJ142" s="13">
        <v>8047</v>
      </c>
      <c r="AK142" s="13">
        <v>9501</v>
      </c>
      <c r="AL142" s="13">
        <v>7928</v>
      </c>
      <c r="AM142" s="13">
        <v>689</v>
      </c>
      <c r="AN142" s="12"/>
      <c r="AO142" s="13">
        <v>485</v>
      </c>
      <c r="AP142" s="14">
        <v>9191</v>
      </c>
      <c r="AQ142" s="14">
        <v>8173</v>
      </c>
      <c r="AR142" s="14">
        <v>8088</v>
      </c>
      <c r="AS142" s="13">
        <v>11343</v>
      </c>
      <c r="AT142" s="13">
        <v>11343</v>
      </c>
      <c r="AU142" s="13">
        <v>11343</v>
      </c>
      <c r="AV142" s="13">
        <v>1328</v>
      </c>
      <c r="AW142" s="13">
        <v>22641</v>
      </c>
      <c r="AX142" s="13">
        <v>22641</v>
      </c>
      <c r="AY142" s="13">
        <v>1511</v>
      </c>
      <c r="AZ142" s="14"/>
      <c r="BA142" s="14">
        <v>12371</v>
      </c>
      <c r="BB142" s="13">
        <v>5163</v>
      </c>
      <c r="BC142" s="14">
        <v>22142</v>
      </c>
      <c r="BD142" s="13">
        <v>2548</v>
      </c>
      <c r="BE142" s="13">
        <v>1874</v>
      </c>
      <c r="BF142" s="13">
        <v>1469</v>
      </c>
      <c r="BG142" s="14">
        <v>16770</v>
      </c>
      <c r="BH142" s="14">
        <v>15377</v>
      </c>
      <c r="BI142" s="14">
        <v>15001</v>
      </c>
      <c r="BJ142" s="14">
        <v>17703</v>
      </c>
      <c r="BK142" s="15">
        <v>17703</v>
      </c>
      <c r="BM142" s="10" t="s">
        <v>38</v>
      </c>
      <c r="BN142" s="35" t="s">
        <v>73</v>
      </c>
      <c r="BO142" s="16"/>
      <c r="BP142" s="14"/>
      <c r="BQ142" s="14">
        <v>1925.4</v>
      </c>
      <c r="BR142" s="14"/>
      <c r="BS142" s="14">
        <v>63</v>
      </c>
      <c r="BT142" s="14">
        <v>1636.8</v>
      </c>
      <c r="BU142" s="14"/>
      <c r="BV142" s="14"/>
      <c r="BW142" s="14">
        <v>543.29999999999995</v>
      </c>
      <c r="BX142" s="14"/>
      <c r="BY142" s="14">
        <v>970.9</v>
      </c>
      <c r="BZ142" s="14"/>
      <c r="CA142" s="14">
        <v>458.8</v>
      </c>
      <c r="CB142" s="14">
        <v>441.9</v>
      </c>
      <c r="CC142" s="14">
        <v>51.7</v>
      </c>
      <c r="CD142" s="14"/>
      <c r="CE142" s="14"/>
      <c r="CF142" s="14"/>
      <c r="CG142" s="14">
        <v>190.1</v>
      </c>
      <c r="CH142" s="14">
        <v>311.89999999999998</v>
      </c>
      <c r="CI142" s="14">
        <v>495.4</v>
      </c>
      <c r="CJ142" s="14"/>
      <c r="CK142" s="14">
        <v>142.80000000000001</v>
      </c>
      <c r="CL142" s="14">
        <v>252.5</v>
      </c>
      <c r="CM142" s="14">
        <v>71.3</v>
      </c>
      <c r="CN142" s="14">
        <v>146</v>
      </c>
      <c r="CO142" s="14">
        <v>354.6</v>
      </c>
      <c r="CP142" s="14"/>
      <c r="CQ142" s="14"/>
      <c r="CR142" s="14">
        <v>931.2</v>
      </c>
      <c r="CS142" s="14">
        <v>745.4</v>
      </c>
      <c r="CT142" s="14">
        <v>522.4</v>
      </c>
      <c r="CU142" s="13">
        <v>1374.6</v>
      </c>
      <c r="CV142" s="13"/>
      <c r="CW142" s="13">
        <v>857.3</v>
      </c>
      <c r="CX142" s="13"/>
      <c r="CY142" s="13"/>
      <c r="CZ142" s="12"/>
      <c r="DA142" s="13">
        <v>162.69999999999999</v>
      </c>
      <c r="DB142" s="14"/>
      <c r="DC142" s="14"/>
      <c r="DD142" s="14"/>
      <c r="DE142" s="13"/>
      <c r="DF142" s="13">
        <v>1855.4</v>
      </c>
      <c r="DG142" s="13">
        <v>996.5</v>
      </c>
      <c r="DH142" s="13">
        <v>33.799999999999997</v>
      </c>
      <c r="DI142" s="13">
        <v>701.9</v>
      </c>
      <c r="DJ142" s="13">
        <v>4701.1000000000004</v>
      </c>
      <c r="DK142" s="13"/>
      <c r="DL142" s="14"/>
      <c r="DM142" s="14">
        <v>483.6</v>
      </c>
      <c r="DN142" s="13"/>
      <c r="DO142" s="14"/>
      <c r="DP142" s="13"/>
      <c r="DQ142" s="13">
        <v>121.2</v>
      </c>
      <c r="DR142" s="13"/>
      <c r="DS142" s="14">
        <v>778.9</v>
      </c>
      <c r="DT142" s="14">
        <v>11.8</v>
      </c>
      <c r="DU142" s="14">
        <v>503.6</v>
      </c>
      <c r="DV142" s="14">
        <v>114</v>
      </c>
      <c r="DW142" s="15">
        <v>1147</v>
      </c>
      <c r="DY142" s="10" t="s">
        <v>38</v>
      </c>
      <c r="DZ142" s="35" t="s">
        <v>73</v>
      </c>
      <c r="EA142" s="16"/>
      <c r="EB142" s="14"/>
      <c r="EC142" s="14">
        <v>2197.1999999999998</v>
      </c>
      <c r="ED142" s="14"/>
      <c r="EE142" s="14">
        <v>64.400000000000006</v>
      </c>
      <c r="EF142" s="14">
        <v>2958.2</v>
      </c>
      <c r="EG142" s="14"/>
      <c r="EH142" s="14"/>
      <c r="EI142" s="14">
        <v>535.6</v>
      </c>
      <c r="EJ142" s="14"/>
      <c r="EK142" s="14"/>
      <c r="EL142" s="14"/>
      <c r="EM142" s="14"/>
      <c r="EN142" s="14"/>
      <c r="EO142" s="14"/>
      <c r="EP142" s="14"/>
      <c r="EQ142" s="14"/>
      <c r="ER142" s="14"/>
      <c r="ES142" s="14">
        <v>226.7</v>
      </c>
      <c r="ET142" s="14">
        <v>319.5</v>
      </c>
      <c r="EU142" s="14">
        <v>513.79999999999995</v>
      </c>
      <c r="EV142" s="14"/>
      <c r="EW142" s="14">
        <v>135.5</v>
      </c>
      <c r="EX142" s="14">
        <v>263.10000000000002</v>
      </c>
      <c r="EY142" s="14">
        <v>77.900000000000006</v>
      </c>
      <c r="EZ142" s="14">
        <v>141.30000000000001</v>
      </c>
      <c r="FA142" s="14">
        <v>389.7</v>
      </c>
      <c r="FB142" s="14"/>
      <c r="FC142" s="14"/>
      <c r="FD142" s="14">
        <v>994.9</v>
      </c>
      <c r="FE142" s="14">
        <v>960.9</v>
      </c>
      <c r="FF142" s="14">
        <v>624.5</v>
      </c>
      <c r="FG142" s="13">
        <v>1386.2</v>
      </c>
      <c r="FH142" s="13"/>
      <c r="FI142" s="13">
        <v>982.6</v>
      </c>
      <c r="FJ142" s="13"/>
      <c r="FK142" s="13"/>
      <c r="FL142" s="12"/>
      <c r="FM142" s="13">
        <v>154.6</v>
      </c>
      <c r="FN142" s="14"/>
      <c r="FO142" s="14"/>
      <c r="FP142" s="14"/>
      <c r="FQ142" s="13"/>
      <c r="FR142" s="13"/>
      <c r="FS142" s="13"/>
      <c r="FT142" s="13">
        <v>43.9</v>
      </c>
      <c r="FU142" s="13">
        <f>3.8+641.3</f>
        <v>645.09999999999991</v>
      </c>
      <c r="FV142" s="13">
        <f>3305.4+1080.8</f>
        <v>4386.2</v>
      </c>
      <c r="FW142" s="13"/>
      <c r="FX142" s="14"/>
      <c r="FY142" s="14">
        <v>462.7</v>
      </c>
      <c r="FZ142" s="13"/>
      <c r="GA142" s="14"/>
      <c r="GB142" s="13"/>
      <c r="GC142" s="13">
        <v>116.6</v>
      </c>
      <c r="GD142" s="13"/>
      <c r="GE142" s="14">
        <v>965.1</v>
      </c>
      <c r="GF142" s="14"/>
      <c r="GG142" s="14"/>
      <c r="GH142" s="14"/>
      <c r="GI142" s="15"/>
    </row>
    <row r="143" spans="1:191" x14ac:dyDescent="0.3">
      <c r="A143" s="10" t="s">
        <v>39</v>
      </c>
      <c r="B143" s="35" t="s">
        <v>102</v>
      </c>
      <c r="C143" s="16">
        <v>17276</v>
      </c>
      <c r="D143" s="14">
        <v>17651</v>
      </c>
      <c r="E143" s="14">
        <v>18705</v>
      </c>
      <c r="F143" s="14">
        <v>22956</v>
      </c>
      <c r="G143" s="14">
        <v>18579</v>
      </c>
      <c r="H143" s="14">
        <v>9673</v>
      </c>
      <c r="I143" s="14">
        <v>8525</v>
      </c>
      <c r="J143" s="14">
        <v>9673</v>
      </c>
      <c r="K143" s="14">
        <v>20961</v>
      </c>
      <c r="L143" s="14">
        <v>20961</v>
      </c>
      <c r="M143" s="14">
        <v>8554</v>
      </c>
      <c r="N143" s="14">
        <v>8554</v>
      </c>
      <c r="O143" s="14">
        <v>17664</v>
      </c>
      <c r="P143" s="14">
        <v>20781</v>
      </c>
      <c r="Q143" s="14">
        <v>20891</v>
      </c>
      <c r="R143" s="14">
        <v>20529</v>
      </c>
      <c r="S143" s="14">
        <v>19874</v>
      </c>
      <c r="T143" s="14">
        <v>19974</v>
      </c>
      <c r="U143" s="14">
        <v>19670</v>
      </c>
      <c r="V143" s="14">
        <v>16786</v>
      </c>
      <c r="W143" s="14">
        <v>16383</v>
      </c>
      <c r="X143" s="14">
        <v>20518</v>
      </c>
      <c r="Y143" s="14">
        <v>21365</v>
      </c>
      <c r="Z143" s="14">
        <v>20050</v>
      </c>
      <c r="AA143" s="14">
        <v>16270</v>
      </c>
      <c r="AB143" s="14">
        <v>16614</v>
      </c>
      <c r="AC143" s="14">
        <v>17077</v>
      </c>
      <c r="AD143" s="14">
        <v>16927</v>
      </c>
      <c r="AE143" s="14">
        <v>21365</v>
      </c>
      <c r="AF143" s="14">
        <v>16383</v>
      </c>
      <c r="AG143" s="14">
        <v>16383</v>
      </c>
      <c r="AH143" s="14">
        <v>16383</v>
      </c>
      <c r="AI143" s="13">
        <v>9210</v>
      </c>
      <c r="AJ143" s="13">
        <v>7756</v>
      </c>
      <c r="AK143" s="13">
        <v>9210</v>
      </c>
      <c r="AL143" s="13">
        <v>7638</v>
      </c>
      <c r="AM143" s="13">
        <v>1035</v>
      </c>
      <c r="AN143" s="13">
        <v>485</v>
      </c>
      <c r="AO143" s="12"/>
      <c r="AP143" s="14">
        <v>9336</v>
      </c>
      <c r="AQ143" s="14">
        <v>8264</v>
      </c>
      <c r="AR143" s="14">
        <v>8015</v>
      </c>
      <c r="AS143" s="13">
        <v>11053</v>
      </c>
      <c r="AT143" s="13">
        <v>11053</v>
      </c>
      <c r="AU143" s="13">
        <v>11053</v>
      </c>
      <c r="AV143" s="13">
        <v>861</v>
      </c>
      <c r="AW143" s="13">
        <v>22350</v>
      </c>
      <c r="AX143" s="13">
        <v>22350</v>
      </c>
      <c r="AY143" s="13">
        <v>1045</v>
      </c>
      <c r="AZ143" s="14"/>
      <c r="BA143" s="14">
        <v>12081</v>
      </c>
      <c r="BB143" s="13">
        <v>4810</v>
      </c>
      <c r="BC143" s="14">
        <v>21852</v>
      </c>
      <c r="BD143" s="13">
        <v>2163</v>
      </c>
      <c r="BE143" s="13">
        <v>1408</v>
      </c>
      <c r="BF143" s="13">
        <v>1002</v>
      </c>
      <c r="BG143" s="14">
        <v>16479</v>
      </c>
      <c r="BH143" s="14">
        <v>15086</v>
      </c>
      <c r="BI143" s="14">
        <v>15222</v>
      </c>
      <c r="BJ143" s="14">
        <v>18033</v>
      </c>
      <c r="BK143" s="15">
        <v>18033</v>
      </c>
      <c r="BM143" s="10" t="s">
        <v>39</v>
      </c>
      <c r="BN143" s="35" t="s">
        <v>102</v>
      </c>
      <c r="BO143" s="16">
        <f>162.7</f>
        <v>162.69999999999999</v>
      </c>
      <c r="BP143" s="14">
        <f>162.7</f>
        <v>162.69999999999999</v>
      </c>
      <c r="BQ143" s="14">
        <f>162.7+1925.4</f>
        <v>2088.1</v>
      </c>
      <c r="BR143" s="14">
        <f>162.7</f>
        <v>162.69999999999999</v>
      </c>
      <c r="BS143" s="14">
        <f>162.7+63</f>
        <v>225.7</v>
      </c>
      <c r="BT143" s="14">
        <f>162.7+1636.8</f>
        <v>1799.5</v>
      </c>
      <c r="BU143" s="14">
        <f>162.7</f>
        <v>162.69999999999999</v>
      </c>
      <c r="BV143" s="14">
        <f>162.7</f>
        <v>162.69999999999999</v>
      </c>
      <c r="BW143" s="14">
        <f>162.7+543.3</f>
        <v>706</v>
      </c>
      <c r="BX143" s="14">
        <f>162.7</f>
        <v>162.69999999999999</v>
      </c>
      <c r="BY143" s="14">
        <f>162.7+970.9</f>
        <v>1133.5999999999999</v>
      </c>
      <c r="BZ143" s="14">
        <f>162.7</f>
        <v>162.69999999999999</v>
      </c>
      <c r="CA143" s="14">
        <f>162.7+458.8</f>
        <v>621.5</v>
      </c>
      <c r="CB143" s="14">
        <f>162.7+441.9</f>
        <v>604.59999999999991</v>
      </c>
      <c r="CC143" s="14">
        <f>162.7+51.7</f>
        <v>214.39999999999998</v>
      </c>
      <c r="CD143" s="14">
        <f>162.7</f>
        <v>162.69999999999999</v>
      </c>
      <c r="CE143" s="14">
        <f>162.7</f>
        <v>162.69999999999999</v>
      </c>
      <c r="CF143" s="14">
        <f>162.7</f>
        <v>162.69999999999999</v>
      </c>
      <c r="CG143" s="14">
        <f>162.7+190.1</f>
        <v>352.79999999999995</v>
      </c>
      <c r="CH143" s="14">
        <f>162.7+311.9</f>
        <v>474.59999999999997</v>
      </c>
      <c r="CI143" s="14">
        <f>162.7+495.4</f>
        <v>658.09999999999991</v>
      </c>
      <c r="CJ143" s="14">
        <f>162.7</f>
        <v>162.69999999999999</v>
      </c>
      <c r="CK143" s="14">
        <f>162.7+142.8</f>
        <v>305.5</v>
      </c>
      <c r="CL143" s="14">
        <f>162.7+252.5</f>
        <v>415.2</v>
      </c>
      <c r="CM143" s="14">
        <f>162.7+71.3</f>
        <v>234</v>
      </c>
      <c r="CN143" s="14">
        <f>162.7+146</f>
        <v>308.7</v>
      </c>
      <c r="CO143" s="14">
        <f>162.7+354.6</f>
        <v>517.29999999999995</v>
      </c>
      <c r="CP143" s="14">
        <f>162.7</f>
        <v>162.69999999999999</v>
      </c>
      <c r="CQ143" s="14">
        <f>162.7</f>
        <v>162.69999999999999</v>
      </c>
      <c r="CR143" s="14">
        <f>162.7+931.2</f>
        <v>1093.9000000000001</v>
      </c>
      <c r="CS143" s="14">
        <f>162.7+745.4</f>
        <v>908.09999999999991</v>
      </c>
      <c r="CT143" s="14">
        <f>162.7+522.4</f>
        <v>685.09999999999991</v>
      </c>
      <c r="CU143" s="13">
        <f>162.7+1374.6</f>
        <v>1537.3</v>
      </c>
      <c r="CV143" s="13">
        <f>162.7</f>
        <v>162.69999999999999</v>
      </c>
      <c r="CW143" s="13">
        <f>162.7+857.3</f>
        <v>1020</v>
      </c>
      <c r="CX143" s="13">
        <f>162.7</f>
        <v>162.69999999999999</v>
      </c>
      <c r="CY143" s="13">
        <f>162.7</f>
        <v>162.69999999999999</v>
      </c>
      <c r="CZ143" s="13">
        <f>162.7</f>
        <v>162.69999999999999</v>
      </c>
      <c r="DA143" s="12"/>
      <c r="DB143" s="14">
        <f>162.7</f>
        <v>162.69999999999999</v>
      </c>
      <c r="DC143" s="14">
        <f>162.7</f>
        <v>162.69999999999999</v>
      </c>
      <c r="DD143" s="14">
        <f>162.7</f>
        <v>162.69999999999999</v>
      </c>
      <c r="DE143" s="13">
        <f>162.7</f>
        <v>162.69999999999999</v>
      </c>
      <c r="DF143" s="13">
        <f>162.7+1855.4</f>
        <v>2018.1000000000001</v>
      </c>
      <c r="DG143" s="13">
        <f>162.7+996.5</f>
        <v>1159.2</v>
      </c>
      <c r="DH143" s="13">
        <f>162.7+33.8</f>
        <v>196.5</v>
      </c>
      <c r="DI143" s="13">
        <f>162.7+701.9</f>
        <v>864.59999999999991</v>
      </c>
      <c r="DJ143" s="13">
        <f>162.7+4701.1</f>
        <v>4863.8</v>
      </c>
      <c r="DK143" s="13">
        <f>162.7</f>
        <v>162.69999999999999</v>
      </c>
      <c r="DL143" s="14">
        <f>162.7</f>
        <v>162.69999999999999</v>
      </c>
      <c r="DM143" s="14">
        <f>162.7+483.6</f>
        <v>646.29999999999995</v>
      </c>
      <c r="DN143" s="13">
        <f>162.7</f>
        <v>162.69999999999999</v>
      </c>
      <c r="DO143" s="14">
        <f>162.7</f>
        <v>162.69999999999999</v>
      </c>
      <c r="DP143" s="13">
        <f>162.7</f>
        <v>162.69999999999999</v>
      </c>
      <c r="DQ143" s="13">
        <f>162.7+121.2</f>
        <v>283.89999999999998</v>
      </c>
      <c r="DR143" s="13">
        <f>162.7</f>
        <v>162.69999999999999</v>
      </c>
      <c r="DS143" s="14">
        <f>162.7+778.9</f>
        <v>941.59999999999991</v>
      </c>
      <c r="DT143" s="14">
        <f>162.7+11.8</f>
        <v>174.5</v>
      </c>
      <c r="DU143" s="14">
        <f>162.7+503.6</f>
        <v>666.3</v>
      </c>
      <c r="DV143" s="14">
        <f>162.7+114</f>
        <v>276.7</v>
      </c>
      <c r="DW143" s="15">
        <f>162.7+1147</f>
        <v>1309.7</v>
      </c>
      <c r="DY143" s="10" t="s">
        <v>39</v>
      </c>
      <c r="DZ143" s="35" t="s">
        <v>102</v>
      </c>
      <c r="EA143" s="16">
        <f>154.6</f>
        <v>154.6</v>
      </c>
      <c r="EB143" s="14">
        <f t="shared" ref="EB143:GI143" si="19">154.6</f>
        <v>154.6</v>
      </c>
      <c r="EC143" s="14">
        <f>154.6+2197.2</f>
        <v>2351.7999999999997</v>
      </c>
      <c r="ED143" s="14">
        <f t="shared" si="19"/>
        <v>154.6</v>
      </c>
      <c r="EE143" s="14">
        <f>154.6+64.4</f>
        <v>219</v>
      </c>
      <c r="EF143" s="14">
        <f>154.6+2958.2</f>
        <v>3112.7999999999997</v>
      </c>
      <c r="EG143" s="14">
        <f t="shared" si="19"/>
        <v>154.6</v>
      </c>
      <c r="EH143" s="14">
        <f t="shared" si="19"/>
        <v>154.6</v>
      </c>
      <c r="EI143" s="14">
        <f>154.6+535.6</f>
        <v>690.2</v>
      </c>
      <c r="EJ143" s="14">
        <f t="shared" si="19"/>
        <v>154.6</v>
      </c>
      <c r="EK143" s="14">
        <f t="shared" si="19"/>
        <v>154.6</v>
      </c>
      <c r="EL143" s="14">
        <f t="shared" si="19"/>
        <v>154.6</v>
      </c>
      <c r="EM143" s="14">
        <f t="shared" si="19"/>
        <v>154.6</v>
      </c>
      <c r="EN143" s="14">
        <f t="shared" si="19"/>
        <v>154.6</v>
      </c>
      <c r="EO143" s="14">
        <f t="shared" si="19"/>
        <v>154.6</v>
      </c>
      <c r="EP143" s="14">
        <f t="shared" si="19"/>
        <v>154.6</v>
      </c>
      <c r="EQ143" s="14">
        <f t="shared" si="19"/>
        <v>154.6</v>
      </c>
      <c r="ER143" s="14">
        <f t="shared" si="19"/>
        <v>154.6</v>
      </c>
      <c r="ES143" s="14">
        <f>154.6+226.7</f>
        <v>381.29999999999995</v>
      </c>
      <c r="ET143" s="14">
        <f>154.6+319.5</f>
        <v>474.1</v>
      </c>
      <c r="EU143" s="14">
        <f>154.6+513.8</f>
        <v>668.4</v>
      </c>
      <c r="EV143" s="14">
        <f t="shared" si="19"/>
        <v>154.6</v>
      </c>
      <c r="EW143" s="14">
        <f>154.6+135.5</f>
        <v>290.10000000000002</v>
      </c>
      <c r="EX143" s="14">
        <f>154.6+263.1</f>
        <v>417.70000000000005</v>
      </c>
      <c r="EY143" s="14">
        <f>154.6+77.9</f>
        <v>232.5</v>
      </c>
      <c r="EZ143" s="14">
        <f>154.6+141.3</f>
        <v>295.89999999999998</v>
      </c>
      <c r="FA143" s="14">
        <f>154.6+389.7</f>
        <v>544.29999999999995</v>
      </c>
      <c r="FB143" s="14">
        <f t="shared" si="19"/>
        <v>154.6</v>
      </c>
      <c r="FC143" s="14">
        <f t="shared" si="19"/>
        <v>154.6</v>
      </c>
      <c r="FD143" s="14">
        <f>154.6+994.9</f>
        <v>1149.5</v>
      </c>
      <c r="FE143" s="14">
        <f>154.6+960.9</f>
        <v>1115.5</v>
      </c>
      <c r="FF143" s="14">
        <f>154.6+624.5</f>
        <v>779.1</v>
      </c>
      <c r="FG143" s="13">
        <f>154.6+1386.2</f>
        <v>1540.8</v>
      </c>
      <c r="FH143" s="13">
        <f t="shared" si="19"/>
        <v>154.6</v>
      </c>
      <c r="FI143" s="13">
        <f>154.6+982.6</f>
        <v>1137.2</v>
      </c>
      <c r="FJ143" s="13">
        <f t="shared" si="19"/>
        <v>154.6</v>
      </c>
      <c r="FK143" s="13">
        <f t="shared" si="19"/>
        <v>154.6</v>
      </c>
      <c r="FL143" s="13">
        <f t="shared" si="19"/>
        <v>154.6</v>
      </c>
      <c r="FM143" s="12"/>
      <c r="FN143" s="14">
        <f t="shared" si="19"/>
        <v>154.6</v>
      </c>
      <c r="FO143" s="14">
        <f t="shared" si="19"/>
        <v>154.6</v>
      </c>
      <c r="FP143" s="14">
        <f t="shared" si="19"/>
        <v>154.6</v>
      </c>
      <c r="FQ143" s="13">
        <f t="shared" si="19"/>
        <v>154.6</v>
      </c>
      <c r="FR143" s="13">
        <f t="shared" si="19"/>
        <v>154.6</v>
      </c>
      <c r="FS143" s="13">
        <f t="shared" si="19"/>
        <v>154.6</v>
      </c>
      <c r="FT143" s="13">
        <f>154.6+43.9</f>
        <v>198.5</v>
      </c>
      <c r="FU143" s="13">
        <f>154.6+3.8+641.3</f>
        <v>799.69999999999993</v>
      </c>
      <c r="FV143" s="13">
        <f>154.6+3305.4+1080.8</f>
        <v>4540.8</v>
      </c>
      <c r="FW143" s="13">
        <f t="shared" si="19"/>
        <v>154.6</v>
      </c>
      <c r="FX143" s="14">
        <f t="shared" si="19"/>
        <v>154.6</v>
      </c>
      <c r="FY143" s="14">
        <f>154.6+462.7</f>
        <v>617.29999999999995</v>
      </c>
      <c r="FZ143" s="13">
        <f t="shared" si="19"/>
        <v>154.6</v>
      </c>
      <c r="GA143" s="14">
        <f t="shared" si="19"/>
        <v>154.6</v>
      </c>
      <c r="GB143" s="13">
        <f t="shared" si="19"/>
        <v>154.6</v>
      </c>
      <c r="GC143" s="13">
        <f>154.6+116.6</f>
        <v>271.2</v>
      </c>
      <c r="GD143" s="13">
        <f t="shared" si="19"/>
        <v>154.6</v>
      </c>
      <c r="GE143" s="14">
        <f>154.6+965.1</f>
        <v>1119.7</v>
      </c>
      <c r="GF143" s="14">
        <f t="shared" si="19"/>
        <v>154.6</v>
      </c>
      <c r="GG143" s="14">
        <f t="shared" si="19"/>
        <v>154.6</v>
      </c>
      <c r="GH143" s="14">
        <f t="shared" si="19"/>
        <v>154.6</v>
      </c>
      <c r="GI143" s="15">
        <f t="shared" si="19"/>
        <v>154.6</v>
      </c>
    </row>
    <row r="144" spans="1:191" x14ac:dyDescent="0.3">
      <c r="A144" s="10" t="s">
        <v>40</v>
      </c>
      <c r="B144" s="35" t="s">
        <v>73</v>
      </c>
      <c r="C144" s="16">
        <v>16955</v>
      </c>
      <c r="D144" s="14">
        <v>17331</v>
      </c>
      <c r="E144" s="14">
        <v>18385</v>
      </c>
      <c r="F144" s="14">
        <v>22635</v>
      </c>
      <c r="G144" s="14">
        <v>18259</v>
      </c>
      <c r="H144" s="14">
        <v>12979</v>
      </c>
      <c r="I144" s="14">
        <v>13567</v>
      </c>
      <c r="J144" s="14">
        <v>12979</v>
      </c>
      <c r="K144" s="14">
        <v>20641</v>
      </c>
      <c r="L144" s="14">
        <v>20641</v>
      </c>
      <c r="M144" s="14">
        <v>13597</v>
      </c>
      <c r="N144" s="14">
        <v>13597</v>
      </c>
      <c r="O144" s="14">
        <v>17344</v>
      </c>
      <c r="P144" s="14">
        <v>15036</v>
      </c>
      <c r="Q144" s="14">
        <v>16907</v>
      </c>
      <c r="R144" s="14">
        <v>21057</v>
      </c>
      <c r="S144" s="14">
        <v>20401</v>
      </c>
      <c r="T144" s="14">
        <v>20502</v>
      </c>
      <c r="U144" s="14">
        <v>20198</v>
      </c>
      <c r="V144" s="14">
        <v>17314</v>
      </c>
      <c r="W144" s="14">
        <v>16911</v>
      </c>
      <c r="X144" s="14">
        <v>21046</v>
      </c>
      <c r="Y144" s="14">
        <v>21892</v>
      </c>
      <c r="Z144" s="14">
        <v>20578</v>
      </c>
      <c r="AA144" s="14">
        <v>16798</v>
      </c>
      <c r="AB144" s="14">
        <v>17142</v>
      </c>
      <c r="AC144" s="14">
        <v>17605</v>
      </c>
      <c r="AD144" s="14">
        <v>17455</v>
      </c>
      <c r="AE144" s="14">
        <v>21892</v>
      </c>
      <c r="AF144" s="14">
        <v>16911</v>
      </c>
      <c r="AG144" s="14">
        <v>16911</v>
      </c>
      <c r="AH144" s="14">
        <v>16911</v>
      </c>
      <c r="AI144" s="14">
        <v>10293</v>
      </c>
      <c r="AJ144" s="14">
        <v>9806</v>
      </c>
      <c r="AK144" s="14">
        <v>10293</v>
      </c>
      <c r="AL144" s="14">
        <v>9223</v>
      </c>
      <c r="AM144" s="14">
        <v>9110</v>
      </c>
      <c r="AN144" s="14">
        <v>9191</v>
      </c>
      <c r="AO144" s="14">
        <v>9336</v>
      </c>
      <c r="AP144" s="12"/>
      <c r="AQ144" s="19">
        <v>1078</v>
      </c>
      <c r="AR144" s="19">
        <v>3133</v>
      </c>
      <c r="AS144" s="14">
        <v>12123</v>
      </c>
      <c r="AT144" s="14">
        <v>12123</v>
      </c>
      <c r="AU144" s="14">
        <v>12123</v>
      </c>
      <c r="AV144" s="14">
        <v>9956</v>
      </c>
      <c r="AW144" s="14">
        <v>22877</v>
      </c>
      <c r="AX144" s="14">
        <v>22877</v>
      </c>
      <c r="AY144" s="14">
        <v>10532</v>
      </c>
      <c r="AZ144" s="14"/>
      <c r="BA144" s="14">
        <v>11197</v>
      </c>
      <c r="BB144" s="14">
        <v>8560</v>
      </c>
      <c r="BC144" s="14">
        <v>22380</v>
      </c>
      <c r="BD144" s="14">
        <v>9401</v>
      </c>
      <c r="BE144" s="14">
        <v>10488</v>
      </c>
      <c r="BF144" s="14">
        <v>9617</v>
      </c>
      <c r="BG144" s="14">
        <v>17007</v>
      </c>
      <c r="BH144" s="14">
        <v>15614</v>
      </c>
      <c r="BI144" s="14">
        <v>14413</v>
      </c>
      <c r="BJ144" s="14">
        <v>11179</v>
      </c>
      <c r="BK144" s="15">
        <v>11179</v>
      </c>
      <c r="BM144" s="10" t="s">
        <v>40</v>
      </c>
      <c r="BN144" s="35" t="s">
        <v>73</v>
      </c>
      <c r="BO144" s="16"/>
      <c r="BP144" s="14"/>
      <c r="BQ144" s="14">
        <v>1925.4</v>
      </c>
      <c r="BR144" s="14"/>
      <c r="BS144" s="14">
        <v>63</v>
      </c>
      <c r="BT144" s="14">
        <v>1636.8</v>
      </c>
      <c r="BU144" s="14"/>
      <c r="BV144" s="14"/>
      <c r="BW144" s="14">
        <v>543.29999999999995</v>
      </c>
      <c r="BX144" s="14"/>
      <c r="BY144" s="14">
        <v>970.9</v>
      </c>
      <c r="BZ144" s="14"/>
      <c r="CA144" s="14">
        <v>458.8</v>
      </c>
      <c r="CB144" s="14">
        <v>441.9</v>
      </c>
      <c r="CC144" s="14">
        <v>51.7</v>
      </c>
      <c r="CD144" s="14"/>
      <c r="CE144" s="14"/>
      <c r="CF144" s="14"/>
      <c r="CG144" s="14">
        <v>190.1</v>
      </c>
      <c r="CH144" s="14">
        <v>311.89999999999998</v>
      </c>
      <c r="CI144" s="14">
        <v>495.4</v>
      </c>
      <c r="CJ144" s="14"/>
      <c r="CK144" s="14">
        <v>142.80000000000001</v>
      </c>
      <c r="CL144" s="14">
        <v>252.5</v>
      </c>
      <c r="CM144" s="14">
        <v>71.3</v>
      </c>
      <c r="CN144" s="14">
        <v>146</v>
      </c>
      <c r="CO144" s="14">
        <v>354.6</v>
      </c>
      <c r="CP144" s="14"/>
      <c r="CQ144" s="14"/>
      <c r="CR144" s="14">
        <v>931.2</v>
      </c>
      <c r="CS144" s="14">
        <v>745.4</v>
      </c>
      <c r="CT144" s="14">
        <v>522.4</v>
      </c>
      <c r="CU144" s="14">
        <v>1374.6</v>
      </c>
      <c r="CV144" s="14"/>
      <c r="CW144" s="14">
        <v>857.3</v>
      </c>
      <c r="CX144" s="14"/>
      <c r="CY144" s="14"/>
      <c r="CZ144" s="14"/>
      <c r="DA144" s="14">
        <v>162.69999999999999</v>
      </c>
      <c r="DB144" s="12"/>
      <c r="DC144" s="19"/>
      <c r="DD144" s="19"/>
      <c r="DE144" s="14"/>
      <c r="DF144" s="14">
        <v>1855.4</v>
      </c>
      <c r="DG144" s="14">
        <v>996.5</v>
      </c>
      <c r="DH144" s="14">
        <v>33.799999999999997</v>
      </c>
      <c r="DI144" s="14">
        <v>701.9</v>
      </c>
      <c r="DJ144" s="14">
        <v>4701.1000000000004</v>
      </c>
      <c r="DK144" s="14"/>
      <c r="DL144" s="14"/>
      <c r="DM144" s="14">
        <v>483.6</v>
      </c>
      <c r="DN144" s="14"/>
      <c r="DO144" s="14"/>
      <c r="DP144" s="14"/>
      <c r="DQ144" s="14">
        <v>121.2</v>
      </c>
      <c r="DR144" s="14"/>
      <c r="DS144" s="14">
        <v>778.9</v>
      </c>
      <c r="DT144" s="14">
        <v>11.8</v>
      </c>
      <c r="DU144" s="14">
        <v>503.6</v>
      </c>
      <c r="DV144" s="14">
        <v>114</v>
      </c>
      <c r="DW144" s="15">
        <v>1147</v>
      </c>
      <c r="DY144" s="10" t="s">
        <v>40</v>
      </c>
      <c r="DZ144" s="35" t="s">
        <v>73</v>
      </c>
      <c r="EA144" s="16"/>
      <c r="EB144" s="14"/>
      <c r="EC144" s="14">
        <v>2197.1999999999998</v>
      </c>
      <c r="ED144" s="14"/>
      <c r="EE144" s="14">
        <v>64.400000000000006</v>
      </c>
      <c r="EF144" s="14">
        <v>2958.2</v>
      </c>
      <c r="EG144" s="14"/>
      <c r="EH144" s="14"/>
      <c r="EI144" s="14">
        <v>535.6</v>
      </c>
      <c r="EJ144" s="14"/>
      <c r="EK144" s="14"/>
      <c r="EL144" s="14"/>
      <c r="EM144" s="14"/>
      <c r="EN144" s="14"/>
      <c r="EO144" s="14"/>
      <c r="EP144" s="14"/>
      <c r="EQ144" s="14"/>
      <c r="ER144" s="14"/>
      <c r="ES144" s="14">
        <v>226.7</v>
      </c>
      <c r="ET144" s="14">
        <v>319.5</v>
      </c>
      <c r="EU144" s="14">
        <v>513.79999999999995</v>
      </c>
      <c r="EV144" s="14"/>
      <c r="EW144" s="14">
        <v>135.5</v>
      </c>
      <c r="EX144" s="14">
        <v>263.10000000000002</v>
      </c>
      <c r="EY144" s="14">
        <v>77.900000000000006</v>
      </c>
      <c r="EZ144" s="14">
        <v>141.30000000000001</v>
      </c>
      <c r="FA144" s="14">
        <v>389.7</v>
      </c>
      <c r="FB144" s="14"/>
      <c r="FC144" s="14"/>
      <c r="FD144" s="14">
        <v>994.9</v>
      </c>
      <c r="FE144" s="14">
        <v>960.9</v>
      </c>
      <c r="FF144" s="14">
        <v>624.5</v>
      </c>
      <c r="FG144" s="14">
        <v>1386.2</v>
      </c>
      <c r="FH144" s="14"/>
      <c r="FI144" s="14">
        <v>982.6</v>
      </c>
      <c r="FJ144" s="14"/>
      <c r="FK144" s="14"/>
      <c r="FL144" s="14"/>
      <c r="FM144" s="14">
        <v>154.6</v>
      </c>
      <c r="FN144" s="12"/>
      <c r="FO144" s="19"/>
      <c r="FP144" s="19"/>
      <c r="FQ144" s="14"/>
      <c r="FR144" s="14"/>
      <c r="FS144" s="14"/>
      <c r="FT144" s="14">
        <v>43.9</v>
      </c>
      <c r="FU144" s="14">
        <f t="shared" ref="FU144:FU149" si="20">3.8+641.3</f>
        <v>645.09999999999991</v>
      </c>
      <c r="FV144" s="14">
        <f t="shared" ref="FV144:FV149" si="21">3305.4+1080.8</f>
        <v>4386.2</v>
      </c>
      <c r="FW144" s="14"/>
      <c r="FX144" s="14"/>
      <c r="FY144" s="14">
        <v>462.7</v>
      </c>
      <c r="FZ144" s="14"/>
      <c r="GA144" s="14"/>
      <c r="GB144" s="14"/>
      <c r="GC144" s="14">
        <v>116.6</v>
      </c>
      <c r="GD144" s="14"/>
      <c r="GE144" s="14">
        <v>965.1</v>
      </c>
      <c r="GF144" s="14"/>
      <c r="GG144" s="14"/>
      <c r="GH144" s="14"/>
      <c r="GI144" s="15"/>
    </row>
    <row r="145" spans="1:205" x14ac:dyDescent="0.3">
      <c r="A145" s="10" t="s">
        <v>41</v>
      </c>
      <c r="B145" s="35" t="s">
        <v>73</v>
      </c>
      <c r="C145" s="16">
        <v>16505</v>
      </c>
      <c r="D145" s="14">
        <v>16881</v>
      </c>
      <c r="E145" s="14">
        <v>17935</v>
      </c>
      <c r="F145" s="14">
        <v>22185</v>
      </c>
      <c r="G145" s="14">
        <v>17809</v>
      </c>
      <c r="H145" s="14">
        <v>12057</v>
      </c>
      <c r="I145" s="14">
        <v>12597</v>
      </c>
      <c r="J145" s="14">
        <v>12057</v>
      </c>
      <c r="K145" s="14">
        <v>20191</v>
      </c>
      <c r="L145" s="14">
        <v>20191</v>
      </c>
      <c r="M145" s="14">
        <v>12627</v>
      </c>
      <c r="N145" s="14">
        <v>12627</v>
      </c>
      <c r="O145" s="14">
        <v>16894</v>
      </c>
      <c r="P145" s="14">
        <v>14847</v>
      </c>
      <c r="Q145" s="14">
        <v>16718</v>
      </c>
      <c r="R145" s="14">
        <v>21907</v>
      </c>
      <c r="S145" s="14">
        <v>21251</v>
      </c>
      <c r="T145" s="14">
        <v>21352</v>
      </c>
      <c r="U145" s="14">
        <v>21048</v>
      </c>
      <c r="V145" s="14">
        <v>18164</v>
      </c>
      <c r="W145" s="14">
        <v>17761</v>
      </c>
      <c r="X145" s="14">
        <v>21896</v>
      </c>
      <c r="Y145" s="14">
        <v>22743</v>
      </c>
      <c r="Z145" s="14">
        <v>21428</v>
      </c>
      <c r="AA145" s="14">
        <v>17648</v>
      </c>
      <c r="AB145" s="14">
        <v>17992</v>
      </c>
      <c r="AC145" s="14">
        <v>18455</v>
      </c>
      <c r="AD145" s="14">
        <v>18305</v>
      </c>
      <c r="AE145" s="14">
        <v>22743</v>
      </c>
      <c r="AF145" s="14">
        <v>17761</v>
      </c>
      <c r="AG145" s="14">
        <v>17761</v>
      </c>
      <c r="AH145" s="14">
        <v>17761</v>
      </c>
      <c r="AI145" s="14">
        <v>11143</v>
      </c>
      <c r="AJ145" s="14">
        <v>10656</v>
      </c>
      <c r="AK145" s="14">
        <v>11143</v>
      </c>
      <c r="AL145" s="14">
        <v>10073</v>
      </c>
      <c r="AM145" s="14">
        <v>8043</v>
      </c>
      <c r="AN145" s="14">
        <v>8173</v>
      </c>
      <c r="AO145" s="14">
        <v>8264</v>
      </c>
      <c r="AP145" s="13">
        <v>1078</v>
      </c>
      <c r="AQ145" s="12"/>
      <c r="AR145" s="13">
        <v>3963</v>
      </c>
      <c r="AS145" s="14">
        <v>12973</v>
      </c>
      <c r="AT145" s="14">
        <v>12973</v>
      </c>
      <c r="AU145" s="14">
        <v>12973</v>
      </c>
      <c r="AV145" s="14">
        <v>8910</v>
      </c>
      <c r="AW145" s="14">
        <v>23727</v>
      </c>
      <c r="AX145" s="14">
        <v>23727</v>
      </c>
      <c r="AY145" s="14">
        <v>9403</v>
      </c>
      <c r="AZ145" s="14"/>
      <c r="BA145" s="14">
        <v>12047</v>
      </c>
      <c r="BB145" s="14">
        <f>4984</f>
        <v>4984</v>
      </c>
      <c r="BC145" s="14">
        <v>23229</v>
      </c>
      <c r="BD145" s="14">
        <v>8354</v>
      </c>
      <c r="BE145" s="14">
        <v>9440</v>
      </c>
      <c r="BF145" s="14">
        <v>8578</v>
      </c>
      <c r="BG145" s="14">
        <v>17857</v>
      </c>
      <c r="BH145" s="14">
        <v>16464</v>
      </c>
      <c r="BI145" s="14">
        <v>14071</v>
      </c>
      <c r="BJ145" s="14">
        <v>11582</v>
      </c>
      <c r="BK145" s="15">
        <v>11582</v>
      </c>
      <c r="BM145" s="10" t="s">
        <v>41</v>
      </c>
      <c r="BN145" s="35" t="s">
        <v>73</v>
      </c>
      <c r="BO145" s="16"/>
      <c r="BP145" s="14"/>
      <c r="BQ145" s="14">
        <v>1925.4</v>
      </c>
      <c r="BR145" s="14"/>
      <c r="BS145" s="14">
        <v>63</v>
      </c>
      <c r="BT145" s="14">
        <v>1636.8</v>
      </c>
      <c r="BU145" s="14"/>
      <c r="BV145" s="14"/>
      <c r="BW145" s="14">
        <v>543.29999999999995</v>
      </c>
      <c r="BX145" s="14"/>
      <c r="BY145" s="14">
        <v>970.9</v>
      </c>
      <c r="BZ145" s="14"/>
      <c r="CA145" s="14">
        <v>458.8</v>
      </c>
      <c r="CB145" s="14">
        <v>441.9</v>
      </c>
      <c r="CC145" s="14">
        <v>51.7</v>
      </c>
      <c r="CD145" s="14"/>
      <c r="CE145" s="14"/>
      <c r="CF145" s="14"/>
      <c r="CG145" s="14">
        <v>190.1</v>
      </c>
      <c r="CH145" s="14">
        <v>311.89999999999998</v>
      </c>
      <c r="CI145" s="14">
        <v>495.4</v>
      </c>
      <c r="CJ145" s="14"/>
      <c r="CK145" s="14">
        <v>142.80000000000001</v>
      </c>
      <c r="CL145" s="14">
        <v>252.5</v>
      </c>
      <c r="CM145" s="14">
        <v>71.3</v>
      </c>
      <c r="CN145" s="14">
        <v>146</v>
      </c>
      <c r="CO145" s="14">
        <v>354.6</v>
      </c>
      <c r="CP145" s="14"/>
      <c r="CQ145" s="14"/>
      <c r="CR145" s="14">
        <v>931.2</v>
      </c>
      <c r="CS145" s="14">
        <v>745.4</v>
      </c>
      <c r="CT145" s="14">
        <v>522.4</v>
      </c>
      <c r="CU145" s="14">
        <v>1374.6</v>
      </c>
      <c r="CV145" s="14"/>
      <c r="CW145" s="14">
        <v>857.3</v>
      </c>
      <c r="CX145" s="14"/>
      <c r="CY145" s="14"/>
      <c r="CZ145" s="14"/>
      <c r="DA145" s="14">
        <v>162.69999999999999</v>
      </c>
      <c r="DB145" s="13"/>
      <c r="DC145" s="12"/>
      <c r="DD145" s="13"/>
      <c r="DE145" s="14"/>
      <c r="DF145" s="14">
        <v>1855.4</v>
      </c>
      <c r="DG145" s="14">
        <v>996.5</v>
      </c>
      <c r="DH145" s="14">
        <v>33.799999999999997</v>
      </c>
      <c r="DI145" s="14">
        <v>701.9</v>
      </c>
      <c r="DJ145" s="14">
        <v>4701.1000000000004</v>
      </c>
      <c r="DK145" s="14"/>
      <c r="DL145" s="14"/>
      <c r="DM145" s="14">
        <v>483.6</v>
      </c>
      <c r="DN145" s="14"/>
      <c r="DO145" s="14"/>
      <c r="DP145" s="14"/>
      <c r="DQ145" s="14">
        <v>121.2</v>
      </c>
      <c r="DR145" s="14"/>
      <c r="DS145" s="14">
        <v>778.9</v>
      </c>
      <c r="DT145" s="14">
        <v>11.8</v>
      </c>
      <c r="DU145" s="14">
        <v>503.6</v>
      </c>
      <c r="DV145" s="14">
        <v>114</v>
      </c>
      <c r="DW145" s="15">
        <v>1147</v>
      </c>
      <c r="DY145" s="10" t="s">
        <v>41</v>
      </c>
      <c r="DZ145" s="35" t="s">
        <v>73</v>
      </c>
      <c r="EA145" s="16"/>
      <c r="EB145" s="14"/>
      <c r="EC145" s="14">
        <v>2197.1999999999998</v>
      </c>
      <c r="ED145" s="14"/>
      <c r="EE145" s="14">
        <v>64.400000000000006</v>
      </c>
      <c r="EF145" s="14">
        <v>2958.2</v>
      </c>
      <c r="EG145" s="14"/>
      <c r="EH145" s="14"/>
      <c r="EI145" s="14">
        <v>535.6</v>
      </c>
      <c r="EJ145" s="14"/>
      <c r="EK145" s="14"/>
      <c r="EL145" s="14"/>
      <c r="EM145" s="14"/>
      <c r="EN145" s="14"/>
      <c r="EO145" s="14"/>
      <c r="EP145" s="14"/>
      <c r="EQ145" s="14"/>
      <c r="ER145" s="14"/>
      <c r="ES145" s="14">
        <v>226.7</v>
      </c>
      <c r="ET145" s="14">
        <v>319.5</v>
      </c>
      <c r="EU145" s="14">
        <v>513.79999999999995</v>
      </c>
      <c r="EV145" s="14"/>
      <c r="EW145" s="14">
        <v>135.5</v>
      </c>
      <c r="EX145" s="14">
        <v>263.10000000000002</v>
      </c>
      <c r="EY145" s="14">
        <v>77.900000000000006</v>
      </c>
      <c r="EZ145" s="14">
        <v>141.30000000000001</v>
      </c>
      <c r="FA145" s="14">
        <v>389.7</v>
      </c>
      <c r="FB145" s="14"/>
      <c r="FC145" s="14"/>
      <c r="FD145" s="14">
        <v>994.9</v>
      </c>
      <c r="FE145" s="14">
        <v>960.9</v>
      </c>
      <c r="FF145" s="14">
        <v>624.5</v>
      </c>
      <c r="FG145" s="14">
        <v>1386.2</v>
      </c>
      <c r="FH145" s="14"/>
      <c r="FI145" s="14">
        <v>982.6</v>
      </c>
      <c r="FJ145" s="14"/>
      <c r="FK145" s="14"/>
      <c r="FL145" s="14"/>
      <c r="FM145" s="14">
        <v>154.6</v>
      </c>
      <c r="FN145" s="13"/>
      <c r="FO145" s="12"/>
      <c r="FP145" s="13"/>
      <c r="FQ145" s="14"/>
      <c r="FR145" s="14"/>
      <c r="FS145" s="14"/>
      <c r="FT145" s="14">
        <v>43.9</v>
      </c>
      <c r="FU145" s="14">
        <f t="shared" si="20"/>
        <v>645.09999999999991</v>
      </c>
      <c r="FV145" s="14">
        <f t="shared" si="21"/>
        <v>4386.2</v>
      </c>
      <c r="FW145" s="14"/>
      <c r="FX145" s="14"/>
      <c r="FY145" s="14">
        <v>462.7</v>
      </c>
      <c r="FZ145" s="14"/>
      <c r="GA145" s="14"/>
      <c r="GB145" s="14"/>
      <c r="GC145" s="14">
        <v>116.6</v>
      </c>
      <c r="GD145" s="14"/>
      <c r="GE145" s="14">
        <v>965.1</v>
      </c>
      <c r="GF145" s="14"/>
      <c r="GG145" s="14"/>
      <c r="GH145" s="14"/>
      <c r="GI145" s="15"/>
    </row>
    <row r="146" spans="1:205" x14ac:dyDescent="0.3">
      <c r="A146" s="10" t="s">
        <v>68</v>
      </c>
      <c r="B146" s="35" t="s">
        <v>73</v>
      </c>
      <c r="C146" s="16">
        <v>19624</v>
      </c>
      <c r="D146" s="14">
        <v>20000</v>
      </c>
      <c r="E146" s="14">
        <v>21054</v>
      </c>
      <c r="F146" s="14">
        <v>23096</v>
      </c>
      <c r="G146" s="14">
        <v>20928</v>
      </c>
      <c r="H146" s="14">
        <v>15862</v>
      </c>
      <c r="I146" s="14">
        <v>15572</v>
      </c>
      <c r="J146" s="14">
        <v>15862</v>
      </c>
      <c r="K146" s="14">
        <v>21102</v>
      </c>
      <c r="L146" s="14">
        <v>21102</v>
      </c>
      <c r="M146" s="14">
        <v>15601</v>
      </c>
      <c r="N146" s="14">
        <v>15601</v>
      </c>
      <c r="O146" s="14">
        <v>20013</v>
      </c>
      <c r="P146" s="14">
        <v>14707</v>
      </c>
      <c r="Q146" s="14">
        <v>14816</v>
      </c>
      <c r="R146" s="14">
        <v>18213</v>
      </c>
      <c r="S146" s="14">
        <v>17557</v>
      </c>
      <c r="T146" s="14">
        <v>17657</v>
      </c>
      <c r="U146" s="14">
        <v>17353</v>
      </c>
      <c r="V146" s="14">
        <v>14469</v>
      </c>
      <c r="W146" s="14">
        <v>14066</v>
      </c>
      <c r="X146" s="14">
        <v>18201</v>
      </c>
      <c r="Y146" s="14">
        <v>19048</v>
      </c>
      <c r="Z146" s="14">
        <v>17733</v>
      </c>
      <c r="AA146" s="14">
        <v>13953</v>
      </c>
      <c r="AB146" s="14">
        <v>14297</v>
      </c>
      <c r="AC146" s="14">
        <v>14760</v>
      </c>
      <c r="AD146" s="14">
        <v>14610</v>
      </c>
      <c r="AE146" s="14">
        <v>19048</v>
      </c>
      <c r="AF146" s="14">
        <v>14066</v>
      </c>
      <c r="AG146" s="14">
        <v>14066</v>
      </c>
      <c r="AH146" s="14">
        <v>14066</v>
      </c>
      <c r="AI146" s="14">
        <v>7375</v>
      </c>
      <c r="AJ146" s="14">
        <v>6823</v>
      </c>
      <c r="AK146" s="14">
        <v>7375</v>
      </c>
      <c r="AL146" s="14">
        <v>6276</v>
      </c>
      <c r="AM146" s="14">
        <v>8334</v>
      </c>
      <c r="AN146" s="14">
        <v>8088</v>
      </c>
      <c r="AO146" s="14">
        <v>8015</v>
      </c>
      <c r="AP146" s="13">
        <v>3133</v>
      </c>
      <c r="AQ146" s="13">
        <v>3963</v>
      </c>
      <c r="AR146" s="12"/>
      <c r="AS146" s="14">
        <v>9216</v>
      </c>
      <c r="AT146" s="14">
        <v>9216</v>
      </c>
      <c r="AU146" s="14">
        <v>9216</v>
      </c>
      <c r="AV146" s="14">
        <v>8080</v>
      </c>
      <c r="AW146" s="14">
        <v>20033</v>
      </c>
      <c r="AX146" s="14">
        <v>20033</v>
      </c>
      <c r="AY146" s="14">
        <v>9032</v>
      </c>
      <c r="AZ146" s="14"/>
      <c r="BA146" s="14">
        <v>8453</v>
      </c>
      <c r="BB146" s="14">
        <v>5556</v>
      </c>
      <c r="BC146" s="14">
        <v>19535</v>
      </c>
      <c r="BD146" s="14">
        <v>6489</v>
      </c>
      <c r="BE146" s="14">
        <v>8515</v>
      </c>
      <c r="BF146" s="14">
        <v>7474</v>
      </c>
      <c r="BG146" s="14">
        <v>14162</v>
      </c>
      <c r="BH146" s="14">
        <v>12769</v>
      </c>
      <c r="BI146" s="14">
        <v>17079</v>
      </c>
      <c r="BJ146" s="14">
        <v>14445</v>
      </c>
      <c r="BK146" s="15">
        <v>14445</v>
      </c>
      <c r="BM146" s="10" t="s">
        <v>68</v>
      </c>
      <c r="BN146" s="35" t="s">
        <v>73</v>
      </c>
      <c r="BO146" s="16"/>
      <c r="BP146" s="14"/>
      <c r="BQ146" s="14">
        <v>1925.4</v>
      </c>
      <c r="BR146" s="14"/>
      <c r="BS146" s="14">
        <v>63</v>
      </c>
      <c r="BT146" s="14">
        <v>1636.8</v>
      </c>
      <c r="BU146" s="14"/>
      <c r="BV146" s="14"/>
      <c r="BW146" s="14">
        <v>543.29999999999995</v>
      </c>
      <c r="BX146" s="14"/>
      <c r="BY146" s="14">
        <v>970.9</v>
      </c>
      <c r="BZ146" s="14"/>
      <c r="CA146" s="14">
        <v>458.8</v>
      </c>
      <c r="CB146" s="14">
        <v>441.9</v>
      </c>
      <c r="CC146" s="14">
        <v>51.7</v>
      </c>
      <c r="CD146" s="14"/>
      <c r="CE146" s="14"/>
      <c r="CF146" s="14"/>
      <c r="CG146" s="14">
        <v>190.1</v>
      </c>
      <c r="CH146" s="14">
        <v>311.89999999999998</v>
      </c>
      <c r="CI146" s="14">
        <v>495.4</v>
      </c>
      <c r="CJ146" s="14"/>
      <c r="CK146" s="14">
        <v>142.80000000000001</v>
      </c>
      <c r="CL146" s="14">
        <v>252.5</v>
      </c>
      <c r="CM146" s="14">
        <v>71.3</v>
      </c>
      <c r="CN146" s="14">
        <v>146</v>
      </c>
      <c r="CO146" s="14">
        <v>354.6</v>
      </c>
      <c r="CP146" s="14"/>
      <c r="CQ146" s="14"/>
      <c r="CR146" s="14">
        <v>931.2</v>
      </c>
      <c r="CS146" s="14">
        <v>745.4</v>
      </c>
      <c r="CT146" s="14">
        <v>522.4</v>
      </c>
      <c r="CU146" s="14">
        <v>1374.6</v>
      </c>
      <c r="CV146" s="14"/>
      <c r="CW146" s="14">
        <v>857.3</v>
      </c>
      <c r="CX146" s="14"/>
      <c r="CY146" s="14"/>
      <c r="CZ146" s="14"/>
      <c r="DA146" s="14">
        <v>162.69999999999999</v>
      </c>
      <c r="DB146" s="13"/>
      <c r="DC146" s="13"/>
      <c r="DD146" s="12"/>
      <c r="DE146" s="14"/>
      <c r="DF146" s="14">
        <v>1855.4</v>
      </c>
      <c r="DG146" s="14">
        <v>996.5</v>
      </c>
      <c r="DH146" s="14">
        <v>33.799999999999997</v>
      </c>
      <c r="DI146" s="14">
        <v>701.9</v>
      </c>
      <c r="DJ146" s="14">
        <v>4701.1000000000004</v>
      </c>
      <c r="DK146" s="14"/>
      <c r="DL146" s="14"/>
      <c r="DM146" s="14">
        <v>483.6</v>
      </c>
      <c r="DN146" s="14"/>
      <c r="DO146" s="14"/>
      <c r="DP146" s="14"/>
      <c r="DQ146" s="14">
        <v>121.2</v>
      </c>
      <c r="DR146" s="14"/>
      <c r="DS146" s="14">
        <v>778.9</v>
      </c>
      <c r="DT146" s="14">
        <v>11.8</v>
      </c>
      <c r="DU146" s="14">
        <v>503.6</v>
      </c>
      <c r="DV146" s="14">
        <v>114</v>
      </c>
      <c r="DW146" s="15">
        <v>1147</v>
      </c>
      <c r="DY146" s="10" t="s">
        <v>68</v>
      </c>
      <c r="DZ146" s="35" t="s">
        <v>73</v>
      </c>
      <c r="EA146" s="16"/>
      <c r="EB146" s="14"/>
      <c r="EC146" s="14">
        <v>2197.1999999999998</v>
      </c>
      <c r="ED146" s="14"/>
      <c r="EE146" s="14">
        <v>64.400000000000006</v>
      </c>
      <c r="EF146" s="14">
        <v>2958.2</v>
      </c>
      <c r="EG146" s="14"/>
      <c r="EH146" s="14"/>
      <c r="EI146" s="14">
        <v>535.6</v>
      </c>
      <c r="EJ146" s="14"/>
      <c r="EK146" s="14"/>
      <c r="EL146" s="14"/>
      <c r="EM146" s="14"/>
      <c r="EN146" s="14"/>
      <c r="EO146" s="14"/>
      <c r="EP146" s="14"/>
      <c r="EQ146" s="14"/>
      <c r="ER146" s="14"/>
      <c r="ES146" s="14">
        <v>226.7</v>
      </c>
      <c r="ET146" s="14">
        <v>319.5</v>
      </c>
      <c r="EU146" s="14">
        <v>513.79999999999995</v>
      </c>
      <c r="EV146" s="14"/>
      <c r="EW146" s="14">
        <v>135.5</v>
      </c>
      <c r="EX146" s="14">
        <v>263.10000000000002</v>
      </c>
      <c r="EY146" s="14">
        <v>77.900000000000006</v>
      </c>
      <c r="EZ146" s="14">
        <v>141.30000000000001</v>
      </c>
      <c r="FA146" s="14">
        <v>389.7</v>
      </c>
      <c r="FB146" s="14"/>
      <c r="FC146" s="14"/>
      <c r="FD146" s="14">
        <v>994.9</v>
      </c>
      <c r="FE146" s="14">
        <v>960.9</v>
      </c>
      <c r="FF146" s="14">
        <v>624.5</v>
      </c>
      <c r="FG146" s="14">
        <v>1386.2</v>
      </c>
      <c r="FH146" s="14"/>
      <c r="FI146" s="14">
        <v>982.6</v>
      </c>
      <c r="FJ146" s="14"/>
      <c r="FK146" s="14"/>
      <c r="FL146" s="14"/>
      <c r="FM146" s="14">
        <v>154.6</v>
      </c>
      <c r="FN146" s="13"/>
      <c r="FO146" s="13"/>
      <c r="FP146" s="12"/>
      <c r="FQ146" s="14"/>
      <c r="FR146" s="14"/>
      <c r="FS146" s="14"/>
      <c r="FT146" s="14">
        <v>43.9</v>
      </c>
      <c r="FU146" s="14">
        <f t="shared" si="20"/>
        <v>645.09999999999991</v>
      </c>
      <c r="FV146" s="14">
        <f t="shared" si="21"/>
        <v>4386.2</v>
      </c>
      <c r="FW146" s="14"/>
      <c r="FX146" s="14"/>
      <c r="FY146" s="14">
        <v>462.7</v>
      </c>
      <c r="FZ146" s="14"/>
      <c r="GA146" s="14"/>
      <c r="GB146" s="14"/>
      <c r="GC146" s="14">
        <v>116.6</v>
      </c>
      <c r="GD146" s="14"/>
      <c r="GE146" s="14">
        <v>965.1</v>
      </c>
      <c r="GF146" s="14"/>
      <c r="GG146" s="14"/>
      <c r="GH146" s="14"/>
      <c r="GI146" s="15"/>
    </row>
    <row r="147" spans="1:205" x14ac:dyDescent="0.3">
      <c r="A147" s="10" t="s">
        <v>69</v>
      </c>
      <c r="B147" s="35" t="s">
        <v>73</v>
      </c>
      <c r="C147" s="16">
        <v>16001</v>
      </c>
      <c r="D147" s="14">
        <v>17361</v>
      </c>
      <c r="E147" s="14">
        <v>14835</v>
      </c>
      <c r="F147" s="14">
        <v>16781</v>
      </c>
      <c r="G147" s="14">
        <v>15351</v>
      </c>
      <c r="H147" s="14">
        <v>20555</v>
      </c>
      <c r="I147" s="14">
        <v>19431</v>
      </c>
      <c r="J147" s="14">
        <v>20555</v>
      </c>
      <c r="K147" s="14">
        <v>14786</v>
      </c>
      <c r="L147" s="14">
        <v>14786</v>
      </c>
      <c r="M147" s="14">
        <v>19461</v>
      </c>
      <c r="N147" s="14">
        <v>19461</v>
      </c>
      <c r="O147" s="14">
        <v>17822</v>
      </c>
      <c r="P147" s="14">
        <v>14779</v>
      </c>
      <c r="Q147" s="14">
        <v>14690</v>
      </c>
      <c r="R147" s="14">
        <v>11897</v>
      </c>
      <c r="S147" s="14">
        <v>11241</v>
      </c>
      <c r="T147" s="14">
        <v>11341</v>
      </c>
      <c r="U147" s="14">
        <v>11038</v>
      </c>
      <c r="V147" s="14">
        <v>8154</v>
      </c>
      <c r="W147" s="14">
        <v>7751</v>
      </c>
      <c r="X147" s="14">
        <v>11886</v>
      </c>
      <c r="Y147" s="14">
        <v>12732</v>
      </c>
      <c r="Z147" s="14">
        <v>11418</v>
      </c>
      <c r="AA147" s="14">
        <v>7637</v>
      </c>
      <c r="AB147" s="14">
        <v>7982</v>
      </c>
      <c r="AC147" s="14">
        <v>8445</v>
      </c>
      <c r="AD147" s="14">
        <v>8295</v>
      </c>
      <c r="AE147" s="14">
        <v>12732</v>
      </c>
      <c r="AF147" s="14">
        <v>7751</v>
      </c>
      <c r="AG147" s="14">
        <v>7751</v>
      </c>
      <c r="AH147" s="14">
        <v>7751</v>
      </c>
      <c r="AI147" s="13">
        <v>2078</v>
      </c>
      <c r="AJ147" s="13">
        <v>5754</v>
      </c>
      <c r="AK147" s="13">
        <v>2078</v>
      </c>
      <c r="AL147" s="13">
        <v>4543</v>
      </c>
      <c r="AM147" s="13">
        <v>11731</v>
      </c>
      <c r="AN147" s="13">
        <v>11343</v>
      </c>
      <c r="AO147" s="13">
        <v>11053</v>
      </c>
      <c r="AP147" s="14">
        <v>12123</v>
      </c>
      <c r="AQ147" s="14">
        <v>12973</v>
      </c>
      <c r="AR147" s="14">
        <v>9216</v>
      </c>
      <c r="AS147" s="12"/>
      <c r="AT147" s="13">
        <v>0</v>
      </c>
      <c r="AU147" s="13">
        <v>0</v>
      </c>
      <c r="AV147" s="13">
        <v>11079</v>
      </c>
      <c r="AW147" s="13">
        <v>13718</v>
      </c>
      <c r="AX147" s="13">
        <v>13718</v>
      </c>
      <c r="AY147" s="13">
        <v>11921</v>
      </c>
      <c r="AZ147" s="14"/>
      <c r="BA147" s="14">
        <v>4469</v>
      </c>
      <c r="BB147" s="13">
        <v>7891</v>
      </c>
      <c r="BC147" s="14">
        <v>13220</v>
      </c>
      <c r="BD147" s="13">
        <v>9056</v>
      </c>
      <c r="BE147" s="13">
        <v>11471</v>
      </c>
      <c r="BF147" s="13">
        <v>10495</v>
      </c>
      <c r="BG147" s="14">
        <v>7847</v>
      </c>
      <c r="BH147" s="14">
        <v>6454</v>
      </c>
      <c r="BI147" s="14">
        <v>26026</v>
      </c>
      <c r="BJ147" s="14">
        <v>23455</v>
      </c>
      <c r="BK147" s="15">
        <v>23455</v>
      </c>
      <c r="BM147" s="10" t="s">
        <v>69</v>
      </c>
      <c r="BN147" s="35" t="s">
        <v>73</v>
      </c>
      <c r="BO147" s="16"/>
      <c r="BP147" s="14"/>
      <c r="BQ147" s="14">
        <v>1925.4</v>
      </c>
      <c r="BR147" s="14"/>
      <c r="BS147" s="14">
        <v>63</v>
      </c>
      <c r="BT147" s="14">
        <v>1636.8</v>
      </c>
      <c r="BU147" s="14"/>
      <c r="BV147" s="14"/>
      <c r="BW147" s="14">
        <v>543.29999999999995</v>
      </c>
      <c r="BX147" s="14"/>
      <c r="BY147" s="14">
        <v>970.9</v>
      </c>
      <c r="BZ147" s="14"/>
      <c r="CA147" s="14">
        <v>458.8</v>
      </c>
      <c r="CB147" s="14">
        <v>441.9</v>
      </c>
      <c r="CC147" s="14">
        <v>51.7</v>
      </c>
      <c r="CD147" s="14"/>
      <c r="CE147" s="14"/>
      <c r="CF147" s="14"/>
      <c r="CG147" s="14">
        <v>190.1</v>
      </c>
      <c r="CH147" s="14">
        <v>311.89999999999998</v>
      </c>
      <c r="CI147" s="14">
        <v>495.4</v>
      </c>
      <c r="CJ147" s="14"/>
      <c r="CK147" s="14">
        <v>142.80000000000001</v>
      </c>
      <c r="CL147" s="14">
        <v>252.5</v>
      </c>
      <c r="CM147" s="14">
        <v>71.3</v>
      </c>
      <c r="CN147" s="14">
        <v>146</v>
      </c>
      <c r="CO147" s="14">
        <v>354.6</v>
      </c>
      <c r="CP147" s="14"/>
      <c r="CQ147" s="14"/>
      <c r="CR147" s="14">
        <v>931.2</v>
      </c>
      <c r="CS147" s="14">
        <v>745.4</v>
      </c>
      <c r="CT147" s="14">
        <v>522.4</v>
      </c>
      <c r="CU147" s="13">
        <v>1374.6</v>
      </c>
      <c r="CV147" s="13"/>
      <c r="CW147" s="13">
        <v>857.3</v>
      </c>
      <c r="CX147" s="13"/>
      <c r="CY147" s="13"/>
      <c r="CZ147" s="13"/>
      <c r="DA147" s="13">
        <v>162.69999999999999</v>
      </c>
      <c r="DB147" s="14"/>
      <c r="DC147" s="14"/>
      <c r="DD147" s="14"/>
      <c r="DE147" s="12"/>
      <c r="DF147" s="13">
        <v>1855.4</v>
      </c>
      <c r="DG147" s="13">
        <v>996.5</v>
      </c>
      <c r="DH147" s="13">
        <v>33.799999999999997</v>
      </c>
      <c r="DI147" s="13">
        <v>701.9</v>
      </c>
      <c r="DJ147" s="13">
        <v>4701.1000000000004</v>
      </c>
      <c r="DK147" s="13"/>
      <c r="DL147" s="14"/>
      <c r="DM147" s="14">
        <v>483.6</v>
      </c>
      <c r="DN147" s="13"/>
      <c r="DO147" s="14"/>
      <c r="DP147" s="13"/>
      <c r="DQ147" s="13">
        <v>121.2</v>
      </c>
      <c r="DR147" s="13"/>
      <c r="DS147" s="14">
        <v>778.9</v>
      </c>
      <c r="DT147" s="14">
        <v>11.8</v>
      </c>
      <c r="DU147" s="14">
        <v>503.6</v>
      </c>
      <c r="DV147" s="14">
        <v>114</v>
      </c>
      <c r="DW147" s="15">
        <v>1147</v>
      </c>
      <c r="DY147" s="10" t="s">
        <v>69</v>
      </c>
      <c r="DZ147" s="35" t="s">
        <v>73</v>
      </c>
      <c r="EA147" s="16"/>
      <c r="EB147" s="14"/>
      <c r="EC147" s="14">
        <v>2197.1999999999998</v>
      </c>
      <c r="ED147" s="14"/>
      <c r="EE147" s="14">
        <v>64.400000000000006</v>
      </c>
      <c r="EF147" s="14">
        <v>2958.2</v>
      </c>
      <c r="EG147" s="14"/>
      <c r="EH147" s="14"/>
      <c r="EI147" s="14">
        <v>535.6</v>
      </c>
      <c r="EJ147" s="14"/>
      <c r="EK147" s="14"/>
      <c r="EL147" s="14"/>
      <c r="EM147" s="14"/>
      <c r="EN147" s="14"/>
      <c r="EO147" s="14"/>
      <c r="EP147" s="14"/>
      <c r="EQ147" s="14"/>
      <c r="ER147" s="14"/>
      <c r="ES147" s="14">
        <v>226.7</v>
      </c>
      <c r="ET147" s="14">
        <v>319.5</v>
      </c>
      <c r="EU147" s="14">
        <v>513.79999999999995</v>
      </c>
      <c r="EV147" s="14"/>
      <c r="EW147" s="14">
        <v>135.5</v>
      </c>
      <c r="EX147" s="14">
        <v>263.10000000000002</v>
      </c>
      <c r="EY147" s="14">
        <v>77.900000000000006</v>
      </c>
      <c r="EZ147" s="14">
        <v>141.30000000000001</v>
      </c>
      <c r="FA147" s="14">
        <v>389.7</v>
      </c>
      <c r="FB147" s="14"/>
      <c r="FC147" s="14"/>
      <c r="FD147" s="14">
        <v>994.9</v>
      </c>
      <c r="FE147" s="14">
        <v>960.9</v>
      </c>
      <c r="FF147" s="14">
        <v>624.5</v>
      </c>
      <c r="FG147" s="13">
        <v>1386.2</v>
      </c>
      <c r="FH147" s="13"/>
      <c r="FI147" s="13">
        <v>982.6</v>
      </c>
      <c r="FJ147" s="13"/>
      <c r="FK147" s="13"/>
      <c r="FL147" s="13"/>
      <c r="FM147" s="13">
        <v>154.6</v>
      </c>
      <c r="FN147" s="14"/>
      <c r="FO147" s="14"/>
      <c r="FP147" s="14"/>
      <c r="FQ147" s="12"/>
      <c r="FR147" s="13"/>
      <c r="FS147" s="13"/>
      <c r="FT147" s="13">
        <v>43.9</v>
      </c>
      <c r="FU147" s="13">
        <f t="shared" si="20"/>
        <v>645.09999999999991</v>
      </c>
      <c r="FV147" s="13">
        <f t="shared" si="21"/>
        <v>4386.2</v>
      </c>
      <c r="FW147" s="13"/>
      <c r="FX147" s="14"/>
      <c r="FY147" s="14">
        <v>462.7</v>
      </c>
      <c r="FZ147" s="13"/>
      <c r="GA147" s="14"/>
      <c r="GB147" s="13"/>
      <c r="GC147" s="13">
        <v>116.6</v>
      </c>
      <c r="GD147" s="13"/>
      <c r="GE147" s="14">
        <v>965.1</v>
      </c>
      <c r="GF147" s="14"/>
      <c r="GG147" s="14"/>
      <c r="GH147" s="14"/>
      <c r="GI147" s="15"/>
    </row>
    <row r="148" spans="1:205" x14ac:dyDescent="0.3">
      <c r="A148" s="10" t="s">
        <v>44</v>
      </c>
      <c r="B148" s="35" t="s">
        <v>69</v>
      </c>
      <c r="C148" s="16">
        <v>16001</v>
      </c>
      <c r="D148" s="14">
        <v>17361</v>
      </c>
      <c r="E148" s="14">
        <v>14835</v>
      </c>
      <c r="F148" s="14">
        <v>16781</v>
      </c>
      <c r="G148" s="14">
        <v>15351</v>
      </c>
      <c r="H148" s="14">
        <v>20555</v>
      </c>
      <c r="I148" s="14">
        <v>19431</v>
      </c>
      <c r="J148" s="14">
        <v>20555</v>
      </c>
      <c r="K148" s="14">
        <v>14786</v>
      </c>
      <c r="L148" s="14">
        <v>14786</v>
      </c>
      <c r="M148" s="14">
        <v>19461</v>
      </c>
      <c r="N148" s="14">
        <v>19461</v>
      </c>
      <c r="O148" s="14">
        <v>17822</v>
      </c>
      <c r="P148" s="14">
        <v>14779</v>
      </c>
      <c r="Q148" s="14">
        <v>14690</v>
      </c>
      <c r="R148" s="14">
        <v>11897</v>
      </c>
      <c r="S148" s="14">
        <v>11241</v>
      </c>
      <c r="T148" s="14">
        <v>11341</v>
      </c>
      <c r="U148" s="14">
        <v>11038</v>
      </c>
      <c r="V148" s="14">
        <v>8154</v>
      </c>
      <c r="W148" s="14">
        <v>7751</v>
      </c>
      <c r="X148" s="14">
        <v>11886</v>
      </c>
      <c r="Y148" s="14">
        <v>12732</v>
      </c>
      <c r="Z148" s="14">
        <v>11418</v>
      </c>
      <c r="AA148" s="14">
        <v>7637</v>
      </c>
      <c r="AB148" s="14">
        <v>7982</v>
      </c>
      <c r="AC148" s="14">
        <v>8445</v>
      </c>
      <c r="AD148" s="14">
        <v>8295</v>
      </c>
      <c r="AE148" s="14">
        <v>12732</v>
      </c>
      <c r="AF148" s="14">
        <v>7751</v>
      </c>
      <c r="AG148" s="14">
        <v>7751</v>
      </c>
      <c r="AH148" s="14">
        <v>7751</v>
      </c>
      <c r="AI148" s="13">
        <v>2078</v>
      </c>
      <c r="AJ148" s="13">
        <v>5754</v>
      </c>
      <c r="AK148" s="13">
        <v>2078</v>
      </c>
      <c r="AL148" s="13">
        <v>4543</v>
      </c>
      <c r="AM148" s="13">
        <v>11731</v>
      </c>
      <c r="AN148" s="13">
        <v>11343</v>
      </c>
      <c r="AO148" s="13">
        <v>11053</v>
      </c>
      <c r="AP148" s="14">
        <v>12123</v>
      </c>
      <c r="AQ148" s="14">
        <v>12973</v>
      </c>
      <c r="AR148" s="14">
        <v>9216</v>
      </c>
      <c r="AS148" s="13">
        <v>0</v>
      </c>
      <c r="AT148" s="12"/>
      <c r="AU148" s="13">
        <v>0</v>
      </c>
      <c r="AV148" s="13">
        <v>11079</v>
      </c>
      <c r="AW148" s="13">
        <v>13718</v>
      </c>
      <c r="AX148" s="13">
        <v>13718</v>
      </c>
      <c r="AY148" s="13">
        <v>11921</v>
      </c>
      <c r="AZ148" s="12"/>
      <c r="BA148" s="12">
        <v>4469</v>
      </c>
      <c r="BB148" s="13">
        <v>7891</v>
      </c>
      <c r="BC148" s="14">
        <v>13220</v>
      </c>
      <c r="BD148" s="13">
        <v>9056</v>
      </c>
      <c r="BE148" s="13">
        <v>11471</v>
      </c>
      <c r="BF148" s="13">
        <v>10495</v>
      </c>
      <c r="BG148" s="14">
        <v>7847</v>
      </c>
      <c r="BH148" s="14">
        <v>6454</v>
      </c>
      <c r="BI148" s="14">
        <v>26026</v>
      </c>
      <c r="BJ148" s="14">
        <v>23455</v>
      </c>
      <c r="BK148" s="15">
        <v>23455</v>
      </c>
      <c r="BM148" s="10" t="s">
        <v>44</v>
      </c>
      <c r="BN148" s="35" t="s">
        <v>69</v>
      </c>
      <c r="BO148" s="16">
        <f>1855.4</f>
        <v>1855.4</v>
      </c>
      <c r="BP148" s="14">
        <f>1855.4</f>
        <v>1855.4</v>
      </c>
      <c r="BQ148" s="14">
        <f>1855.4+1925.4</f>
        <v>3780.8</v>
      </c>
      <c r="BR148" s="14">
        <f>1855.4</f>
        <v>1855.4</v>
      </c>
      <c r="BS148" s="14">
        <f>1855.4+63</f>
        <v>1918.4</v>
      </c>
      <c r="BT148" s="14">
        <f>1855.4+1636.8</f>
        <v>3492.2</v>
      </c>
      <c r="BU148" s="14">
        <f>1855.4</f>
        <v>1855.4</v>
      </c>
      <c r="BV148" s="14">
        <f>1855.4</f>
        <v>1855.4</v>
      </c>
      <c r="BW148" s="14">
        <f>1855.4+543.3</f>
        <v>2398.6999999999998</v>
      </c>
      <c r="BX148" s="14">
        <f>1855.4</f>
        <v>1855.4</v>
      </c>
      <c r="BY148" s="14">
        <f>1855.4+970.9</f>
        <v>2826.3</v>
      </c>
      <c r="BZ148" s="14">
        <f>1855.4</f>
        <v>1855.4</v>
      </c>
      <c r="CA148" s="14">
        <f>1855.4+458.8</f>
        <v>2314.2000000000003</v>
      </c>
      <c r="CB148" s="14">
        <f>1855.4+441.9</f>
        <v>2297.3000000000002</v>
      </c>
      <c r="CC148" s="14">
        <f>1855.4+51.7</f>
        <v>1907.1000000000001</v>
      </c>
      <c r="CD148" s="14">
        <f>1855.4</f>
        <v>1855.4</v>
      </c>
      <c r="CE148" s="14">
        <f>1855.4</f>
        <v>1855.4</v>
      </c>
      <c r="CF148" s="14">
        <f>1855.4</f>
        <v>1855.4</v>
      </c>
      <c r="CG148" s="14">
        <f>1855.4+190.1</f>
        <v>2045.5</v>
      </c>
      <c r="CH148" s="14">
        <f>1855.4+311.9</f>
        <v>2167.3000000000002</v>
      </c>
      <c r="CI148" s="14">
        <f>1855.4+495.4</f>
        <v>2350.8000000000002</v>
      </c>
      <c r="CJ148" s="14">
        <f>1855.4</f>
        <v>1855.4</v>
      </c>
      <c r="CK148" s="14">
        <f>1855.4+142.8</f>
        <v>1998.2</v>
      </c>
      <c r="CL148" s="14">
        <f>1855.4+252.5</f>
        <v>2107.9</v>
      </c>
      <c r="CM148" s="14">
        <f>1855.4+71.3</f>
        <v>1926.7</v>
      </c>
      <c r="CN148" s="14">
        <f>1855.4+146</f>
        <v>2001.4</v>
      </c>
      <c r="CO148" s="14">
        <f>1855.4+354.6</f>
        <v>2210</v>
      </c>
      <c r="CP148" s="14">
        <f>1855.4</f>
        <v>1855.4</v>
      </c>
      <c r="CQ148" s="14">
        <f>1855.4</f>
        <v>1855.4</v>
      </c>
      <c r="CR148" s="14">
        <f>1855.4+931.2</f>
        <v>2786.6000000000004</v>
      </c>
      <c r="CS148" s="14">
        <f>1855.4+745.4</f>
        <v>2600.8000000000002</v>
      </c>
      <c r="CT148" s="14">
        <f>1855.4+522.4</f>
        <v>2377.8000000000002</v>
      </c>
      <c r="CU148" s="13">
        <f>1855.4+1374.6</f>
        <v>3230</v>
      </c>
      <c r="CV148" s="13">
        <f>1855.4</f>
        <v>1855.4</v>
      </c>
      <c r="CW148" s="13">
        <f>1855.4+857.3</f>
        <v>2712.7</v>
      </c>
      <c r="CX148" s="13">
        <f>1855.4</f>
        <v>1855.4</v>
      </c>
      <c r="CY148" s="13">
        <f>1855.4</f>
        <v>1855.4</v>
      </c>
      <c r="CZ148" s="13">
        <f>1855.4</f>
        <v>1855.4</v>
      </c>
      <c r="DA148" s="13">
        <f>1855.4+162.7</f>
        <v>2018.1000000000001</v>
      </c>
      <c r="DB148" s="14">
        <f>1855.4</f>
        <v>1855.4</v>
      </c>
      <c r="DC148" s="14">
        <f>1855.4</f>
        <v>1855.4</v>
      </c>
      <c r="DD148" s="14">
        <f>1855.4</f>
        <v>1855.4</v>
      </c>
      <c r="DE148" s="13">
        <f>1855.4</f>
        <v>1855.4</v>
      </c>
      <c r="DF148" s="12"/>
      <c r="DG148" s="13">
        <f>1855.4+996.5</f>
        <v>2851.9</v>
      </c>
      <c r="DH148" s="13">
        <f>1855.4+33.8</f>
        <v>1889.2</v>
      </c>
      <c r="DI148" s="13">
        <f>1855.4+701.9</f>
        <v>2557.3000000000002</v>
      </c>
      <c r="DJ148" s="13">
        <f>1855.4+4701.1</f>
        <v>6556.5</v>
      </c>
      <c r="DK148" s="13">
        <f>1855.4</f>
        <v>1855.4</v>
      </c>
      <c r="DL148" s="12">
        <f>1855.4</f>
        <v>1855.4</v>
      </c>
      <c r="DM148" s="12">
        <f>1855.4+483.6</f>
        <v>2339</v>
      </c>
      <c r="DN148" s="13">
        <f>1855.4</f>
        <v>1855.4</v>
      </c>
      <c r="DO148" s="14">
        <f>1855.4</f>
        <v>1855.4</v>
      </c>
      <c r="DP148" s="13">
        <f>1855.4</f>
        <v>1855.4</v>
      </c>
      <c r="DQ148" s="13">
        <f>1855.4+121.2</f>
        <v>1976.6000000000001</v>
      </c>
      <c r="DR148" s="13">
        <f>1855.4</f>
        <v>1855.4</v>
      </c>
      <c r="DS148" s="14">
        <f>1855.4+778.9</f>
        <v>2634.3</v>
      </c>
      <c r="DT148" s="14">
        <f>1855.4+11.8</f>
        <v>1867.2</v>
      </c>
      <c r="DU148" s="14">
        <f>1855.4+503.6</f>
        <v>2359</v>
      </c>
      <c r="DV148" s="14">
        <f>1855.4+114</f>
        <v>1969.4</v>
      </c>
      <c r="DW148" s="15">
        <f>1855.4+1147</f>
        <v>3002.4</v>
      </c>
      <c r="DY148" s="10" t="s">
        <v>44</v>
      </c>
      <c r="DZ148" s="35" t="s">
        <v>69</v>
      </c>
      <c r="EA148" s="16"/>
      <c r="EB148" s="14"/>
      <c r="EC148" s="14">
        <v>2197.1999999999998</v>
      </c>
      <c r="ED148" s="14"/>
      <c r="EE148" s="14">
        <v>64.400000000000006</v>
      </c>
      <c r="EF148" s="14">
        <v>2958.2</v>
      </c>
      <c r="EG148" s="14"/>
      <c r="EH148" s="14"/>
      <c r="EI148" s="14">
        <v>535.6</v>
      </c>
      <c r="EJ148" s="14"/>
      <c r="EK148" s="14"/>
      <c r="EL148" s="14"/>
      <c r="EM148" s="14"/>
      <c r="EN148" s="14"/>
      <c r="EO148" s="14"/>
      <c r="EP148" s="14"/>
      <c r="EQ148" s="14"/>
      <c r="ER148" s="14"/>
      <c r="ES148" s="14">
        <v>226.7</v>
      </c>
      <c r="ET148" s="14">
        <v>319.5</v>
      </c>
      <c r="EU148" s="14">
        <v>513.79999999999995</v>
      </c>
      <c r="EV148" s="14"/>
      <c r="EW148" s="14">
        <v>135.5</v>
      </c>
      <c r="EX148" s="14">
        <v>263.10000000000002</v>
      </c>
      <c r="EY148" s="14">
        <v>77.900000000000006</v>
      </c>
      <c r="EZ148" s="14">
        <v>141.30000000000001</v>
      </c>
      <c r="FA148" s="14">
        <v>389.7</v>
      </c>
      <c r="FB148" s="14"/>
      <c r="FC148" s="14"/>
      <c r="FD148" s="14">
        <v>994.9</v>
      </c>
      <c r="FE148" s="14">
        <v>960.9</v>
      </c>
      <c r="FF148" s="14">
        <v>624.5</v>
      </c>
      <c r="FG148" s="13">
        <v>1386.2</v>
      </c>
      <c r="FH148" s="13"/>
      <c r="FI148" s="13">
        <v>982.6</v>
      </c>
      <c r="FJ148" s="13"/>
      <c r="FK148" s="13"/>
      <c r="FL148" s="13"/>
      <c r="FM148" s="13">
        <v>154.6</v>
      </c>
      <c r="FN148" s="14"/>
      <c r="FO148" s="14"/>
      <c r="FP148" s="14"/>
      <c r="FQ148" s="13"/>
      <c r="FR148" s="12"/>
      <c r="FS148" s="13"/>
      <c r="FT148" s="13">
        <v>43.9</v>
      </c>
      <c r="FU148" s="13">
        <f t="shared" si="20"/>
        <v>645.09999999999991</v>
      </c>
      <c r="FV148" s="13">
        <f t="shared" si="21"/>
        <v>4386.2</v>
      </c>
      <c r="FW148" s="13"/>
      <c r="FX148" s="12"/>
      <c r="FY148" s="12">
        <v>462.7</v>
      </c>
      <c r="FZ148" s="13"/>
      <c r="GA148" s="14"/>
      <c r="GB148" s="13"/>
      <c r="GC148" s="13">
        <v>116.6</v>
      </c>
      <c r="GD148" s="13"/>
      <c r="GE148" s="14">
        <v>965.1</v>
      </c>
      <c r="GF148" s="14"/>
      <c r="GG148" s="14"/>
      <c r="GH148" s="14"/>
      <c r="GI148" s="15"/>
    </row>
    <row r="149" spans="1:205" x14ac:dyDescent="0.3">
      <c r="A149" s="20" t="s">
        <v>45</v>
      </c>
      <c r="B149" s="35" t="s">
        <v>69</v>
      </c>
      <c r="C149" s="21">
        <v>16001</v>
      </c>
      <c r="D149" s="22">
        <v>17361</v>
      </c>
      <c r="E149" s="22">
        <v>14835</v>
      </c>
      <c r="F149" s="22">
        <v>16781</v>
      </c>
      <c r="G149" s="22">
        <v>15351</v>
      </c>
      <c r="H149" s="22">
        <v>20555</v>
      </c>
      <c r="I149" s="22">
        <v>19431</v>
      </c>
      <c r="J149" s="22">
        <v>20555</v>
      </c>
      <c r="K149" s="22">
        <v>14786</v>
      </c>
      <c r="L149" s="22">
        <v>14786</v>
      </c>
      <c r="M149" s="22">
        <v>19461</v>
      </c>
      <c r="N149" s="22">
        <v>19461</v>
      </c>
      <c r="O149" s="22">
        <v>17822</v>
      </c>
      <c r="P149" s="22">
        <v>14779</v>
      </c>
      <c r="Q149" s="22">
        <v>14690</v>
      </c>
      <c r="R149" s="22">
        <v>11897</v>
      </c>
      <c r="S149" s="22">
        <v>11241</v>
      </c>
      <c r="T149" s="22">
        <v>11341</v>
      </c>
      <c r="U149" s="22">
        <v>11038</v>
      </c>
      <c r="V149" s="22">
        <v>8154</v>
      </c>
      <c r="W149" s="22">
        <v>7751</v>
      </c>
      <c r="X149" s="22">
        <v>11886</v>
      </c>
      <c r="Y149" s="22">
        <v>12732</v>
      </c>
      <c r="Z149" s="22">
        <v>11418</v>
      </c>
      <c r="AA149" s="22">
        <v>7637</v>
      </c>
      <c r="AB149" s="22">
        <v>7982</v>
      </c>
      <c r="AC149" s="22">
        <v>8445</v>
      </c>
      <c r="AD149" s="22">
        <v>8295</v>
      </c>
      <c r="AE149" s="22">
        <v>12732</v>
      </c>
      <c r="AF149" s="22">
        <v>7751</v>
      </c>
      <c r="AG149" s="22">
        <v>7751</v>
      </c>
      <c r="AH149" s="22">
        <v>7751</v>
      </c>
      <c r="AI149" s="23">
        <v>2078</v>
      </c>
      <c r="AJ149" s="23">
        <v>5754</v>
      </c>
      <c r="AK149" s="23">
        <v>2078</v>
      </c>
      <c r="AL149" s="23">
        <v>4543</v>
      </c>
      <c r="AM149" s="23">
        <v>11731</v>
      </c>
      <c r="AN149" s="23">
        <v>11343</v>
      </c>
      <c r="AO149" s="23">
        <v>11053</v>
      </c>
      <c r="AP149" s="22">
        <v>12123</v>
      </c>
      <c r="AQ149" s="22">
        <v>12973</v>
      </c>
      <c r="AR149" s="22">
        <v>9216</v>
      </c>
      <c r="AS149" s="23">
        <v>0</v>
      </c>
      <c r="AT149" s="23">
        <v>0</v>
      </c>
      <c r="AU149" s="24"/>
      <c r="AV149" s="23">
        <v>11079</v>
      </c>
      <c r="AW149" s="23">
        <v>13718</v>
      </c>
      <c r="AX149" s="23">
        <v>13718</v>
      </c>
      <c r="AY149" s="23">
        <v>11921</v>
      </c>
      <c r="AZ149" s="22"/>
      <c r="BA149" s="22">
        <v>4469</v>
      </c>
      <c r="BB149" s="24">
        <v>7891</v>
      </c>
      <c r="BC149" s="22">
        <v>13220</v>
      </c>
      <c r="BD149" s="23">
        <v>9056</v>
      </c>
      <c r="BE149" s="23">
        <v>11471</v>
      </c>
      <c r="BF149" s="23">
        <v>10495</v>
      </c>
      <c r="BG149" s="22">
        <v>7847</v>
      </c>
      <c r="BH149" s="22">
        <v>6454</v>
      </c>
      <c r="BI149" s="22">
        <v>26026</v>
      </c>
      <c r="BJ149" s="22">
        <v>23455</v>
      </c>
      <c r="BK149" s="25">
        <v>23455</v>
      </c>
      <c r="BM149" s="20" t="s">
        <v>45</v>
      </c>
      <c r="BN149" s="36" t="s">
        <v>98</v>
      </c>
      <c r="BO149" s="21">
        <f>996.5</f>
        <v>996.5</v>
      </c>
      <c r="BP149" s="22">
        <f>996.5</f>
        <v>996.5</v>
      </c>
      <c r="BQ149" s="22">
        <f>996.5+1925.4</f>
        <v>2921.9</v>
      </c>
      <c r="BR149" s="22">
        <f>996.5</f>
        <v>996.5</v>
      </c>
      <c r="BS149" s="22">
        <f>996.5+63</f>
        <v>1059.5</v>
      </c>
      <c r="BT149" s="22">
        <f>996.5+1636.8</f>
        <v>2633.3</v>
      </c>
      <c r="BU149" s="22">
        <f>996.5</f>
        <v>996.5</v>
      </c>
      <c r="BV149" s="22">
        <f>996.5</f>
        <v>996.5</v>
      </c>
      <c r="BW149" s="22">
        <f>996.5+543.3</f>
        <v>1539.8</v>
      </c>
      <c r="BX149" s="22">
        <f>996.5</f>
        <v>996.5</v>
      </c>
      <c r="BY149" s="22">
        <f>996.5+970.9</f>
        <v>1967.4</v>
      </c>
      <c r="BZ149" s="22">
        <f>996.5</f>
        <v>996.5</v>
      </c>
      <c r="CA149" s="22">
        <f>996.5+458.8</f>
        <v>1455.3</v>
      </c>
      <c r="CB149" s="22">
        <f>996.5+441.9</f>
        <v>1438.4</v>
      </c>
      <c r="CC149" s="22">
        <f>996.5+51.7</f>
        <v>1048.2</v>
      </c>
      <c r="CD149" s="22">
        <f>996.5</f>
        <v>996.5</v>
      </c>
      <c r="CE149" s="22">
        <f>996.5</f>
        <v>996.5</v>
      </c>
      <c r="CF149" s="22">
        <f>996.5</f>
        <v>996.5</v>
      </c>
      <c r="CG149" s="22">
        <f>996.5+190.1</f>
        <v>1186.5999999999999</v>
      </c>
      <c r="CH149" s="22">
        <f>996.5+311.9</f>
        <v>1308.4000000000001</v>
      </c>
      <c r="CI149" s="22">
        <f>996.5+495.4</f>
        <v>1491.9</v>
      </c>
      <c r="CJ149" s="22">
        <f>996.5</f>
        <v>996.5</v>
      </c>
      <c r="CK149" s="22">
        <f>996.5+142.8</f>
        <v>1139.3</v>
      </c>
      <c r="CL149" s="22">
        <f>996.5+252.5</f>
        <v>1249</v>
      </c>
      <c r="CM149" s="22">
        <f>996.5+71.3</f>
        <v>1067.8</v>
      </c>
      <c r="CN149" s="22">
        <f>996.5+146</f>
        <v>1142.5</v>
      </c>
      <c r="CO149" s="22">
        <f>996.5+354.6</f>
        <v>1351.1</v>
      </c>
      <c r="CP149" s="22">
        <f>996.5</f>
        <v>996.5</v>
      </c>
      <c r="CQ149" s="22">
        <f>996.5</f>
        <v>996.5</v>
      </c>
      <c r="CR149" s="22">
        <f>996.5+931.2</f>
        <v>1927.7</v>
      </c>
      <c r="CS149" s="22">
        <f>996.5+745.4</f>
        <v>1741.9</v>
      </c>
      <c r="CT149" s="22">
        <f>996.5+522.4</f>
        <v>1518.9</v>
      </c>
      <c r="CU149" s="23">
        <f>996.5+1374.6</f>
        <v>2371.1</v>
      </c>
      <c r="CV149" s="23">
        <f>996.5</f>
        <v>996.5</v>
      </c>
      <c r="CW149" s="23">
        <f>996.5+857.3</f>
        <v>1853.8</v>
      </c>
      <c r="CX149" s="23">
        <f>996.5</f>
        <v>996.5</v>
      </c>
      <c r="CY149" s="23">
        <f>996.5</f>
        <v>996.5</v>
      </c>
      <c r="CZ149" s="23">
        <f>996.5</f>
        <v>996.5</v>
      </c>
      <c r="DA149" s="23">
        <f>996.5+162.7</f>
        <v>1159.2</v>
      </c>
      <c r="DB149" s="22">
        <f>996.5</f>
        <v>996.5</v>
      </c>
      <c r="DC149" s="22">
        <f>996.5</f>
        <v>996.5</v>
      </c>
      <c r="DD149" s="22">
        <f>996.5</f>
        <v>996.5</v>
      </c>
      <c r="DE149" s="23">
        <f>996.5</f>
        <v>996.5</v>
      </c>
      <c r="DF149" s="23">
        <f>996.5+1855.4</f>
        <v>2851.9</v>
      </c>
      <c r="DG149" s="24"/>
      <c r="DH149" s="23">
        <f>996.5+33.8</f>
        <v>1030.3</v>
      </c>
      <c r="DI149" s="23">
        <f>996.5+701.9</f>
        <v>1698.4</v>
      </c>
      <c r="DJ149" s="23">
        <f>996.5+4701.1</f>
        <v>5697.6</v>
      </c>
      <c r="DK149" s="23">
        <f>996.5</f>
        <v>996.5</v>
      </c>
      <c r="DL149" s="22">
        <f>996.5</f>
        <v>996.5</v>
      </c>
      <c r="DM149" s="22">
        <f>996.5+483.6</f>
        <v>1480.1</v>
      </c>
      <c r="DN149" s="24">
        <f>996.5</f>
        <v>996.5</v>
      </c>
      <c r="DO149" s="22">
        <f>996.5</f>
        <v>996.5</v>
      </c>
      <c r="DP149" s="23">
        <f>996.5</f>
        <v>996.5</v>
      </c>
      <c r="DQ149" s="23">
        <f>996.5+121.2</f>
        <v>1117.7</v>
      </c>
      <c r="DR149" s="23">
        <f>996.5</f>
        <v>996.5</v>
      </c>
      <c r="DS149" s="22">
        <f>996.5+778.9</f>
        <v>1775.4</v>
      </c>
      <c r="DT149" s="22">
        <f>996.5+11.8</f>
        <v>1008.3</v>
      </c>
      <c r="DU149" s="22">
        <f>996.5+503.6</f>
        <v>1500.1</v>
      </c>
      <c r="DV149" s="22">
        <f>996.5+114</f>
        <v>1110.5</v>
      </c>
      <c r="DW149" s="25">
        <f>996.5+1147</f>
        <v>2143.5</v>
      </c>
      <c r="DY149" s="20" t="s">
        <v>45</v>
      </c>
      <c r="DZ149" s="36" t="s">
        <v>98</v>
      </c>
      <c r="EA149" s="21"/>
      <c r="EB149" s="22"/>
      <c r="EC149" s="22">
        <v>2197.1999999999998</v>
      </c>
      <c r="ED149" s="22"/>
      <c r="EE149" s="22">
        <v>64.400000000000006</v>
      </c>
      <c r="EF149" s="22">
        <v>2958.2</v>
      </c>
      <c r="EG149" s="22"/>
      <c r="EH149" s="22"/>
      <c r="EI149" s="22">
        <v>535.6</v>
      </c>
      <c r="EJ149" s="22"/>
      <c r="EK149" s="22"/>
      <c r="EL149" s="22"/>
      <c r="EM149" s="22"/>
      <c r="EN149" s="22"/>
      <c r="EO149" s="22"/>
      <c r="EP149" s="22"/>
      <c r="EQ149" s="22"/>
      <c r="ER149" s="22"/>
      <c r="ES149" s="22">
        <v>226.7</v>
      </c>
      <c r="ET149" s="22">
        <v>319.5</v>
      </c>
      <c r="EU149" s="22">
        <v>513.79999999999995</v>
      </c>
      <c r="EV149" s="22"/>
      <c r="EW149" s="22">
        <v>135.5</v>
      </c>
      <c r="EX149" s="22">
        <v>263.10000000000002</v>
      </c>
      <c r="EY149" s="22">
        <v>77.900000000000006</v>
      </c>
      <c r="EZ149" s="22">
        <v>141.30000000000001</v>
      </c>
      <c r="FA149" s="22">
        <v>389.7</v>
      </c>
      <c r="FB149" s="22"/>
      <c r="FC149" s="22"/>
      <c r="FD149" s="22">
        <v>994.9</v>
      </c>
      <c r="FE149" s="22">
        <v>960.9</v>
      </c>
      <c r="FF149" s="22">
        <v>624.5</v>
      </c>
      <c r="FG149" s="23">
        <v>1386.2</v>
      </c>
      <c r="FH149" s="23"/>
      <c r="FI149" s="23">
        <v>982.6</v>
      </c>
      <c r="FJ149" s="23"/>
      <c r="FK149" s="23"/>
      <c r="FL149" s="23"/>
      <c r="FM149" s="23">
        <v>154.6</v>
      </c>
      <c r="FN149" s="22"/>
      <c r="FO149" s="22"/>
      <c r="FP149" s="22"/>
      <c r="FQ149" s="23"/>
      <c r="FR149" s="23"/>
      <c r="FS149" s="24"/>
      <c r="FT149" s="23">
        <v>43.9</v>
      </c>
      <c r="FU149" s="23">
        <f t="shared" si="20"/>
        <v>645.09999999999991</v>
      </c>
      <c r="FV149" s="23">
        <f t="shared" si="21"/>
        <v>4386.2</v>
      </c>
      <c r="FW149" s="23"/>
      <c r="FX149" s="22"/>
      <c r="FY149" s="22">
        <v>462.7</v>
      </c>
      <c r="FZ149" s="24"/>
      <c r="GA149" s="22"/>
      <c r="GB149" s="23"/>
      <c r="GC149" s="23">
        <v>116.6</v>
      </c>
      <c r="GD149" s="23"/>
      <c r="GE149" s="22">
        <v>965.1</v>
      </c>
      <c r="GF149" s="22"/>
      <c r="GG149" s="22"/>
      <c r="GH149" s="22"/>
      <c r="GI149" s="25"/>
    </row>
    <row r="151" spans="1:205" x14ac:dyDescent="0.3">
      <c r="GW151">
        <f>61/3</f>
        <v>20.333333333333332</v>
      </c>
    </row>
    <row r="152" spans="1:205" ht="21" x14ac:dyDescent="0.3">
      <c r="A152" s="55" t="s">
        <v>111</v>
      </c>
      <c r="B152" s="56"/>
    </row>
    <row r="154" spans="1:205" ht="26.4" customHeight="1" x14ac:dyDescent="0.3">
      <c r="A154" s="1" t="s">
        <v>0</v>
      </c>
      <c r="B154" s="2" t="s">
        <v>1</v>
      </c>
      <c r="C154" s="3" t="s">
        <v>2</v>
      </c>
      <c r="D154" s="3" t="s">
        <v>3</v>
      </c>
      <c r="E154" s="3" t="s">
        <v>4</v>
      </c>
      <c r="F154" s="3" t="s">
        <v>5</v>
      </c>
      <c r="G154" s="3" t="s">
        <v>6</v>
      </c>
      <c r="H154" s="3" t="s">
        <v>7</v>
      </c>
      <c r="I154" s="3" t="s">
        <v>8</v>
      </c>
      <c r="J154" s="3" t="s">
        <v>9</v>
      </c>
      <c r="K154" s="3" t="s">
        <v>10</v>
      </c>
      <c r="L154" s="3" t="s">
        <v>11</v>
      </c>
      <c r="M154" s="3" t="s">
        <v>12</v>
      </c>
      <c r="N154" s="3" t="s">
        <v>13</v>
      </c>
      <c r="O154" s="3" t="s">
        <v>14</v>
      </c>
      <c r="P154" s="3" t="s">
        <v>15</v>
      </c>
      <c r="Q154" s="3" t="s">
        <v>16</v>
      </c>
      <c r="R154" s="3" t="s">
        <v>17</v>
      </c>
      <c r="S154" s="3" t="s">
        <v>18</v>
      </c>
      <c r="T154" s="3" t="s">
        <v>19</v>
      </c>
      <c r="U154" s="3" t="s">
        <v>20</v>
      </c>
      <c r="V154" s="3" t="s">
        <v>21</v>
      </c>
      <c r="W154" s="3" t="s">
        <v>22</v>
      </c>
      <c r="X154" s="3" t="s">
        <v>23</v>
      </c>
      <c r="Y154" s="3" t="s">
        <v>24</v>
      </c>
      <c r="Z154" s="3" t="s">
        <v>25</v>
      </c>
      <c r="AA154" s="3" t="s">
        <v>26</v>
      </c>
      <c r="AB154" s="3" t="s">
        <v>27</v>
      </c>
      <c r="AC154" s="3" t="s">
        <v>28</v>
      </c>
      <c r="AD154" s="3" t="s">
        <v>29</v>
      </c>
      <c r="AE154" s="3" t="s">
        <v>30</v>
      </c>
      <c r="AF154" s="3" t="s">
        <v>31</v>
      </c>
      <c r="AG154" s="3" t="s">
        <v>32</v>
      </c>
      <c r="AH154" s="3" t="s">
        <v>33</v>
      </c>
      <c r="AI154" s="3" t="s">
        <v>34</v>
      </c>
      <c r="AJ154" s="3" t="s">
        <v>35</v>
      </c>
      <c r="AK154" s="3" t="s">
        <v>36</v>
      </c>
      <c r="AL154" s="3" t="s">
        <v>37</v>
      </c>
      <c r="AM154" s="3" t="s">
        <v>38</v>
      </c>
      <c r="AN154" s="3" t="s">
        <v>39</v>
      </c>
      <c r="AO154" s="3" t="s">
        <v>40</v>
      </c>
      <c r="AP154" s="3" t="s">
        <v>41</v>
      </c>
      <c r="AQ154" s="3" t="s">
        <v>42</v>
      </c>
      <c r="AR154" s="3" t="s">
        <v>43</v>
      </c>
      <c r="AS154" s="3" t="s">
        <v>44</v>
      </c>
      <c r="AT154" s="3" t="s">
        <v>45</v>
      </c>
      <c r="AU154" s="3" t="s">
        <v>46</v>
      </c>
      <c r="AV154" s="3" t="s">
        <v>47</v>
      </c>
      <c r="AW154" s="3" t="s">
        <v>48</v>
      </c>
      <c r="AX154" s="3" t="s">
        <v>49</v>
      </c>
      <c r="AY154" s="3" t="s">
        <v>50</v>
      </c>
      <c r="AZ154" s="3" t="s">
        <v>51</v>
      </c>
      <c r="BA154" s="3" t="s">
        <v>52</v>
      </c>
      <c r="BB154" s="3" t="s">
        <v>53</v>
      </c>
      <c r="BC154" s="3" t="s">
        <v>54</v>
      </c>
      <c r="BD154" s="3" t="s">
        <v>55</v>
      </c>
      <c r="BE154" s="3" t="s">
        <v>56</v>
      </c>
      <c r="BF154" s="3" t="s">
        <v>57</v>
      </c>
      <c r="BG154" s="3" t="s">
        <v>58</v>
      </c>
      <c r="BH154" s="3" t="s">
        <v>59</v>
      </c>
      <c r="BI154" s="3" t="s">
        <v>60</v>
      </c>
      <c r="BJ154" s="4" t="s">
        <v>61</v>
      </c>
    </row>
    <row r="155" spans="1:205" x14ac:dyDescent="0.3">
      <c r="A155" s="5" t="s">
        <v>1</v>
      </c>
      <c r="B155" s="6">
        <v>0</v>
      </c>
      <c r="C155" s="7">
        <v>1082</v>
      </c>
      <c r="D155" s="7">
        <v>2433</v>
      </c>
      <c r="E155" s="7">
        <v>1913</v>
      </c>
      <c r="F155" s="7">
        <v>1595</v>
      </c>
      <c r="G155" s="7">
        <v>2781</v>
      </c>
      <c r="H155" s="7">
        <v>4403</v>
      </c>
      <c r="I155" s="7">
        <v>3769</v>
      </c>
      <c r="J155" s="7">
        <v>1983</v>
      </c>
      <c r="K155" s="7">
        <v>2264</v>
      </c>
      <c r="L155" s="7">
        <v>4016</v>
      </c>
      <c r="M155" s="7">
        <v>4518</v>
      </c>
      <c r="N155" s="7">
        <v>2075</v>
      </c>
      <c r="O155" s="8">
        <v>6544</v>
      </c>
      <c r="P155" s="8">
        <v>6161</v>
      </c>
      <c r="Q155" s="8">
        <v>6869</v>
      </c>
      <c r="R155" s="8">
        <v>6910</v>
      </c>
      <c r="S155" s="8">
        <v>7134</v>
      </c>
      <c r="T155" s="8">
        <v>7362</v>
      </c>
      <c r="U155" s="8">
        <v>7630</v>
      </c>
      <c r="V155" s="8">
        <v>8041</v>
      </c>
      <c r="W155" s="8">
        <v>7752</v>
      </c>
      <c r="X155" s="8">
        <v>8004</v>
      </c>
      <c r="Y155" s="8">
        <v>7646</v>
      </c>
      <c r="Z155" s="8">
        <v>8348</v>
      </c>
      <c r="AA155" s="8">
        <v>7964</v>
      </c>
      <c r="AB155" s="8">
        <v>7099</v>
      </c>
      <c r="AC155" s="8">
        <v>7551</v>
      </c>
      <c r="AD155" s="8">
        <v>8044</v>
      </c>
      <c r="AE155" s="8">
        <v>8529</v>
      </c>
      <c r="AF155" s="8">
        <v>8166</v>
      </c>
      <c r="AG155" s="8">
        <v>8371</v>
      </c>
      <c r="AH155" s="8">
        <v>13513</v>
      </c>
      <c r="AI155" s="8">
        <v>14513</v>
      </c>
      <c r="AJ155" s="8">
        <v>14352</v>
      </c>
      <c r="AK155" s="8">
        <v>15214</v>
      </c>
      <c r="AL155" s="8">
        <v>12019</v>
      </c>
      <c r="AM155" s="8">
        <v>12337</v>
      </c>
      <c r="AN155" s="8">
        <v>12748</v>
      </c>
      <c r="AO155" s="8">
        <v>15598</v>
      </c>
      <c r="AP155" s="8">
        <v>15035</v>
      </c>
      <c r="AQ155" s="8">
        <v>18328</v>
      </c>
      <c r="AR155" s="8">
        <v>12612</v>
      </c>
      <c r="AS155" s="8">
        <v>11642</v>
      </c>
      <c r="AT155" s="8">
        <v>12022</v>
      </c>
      <c r="AU155" s="8">
        <v>12444</v>
      </c>
      <c r="AV155" s="8">
        <v>9235</v>
      </c>
      <c r="AW155" s="8">
        <v>10920</v>
      </c>
      <c r="AX155" s="8">
        <v>11702</v>
      </c>
      <c r="AY155" s="8">
        <v>7785</v>
      </c>
      <c r="AZ155" s="8">
        <v>12764</v>
      </c>
      <c r="BA155" s="8">
        <v>15628</v>
      </c>
      <c r="BB155" s="8">
        <v>8022</v>
      </c>
      <c r="BC155" s="8">
        <v>14464</v>
      </c>
      <c r="BD155" s="8">
        <v>12533</v>
      </c>
      <c r="BE155" s="8">
        <v>13292</v>
      </c>
      <c r="BF155" s="8">
        <v>9205</v>
      </c>
      <c r="BG155" s="8">
        <v>9401</v>
      </c>
      <c r="BH155" s="8">
        <v>2432</v>
      </c>
      <c r="BI155" s="8">
        <v>6632</v>
      </c>
      <c r="BJ155" s="9">
        <v>6554</v>
      </c>
    </row>
    <row r="156" spans="1:205" x14ac:dyDescent="0.3">
      <c r="A156" s="10" t="s">
        <v>2</v>
      </c>
      <c r="B156" s="11">
        <v>1082</v>
      </c>
      <c r="C156" s="12">
        <v>0</v>
      </c>
      <c r="D156" s="13">
        <v>1691</v>
      </c>
      <c r="E156" s="13">
        <v>1341</v>
      </c>
      <c r="F156" s="13">
        <v>1554</v>
      </c>
      <c r="G156" s="13">
        <v>1739</v>
      </c>
      <c r="H156" s="13">
        <v>3381</v>
      </c>
      <c r="I156" s="13">
        <v>2691</v>
      </c>
      <c r="J156" s="13">
        <v>1791</v>
      </c>
      <c r="K156" s="13">
        <v>2248</v>
      </c>
      <c r="L156" s="13">
        <v>3074</v>
      </c>
      <c r="M156" s="13">
        <v>3511</v>
      </c>
      <c r="N156" s="13">
        <v>1482</v>
      </c>
      <c r="O156" s="14">
        <v>7524</v>
      </c>
      <c r="P156" s="14">
        <v>7241</v>
      </c>
      <c r="Q156" s="14">
        <v>7119</v>
      </c>
      <c r="R156" s="14">
        <v>7210</v>
      </c>
      <c r="S156" s="14">
        <v>7463</v>
      </c>
      <c r="T156" s="14">
        <v>7731</v>
      </c>
      <c r="U156" s="14">
        <v>8045</v>
      </c>
      <c r="V156" s="14">
        <v>8383</v>
      </c>
      <c r="W156" s="14">
        <v>8006</v>
      </c>
      <c r="X156" s="14">
        <v>8261</v>
      </c>
      <c r="Y156" s="14">
        <v>7948</v>
      </c>
      <c r="Z156" s="14">
        <v>8787</v>
      </c>
      <c r="AA156" s="14">
        <v>8363</v>
      </c>
      <c r="AB156" s="14">
        <v>7642</v>
      </c>
      <c r="AC156" s="14">
        <v>8053</v>
      </c>
      <c r="AD156" s="14">
        <v>8279</v>
      </c>
      <c r="AE156" s="14">
        <v>8793</v>
      </c>
      <c r="AF156" s="14">
        <v>8460</v>
      </c>
      <c r="AG156" s="14">
        <v>8057</v>
      </c>
      <c r="AH156" s="14">
        <v>13384</v>
      </c>
      <c r="AI156" s="14">
        <v>14190</v>
      </c>
      <c r="AJ156" s="14">
        <v>14130</v>
      </c>
      <c r="AK156" s="14">
        <v>15132</v>
      </c>
      <c r="AL156" s="14">
        <v>11070</v>
      </c>
      <c r="AM156" s="14">
        <v>11408</v>
      </c>
      <c r="AN156" s="14">
        <v>11843</v>
      </c>
      <c r="AO156" s="14">
        <v>14932</v>
      </c>
      <c r="AP156" s="14">
        <v>14299</v>
      </c>
      <c r="AQ156" s="14">
        <v>17549</v>
      </c>
      <c r="AR156" s="14">
        <v>12875</v>
      </c>
      <c r="AS156" s="14">
        <v>12202</v>
      </c>
      <c r="AT156" s="14">
        <v>12404</v>
      </c>
      <c r="AU156" s="14">
        <v>11598</v>
      </c>
      <c r="AV156" s="14">
        <v>9296</v>
      </c>
      <c r="AW156" s="14">
        <v>10475</v>
      </c>
      <c r="AX156" s="14">
        <v>10852</v>
      </c>
      <c r="AY156" s="14">
        <v>8503</v>
      </c>
      <c r="AZ156" s="14">
        <v>13587</v>
      </c>
      <c r="BA156" s="14">
        <v>15038</v>
      </c>
      <c r="BB156" s="14">
        <v>8138</v>
      </c>
      <c r="BC156" s="14">
        <v>13669</v>
      </c>
      <c r="BD156" s="14">
        <v>11802</v>
      </c>
      <c r="BE156" s="14">
        <v>12460</v>
      </c>
      <c r="BF156" s="14">
        <v>9364</v>
      </c>
      <c r="BG156" s="14">
        <v>9826</v>
      </c>
      <c r="BH156" s="14">
        <v>3272</v>
      </c>
      <c r="BI156" s="14">
        <v>7309</v>
      </c>
      <c r="BJ156" s="15">
        <v>7324</v>
      </c>
    </row>
    <row r="157" spans="1:205" x14ac:dyDescent="0.3">
      <c r="A157" s="10" t="s">
        <v>3</v>
      </c>
      <c r="B157" s="11">
        <v>2433</v>
      </c>
      <c r="C157" s="13">
        <v>1691</v>
      </c>
      <c r="D157" s="12">
        <v>0</v>
      </c>
      <c r="E157" s="13">
        <v>571</v>
      </c>
      <c r="F157" s="13">
        <v>1501</v>
      </c>
      <c r="G157" s="13">
        <v>1126</v>
      </c>
      <c r="H157" s="13">
        <v>2245</v>
      </c>
      <c r="I157" s="13">
        <v>2452</v>
      </c>
      <c r="J157" s="13">
        <v>1116</v>
      </c>
      <c r="K157" s="13">
        <v>1544</v>
      </c>
      <c r="L157" s="13">
        <v>1685</v>
      </c>
      <c r="M157" s="13">
        <v>2299</v>
      </c>
      <c r="N157" s="13">
        <v>2856</v>
      </c>
      <c r="O157" s="14">
        <v>8941</v>
      </c>
      <c r="P157" s="14">
        <v>8266</v>
      </c>
      <c r="Q157" s="14">
        <v>6043</v>
      </c>
      <c r="R157" s="14">
        <v>6195</v>
      </c>
      <c r="S157" s="14">
        <v>6475</v>
      </c>
      <c r="T157" s="14">
        <v>6786</v>
      </c>
      <c r="U157" s="14">
        <v>7148</v>
      </c>
      <c r="V157" s="14">
        <v>7369</v>
      </c>
      <c r="W157" s="14">
        <v>6895</v>
      </c>
      <c r="X157" s="14">
        <v>7144</v>
      </c>
      <c r="Y157" s="14">
        <v>6900</v>
      </c>
      <c r="Z157" s="14">
        <v>7891</v>
      </c>
      <c r="AA157" s="14">
        <v>7428</v>
      </c>
      <c r="AB157" s="14">
        <v>6966</v>
      </c>
      <c r="AC157" s="14">
        <v>7286</v>
      </c>
      <c r="AD157" s="14">
        <v>7135</v>
      </c>
      <c r="AE157" s="14">
        <v>7662</v>
      </c>
      <c r="AF157" s="14">
        <v>7380</v>
      </c>
      <c r="AG157" s="14">
        <v>7668</v>
      </c>
      <c r="AH157" s="14">
        <v>11798</v>
      </c>
      <c r="AI157" s="14">
        <v>12522</v>
      </c>
      <c r="AJ157" s="14">
        <v>12538</v>
      </c>
      <c r="AK157" s="14">
        <v>13542</v>
      </c>
      <c r="AL157" s="14">
        <v>9605</v>
      </c>
      <c r="AM157" s="14">
        <v>9912</v>
      </c>
      <c r="AN157" s="14">
        <v>10317</v>
      </c>
      <c r="AO157" s="14">
        <v>15192</v>
      </c>
      <c r="AP157" s="14">
        <v>14484</v>
      </c>
      <c r="AQ157" s="14">
        <v>17118</v>
      </c>
      <c r="AR157" s="14">
        <v>11605</v>
      </c>
      <c r="AS157" s="14">
        <v>11255</v>
      </c>
      <c r="AT157" s="14">
        <v>11287</v>
      </c>
      <c r="AU157" s="14">
        <v>10013</v>
      </c>
      <c r="AV157" s="14">
        <v>7931</v>
      </c>
      <c r="AW157" s="14">
        <v>8797</v>
      </c>
      <c r="AX157" s="14">
        <v>9270</v>
      </c>
      <c r="AY157" s="14">
        <v>8094</v>
      </c>
      <c r="AZ157" s="14">
        <v>13142</v>
      </c>
      <c r="BA157" s="14">
        <v>13354</v>
      </c>
      <c r="BB157" s="14">
        <v>6862</v>
      </c>
      <c r="BC157" s="14">
        <v>12052</v>
      </c>
      <c r="BD157" s="14">
        <v>10148</v>
      </c>
      <c r="BE157" s="14">
        <v>10865</v>
      </c>
      <c r="BF157" s="14">
        <v>8128</v>
      </c>
      <c r="BG157" s="14">
        <v>8864</v>
      </c>
      <c r="BH157" s="14">
        <v>4849</v>
      </c>
      <c r="BI157" s="14">
        <v>8981</v>
      </c>
      <c r="BJ157" s="15">
        <v>8958</v>
      </c>
    </row>
    <row r="158" spans="1:205" x14ac:dyDescent="0.3">
      <c r="A158" s="10" t="s">
        <v>4</v>
      </c>
      <c r="B158" s="11">
        <v>1913</v>
      </c>
      <c r="C158" s="13">
        <v>1341</v>
      </c>
      <c r="D158" s="13">
        <v>571</v>
      </c>
      <c r="E158" s="12">
        <v>0</v>
      </c>
      <c r="F158" s="13">
        <v>957</v>
      </c>
      <c r="G158" s="13">
        <v>1481</v>
      </c>
      <c r="H158" s="13">
        <v>2796</v>
      </c>
      <c r="I158" s="13">
        <v>2809</v>
      </c>
      <c r="J158" s="13">
        <v>703</v>
      </c>
      <c r="K158" s="13">
        <v>1201</v>
      </c>
      <c r="L158" s="13">
        <v>2255</v>
      </c>
      <c r="M158" s="13">
        <v>2860</v>
      </c>
      <c r="N158" s="13">
        <v>2690</v>
      </c>
      <c r="O158" s="14">
        <v>8383</v>
      </c>
      <c r="P158" s="14">
        <v>7698</v>
      </c>
      <c r="Q158" s="14">
        <v>5976</v>
      </c>
      <c r="R158" s="14">
        <v>6102</v>
      </c>
      <c r="S158" s="14">
        <v>6372</v>
      </c>
      <c r="T158" s="14">
        <v>6667</v>
      </c>
      <c r="U158" s="14">
        <v>7012</v>
      </c>
      <c r="V158" s="14">
        <v>7283</v>
      </c>
      <c r="W158" s="14">
        <v>6850</v>
      </c>
      <c r="X158" s="14">
        <v>7103</v>
      </c>
      <c r="Y158" s="14">
        <v>6826</v>
      </c>
      <c r="Z158" s="14">
        <v>7760</v>
      </c>
      <c r="AA158" s="14">
        <v>7309</v>
      </c>
      <c r="AB158" s="14">
        <v>6744</v>
      </c>
      <c r="AC158" s="14">
        <v>7100</v>
      </c>
      <c r="AD158" s="14">
        <v>7107</v>
      </c>
      <c r="AE158" s="14">
        <v>7631</v>
      </c>
      <c r="AF158" s="14">
        <v>7323</v>
      </c>
      <c r="AG158" s="14">
        <v>7608</v>
      </c>
      <c r="AH158" s="14">
        <v>12046</v>
      </c>
      <c r="AI158" s="14">
        <v>12857</v>
      </c>
      <c r="AJ158" s="14">
        <v>12791</v>
      </c>
      <c r="AK158" s="14">
        <v>13795</v>
      </c>
      <c r="AL158" s="14">
        <v>10159</v>
      </c>
      <c r="AM158" s="14">
        <v>10459</v>
      </c>
      <c r="AN158" s="14">
        <v>10856</v>
      </c>
      <c r="AO158" s="14">
        <v>15569</v>
      </c>
      <c r="AP158" s="14">
        <v>14871</v>
      </c>
      <c r="AQ158" s="14">
        <v>17667</v>
      </c>
      <c r="AR158" s="14">
        <v>11658</v>
      </c>
      <c r="AS158" s="14">
        <v>11164</v>
      </c>
      <c r="AT158" s="14">
        <v>11268</v>
      </c>
      <c r="AU158" s="14">
        <v>10534</v>
      </c>
      <c r="AV158" s="14">
        <v>8022</v>
      </c>
      <c r="AW158" s="14">
        <v>9156</v>
      </c>
      <c r="AX158" s="14">
        <v>9794</v>
      </c>
      <c r="AY158" s="14">
        <v>7797</v>
      </c>
      <c r="AZ158" s="14">
        <v>12891</v>
      </c>
      <c r="BA158" s="14">
        <v>13789</v>
      </c>
      <c r="BB158" s="14">
        <v>6900</v>
      </c>
      <c r="BC158" s="14">
        <v>12553</v>
      </c>
      <c r="BD158" s="14">
        <v>10629</v>
      </c>
      <c r="BE158" s="14">
        <v>11380</v>
      </c>
      <c r="BF158" s="14">
        <v>8150</v>
      </c>
      <c r="BG158" s="14">
        <v>8765</v>
      </c>
      <c r="BH158" s="14">
        <v>4343</v>
      </c>
      <c r="BI158" s="14">
        <v>8519</v>
      </c>
      <c r="BJ158" s="15">
        <v>8464</v>
      </c>
    </row>
    <row r="159" spans="1:205" x14ac:dyDescent="0.3">
      <c r="A159" s="10" t="s">
        <v>5</v>
      </c>
      <c r="B159" s="11">
        <v>1595</v>
      </c>
      <c r="C159" s="13">
        <v>1554</v>
      </c>
      <c r="D159" s="13">
        <v>1501</v>
      </c>
      <c r="E159" s="13">
        <v>957</v>
      </c>
      <c r="F159" s="12">
        <v>0</v>
      </c>
      <c r="G159" s="13">
        <v>1493</v>
      </c>
      <c r="H159" s="13">
        <v>2327</v>
      </c>
      <c r="I159" s="13">
        <v>2299</v>
      </c>
      <c r="J159" s="13">
        <v>562</v>
      </c>
      <c r="K159" s="13">
        <v>786</v>
      </c>
      <c r="L159" s="13">
        <v>3174</v>
      </c>
      <c r="M159" s="13">
        <v>3800</v>
      </c>
      <c r="N159" s="13">
        <v>3012</v>
      </c>
      <c r="O159" s="14">
        <v>4725</v>
      </c>
      <c r="P159" s="14">
        <v>6780</v>
      </c>
      <c r="Q159" s="14">
        <v>3470</v>
      </c>
      <c r="R159" s="14">
        <v>5665</v>
      </c>
      <c r="S159" s="14">
        <v>3675</v>
      </c>
      <c r="T159" s="14">
        <v>3840</v>
      </c>
      <c r="U159" s="14">
        <v>6492</v>
      </c>
      <c r="V159" s="14">
        <v>6834</v>
      </c>
      <c r="W159" s="14">
        <v>6472</v>
      </c>
      <c r="X159" s="14">
        <v>6728</v>
      </c>
      <c r="Y159" s="14">
        <v>6404</v>
      </c>
      <c r="Z159" s="14">
        <v>7234</v>
      </c>
      <c r="AA159" s="14">
        <v>6810</v>
      </c>
      <c r="AB159" s="14">
        <v>6106</v>
      </c>
      <c r="AC159" s="14">
        <v>6506</v>
      </c>
      <c r="AD159" s="14">
        <v>6752</v>
      </c>
      <c r="AE159" s="14">
        <v>7259</v>
      </c>
      <c r="AF159" s="14">
        <v>6918</v>
      </c>
      <c r="AG159" s="14">
        <v>6504</v>
      </c>
      <c r="AH159" s="14">
        <v>12068</v>
      </c>
      <c r="AI159" s="14">
        <v>13032</v>
      </c>
      <c r="AJ159" s="14">
        <v>12808</v>
      </c>
      <c r="AK159" s="14">
        <v>13788</v>
      </c>
      <c r="AL159" s="14">
        <v>10925</v>
      </c>
      <c r="AM159" s="14">
        <v>11199</v>
      </c>
      <c r="AN159" s="14">
        <v>11566</v>
      </c>
      <c r="AO159" s="14">
        <v>16383</v>
      </c>
      <c r="AP159" s="14">
        <v>15710</v>
      </c>
      <c r="AQ159" s="14">
        <v>18620</v>
      </c>
      <c r="AR159" s="14">
        <v>11353</v>
      </c>
      <c r="AS159" s="14">
        <v>10650</v>
      </c>
      <c r="AT159" s="14">
        <v>10856</v>
      </c>
      <c r="AU159" s="14">
        <v>11188</v>
      </c>
      <c r="AV159" s="14">
        <v>7842</v>
      </c>
      <c r="AW159" s="14">
        <v>9442</v>
      </c>
      <c r="AX159" s="14">
        <v>10463</v>
      </c>
      <c r="AY159" s="14">
        <v>7037</v>
      </c>
      <c r="AZ159" s="14">
        <v>12159</v>
      </c>
      <c r="BA159" s="14">
        <v>14169</v>
      </c>
      <c r="BB159" s="14">
        <v>6653</v>
      </c>
      <c r="BC159" s="14">
        <v>13127</v>
      </c>
      <c r="BD159" s="14">
        <v>11171</v>
      </c>
      <c r="BE159" s="14">
        <v>12007</v>
      </c>
      <c r="BF159" s="14">
        <v>7854</v>
      </c>
      <c r="BG159" s="14">
        <v>8272</v>
      </c>
      <c r="BH159" s="14">
        <v>3811</v>
      </c>
      <c r="BI159" s="14">
        <v>8038</v>
      </c>
      <c r="BJ159" s="15">
        <v>7899</v>
      </c>
    </row>
    <row r="160" spans="1:205" x14ac:dyDescent="0.3">
      <c r="A160" s="10" t="s">
        <v>103</v>
      </c>
      <c r="B160" s="11">
        <f>2781</f>
        <v>2781</v>
      </c>
      <c r="C160" s="13">
        <v>1739</v>
      </c>
      <c r="D160" s="13">
        <v>1126</v>
      </c>
      <c r="E160" s="13">
        <f>1481</f>
        <v>1481</v>
      </c>
      <c r="F160" s="13">
        <v>1493</v>
      </c>
      <c r="G160" s="12">
        <v>0</v>
      </c>
      <c r="H160" s="13">
        <v>1644</v>
      </c>
      <c r="I160" s="13">
        <v>1337</v>
      </c>
      <c r="J160" s="13">
        <v>2144</v>
      </c>
      <c r="K160" s="13">
        <v>2638</v>
      </c>
      <c r="L160" s="13">
        <v>1441</v>
      </c>
      <c r="M160" s="13">
        <v>1782</v>
      </c>
      <c r="N160" s="13">
        <v>2288</v>
      </c>
      <c r="O160" s="14">
        <v>9259</v>
      </c>
      <c r="P160" s="14">
        <v>8916</v>
      </c>
      <c r="Q160" s="14">
        <v>7112</v>
      </c>
      <c r="R160" s="14">
        <v>7279</v>
      </c>
      <c r="S160" s="14">
        <v>7562</v>
      </c>
      <c r="T160" s="14">
        <v>7880</v>
      </c>
      <c r="U160" s="14">
        <v>8248</v>
      </c>
      <c r="V160" s="14">
        <v>8443</v>
      </c>
      <c r="W160" s="14">
        <v>7945</v>
      </c>
      <c r="X160" s="14">
        <v>8190</v>
      </c>
      <c r="Y160" s="14">
        <v>7969</v>
      </c>
      <c r="Z160" s="14">
        <v>8987</v>
      </c>
      <c r="AA160" s="14">
        <v>8520</v>
      </c>
      <c r="AB160" s="14">
        <v>8089</v>
      </c>
      <c r="AC160" s="14">
        <v>8402</v>
      </c>
      <c r="AD160" s="14">
        <v>8172</v>
      </c>
      <c r="AE160" s="14">
        <v>8699</v>
      </c>
      <c r="AF160" s="14">
        <v>8435</v>
      </c>
      <c r="AG160" s="14">
        <v>8724</v>
      </c>
      <c r="AH160" s="14">
        <v>12433</v>
      </c>
      <c r="AI160" s="14">
        <v>12969</v>
      </c>
      <c r="AJ160" s="14">
        <v>13150</v>
      </c>
      <c r="AK160" s="14">
        <v>14131</v>
      </c>
      <c r="AL160" s="14">
        <v>9350</v>
      </c>
      <c r="AM160" s="14">
        <v>9697</v>
      </c>
      <c r="AN160" s="14">
        <v>10143</v>
      </c>
      <c r="AO160" s="14">
        <v>14100</v>
      </c>
      <c r="AP160" s="14">
        <v>13398</v>
      </c>
      <c r="AQ160" s="14">
        <v>16269</v>
      </c>
      <c r="AR160" s="14">
        <v>12530</v>
      </c>
      <c r="AS160" s="14">
        <v>12315</v>
      </c>
      <c r="AT160" s="14">
        <v>12290</v>
      </c>
      <c r="AU160" s="14">
        <v>9940</v>
      </c>
      <c r="AV160" s="14">
        <v>8848</v>
      </c>
      <c r="AW160" s="14">
        <v>9262</v>
      </c>
      <c r="AX160" s="14">
        <v>9196</v>
      </c>
      <c r="AY160" s="14">
        <v>9217</v>
      </c>
      <c r="AZ160" s="14">
        <v>14266</v>
      </c>
      <c r="BA160" s="14">
        <v>13524</v>
      </c>
      <c r="BB160" s="14">
        <v>7847</v>
      </c>
      <c r="BC160" s="14">
        <v>12027</v>
      </c>
      <c r="BD160" s="14">
        <v>10238</v>
      </c>
      <c r="BE160" s="14">
        <v>10805</v>
      </c>
      <c r="BF160" s="14">
        <v>9115</v>
      </c>
      <c r="BG160" s="14">
        <v>9939</v>
      </c>
      <c r="BH160" s="14">
        <v>4979</v>
      </c>
      <c r="BI160" s="14">
        <v>8841</v>
      </c>
      <c r="BJ160" s="15">
        <v>8934</v>
      </c>
    </row>
    <row r="161" spans="1:62" x14ac:dyDescent="0.3">
      <c r="A161" s="10" t="s">
        <v>63</v>
      </c>
      <c r="B161" s="11">
        <v>4403</v>
      </c>
      <c r="C161" s="13">
        <v>3381</v>
      </c>
      <c r="D161" s="13">
        <v>2245</v>
      </c>
      <c r="E161" s="13">
        <v>2796</v>
      </c>
      <c r="F161" s="13">
        <v>2327</v>
      </c>
      <c r="G161" s="13">
        <v>1644</v>
      </c>
      <c r="H161" s="12">
        <v>0</v>
      </c>
      <c r="I161" s="13">
        <v>1544</v>
      </c>
      <c r="J161" s="13">
        <v>3317</v>
      </c>
      <c r="K161" s="13">
        <v>3685</v>
      </c>
      <c r="L161" s="13">
        <v>711</v>
      </c>
      <c r="M161" s="13">
        <v>195</v>
      </c>
      <c r="N161" s="13">
        <v>3733</v>
      </c>
      <c r="O161" s="14">
        <v>10902</v>
      </c>
      <c r="P161" s="14">
        <v>10473</v>
      </c>
      <c r="Q161" s="14">
        <v>7211</v>
      </c>
      <c r="R161" s="14">
        <v>7435</v>
      </c>
      <c r="S161" s="14">
        <v>7724</v>
      </c>
      <c r="T161" s="14">
        <v>8063</v>
      </c>
      <c r="U161" s="14">
        <v>8457</v>
      </c>
      <c r="V161" s="14">
        <v>8502</v>
      </c>
      <c r="W161" s="14">
        <v>7927</v>
      </c>
      <c r="X161" s="14">
        <v>8143</v>
      </c>
      <c r="Y161" s="14">
        <v>8026</v>
      </c>
      <c r="Z161" s="14">
        <v>9140</v>
      </c>
      <c r="AA161" s="14">
        <v>8665</v>
      </c>
      <c r="AB161" s="14">
        <v>8535</v>
      </c>
      <c r="AC161" s="14">
        <v>8737</v>
      </c>
      <c r="AD161" s="14">
        <v>8092</v>
      </c>
      <c r="AE161" s="14">
        <v>8594</v>
      </c>
      <c r="AF161" s="14">
        <v>8415</v>
      </c>
      <c r="AG161" s="14">
        <v>8696</v>
      </c>
      <c r="AH161" s="14">
        <v>11340</v>
      </c>
      <c r="AI161" s="14">
        <v>11650</v>
      </c>
      <c r="AJ161" s="14">
        <v>12001</v>
      </c>
      <c r="AK161" s="14">
        <v>12919</v>
      </c>
      <c r="AL161" s="14">
        <v>7712</v>
      </c>
      <c r="AM161" s="14">
        <v>8064</v>
      </c>
      <c r="AN161" s="14">
        <v>8517</v>
      </c>
      <c r="AO161" s="14">
        <v>13166</v>
      </c>
      <c r="AP161" s="14">
        <v>12454</v>
      </c>
      <c r="AQ161" s="14">
        <v>14874</v>
      </c>
      <c r="AR161" s="14">
        <v>11937</v>
      </c>
      <c r="AS161" s="14">
        <v>12154</v>
      </c>
      <c r="AT161" s="14">
        <v>11920</v>
      </c>
      <c r="AU161" s="14">
        <v>8343</v>
      </c>
      <c r="AV161" s="14">
        <v>8397</v>
      </c>
      <c r="AW161" s="14">
        <v>8064</v>
      </c>
      <c r="AX161" s="14">
        <v>7605</v>
      </c>
      <c r="AY161" s="14">
        <v>9840</v>
      </c>
      <c r="AZ161" s="14">
        <v>14494</v>
      </c>
      <c r="BA161" s="14">
        <v>1195</v>
      </c>
      <c r="BB161" s="14">
        <v>7615</v>
      </c>
      <c r="BC161" s="14">
        <v>9208</v>
      </c>
      <c r="BD161" s="14">
        <v>8712</v>
      </c>
      <c r="BE161" s="14">
        <v>9945</v>
      </c>
      <c r="BF161" s="14">
        <v>8834</v>
      </c>
      <c r="BG161" s="14">
        <v>10351</v>
      </c>
      <c r="BH161" s="14">
        <v>6616</v>
      </c>
      <c r="BI161" s="14">
        <v>10351</v>
      </c>
      <c r="BJ161" s="15">
        <v>10502</v>
      </c>
    </row>
    <row r="162" spans="1:62" x14ac:dyDescent="0.3">
      <c r="A162" s="10" t="s">
        <v>8</v>
      </c>
      <c r="B162" s="11">
        <v>3769</v>
      </c>
      <c r="C162" s="13">
        <v>2691</v>
      </c>
      <c r="D162" s="13">
        <v>2452</v>
      </c>
      <c r="E162" s="13">
        <v>2809</v>
      </c>
      <c r="F162" s="13">
        <v>2299</v>
      </c>
      <c r="G162" s="13">
        <v>1337</v>
      </c>
      <c r="H162" s="13">
        <v>1544</v>
      </c>
      <c r="I162" s="12">
        <v>0</v>
      </c>
      <c r="J162" s="13">
        <v>3502</v>
      </c>
      <c r="K162" s="13">
        <v>3975</v>
      </c>
      <c r="L162" s="13">
        <v>1918</v>
      </c>
      <c r="M162" s="13">
        <v>1739</v>
      </c>
      <c r="N162" s="13">
        <v>2461</v>
      </c>
      <c r="O162" s="14">
        <v>9895</v>
      </c>
      <c r="P162" s="14">
        <v>9902</v>
      </c>
      <c r="Q162" s="14">
        <v>8302</v>
      </c>
      <c r="R162" s="14">
        <v>8490</v>
      </c>
      <c r="S162" s="14">
        <v>8778</v>
      </c>
      <c r="T162" s="14">
        <v>9105</v>
      </c>
      <c r="U162" s="14">
        <v>9485</v>
      </c>
      <c r="V162" s="14">
        <v>9629</v>
      </c>
      <c r="W162" s="14">
        <v>9098</v>
      </c>
      <c r="X162" s="14">
        <v>9332</v>
      </c>
      <c r="Y162" s="14">
        <v>9151</v>
      </c>
      <c r="Z162" s="14">
        <v>10211</v>
      </c>
      <c r="AA162" s="14">
        <v>9738</v>
      </c>
      <c r="AB162" s="14">
        <v>9386</v>
      </c>
      <c r="AC162" s="14">
        <v>9676</v>
      </c>
      <c r="AD162" s="14">
        <v>9300</v>
      </c>
      <c r="AE162" s="14">
        <v>9821</v>
      </c>
      <c r="AF162" s="14">
        <v>9591</v>
      </c>
      <c r="AG162" s="14">
        <v>9879</v>
      </c>
      <c r="AH162" s="14">
        <v>12881</v>
      </c>
      <c r="AI162" s="14">
        <v>13138</v>
      </c>
      <c r="AJ162" s="14">
        <v>13534</v>
      </c>
      <c r="AK162" s="14">
        <v>14434</v>
      </c>
      <c r="AL162" s="14">
        <v>8830</v>
      </c>
      <c r="AM162" s="14">
        <v>9211</v>
      </c>
      <c r="AN162" s="14">
        <v>9688</v>
      </c>
      <c r="AO162" s="14">
        <v>12764</v>
      </c>
      <c r="AP162" s="14">
        <v>12063</v>
      </c>
      <c r="AQ162" s="14">
        <v>15025</v>
      </c>
      <c r="AR162" s="14">
        <v>13410</v>
      </c>
      <c r="AS162" s="14">
        <v>13443</v>
      </c>
      <c r="AT162" s="14">
        <v>13309</v>
      </c>
      <c r="AU162" s="14">
        <v>9607</v>
      </c>
      <c r="AV162" s="14">
        <v>9793</v>
      </c>
      <c r="AW162" s="14">
        <v>9601</v>
      </c>
      <c r="AX162" s="14">
        <v>8891</v>
      </c>
      <c r="AY162" s="14">
        <v>10546</v>
      </c>
      <c r="AZ162" s="14">
        <v>15553</v>
      </c>
      <c r="BA162" s="14">
        <v>13220</v>
      </c>
      <c r="BB162" s="14">
        <v>8902</v>
      </c>
      <c r="BC162" s="14">
        <v>11669</v>
      </c>
      <c r="BD162" s="14">
        <v>10084</v>
      </c>
      <c r="BE162" s="14">
        <v>10455</v>
      </c>
      <c r="BF162" s="14">
        <v>10157</v>
      </c>
      <c r="BG162" s="14">
        <v>11118</v>
      </c>
      <c r="BH162" s="14">
        <v>5602</v>
      </c>
      <c r="BI162" s="14">
        <v>8974</v>
      </c>
      <c r="BJ162" s="15">
        <v>9200</v>
      </c>
    </row>
    <row r="163" spans="1:62" x14ac:dyDescent="0.3">
      <c r="A163" s="10" t="s">
        <v>67</v>
      </c>
      <c r="B163" s="11">
        <v>1983</v>
      </c>
      <c r="C163" s="13">
        <v>1791</v>
      </c>
      <c r="D163" s="13">
        <v>1116</v>
      </c>
      <c r="E163" s="13">
        <v>703</v>
      </c>
      <c r="F163" s="13">
        <v>562</v>
      </c>
      <c r="G163" s="13">
        <v>2144</v>
      </c>
      <c r="H163" s="13">
        <v>3317</v>
      </c>
      <c r="I163" s="13">
        <v>3502</v>
      </c>
      <c r="J163" s="12">
        <v>0</v>
      </c>
      <c r="K163" s="13">
        <v>529</v>
      </c>
      <c r="L163" s="13">
        <v>2702</v>
      </c>
      <c r="M163" s="13">
        <v>3351</v>
      </c>
      <c r="N163" s="13">
        <v>3215</v>
      </c>
      <c r="O163" s="14">
        <v>8163</v>
      </c>
      <c r="P163" s="14">
        <v>7283</v>
      </c>
      <c r="Q163" s="14">
        <v>5378</v>
      </c>
      <c r="R163" s="14">
        <v>5488</v>
      </c>
      <c r="S163" s="14">
        <v>5752</v>
      </c>
      <c r="T163" s="14">
        <v>6038</v>
      </c>
      <c r="U163" s="14">
        <v>6374</v>
      </c>
      <c r="V163" s="14">
        <v>6669</v>
      </c>
      <c r="W163" s="14">
        <v>6261</v>
      </c>
      <c r="X163" s="14">
        <v>6516</v>
      </c>
      <c r="Y163" s="14">
        <v>6220</v>
      </c>
      <c r="Z163" s="14">
        <v>7122</v>
      </c>
      <c r="AA163" s="14">
        <v>6678</v>
      </c>
      <c r="AB163" s="14">
        <v>6077</v>
      </c>
      <c r="AC163" s="14">
        <v>6443</v>
      </c>
      <c r="AD163" s="14">
        <v>6527</v>
      </c>
      <c r="AE163" s="14">
        <v>7046</v>
      </c>
      <c r="AF163" s="14">
        <v>6725</v>
      </c>
      <c r="AG163" s="14">
        <v>7007</v>
      </c>
      <c r="AH163" s="14">
        <v>11670</v>
      </c>
      <c r="AI163" s="14">
        <v>12578</v>
      </c>
      <c r="AJ163" s="14">
        <v>12415</v>
      </c>
      <c r="AK163" s="14">
        <v>13408</v>
      </c>
      <c r="AL163" s="14">
        <v>10365</v>
      </c>
      <c r="AM163" s="14">
        <v>10637</v>
      </c>
      <c r="AN163" s="14">
        <v>11002</v>
      </c>
      <c r="AO163" s="14">
        <v>16242</v>
      </c>
      <c r="AP163" s="14">
        <v>15542</v>
      </c>
      <c r="AQ163" s="14">
        <v>18140</v>
      </c>
      <c r="AR163" s="14">
        <v>11112</v>
      </c>
      <c r="AS163" s="14">
        <v>10536</v>
      </c>
      <c r="AT163" s="14">
        <v>10676</v>
      </c>
      <c r="AU163" s="14">
        <v>10625</v>
      </c>
      <c r="AV163" s="14">
        <v>7525</v>
      </c>
      <c r="AW163" s="14">
        <v>8944</v>
      </c>
      <c r="AX163" s="14">
        <v>9899</v>
      </c>
      <c r="AY163" s="14">
        <v>7115</v>
      </c>
      <c r="AZ163" s="14">
        <v>12214</v>
      </c>
      <c r="BA163" s="14">
        <v>13655</v>
      </c>
      <c r="BB163" s="14">
        <v>6367</v>
      </c>
      <c r="BC163" s="14">
        <v>12572</v>
      </c>
      <c r="BD163" s="14">
        <v>10618</v>
      </c>
      <c r="BE163" s="14">
        <v>11446</v>
      </c>
      <c r="BF163" s="14">
        <v>7599</v>
      </c>
      <c r="BG163" s="14">
        <v>8139</v>
      </c>
      <c r="BH163" s="14">
        <v>4354</v>
      </c>
      <c r="BI163" s="14">
        <v>8579</v>
      </c>
      <c r="BJ163" s="15">
        <v>8454</v>
      </c>
    </row>
    <row r="164" spans="1:62" x14ac:dyDescent="0.3">
      <c r="A164" s="10" t="s">
        <v>10</v>
      </c>
      <c r="B164" s="11">
        <v>2264</v>
      </c>
      <c r="C164" s="13">
        <v>2248</v>
      </c>
      <c r="D164" s="13">
        <v>1544</v>
      </c>
      <c r="E164" s="13">
        <v>1201</v>
      </c>
      <c r="F164" s="13">
        <v>786</v>
      </c>
      <c r="G164" s="13">
        <v>2638</v>
      </c>
      <c r="H164" s="13">
        <v>3685</v>
      </c>
      <c r="I164" s="13">
        <v>3975</v>
      </c>
      <c r="J164" s="13">
        <v>529</v>
      </c>
      <c r="K164" s="12">
        <v>0</v>
      </c>
      <c r="L164" s="13">
        <v>3029</v>
      </c>
      <c r="M164" s="13">
        <v>3697</v>
      </c>
      <c r="N164" s="13">
        <v>3705</v>
      </c>
      <c r="O164" s="14">
        <v>8117</v>
      </c>
      <c r="P164" s="14">
        <v>7074</v>
      </c>
      <c r="Q164" s="14">
        <v>4875</v>
      </c>
      <c r="R164" s="14">
        <v>4977</v>
      </c>
      <c r="S164" s="14">
        <v>5237</v>
      </c>
      <c r="T164" s="14">
        <v>5519</v>
      </c>
      <c r="U164" s="14">
        <v>5851</v>
      </c>
      <c r="V164" s="14">
        <v>6155</v>
      </c>
      <c r="W164" s="14">
        <v>5761</v>
      </c>
      <c r="X164" s="14">
        <v>6016</v>
      </c>
      <c r="Y164" s="14">
        <v>5711</v>
      </c>
      <c r="Z164" s="14">
        <v>6599</v>
      </c>
      <c r="AA164" s="14">
        <v>6158</v>
      </c>
      <c r="AB164" s="14">
        <v>5549</v>
      </c>
      <c r="AC164" s="14">
        <v>5915</v>
      </c>
      <c r="AD164" s="14">
        <v>6032</v>
      </c>
      <c r="AE164" s="14">
        <v>6547</v>
      </c>
      <c r="AF164" s="14">
        <v>6220</v>
      </c>
      <c r="AG164" s="14">
        <v>6499</v>
      </c>
      <c r="AH164" s="14">
        <v>11283</v>
      </c>
      <c r="AI164" s="14">
        <v>12249</v>
      </c>
      <c r="AJ164" s="14">
        <v>12024</v>
      </c>
      <c r="AK164" s="14">
        <v>13007</v>
      </c>
      <c r="AL164" s="14">
        <v>10412</v>
      </c>
      <c r="AM164" s="14">
        <v>10658</v>
      </c>
      <c r="AN164" s="14">
        <v>10995</v>
      </c>
      <c r="AO164" s="14">
        <v>16734</v>
      </c>
      <c r="AP164" s="14">
        <v>16027</v>
      </c>
      <c r="AQ164" s="14">
        <v>18297</v>
      </c>
      <c r="AR164" s="14">
        <v>10627</v>
      </c>
      <c r="AS164" s="14">
        <v>10015</v>
      </c>
      <c r="AT164" s="14">
        <v>10170</v>
      </c>
      <c r="AU164" s="14">
        <v>10577</v>
      </c>
      <c r="AV164" s="14">
        <v>7076</v>
      </c>
      <c r="AW164" s="14">
        <v>8681</v>
      </c>
      <c r="AX164" s="14">
        <v>9869</v>
      </c>
      <c r="AY164" s="14">
        <v>6596</v>
      </c>
      <c r="AZ164" s="14">
        <v>11689</v>
      </c>
      <c r="BA164" s="14">
        <v>13415</v>
      </c>
      <c r="BB164" s="14">
        <v>5899</v>
      </c>
      <c r="BC164" s="14">
        <v>12454</v>
      </c>
      <c r="BD164" s="14">
        <v>10492</v>
      </c>
      <c r="BE164" s="14">
        <v>11373</v>
      </c>
      <c r="BF164" s="14">
        <v>7118</v>
      </c>
      <c r="BG164" s="14">
        <v>7620</v>
      </c>
      <c r="BH164" s="14">
        <v>4532</v>
      </c>
      <c r="BI164" s="14">
        <v>8748</v>
      </c>
      <c r="BJ164" s="15">
        <v>8571</v>
      </c>
    </row>
    <row r="165" spans="1:62" x14ac:dyDescent="0.3">
      <c r="A165" s="10" t="s">
        <v>11</v>
      </c>
      <c r="B165" s="11">
        <v>4016</v>
      </c>
      <c r="C165" s="13">
        <v>3074</v>
      </c>
      <c r="D165" s="13">
        <v>1685</v>
      </c>
      <c r="E165" s="13">
        <v>2255</v>
      </c>
      <c r="F165" s="13">
        <v>3174</v>
      </c>
      <c r="G165" s="13">
        <v>1441</v>
      </c>
      <c r="H165" s="13">
        <v>711</v>
      </c>
      <c r="I165" s="13">
        <v>1918</v>
      </c>
      <c r="J165" s="13">
        <v>2702</v>
      </c>
      <c r="K165" s="13">
        <v>3029</v>
      </c>
      <c r="L165" s="12">
        <v>0</v>
      </c>
      <c r="M165" s="13">
        <v>675</v>
      </c>
      <c r="N165" s="13">
        <v>3713</v>
      </c>
      <c r="O165" s="14">
        <v>10560</v>
      </c>
      <c r="P165" s="14">
        <v>9950</v>
      </c>
      <c r="Q165" s="14">
        <v>6553</v>
      </c>
      <c r="R165" s="14">
        <v>6769</v>
      </c>
      <c r="S165" s="14">
        <v>7058</v>
      </c>
      <c r="T165" s="14">
        <v>7396</v>
      </c>
      <c r="U165" s="14">
        <v>7787</v>
      </c>
      <c r="V165" s="14">
        <v>7858</v>
      </c>
      <c r="W165" s="14">
        <v>7295</v>
      </c>
      <c r="X165" s="14">
        <v>7518</v>
      </c>
      <c r="Y165" s="14">
        <v>7380</v>
      </c>
      <c r="Z165" s="14">
        <v>8483</v>
      </c>
      <c r="AA165" s="14">
        <v>8006</v>
      </c>
      <c r="AB165" s="14">
        <v>7837</v>
      </c>
      <c r="AC165" s="14">
        <v>8052</v>
      </c>
      <c r="AD165" s="14">
        <v>7474</v>
      </c>
      <c r="AE165" s="14">
        <v>7985</v>
      </c>
      <c r="AF165" s="14">
        <v>7787</v>
      </c>
      <c r="AG165" s="14">
        <v>8070</v>
      </c>
      <c r="AH165" s="14">
        <v>11111</v>
      </c>
      <c r="AI165" s="14">
        <v>11560</v>
      </c>
      <c r="AJ165" s="14">
        <v>11806</v>
      </c>
      <c r="AK165" s="14">
        <v>12765</v>
      </c>
      <c r="AL165" s="14">
        <v>8010</v>
      </c>
      <c r="AM165" s="14">
        <v>8340</v>
      </c>
      <c r="AN165" s="14">
        <v>8770</v>
      </c>
      <c r="AO165" s="14">
        <v>13866</v>
      </c>
      <c r="AP165" s="14">
        <v>13156</v>
      </c>
      <c r="AQ165" s="14">
        <v>15452</v>
      </c>
      <c r="AR165" s="14">
        <v>11494</v>
      </c>
      <c r="AS165" s="14">
        <v>11581</v>
      </c>
      <c r="AT165" s="14">
        <v>11403</v>
      </c>
      <c r="AU165" s="14">
        <v>8532</v>
      </c>
      <c r="AV165" s="14">
        <v>7881</v>
      </c>
      <c r="AW165" s="14">
        <v>7882</v>
      </c>
      <c r="AX165" s="14">
        <v>7786</v>
      </c>
      <c r="AY165" s="14">
        <v>9133</v>
      </c>
      <c r="AZ165" s="14">
        <v>13852</v>
      </c>
      <c r="BA165" s="14">
        <v>12084</v>
      </c>
      <c r="BB165" s="14">
        <v>7031</v>
      </c>
      <c r="BC165" s="14">
        <v>10613</v>
      </c>
      <c r="BD165" s="14">
        <v>8800</v>
      </c>
      <c r="BE165" s="14">
        <v>9397</v>
      </c>
      <c r="BF165" s="14">
        <v>8271</v>
      </c>
      <c r="BG165" s="14">
        <v>9320</v>
      </c>
      <c r="BH165" s="14">
        <v>6345</v>
      </c>
      <c r="BI165" s="14">
        <v>10281</v>
      </c>
      <c r="BJ165" s="15">
        <v>10361</v>
      </c>
    </row>
    <row r="166" spans="1:62" x14ac:dyDescent="0.3">
      <c r="A166" s="10" t="s">
        <v>12</v>
      </c>
      <c r="B166" s="11">
        <v>4518</v>
      </c>
      <c r="C166" s="13">
        <v>3511</v>
      </c>
      <c r="D166" s="13">
        <v>2299</v>
      </c>
      <c r="E166" s="13">
        <v>2860</v>
      </c>
      <c r="F166" s="13">
        <v>3800</v>
      </c>
      <c r="G166" s="13">
        <v>1782</v>
      </c>
      <c r="H166" s="13">
        <v>195</v>
      </c>
      <c r="I166" s="13">
        <v>1739</v>
      </c>
      <c r="J166" s="13">
        <v>3351</v>
      </c>
      <c r="K166" s="13">
        <v>3697</v>
      </c>
      <c r="L166" s="13">
        <v>675</v>
      </c>
      <c r="M166" s="12">
        <v>0</v>
      </c>
      <c r="N166" s="13">
        <v>3910</v>
      </c>
      <c r="O166" s="14">
        <v>11036</v>
      </c>
      <c r="P166" s="14">
        <v>10553</v>
      </c>
      <c r="Q166" s="14">
        <v>7086</v>
      </c>
      <c r="R166" s="14">
        <v>7314</v>
      </c>
      <c r="S166" s="14">
        <v>7603</v>
      </c>
      <c r="T166" s="14">
        <v>7943</v>
      </c>
      <c r="U166" s="14">
        <v>8337</v>
      </c>
      <c r="V166" s="14">
        <v>8368</v>
      </c>
      <c r="W166" s="14">
        <v>7789</v>
      </c>
      <c r="X166" s="14">
        <v>8001</v>
      </c>
      <c r="Y166" s="14">
        <v>7894</v>
      </c>
      <c r="Z166" s="14">
        <v>9013</v>
      </c>
      <c r="AA166" s="14">
        <v>8538</v>
      </c>
      <c r="AB166" s="14">
        <v>8439</v>
      </c>
      <c r="AC166" s="14">
        <v>8629</v>
      </c>
      <c r="AD166" s="14">
        <v>7948</v>
      </c>
      <c r="AE166" s="14">
        <v>8446</v>
      </c>
      <c r="AF166" s="14">
        <v>8275</v>
      </c>
      <c r="AG166" s="14">
        <v>8554</v>
      </c>
      <c r="AH166" s="14">
        <v>11145</v>
      </c>
      <c r="AI166" s="14">
        <v>11459</v>
      </c>
      <c r="AJ166" s="14">
        <v>11806</v>
      </c>
      <c r="AK166" s="14">
        <v>12725</v>
      </c>
      <c r="AL166" s="14">
        <v>7568</v>
      </c>
      <c r="AM166" s="14">
        <v>7916</v>
      </c>
      <c r="AN166" s="14">
        <v>8365</v>
      </c>
      <c r="AO166" s="14">
        <v>13194</v>
      </c>
      <c r="AP166" s="14">
        <v>12485</v>
      </c>
      <c r="AQ166" s="14">
        <v>14820</v>
      </c>
      <c r="AR166" s="14">
        <v>11753</v>
      </c>
      <c r="AS166" s="14">
        <v>11993</v>
      </c>
      <c r="AT166" s="14">
        <v>11746</v>
      </c>
      <c r="AU166" s="14">
        <v>8180</v>
      </c>
      <c r="AV166" s="14">
        <v>8226</v>
      </c>
      <c r="AW166" s="14">
        <v>7869</v>
      </c>
      <c r="AX166" s="14">
        <v>7440</v>
      </c>
      <c r="AY166" s="14">
        <v>9760</v>
      </c>
      <c r="AZ166" s="14">
        <v>14354</v>
      </c>
      <c r="BA166" s="14">
        <v>11821</v>
      </c>
      <c r="BB166" s="14">
        <v>7461</v>
      </c>
      <c r="BC166" s="14">
        <v>10269</v>
      </c>
      <c r="BD166" s="14">
        <v>8535</v>
      </c>
      <c r="BE166" s="14">
        <v>9045</v>
      </c>
      <c r="BF166" s="14">
        <v>8673</v>
      </c>
      <c r="BG166" s="14">
        <v>9803</v>
      </c>
      <c r="BH166" s="14">
        <v>6760</v>
      </c>
      <c r="BI166" s="14">
        <v>10530</v>
      </c>
      <c r="BJ166" s="15">
        <v>10672</v>
      </c>
    </row>
    <row r="167" spans="1:62" x14ac:dyDescent="0.3">
      <c r="A167" s="10" t="s">
        <v>13</v>
      </c>
      <c r="B167" s="11">
        <v>2075</v>
      </c>
      <c r="C167" s="13">
        <v>1482</v>
      </c>
      <c r="D167" s="13">
        <v>2856</v>
      </c>
      <c r="E167" s="13">
        <v>2690</v>
      </c>
      <c r="F167" s="13">
        <v>3012</v>
      </c>
      <c r="G167" s="13">
        <v>2288</v>
      </c>
      <c r="H167" s="13">
        <v>3733</v>
      </c>
      <c r="I167" s="13">
        <v>2461</v>
      </c>
      <c r="J167" s="13">
        <v>3215</v>
      </c>
      <c r="K167" s="13">
        <v>3705</v>
      </c>
      <c r="L167" s="13">
        <v>3713</v>
      </c>
      <c r="M167" s="13">
        <v>3910</v>
      </c>
      <c r="N167" s="12">
        <v>0</v>
      </c>
      <c r="O167" s="14">
        <v>7449</v>
      </c>
      <c r="P167" s="14">
        <v>7686</v>
      </c>
      <c r="Q167" s="14">
        <v>8580</v>
      </c>
      <c r="R167" s="14">
        <v>8672</v>
      </c>
      <c r="S167" s="14">
        <v>8925</v>
      </c>
      <c r="T167" s="14">
        <v>9191</v>
      </c>
      <c r="U167" s="14">
        <v>9500</v>
      </c>
      <c r="V167" s="14">
        <v>9845</v>
      </c>
      <c r="W167" s="14">
        <v>9466</v>
      </c>
      <c r="X167" s="14">
        <v>9721</v>
      </c>
      <c r="Y167" s="14">
        <v>9410</v>
      </c>
      <c r="Z167" s="14">
        <v>10240</v>
      </c>
      <c r="AA167" s="14">
        <v>9821</v>
      </c>
      <c r="AB167" s="14">
        <v>9067</v>
      </c>
      <c r="AC167" s="14">
        <v>9491</v>
      </c>
      <c r="AD167" s="14">
        <v>9737</v>
      </c>
      <c r="AE167" s="14">
        <v>10253</v>
      </c>
      <c r="AF167" s="14">
        <v>9921</v>
      </c>
      <c r="AG167" s="14">
        <v>10199</v>
      </c>
      <c r="AH167" s="14">
        <v>14643</v>
      </c>
      <c r="AI167" s="14">
        <v>15255</v>
      </c>
      <c r="AJ167" s="14">
        <v>15378</v>
      </c>
      <c r="AK167" s="14">
        <v>16376</v>
      </c>
      <c r="AL167" s="14">
        <v>11291</v>
      </c>
      <c r="AM167" s="14">
        <v>11670</v>
      </c>
      <c r="AN167" s="14">
        <v>12145</v>
      </c>
      <c r="AO167" s="14">
        <v>13572</v>
      </c>
      <c r="AP167" s="14">
        <v>12980</v>
      </c>
      <c r="AQ167" s="14">
        <v>16281</v>
      </c>
      <c r="AR167" s="14">
        <v>14326</v>
      </c>
      <c r="AS167" s="14">
        <v>13649</v>
      </c>
      <c r="AT167" s="14">
        <v>14867</v>
      </c>
      <c r="AU167" s="14">
        <v>12040</v>
      </c>
      <c r="AV167" s="14">
        <v>10712</v>
      </c>
      <c r="AW167" s="14">
        <v>11538</v>
      </c>
      <c r="AX167" s="14">
        <v>11312</v>
      </c>
      <c r="AY167" s="14">
        <v>9841</v>
      </c>
      <c r="AZ167" s="14">
        <v>14830</v>
      </c>
      <c r="BA167" s="14">
        <v>15725</v>
      </c>
      <c r="BB167" s="14">
        <v>9576</v>
      </c>
      <c r="BC167" s="14">
        <v>14116</v>
      </c>
      <c r="BD167" s="14">
        <v>12445</v>
      </c>
      <c r="BE167" s="14">
        <v>12896</v>
      </c>
      <c r="BF167" s="14">
        <v>10813</v>
      </c>
      <c r="BG167" s="14">
        <v>11282</v>
      </c>
      <c r="BH167" s="14">
        <v>3198</v>
      </c>
      <c r="BI167" s="14">
        <v>6619</v>
      </c>
      <c r="BJ167" s="15">
        <v>6784</v>
      </c>
    </row>
    <row r="168" spans="1:62" x14ac:dyDescent="0.3">
      <c r="A168" s="10" t="s">
        <v>14</v>
      </c>
      <c r="B168" s="16">
        <v>6544</v>
      </c>
      <c r="C168" s="14">
        <v>7524</v>
      </c>
      <c r="D168" s="14">
        <v>8941</v>
      </c>
      <c r="E168" s="14">
        <v>8383</v>
      </c>
      <c r="F168" s="14">
        <v>4725</v>
      </c>
      <c r="G168" s="14">
        <v>9259</v>
      </c>
      <c r="H168" s="14">
        <v>10902</v>
      </c>
      <c r="I168" s="14">
        <v>9895</v>
      </c>
      <c r="J168" s="14">
        <v>8163</v>
      </c>
      <c r="K168" s="14">
        <v>8117</v>
      </c>
      <c r="L168" s="14">
        <v>10560</v>
      </c>
      <c r="M168" s="14">
        <v>11036</v>
      </c>
      <c r="N168" s="14">
        <v>7449</v>
      </c>
      <c r="O168" s="12">
        <v>0</v>
      </c>
      <c r="P168" s="13">
        <v>2121</v>
      </c>
      <c r="Q168" s="14">
        <v>9714</v>
      </c>
      <c r="R168" s="14">
        <v>9504</v>
      </c>
      <c r="S168" s="14">
        <v>9470</v>
      </c>
      <c r="T168" s="14">
        <v>9376</v>
      </c>
      <c r="U168" s="14">
        <v>9267</v>
      </c>
      <c r="V168" s="14">
        <v>9827</v>
      </c>
      <c r="W168" s="14">
        <v>10122</v>
      </c>
      <c r="X168" s="14">
        <v>10229</v>
      </c>
      <c r="Y168" s="14">
        <v>9843</v>
      </c>
      <c r="Z168" s="14">
        <v>9455</v>
      </c>
      <c r="AA168" s="14">
        <v>9498</v>
      </c>
      <c r="AB168" s="14">
        <v>8359</v>
      </c>
      <c r="AC168" s="14">
        <v>8773</v>
      </c>
      <c r="AD168" s="14">
        <v>10352</v>
      </c>
      <c r="AE168" s="14">
        <v>10448</v>
      </c>
      <c r="AF168" s="14">
        <v>10126</v>
      </c>
      <c r="AG168" s="14">
        <v>10159</v>
      </c>
      <c r="AH168" s="14">
        <v>14431</v>
      </c>
      <c r="AI168" s="14">
        <v>15437</v>
      </c>
      <c r="AJ168" s="14">
        <v>14473</v>
      </c>
      <c r="AK168" s="14">
        <v>14332</v>
      </c>
      <c r="AL168" s="14">
        <v>18528</v>
      </c>
      <c r="AM168" s="14">
        <v>18754</v>
      </c>
      <c r="AN168" s="14">
        <v>18946</v>
      </c>
      <c r="AO168" s="14">
        <v>13107</v>
      </c>
      <c r="AP168" s="14">
        <v>13377</v>
      </c>
      <c r="AQ168" s="14">
        <v>13590</v>
      </c>
      <c r="AR168" s="14">
        <v>12225</v>
      </c>
      <c r="AS168" s="14">
        <v>10599</v>
      </c>
      <c r="AT168" s="14">
        <v>11385</v>
      </c>
      <c r="AU168" s="14">
        <v>18336</v>
      </c>
      <c r="AV168" s="14">
        <v>11789</v>
      </c>
      <c r="AW168" s="14">
        <v>15126</v>
      </c>
      <c r="AX168" s="14">
        <v>17826</v>
      </c>
      <c r="AY168" s="14">
        <v>7558</v>
      </c>
      <c r="AZ168" s="14">
        <v>9289</v>
      </c>
      <c r="BA168" s="14">
        <v>16407</v>
      </c>
      <c r="BB168" s="14">
        <v>10904</v>
      </c>
      <c r="BC168" s="14">
        <v>18058</v>
      </c>
      <c r="BD168" s="14">
        <v>17597</v>
      </c>
      <c r="BE168" s="14">
        <v>18568</v>
      </c>
      <c r="BF168" s="14">
        <v>11131</v>
      </c>
      <c r="BG168" s="14">
        <v>10011</v>
      </c>
      <c r="BH168" s="12">
        <v>4310</v>
      </c>
      <c r="BI168" s="12">
        <v>2590</v>
      </c>
      <c r="BJ168" s="17">
        <v>1941</v>
      </c>
    </row>
    <row r="169" spans="1:62" x14ac:dyDescent="0.3">
      <c r="A169" s="10" t="s">
        <v>15</v>
      </c>
      <c r="B169" s="16">
        <v>6161</v>
      </c>
      <c r="C169" s="14">
        <v>7241</v>
      </c>
      <c r="D169" s="14">
        <v>8266</v>
      </c>
      <c r="E169" s="14">
        <v>7698</v>
      </c>
      <c r="F169" s="14">
        <v>6780</v>
      </c>
      <c r="G169" s="14">
        <v>8916</v>
      </c>
      <c r="H169" s="14">
        <v>10473</v>
      </c>
      <c r="I169" s="14">
        <v>9902</v>
      </c>
      <c r="J169" s="14">
        <v>7283</v>
      </c>
      <c r="K169" s="14">
        <v>7074</v>
      </c>
      <c r="L169" s="14">
        <v>9950</v>
      </c>
      <c r="M169" s="14">
        <v>10553</v>
      </c>
      <c r="N169" s="14">
        <v>7686</v>
      </c>
      <c r="O169" s="13">
        <v>2121</v>
      </c>
      <c r="P169" s="12">
        <v>0</v>
      </c>
      <c r="Q169" s="14">
        <v>7672</v>
      </c>
      <c r="R169" s="14">
        <v>7446</v>
      </c>
      <c r="S169" s="14">
        <v>7390</v>
      </c>
      <c r="T169" s="14">
        <v>7277</v>
      </c>
      <c r="U169" s="14">
        <v>7153</v>
      </c>
      <c r="V169" s="14">
        <v>7710</v>
      </c>
      <c r="W169" s="14">
        <v>8023</v>
      </c>
      <c r="X169" s="14">
        <v>8120</v>
      </c>
      <c r="Y169" s="14">
        <v>7742</v>
      </c>
      <c r="Z169" s="14">
        <v>7335</v>
      </c>
      <c r="AA169" s="14">
        <v>7379</v>
      </c>
      <c r="AB169" s="14">
        <v>6248</v>
      </c>
      <c r="AC169" s="14">
        <v>6655</v>
      </c>
      <c r="AD169" s="14">
        <v>8244</v>
      </c>
      <c r="AE169" s="14">
        <v>8328</v>
      </c>
      <c r="AF169" s="14">
        <v>8009</v>
      </c>
      <c r="AG169" s="14">
        <v>8038</v>
      </c>
      <c r="AH169" s="14">
        <v>12597</v>
      </c>
      <c r="AI169" s="14">
        <v>13770</v>
      </c>
      <c r="AJ169" s="14">
        <v>12803</v>
      </c>
      <c r="AK169" s="14">
        <v>12937</v>
      </c>
      <c r="AL169" s="14">
        <v>16896</v>
      </c>
      <c r="AM169" s="14">
        <v>16900</v>
      </c>
      <c r="AN169" s="14">
        <v>16894</v>
      </c>
      <c r="AO169" s="14">
        <v>14927</v>
      </c>
      <c r="AP169" s="14">
        <v>15319</v>
      </c>
      <c r="AQ169" s="14">
        <v>14605</v>
      </c>
      <c r="AR169" s="14">
        <v>10410</v>
      </c>
      <c r="AS169" s="14">
        <v>8782</v>
      </c>
      <c r="AT169" s="14">
        <v>9544</v>
      </c>
      <c r="AU169" s="14">
        <v>16265</v>
      </c>
      <c r="AV169" s="14">
        <v>9669</v>
      </c>
      <c r="AW169" s="14">
        <v>13015</v>
      </c>
      <c r="AX169" s="14">
        <v>15911</v>
      </c>
      <c r="AY169" s="14">
        <v>5449</v>
      </c>
      <c r="AZ169" s="14">
        <v>7983</v>
      </c>
      <c r="BA169" s="14">
        <v>15126</v>
      </c>
      <c r="BB169" s="14">
        <v>8815</v>
      </c>
      <c r="BC169" s="14">
        <v>16361</v>
      </c>
      <c r="BD169" s="14">
        <v>15476</v>
      </c>
      <c r="BE169" s="14">
        <v>16468</v>
      </c>
      <c r="BF169" s="14">
        <v>9010</v>
      </c>
      <c r="BG169" s="14">
        <v>7924</v>
      </c>
      <c r="BH169" s="13">
        <v>4570</v>
      </c>
      <c r="BI169" s="13">
        <v>4626</v>
      </c>
      <c r="BJ169" s="18">
        <v>3989</v>
      </c>
    </row>
    <row r="170" spans="1:62" x14ac:dyDescent="0.3">
      <c r="A170" s="10" t="s">
        <v>16</v>
      </c>
      <c r="B170" s="16">
        <v>6869</v>
      </c>
      <c r="C170" s="14">
        <v>7119</v>
      </c>
      <c r="D170" s="14">
        <v>6043</v>
      </c>
      <c r="E170" s="14">
        <v>5976</v>
      </c>
      <c r="F170" s="14">
        <v>3470</v>
      </c>
      <c r="G170" s="14">
        <v>7112</v>
      </c>
      <c r="H170" s="14">
        <v>7211</v>
      </c>
      <c r="I170" s="14">
        <v>8302</v>
      </c>
      <c r="J170" s="14">
        <v>5378</v>
      </c>
      <c r="K170" s="14">
        <v>4875</v>
      </c>
      <c r="L170" s="14">
        <v>6553</v>
      </c>
      <c r="M170" s="14">
        <v>7086</v>
      </c>
      <c r="N170" s="14">
        <v>8580</v>
      </c>
      <c r="O170" s="14">
        <v>9714</v>
      </c>
      <c r="P170" s="14">
        <v>7672</v>
      </c>
      <c r="Q170" s="12">
        <v>0</v>
      </c>
      <c r="R170" s="13">
        <v>283</v>
      </c>
      <c r="S170" s="13">
        <v>535</v>
      </c>
      <c r="T170" s="13">
        <v>873</v>
      </c>
      <c r="U170" s="13">
        <v>1266</v>
      </c>
      <c r="V170" s="13">
        <v>1331</v>
      </c>
      <c r="W170" s="13">
        <v>889</v>
      </c>
      <c r="X170" s="13">
        <v>1144</v>
      </c>
      <c r="Y170" s="13">
        <v>857</v>
      </c>
      <c r="Z170" s="13">
        <v>1930</v>
      </c>
      <c r="AA170" s="13">
        <v>1454</v>
      </c>
      <c r="AB170" s="13">
        <v>1730</v>
      </c>
      <c r="AC170" s="13">
        <v>1666</v>
      </c>
      <c r="AD170" s="13">
        <v>1174</v>
      </c>
      <c r="AE170" s="13">
        <v>1675</v>
      </c>
      <c r="AF170" s="13">
        <v>1347</v>
      </c>
      <c r="AG170" s="13">
        <v>1632</v>
      </c>
      <c r="AH170" s="14">
        <v>6839</v>
      </c>
      <c r="AI170" s="14">
        <v>8052</v>
      </c>
      <c r="AJ170" s="14">
        <v>7518</v>
      </c>
      <c r="AK170" s="14">
        <v>8407</v>
      </c>
      <c r="AL170" s="14">
        <v>9262</v>
      </c>
      <c r="AM170" s="14">
        <v>9229</v>
      </c>
      <c r="AN170" s="14">
        <v>9247</v>
      </c>
      <c r="AO170" s="14">
        <v>16904</v>
      </c>
      <c r="AP170" s="14">
        <v>16870</v>
      </c>
      <c r="AQ170" s="14">
        <v>14664</v>
      </c>
      <c r="AR170" s="14">
        <v>5771</v>
      </c>
      <c r="AS170" s="14">
        <v>5212</v>
      </c>
      <c r="AT170" s="14">
        <v>5298</v>
      </c>
      <c r="AU170" s="14">
        <v>8624</v>
      </c>
      <c r="AV170" s="14">
        <v>2518</v>
      </c>
      <c r="AW170" s="14">
        <v>5481</v>
      </c>
      <c r="AX170" s="14">
        <v>8242</v>
      </c>
      <c r="AY170" s="14">
        <v>3125</v>
      </c>
      <c r="AZ170" s="14">
        <v>7301</v>
      </c>
      <c r="BA170" s="14">
        <v>9582</v>
      </c>
      <c r="BB170" s="13">
        <v>1318</v>
      </c>
      <c r="BC170" s="14">
        <v>9535</v>
      </c>
      <c r="BD170" s="14">
        <v>7958</v>
      </c>
      <c r="BE170" s="14">
        <v>9021</v>
      </c>
      <c r="BF170" s="13">
        <v>2310</v>
      </c>
      <c r="BG170" s="13">
        <v>2827</v>
      </c>
      <c r="BH170" s="14">
        <v>8402</v>
      </c>
      <c r="BI170" s="14">
        <v>11777</v>
      </c>
      <c r="BJ170" s="15">
        <v>11268</v>
      </c>
    </row>
    <row r="171" spans="1:62" x14ac:dyDescent="0.3">
      <c r="A171" s="10" t="s">
        <v>17</v>
      </c>
      <c r="B171" s="16">
        <v>6910</v>
      </c>
      <c r="C171" s="14">
        <v>7210</v>
      </c>
      <c r="D171" s="14">
        <v>6195</v>
      </c>
      <c r="E171" s="14">
        <v>6102</v>
      </c>
      <c r="F171" s="14">
        <v>5665</v>
      </c>
      <c r="G171" s="14">
        <v>7279</v>
      </c>
      <c r="H171" s="14">
        <v>7435</v>
      </c>
      <c r="I171" s="14">
        <v>8490</v>
      </c>
      <c r="J171" s="14">
        <v>5488</v>
      </c>
      <c r="K171" s="14">
        <v>4977</v>
      </c>
      <c r="L171" s="14">
        <v>6769</v>
      </c>
      <c r="M171" s="14">
        <v>7314</v>
      </c>
      <c r="N171" s="14">
        <v>8672</v>
      </c>
      <c r="O171" s="14">
        <v>9504</v>
      </c>
      <c r="P171" s="14">
        <v>7446</v>
      </c>
      <c r="Q171" s="13">
        <v>283</v>
      </c>
      <c r="R171" s="12">
        <v>0</v>
      </c>
      <c r="S171" s="13">
        <v>290</v>
      </c>
      <c r="T171" s="13">
        <v>629</v>
      </c>
      <c r="U171" s="13">
        <v>1023</v>
      </c>
      <c r="V171" s="13">
        <v>1181</v>
      </c>
      <c r="W171" s="13">
        <v>862</v>
      </c>
      <c r="X171" s="13">
        <v>1104</v>
      </c>
      <c r="Y171" s="13">
        <v>740</v>
      </c>
      <c r="Z171" s="13">
        <v>1722</v>
      </c>
      <c r="AA171" s="13">
        <v>1248</v>
      </c>
      <c r="AB171" s="13">
        <v>1448</v>
      </c>
      <c r="AC171" s="13">
        <v>1393</v>
      </c>
      <c r="AD171" s="13">
        <v>1164</v>
      </c>
      <c r="AE171" s="13">
        <v>1620</v>
      </c>
      <c r="AF171" s="13">
        <v>1258</v>
      </c>
      <c r="AG171" s="13">
        <v>1528</v>
      </c>
      <c r="AH171" s="14">
        <v>6878</v>
      </c>
      <c r="AI171" s="14">
        <v>8112</v>
      </c>
      <c r="AJ171" s="14">
        <v>7541</v>
      </c>
      <c r="AK171" s="14">
        <v>8407</v>
      </c>
      <c r="AL171" s="14">
        <v>9501</v>
      </c>
      <c r="AM171" s="14">
        <v>9459</v>
      </c>
      <c r="AN171" s="14">
        <v>9463</v>
      </c>
      <c r="AO171" s="14">
        <v>17013</v>
      </c>
      <c r="AP171" s="14">
        <v>17038</v>
      </c>
      <c r="AQ171" s="14">
        <v>14664</v>
      </c>
      <c r="AR171" s="14">
        <v>5709</v>
      </c>
      <c r="AS171" s="14">
        <v>5067</v>
      </c>
      <c r="AT171" s="14">
        <v>5195</v>
      </c>
      <c r="AU171" s="14">
        <v>8838</v>
      </c>
      <c r="AV171" s="14">
        <v>2601</v>
      </c>
      <c r="AW171" s="14">
        <v>5666</v>
      </c>
      <c r="AX171" s="14">
        <v>8474</v>
      </c>
      <c r="AY171" s="14">
        <v>2842</v>
      </c>
      <c r="AZ171" s="14">
        <v>7094</v>
      </c>
      <c r="BA171" s="14">
        <v>9663</v>
      </c>
      <c r="BB171" s="13">
        <v>1450</v>
      </c>
      <c r="BC171" s="14">
        <v>9685</v>
      </c>
      <c r="BD171" s="14">
        <v>8151</v>
      </c>
      <c r="BE171" s="14">
        <v>9211</v>
      </c>
      <c r="BF171" s="13">
        <v>2308</v>
      </c>
      <c r="BG171" s="13">
        <v>2669</v>
      </c>
      <c r="BH171" s="14">
        <v>8350</v>
      </c>
      <c r="BI171" s="14">
        <v>11618</v>
      </c>
      <c r="BJ171" s="15">
        <v>11094</v>
      </c>
    </row>
    <row r="172" spans="1:62" x14ac:dyDescent="0.3">
      <c r="A172" s="10" t="s">
        <v>18</v>
      </c>
      <c r="B172" s="16">
        <v>7134</v>
      </c>
      <c r="C172" s="14">
        <v>7463</v>
      </c>
      <c r="D172" s="14">
        <v>6475</v>
      </c>
      <c r="E172" s="14">
        <v>6372</v>
      </c>
      <c r="F172" s="14">
        <v>3675</v>
      </c>
      <c r="G172" s="14">
        <v>7562</v>
      </c>
      <c r="H172" s="14">
        <v>7724</v>
      </c>
      <c r="I172" s="14">
        <v>8778</v>
      </c>
      <c r="J172" s="14">
        <v>5752</v>
      </c>
      <c r="K172" s="14">
        <v>5237</v>
      </c>
      <c r="L172" s="14">
        <v>7058</v>
      </c>
      <c r="M172" s="14">
        <v>7603</v>
      </c>
      <c r="N172" s="14">
        <v>8925</v>
      </c>
      <c r="O172" s="14">
        <v>9470</v>
      </c>
      <c r="P172" s="14">
        <v>7390</v>
      </c>
      <c r="Q172" s="13">
        <v>535</v>
      </c>
      <c r="R172" s="13">
        <v>290</v>
      </c>
      <c r="S172" s="12">
        <v>0</v>
      </c>
      <c r="T172" s="13">
        <v>341</v>
      </c>
      <c r="U172" s="13">
        <v>736</v>
      </c>
      <c r="V172" s="13">
        <v>920</v>
      </c>
      <c r="W172" s="13">
        <v>723</v>
      </c>
      <c r="X172" s="13">
        <v>934</v>
      </c>
      <c r="Y172" s="13">
        <v>525</v>
      </c>
      <c r="Z172" s="13">
        <v>1434</v>
      </c>
      <c r="AA172" s="13">
        <v>960</v>
      </c>
      <c r="AB172" s="13">
        <v>1264</v>
      </c>
      <c r="AC172" s="13">
        <v>1138</v>
      </c>
      <c r="AD172" s="13">
        <v>1018</v>
      </c>
      <c r="AE172" s="13">
        <v>1419</v>
      </c>
      <c r="AF172" s="13">
        <v>1039</v>
      </c>
      <c r="AG172" s="13">
        <v>1291</v>
      </c>
      <c r="AH172" s="14">
        <v>6723</v>
      </c>
      <c r="AI172" s="14">
        <v>7975</v>
      </c>
      <c r="AJ172" s="14">
        <v>7371</v>
      </c>
      <c r="AK172" s="14">
        <v>8217</v>
      </c>
      <c r="AL172" s="14">
        <v>9585</v>
      </c>
      <c r="AM172" s="14">
        <v>9525</v>
      </c>
      <c r="AN172" s="14">
        <v>9508</v>
      </c>
      <c r="AO172" s="14">
        <v>16898</v>
      </c>
      <c r="AP172" s="14">
        <v>16991</v>
      </c>
      <c r="AQ172" s="14">
        <v>14466</v>
      </c>
      <c r="AR172" s="14">
        <v>5479</v>
      </c>
      <c r="AS172" s="14">
        <v>4793</v>
      </c>
      <c r="AT172" s="14">
        <v>4942</v>
      </c>
      <c r="AU172" s="14">
        <v>8880</v>
      </c>
      <c r="AV172" s="14">
        <v>2508</v>
      </c>
      <c r="AW172" s="14">
        <v>5674</v>
      </c>
      <c r="AX172" s="14">
        <v>8547</v>
      </c>
      <c r="AY172" s="14">
        <v>2620</v>
      </c>
      <c r="AZ172" s="14">
        <v>6805</v>
      </c>
      <c r="BA172" s="14">
        <v>9542</v>
      </c>
      <c r="BB172" s="13">
        <v>1437</v>
      </c>
      <c r="BC172" s="14">
        <v>9640</v>
      </c>
      <c r="BD172" s="14">
        <v>8163</v>
      </c>
      <c r="BE172" s="14">
        <v>9218</v>
      </c>
      <c r="BF172" s="13">
        <v>2140</v>
      </c>
      <c r="BG172" s="13">
        <v>2394</v>
      </c>
      <c r="BH172" s="14">
        <v>8502</v>
      </c>
      <c r="BI172" s="14">
        <v>11651</v>
      </c>
      <c r="BJ172" s="15">
        <v>11110</v>
      </c>
    </row>
    <row r="173" spans="1:62" x14ac:dyDescent="0.3">
      <c r="A173" s="10" t="s">
        <v>19</v>
      </c>
      <c r="B173" s="16">
        <v>7362</v>
      </c>
      <c r="C173" s="14">
        <v>7731</v>
      </c>
      <c r="D173" s="14">
        <v>6786</v>
      </c>
      <c r="E173" s="14">
        <v>6667</v>
      </c>
      <c r="F173" s="14">
        <v>3840</v>
      </c>
      <c r="G173" s="14">
        <v>7880</v>
      </c>
      <c r="H173" s="14">
        <v>8063</v>
      </c>
      <c r="I173" s="14">
        <v>9105</v>
      </c>
      <c r="J173" s="14">
        <v>6038</v>
      </c>
      <c r="K173" s="14">
        <v>5519</v>
      </c>
      <c r="L173" s="14">
        <v>7396</v>
      </c>
      <c r="M173" s="14">
        <v>7943</v>
      </c>
      <c r="N173" s="14">
        <v>9191</v>
      </c>
      <c r="O173" s="14">
        <v>9376</v>
      </c>
      <c r="P173" s="14">
        <v>7277</v>
      </c>
      <c r="Q173" s="13">
        <v>873</v>
      </c>
      <c r="R173" s="13">
        <v>629</v>
      </c>
      <c r="S173" s="13">
        <v>341</v>
      </c>
      <c r="T173" s="12">
        <v>0</v>
      </c>
      <c r="U173" s="13">
        <v>395</v>
      </c>
      <c r="V173" s="13">
        <v>688</v>
      </c>
      <c r="W173" s="13">
        <v>747</v>
      </c>
      <c r="X173" s="13">
        <v>880</v>
      </c>
      <c r="Y173" s="13">
        <v>469</v>
      </c>
      <c r="Z173" s="13">
        <v>1108</v>
      </c>
      <c r="AA173" s="13">
        <v>643</v>
      </c>
      <c r="AB173" s="13">
        <v>1054</v>
      </c>
      <c r="AC173" s="13">
        <v>832</v>
      </c>
      <c r="AD173" s="13">
        <v>992</v>
      </c>
      <c r="AE173" s="13">
        <v>1280</v>
      </c>
      <c r="AF173" s="13">
        <v>889</v>
      </c>
      <c r="AG173" s="13">
        <v>1093</v>
      </c>
      <c r="AH173" s="14">
        <v>6600</v>
      </c>
      <c r="AI173" s="14">
        <v>7870</v>
      </c>
      <c r="AJ173" s="14">
        <v>7227</v>
      </c>
      <c r="AK173" s="14">
        <v>8044</v>
      </c>
      <c r="AL173" s="14">
        <v>9738</v>
      </c>
      <c r="AM173" s="14">
        <v>9659</v>
      </c>
      <c r="AN173" s="14">
        <v>9617</v>
      </c>
      <c r="AO173" s="14">
        <v>16789</v>
      </c>
      <c r="AP173" s="14">
        <v>16960</v>
      </c>
      <c r="AQ173" s="14">
        <v>14267</v>
      </c>
      <c r="AR173" s="14">
        <v>5255</v>
      </c>
      <c r="AS173" s="14">
        <v>4498</v>
      </c>
      <c r="AT173" s="14">
        <v>4683</v>
      </c>
      <c r="AU173" s="14">
        <v>8989</v>
      </c>
      <c r="AV173" s="14">
        <v>2494</v>
      </c>
      <c r="AW173" s="14">
        <v>5753</v>
      </c>
      <c r="AX173" s="14">
        <v>8689</v>
      </c>
      <c r="AY173" s="14">
        <v>2338</v>
      </c>
      <c r="AZ173" s="14">
        <v>6470</v>
      </c>
      <c r="BA173" s="14">
        <v>9455</v>
      </c>
      <c r="BB173" s="13">
        <v>1547</v>
      </c>
      <c r="BC173" s="14">
        <v>9644</v>
      </c>
      <c r="BD173" s="14">
        <v>8239</v>
      </c>
      <c r="BE173" s="14">
        <v>9284</v>
      </c>
      <c r="BF173" s="13">
        <v>2031</v>
      </c>
      <c r="BG173" s="13">
        <v>2101</v>
      </c>
      <c r="BH173" s="14">
        <v>8632</v>
      </c>
      <c r="BI173" s="14">
        <v>11627</v>
      </c>
      <c r="BJ173" s="15">
        <v>11067</v>
      </c>
    </row>
    <row r="174" spans="1:62" x14ac:dyDescent="0.3">
      <c r="A174" s="10" t="s">
        <v>20</v>
      </c>
      <c r="B174" s="16">
        <v>7630</v>
      </c>
      <c r="C174" s="14">
        <v>8045</v>
      </c>
      <c r="D174" s="14">
        <v>7148</v>
      </c>
      <c r="E174" s="14">
        <v>7012</v>
      </c>
      <c r="F174" s="14">
        <v>6492</v>
      </c>
      <c r="G174" s="14">
        <v>8248</v>
      </c>
      <c r="H174" s="14">
        <v>8457</v>
      </c>
      <c r="I174" s="14">
        <v>9485</v>
      </c>
      <c r="J174" s="14">
        <v>6374</v>
      </c>
      <c r="K174" s="14">
        <v>5851</v>
      </c>
      <c r="L174" s="14">
        <v>7787</v>
      </c>
      <c r="M174" s="14">
        <v>8337</v>
      </c>
      <c r="N174" s="14">
        <v>9500</v>
      </c>
      <c r="O174" s="14">
        <v>9267</v>
      </c>
      <c r="P174" s="14">
        <v>7153</v>
      </c>
      <c r="Q174" s="13">
        <v>1266</v>
      </c>
      <c r="R174" s="13">
        <v>1023</v>
      </c>
      <c r="S174" s="13">
        <v>736</v>
      </c>
      <c r="T174" s="13">
        <v>395</v>
      </c>
      <c r="U174" s="12">
        <v>0</v>
      </c>
      <c r="V174" s="13">
        <v>577</v>
      </c>
      <c r="W174" s="13">
        <v>943</v>
      </c>
      <c r="X174" s="13">
        <v>976</v>
      </c>
      <c r="Y174" s="13">
        <v>669</v>
      </c>
      <c r="Z174" s="13">
        <v>748</v>
      </c>
      <c r="AA174" s="13">
        <v>342</v>
      </c>
      <c r="AB174" s="13">
        <v>914</v>
      </c>
      <c r="AC174" s="13">
        <v>531</v>
      </c>
      <c r="AD174" s="13">
        <v>1103</v>
      </c>
      <c r="AE174" s="13">
        <v>1223</v>
      </c>
      <c r="AF174" s="13">
        <v>864</v>
      </c>
      <c r="AG174" s="13">
        <v>970</v>
      </c>
      <c r="AH174" s="14">
        <v>6471</v>
      </c>
      <c r="AI174" s="14">
        <v>7758</v>
      </c>
      <c r="AJ174" s="14">
        <v>7070</v>
      </c>
      <c r="AK174" s="14">
        <v>7851</v>
      </c>
      <c r="AL174" s="14">
        <v>9918</v>
      </c>
      <c r="AM174" s="14">
        <v>9817</v>
      </c>
      <c r="AN174" s="14">
        <v>9747</v>
      </c>
      <c r="AO174" s="14">
        <v>16627</v>
      </c>
      <c r="AP174" s="14">
        <v>16883</v>
      </c>
      <c r="AQ174" s="14">
        <v>14027</v>
      </c>
      <c r="AR174" s="14">
        <v>5009</v>
      </c>
      <c r="AS174" s="14">
        <v>4165</v>
      </c>
      <c r="AT174" s="14">
        <v>4394</v>
      </c>
      <c r="AU174" s="14">
        <v>9119</v>
      </c>
      <c r="AV174" s="14">
        <v>2534</v>
      </c>
      <c r="AW174" s="14">
        <v>5862</v>
      </c>
      <c r="AX174" s="14">
        <v>8859</v>
      </c>
      <c r="AY174" s="14">
        <v>2032</v>
      </c>
      <c r="AZ174" s="14">
        <v>6084</v>
      </c>
      <c r="BA174" s="14">
        <v>9358</v>
      </c>
      <c r="BB174" s="13">
        <v>1750</v>
      </c>
      <c r="BC174" s="14">
        <v>9652</v>
      </c>
      <c r="BD174" s="14">
        <v>8335</v>
      </c>
      <c r="BE174" s="14">
        <v>9364</v>
      </c>
      <c r="BF174" s="13">
        <v>1971</v>
      </c>
      <c r="BG174" s="13">
        <v>1783</v>
      </c>
      <c r="BH174" s="14">
        <v>8786</v>
      </c>
      <c r="BI174" s="14">
        <v>11593</v>
      </c>
      <c r="BJ174" s="15">
        <v>11013</v>
      </c>
    </row>
    <row r="175" spans="1:62" x14ac:dyDescent="0.3">
      <c r="A175" s="10" t="s">
        <v>21</v>
      </c>
      <c r="B175" s="16">
        <v>8041</v>
      </c>
      <c r="C175" s="14">
        <v>8383</v>
      </c>
      <c r="D175" s="14">
        <v>7369</v>
      </c>
      <c r="E175" s="14">
        <v>7283</v>
      </c>
      <c r="F175" s="14">
        <v>6834</v>
      </c>
      <c r="G175" s="14">
        <v>8443</v>
      </c>
      <c r="H175" s="14">
        <v>8502</v>
      </c>
      <c r="I175" s="14">
        <v>9629</v>
      </c>
      <c r="J175" s="14">
        <v>6669</v>
      </c>
      <c r="K175" s="14">
        <v>6155</v>
      </c>
      <c r="L175" s="14">
        <v>7858</v>
      </c>
      <c r="M175" s="14">
        <v>8368</v>
      </c>
      <c r="N175" s="14">
        <v>9845</v>
      </c>
      <c r="O175" s="14">
        <v>9827</v>
      </c>
      <c r="P175" s="14">
        <v>7710</v>
      </c>
      <c r="Q175" s="13">
        <v>1331</v>
      </c>
      <c r="R175" s="13">
        <v>1181</v>
      </c>
      <c r="S175" s="13">
        <v>920</v>
      </c>
      <c r="T175" s="13">
        <v>688</v>
      </c>
      <c r="U175" s="13">
        <v>577</v>
      </c>
      <c r="V175" s="12">
        <v>0</v>
      </c>
      <c r="W175" s="13">
        <v>613</v>
      </c>
      <c r="X175" s="13">
        <v>504</v>
      </c>
      <c r="Y175" s="13">
        <v>479</v>
      </c>
      <c r="Z175" s="13">
        <v>697</v>
      </c>
      <c r="AA175" s="13">
        <v>348</v>
      </c>
      <c r="AB175" s="13">
        <v>1487</v>
      </c>
      <c r="AC175" s="13">
        <v>1056</v>
      </c>
      <c r="AD175" s="13">
        <v>625</v>
      </c>
      <c r="AE175" s="13">
        <v>646</v>
      </c>
      <c r="AF175" s="13">
        <v>302</v>
      </c>
      <c r="AG175" s="13">
        <v>412</v>
      </c>
      <c r="AH175" s="14">
        <v>5931</v>
      </c>
      <c r="AI175" s="14">
        <v>7210</v>
      </c>
      <c r="AJ175" s="14">
        <v>6548</v>
      </c>
      <c r="AK175" s="14">
        <v>7358</v>
      </c>
      <c r="AL175" s="14">
        <v>9396</v>
      </c>
      <c r="AM175" s="14">
        <v>9281</v>
      </c>
      <c r="AN175" s="14">
        <v>9196</v>
      </c>
      <c r="AO175" s="14">
        <v>16113</v>
      </c>
      <c r="AP175" s="14">
        <v>16326</v>
      </c>
      <c r="AQ175" s="14">
        <v>13581</v>
      </c>
      <c r="AR175" s="14">
        <v>4572</v>
      </c>
      <c r="AS175" s="14">
        <v>3888</v>
      </c>
      <c r="AT175" s="14">
        <v>4022</v>
      </c>
      <c r="AU175" s="14">
        <v>8569</v>
      </c>
      <c r="AV175" s="14">
        <v>1965</v>
      </c>
      <c r="AW175" s="14">
        <v>5308</v>
      </c>
      <c r="AX175" s="14">
        <v>8333</v>
      </c>
      <c r="AY175" s="14">
        <v>2469</v>
      </c>
      <c r="AZ175" s="14">
        <v>5996</v>
      </c>
      <c r="BA175" s="14">
        <v>8803</v>
      </c>
      <c r="BB175" s="13">
        <v>1316</v>
      </c>
      <c r="BC175" s="14">
        <v>9075</v>
      </c>
      <c r="BD175" s="14">
        <v>7772</v>
      </c>
      <c r="BE175" s="14">
        <v>8797</v>
      </c>
      <c r="BF175" s="13">
        <v>1397</v>
      </c>
      <c r="BG175" s="13">
        <v>1497</v>
      </c>
      <c r="BH175" s="14">
        <v>9309</v>
      </c>
      <c r="BI175" s="14">
        <v>12169</v>
      </c>
      <c r="BJ175" s="15">
        <v>11587</v>
      </c>
    </row>
    <row r="176" spans="1:62" x14ac:dyDescent="0.3">
      <c r="A176" s="10" t="s">
        <v>22</v>
      </c>
      <c r="B176" s="16">
        <v>7752</v>
      </c>
      <c r="C176" s="14">
        <v>8006</v>
      </c>
      <c r="D176" s="14">
        <v>6895</v>
      </c>
      <c r="E176" s="14">
        <v>6850</v>
      </c>
      <c r="F176" s="14">
        <v>6472</v>
      </c>
      <c r="G176" s="14">
        <v>7945</v>
      </c>
      <c r="H176" s="14">
        <v>7927</v>
      </c>
      <c r="I176" s="14">
        <v>9098</v>
      </c>
      <c r="J176" s="14">
        <v>6261</v>
      </c>
      <c r="K176" s="14">
        <v>5761</v>
      </c>
      <c r="L176" s="14">
        <v>7295</v>
      </c>
      <c r="M176" s="14">
        <v>7789</v>
      </c>
      <c r="N176" s="14">
        <v>9466</v>
      </c>
      <c r="O176" s="14">
        <v>10122</v>
      </c>
      <c r="P176" s="14">
        <v>8023</v>
      </c>
      <c r="Q176" s="13">
        <v>889</v>
      </c>
      <c r="R176" s="13">
        <v>862</v>
      </c>
      <c r="S176" s="13">
        <v>723</v>
      </c>
      <c r="T176" s="13">
        <v>747</v>
      </c>
      <c r="U176" s="13">
        <v>943</v>
      </c>
      <c r="V176" s="13">
        <v>613</v>
      </c>
      <c r="W176" s="12">
        <v>0</v>
      </c>
      <c r="X176" s="13">
        <v>255</v>
      </c>
      <c r="Y176" s="13">
        <v>285</v>
      </c>
      <c r="Z176" s="13">
        <v>1308</v>
      </c>
      <c r="AA176" s="13">
        <v>901</v>
      </c>
      <c r="AB176" s="13">
        <v>1788</v>
      </c>
      <c r="AC176" s="13">
        <v>1473</v>
      </c>
      <c r="AD176" s="13">
        <v>302</v>
      </c>
      <c r="AE176" s="13">
        <v>787</v>
      </c>
      <c r="AF176" s="13">
        <v>493</v>
      </c>
      <c r="AG176" s="13">
        <v>782</v>
      </c>
      <c r="AH176" s="14">
        <v>6019</v>
      </c>
      <c r="AI176" s="14">
        <v>7261</v>
      </c>
      <c r="AJ176" s="14">
        <v>6679</v>
      </c>
      <c r="AK176" s="14">
        <v>7546</v>
      </c>
      <c r="AL176" s="14">
        <v>9002</v>
      </c>
      <c r="AM176" s="14">
        <v>8917</v>
      </c>
      <c r="AN176" s="14">
        <v>8871</v>
      </c>
      <c r="AO176" s="14">
        <v>16179</v>
      </c>
      <c r="AP176" s="14">
        <v>16273</v>
      </c>
      <c r="AQ176" s="14">
        <v>13805</v>
      </c>
      <c r="AR176" s="14">
        <v>4882</v>
      </c>
      <c r="AS176" s="14">
        <v>4370</v>
      </c>
      <c r="AT176" s="14">
        <v>4418</v>
      </c>
      <c r="AU176" s="14">
        <v>8242</v>
      </c>
      <c r="AV176" s="14">
        <v>1787</v>
      </c>
      <c r="AW176" s="14">
        <v>5007</v>
      </c>
      <c r="AX176" s="14">
        <v>7949</v>
      </c>
      <c r="AY176" s="14">
        <v>2971</v>
      </c>
      <c r="AZ176" s="14">
        <v>6566</v>
      </c>
      <c r="BA176" s="14">
        <v>8823</v>
      </c>
      <c r="BB176" s="12">
        <v>812</v>
      </c>
      <c r="BC176" s="14">
        <v>8928</v>
      </c>
      <c r="BD176" s="14">
        <v>7494</v>
      </c>
      <c r="BE176" s="14">
        <v>8541</v>
      </c>
      <c r="BF176" s="13">
        <v>1446</v>
      </c>
      <c r="BG176" s="13">
        <v>2025</v>
      </c>
      <c r="BH176" s="14">
        <v>9207</v>
      </c>
      <c r="BI176" s="14">
        <v>12354</v>
      </c>
      <c r="BJ176" s="15">
        <v>11803</v>
      </c>
    </row>
    <row r="177" spans="1:62" x14ac:dyDescent="0.3">
      <c r="A177" s="10" t="s">
        <v>23</v>
      </c>
      <c r="B177" s="16">
        <v>8004</v>
      </c>
      <c r="C177" s="14">
        <v>8261</v>
      </c>
      <c r="D177" s="14">
        <v>7144</v>
      </c>
      <c r="E177" s="14">
        <v>7103</v>
      </c>
      <c r="F177" s="14">
        <v>6728</v>
      </c>
      <c r="G177" s="14">
        <v>8190</v>
      </c>
      <c r="H177" s="14">
        <v>8143</v>
      </c>
      <c r="I177" s="14">
        <v>9332</v>
      </c>
      <c r="J177" s="14">
        <v>6516</v>
      </c>
      <c r="K177" s="14">
        <v>6016</v>
      </c>
      <c r="L177" s="14">
        <v>7518</v>
      </c>
      <c r="M177" s="14">
        <v>8001</v>
      </c>
      <c r="N177" s="14">
        <v>9721</v>
      </c>
      <c r="O177" s="14">
        <v>10229</v>
      </c>
      <c r="P177" s="14">
        <v>8120</v>
      </c>
      <c r="Q177" s="13">
        <v>1144</v>
      </c>
      <c r="R177" s="13">
        <v>1104</v>
      </c>
      <c r="S177" s="13">
        <v>934</v>
      </c>
      <c r="T177" s="13">
        <v>880</v>
      </c>
      <c r="U177" s="13">
        <v>976</v>
      </c>
      <c r="V177" s="13">
        <v>504</v>
      </c>
      <c r="W177" s="13">
        <v>255</v>
      </c>
      <c r="X177" s="12">
        <v>0</v>
      </c>
      <c r="Y177" s="13">
        <v>423</v>
      </c>
      <c r="Z177" s="13">
        <v>1182</v>
      </c>
      <c r="AA177" s="13">
        <v>842</v>
      </c>
      <c r="AB177" s="13">
        <v>1871</v>
      </c>
      <c r="AC177" s="13">
        <v>1500</v>
      </c>
      <c r="AD177" s="13">
        <v>138</v>
      </c>
      <c r="AE177" s="13">
        <v>531</v>
      </c>
      <c r="AF177" s="13">
        <v>281</v>
      </c>
      <c r="AG177" s="13">
        <v>553</v>
      </c>
      <c r="AH177" s="14">
        <v>5791</v>
      </c>
      <c r="AI177" s="14">
        <v>7041</v>
      </c>
      <c r="AJ177" s="14">
        <v>6443</v>
      </c>
      <c r="AK177" s="14">
        <v>7303</v>
      </c>
      <c r="AL177" s="14">
        <v>8942</v>
      </c>
      <c r="AM177" s="14">
        <v>8841</v>
      </c>
      <c r="AN177" s="14">
        <v>8777</v>
      </c>
      <c r="AO177" s="14">
        <v>15966</v>
      </c>
      <c r="AP177" s="14">
        <v>16090</v>
      </c>
      <c r="AQ177" s="14">
        <v>13560</v>
      </c>
      <c r="AR177" s="14">
        <v>4628</v>
      </c>
      <c r="AS177" s="14">
        <v>4127</v>
      </c>
      <c r="AT177" s="14">
        <v>4165</v>
      </c>
      <c r="AU177" s="14">
        <v>8148</v>
      </c>
      <c r="AV177" s="14">
        <v>1614</v>
      </c>
      <c r="AW177" s="14">
        <v>4897</v>
      </c>
      <c r="AX177" s="14">
        <v>7883</v>
      </c>
      <c r="AY177" s="14">
        <v>2960</v>
      </c>
      <c r="AZ177" s="14">
        <v>6353</v>
      </c>
      <c r="BA177" s="14">
        <v>8612</v>
      </c>
      <c r="BB177" s="13">
        <v>812</v>
      </c>
      <c r="BC177" s="14">
        <v>8764</v>
      </c>
      <c r="BD177" s="14">
        <v>7378</v>
      </c>
      <c r="BE177" s="14">
        <v>8417</v>
      </c>
      <c r="BF177" s="13">
        <v>1209</v>
      </c>
      <c r="BG177" s="13">
        <v>1803</v>
      </c>
      <c r="BH177" s="14">
        <v>9434</v>
      </c>
      <c r="BI177" s="14">
        <v>12506</v>
      </c>
      <c r="BJ177" s="15">
        <v>11943</v>
      </c>
    </row>
    <row r="178" spans="1:62" x14ac:dyDescent="0.3">
      <c r="A178" s="10" t="s">
        <v>24</v>
      </c>
      <c r="B178" s="16">
        <v>7646</v>
      </c>
      <c r="C178" s="14">
        <v>7948</v>
      </c>
      <c r="D178" s="14">
        <v>6900</v>
      </c>
      <c r="E178" s="14">
        <v>6826</v>
      </c>
      <c r="F178" s="14">
        <v>6404</v>
      </c>
      <c r="G178" s="14">
        <v>7969</v>
      </c>
      <c r="H178" s="14">
        <v>8026</v>
      </c>
      <c r="I178" s="14">
        <v>9151</v>
      </c>
      <c r="J178" s="14">
        <v>6220</v>
      </c>
      <c r="K178" s="14">
        <v>5711</v>
      </c>
      <c r="L178" s="14">
        <v>7380</v>
      </c>
      <c r="M178" s="14">
        <v>7894</v>
      </c>
      <c r="N178" s="14">
        <v>9410</v>
      </c>
      <c r="O178" s="14">
        <v>9843</v>
      </c>
      <c r="P178" s="14">
        <v>7742</v>
      </c>
      <c r="Q178" s="13">
        <v>857</v>
      </c>
      <c r="R178" s="13">
        <v>740</v>
      </c>
      <c r="S178" s="13">
        <v>525</v>
      </c>
      <c r="T178" s="13">
        <v>469</v>
      </c>
      <c r="U178" s="13">
        <v>669</v>
      </c>
      <c r="V178" s="13">
        <v>479</v>
      </c>
      <c r="W178" s="13">
        <v>285</v>
      </c>
      <c r="X178" s="13">
        <v>423</v>
      </c>
      <c r="Y178" s="12">
        <v>0</v>
      </c>
      <c r="Z178" s="13">
        <v>1136</v>
      </c>
      <c r="AA178" s="13">
        <v>685</v>
      </c>
      <c r="AB178" s="13">
        <v>1504</v>
      </c>
      <c r="AC178" s="13">
        <v>1196</v>
      </c>
      <c r="AD178" s="13">
        <v>527</v>
      </c>
      <c r="AE178" s="13">
        <v>894</v>
      </c>
      <c r="AF178" s="13">
        <v>519</v>
      </c>
      <c r="AG178" s="13">
        <v>789</v>
      </c>
      <c r="AH178" s="14">
        <v>6202</v>
      </c>
      <c r="AI178" s="14">
        <v>7459</v>
      </c>
      <c r="AJ178" s="14">
        <v>6847</v>
      </c>
      <c r="AK178" s="14">
        <v>7693</v>
      </c>
      <c r="AL178" s="14">
        <v>9287</v>
      </c>
      <c r="AM178" s="14">
        <v>9201</v>
      </c>
      <c r="AN178" s="14">
        <v>9153</v>
      </c>
      <c r="AO178" s="14">
        <v>16384</v>
      </c>
      <c r="AP178" s="14">
        <v>16513</v>
      </c>
      <c r="AQ178" s="14">
        <v>13943</v>
      </c>
      <c r="AR178" s="14">
        <v>4970</v>
      </c>
      <c r="AS178" s="14">
        <v>4355</v>
      </c>
      <c r="AT178" s="14">
        <v>4459</v>
      </c>
      <c r="AU178" s="14">
        <v>8524</v>
      </c>
      <c r="AV178" s="14">
        <v>2033</v>
      </c>
      <c r="AW178" s="14">
        <v>5284</v>
      </c>
      <c r="AX178" s="14">
        <v>8234</v>
      </c>
      <c r="AY178" s="14">
        <v>2701</v>
      </c>
      <c r="AZ178" s="14">
        <v>6473</v>
      </c>
      <c r="BA178" s="14">
        <v>9032</v>
      </c>
      <c r="BB178" s="13">
        <v>1097</v>
      </c>
      <c r="BC178" s="14">
        <v>9182</v>
      </c>
      <c r="BD178" s="14">
        <v>7770</v>
      </c>
      <c r="BE178" s="14">
        <v>8814</v>
      </c>
      <c r="BF178" s="13">
        <v>1618</v>
      </c>
      <c r="BG178" s="13">
        <v>1972</v>
      </c>
      <c r="BH178" s="14">
        <v>9024</v>
      </c>
      <c r="BI178" s="14">
        <v>12093</v>
      </c>
      <c r="BJ178" s="15">
        <v>11536</v>
      </c>
    </row>
    <row r="179" spans="1:62" x14ac:dyDescent="0.3">
      <c r="A179" s="10" t="s">
        <v>25</v>
      </c>
      <c r="B179" s="16">
        <v>8348</v>
      </c>
      <c r="C179" s="14">
        <v>8787</v>
      </c>
      <c r="D179" s="14">
        <v>7891</v>
      </c>
      <c r="E179" s="14">
        <v>7760</v>
      </c>
      <c r="F179" s="14">
        <v>7234</v>
      </c>
      <c r="G179" s="14">
        <v>8987</v>
      </c>
      <c r="H179" s="14">
        <v>9140</v>
      </c>
      <c r="I179" s="14">
        <v>10211</v>
      </c>
      <c r="J179" s="14">
        <v>7122</v>
      </c>
      <c r="K179" s="14">
        <v>6599</v>
      </c>
      <c r="L179" s="14">
        <v>8483</v>
      </c>
      <c r="M179" s="14">
        <v>9013</v>
      </c>
      <c r="N179" s="14">
        <v>10240</v>
      </c>
      <c r="O179" s="14">
        <v>9455</v>
      </c>
      <c r="P179" s="14">
        <v>7335</v>
      </c>
      <c r="Q179" s="13">
        <v>1930</v>
      </c>
      <c r="R179" s="13">
        <v>1722</v>
      </c>
      <c r="S179" s="13">
        <v>1434</v>
      </c>
      <c r="T179" s="13">
        <v>1108</v>
      </c>
      <c r="U179" s="13">
        <v>748</v>
      </c>
      <c r="V179" s="13">
        <v>697</v>
      </c>
      <c r="W179" s="13">
        <v>1308</v>
      </c>
      <c r="X179" s="13">
        <v>1182</v>
      </c>
      <c r="Y179" s="13">
        <v>1136</v>
      </c>
      <c r="Z179" s="12">
        <v>0</v>
      </c>
      <c r="AA179" s="13">
        <v>476</v>
      </c>
      <c r="AB179" s="13">
        <v>1365</v>
      </c>
      <c r="AC179" s="13">
        <v>860</v>
      </c>
      <c r="AD179" s="13">
        <v>1291</v>
      </c>
      <c r="AE179" s="13">
        <v>1074</v>
      </c>
      <c r="AF179" s="13">
        <v>922</v>
      </c>
      <c r="AG179" s="13">
        <v>784</v>
      </c>
      <c r="AH179" s="14">
        <v>5929</v>
      </c>
      <c r="AI179" s="14">
        <v>7230</v>
      </c>
      <c r="AJ179" s="14">
        <v>6485</v>
      </c>
      <c r="AK179" s="14">
        <v>7216</v>
      </c>
      <c r="AL179" s="14">
        <v>9881</v>
      </c>
      <c r="AM179" s="14">
        <v>9735</v>
      </c>
      <c r="AN179" s="14">
        <v>9609</v>
      </c>
      <c r="AO179" s="14">
        <v>15982</v>
      </c>
      <c r="AP179" s="14">
        <v>16323</v>
      </c>
      <c r="AQ179" s="14">
        <v>13328</v>
      </c>
      <c r="AR179" s="14">
        <v>4327</v>
      </c>
      <c r="AS179" s="14">
        <v>3419</v>
      </c>
      <c r="AT179" s="14">
        <v>3675</v>
      </c>
      <c r="AU179" s="14">
        <v>8989</v>
      </c>
      <c r="AV179" s="14">
        <v>2380</v>
      </c>
      <c r="AW179" s="14">
        <v>5732</v>
      </c>
      <c r="AX179" s="14">
        <v>8814</v>
      </c>
      <c r="AY179" s="14">
        <v>1938</v>
      </c>
      <c r="AZ179" s="14">
        <v>5374</v>
      </c>
      <c r="BA179" s="14">
        <v>8840</v>
      </c>
      <c r="BB179" s="13">
        <v>1977</v>
      </c>
      <c r="BC179" s="14">
        <v>9295</v>
      </c>
      <c r="BD179" s="14">
        <v>8147</v>
      </c>
      <c r="BE179" s="14">
        <v>9138</v>
      </c>
      <c r="BF179" s="13">
        <v>1678</v>
      </c>
      <c r="BG179" s="13">
        <v>1054</v>
      </c>
      <c r="BH179" s="14">
        <v>9388</v>
      </c>
      <c r="BI179" s="14">
        <v>11893</v>
      </c>
      <c r="BJ179" s="15">
        <v>11285</v>
      </c>
    </row>
    <row r="180" spans="1:62" x14ac:dyDescent="0.3">
      <c r="A180" s="10" t="s">
        <v>26</v>
      </c>
      <c r="B180" s="16">
        <v>7964</v>
      </c>
      <c r="C180" s="14">
        <v>8363</v>
      </c>
      <c r="D180" s="14">
        <v>7428</v>
      </c>
      <c r="E180" s="14">
        <v>7309</v>
      </c>
      <c r="F180" s="14">
        <v>6810</v>
      </c>
      <c r="G180" s="14">
        <v>8520</v>
      </c>
      <c r="H180" s="14">
        <v>8665</v>
      </c>
      <c r="I180" s="14">
        <v>9738</v>
      </c>
      <c r="J180" s="14">
        <v>6678</v>
      </c>
      <c r="K180" s="14">
        <v>6158</v>
      </c>
      <c r="L180" s="14">
        <v>8006</v>
      </c>
      <c r="M180" s="14">
        <v>8538</v>
      </c>
      <c r="N180" s="14">
        <v>9821</v>
      </c>
      <c r="O180" s="14">
        <v>9498</v>
      </c>
      <c r="P180" s="14">
        <v>7379</v>
      </c>
      <c r="Q180" s="13">
        <v>1454</v>
      </c>
      <c r="R180" s="13">
        <v>1248</v>
      </c>
      <c r="S180" s="13">
        <v>960</v>
      </c>
      <c r="T180" s="13">
        <v>643</v>
      </c>
      <c r="U180" s="13">
        <v>342</v>
      </c>
      <c r="V180" s="13">
        <v>348</v>
      </c>
      <c r="W180" s="13">
        <v>901</v>
      </c>
      <c r="X180" s="13">
        <v>842</v>
      </c>
      <c r="Y180" s="13">
        <v>685</v>
      </c>
      <c r="Z180" s="13">
        <v>476</v>
      </c>
      <c r="AA180" s="12">
        <v>0</v>
      </c>
      <c r="AB180" s="13">
        <v>1191</v>
      </c>
      <c r="AC180" s="13">
        <v>727</v>
      </c>
      <c r="AD180" s="13">
        <v>966</v>
      </c>
      <c r="AE180" s="13">
        <v>952</v>
      </c>
      <c r="AF180" s="13">
        <v>647</v>
      </c>
      <c r="AG180" s="13">
        <v>673</v>
      </c>
      <c r="AH180" s="14">
        <v>6140</v>
      </c>
      <c r="AI180" s="14">
        <v>7430</v>
      </c>
      <c r="AJ180" s="14">
        <v>6733</v>
      </c>
      <c r="AK180" s="14">
        <v>7510</v>
      </c>
      <c r="AL180" s="14">
        <v>9741</v>
      </c>
      <c r="AM180" s="14">
        <v>9622</v>
      </c>
      <c r="AN180" s="14">
        <v>9532</v>
      </c>
      <c r="AO180" s="14">
        <v>16288</v>
      </c>
      <c r="AP180" s="14">
        <v>16556</v>
      </c>
      <c r="AQ180" s="14">
        <v>13689</v>
      </c>
      <c r="AR180" s="14">
        <v>4670</v>
      </c>
      <c r="AS180" s="14">
        <v>3858</v>
      </c>
      <c r="AT180" s="14">
        <v>4064</v>
      </c>
      <c r="AU180" s="14">
        <v>8906</v>
      </c>
      <c r="AV180" s="14">
        <v>2290</v>
      </c>
      <c r="AW180" s="14">
        <v>5643</v>
      </c>
      <c r="AX180" s="14">
        <v>8677</v>
      </c>
      <c r="AY180" s="14">
        <v>2122</v>
      </c>
      <c r="AZ180" s="14">
        <v>5850</v>
      </c>
      <c r="BA180" s="14">
        <v>9033</v>
      </c>
      <c r="BB180" s="13">
        <v>1653</v>
      </c>
      <c r="BC180" s="14">
        <v>9366</v>
      </c>
      <c r="BD180" s="14">
        <v>8100</v>
      </c>
      <c r="BE180" s="14">
        <v>9118</v>
      </c>
      <c r="BF180" s="13">
        <v>1678</v>
      </c>
      <c r="BG180" s="13">
        <v>1463</v>
      </c>
      <c r="BH180" s="14">
        <v>9123</v>
      </c>
      <c r="BI180" s="14">
        <v>11864</v>
      </c>
      <c r="BJ180" s="15">
        <v>11275</v>
      </c>
    </row>
    <row r="181" spans="1:62" x14ac:dyDescent="0.3">
      <c r="A181" s="10" t="s">
        <v>27</v>
      </c>
      <c r="B181" s="16">
        <v>7099</v>
      </c>
      <c r="C181" s="14">
        <v>7642</v>
      </c>
      <c r="D181" s="14">
        <v>6966</v>
      </c>
      <c r="E181" s="14">
        <v>6744</v>
      </c>
      <c r="F181" s="14">
        <v>6106</v>
      </c>
      <c r="G181" s="14">
        <v>8089</v>
      </c>
      <c r="H181" s="14">
        <v>8535</v>
      </c>
      <c r="I181" s="14">
        <v>9386</v>
      </c>
      <c r="J181" s="14">
        <v>6077</v>
      </c>
      <c r="K181" s="14">
        <v>5549</v>
      </c>
      <c r="L181" s="14">
        <v>7837</v>
      </c>
      <c r="M181" s="14">
        <v>8439</v>
      </c>
      <c r="N181" s="14">
        <v>9067</v>
      </c>
      <c r="O181" s="14">
        <v>8359</v>
      </c>
      <c r="P181" s="14">
        <v>6248</v>
      </c>
      <c r="Q181" s="13">
        <v>1730</v>
      </c>
      <c r="R181" s="13">
        <v>1448</v>
      </c>
      <c r="S181" s="13">
        <v>1264</v>
      </c>
      <c r="T181" s="13">
        <v>1054</v>
      </c>
      <c r="U181" s="13">
        <v>914</v>
      </c>
      <c r="V181" s="13">
        <v>1487</v>
      </c>
      <c r="W181" s="13">
        <v>1788</v>
      </c>
      <c r="X181" s="13">
        <v>1871</v>
      </c>
      <c r="Y181" s="13">
        <v>1504</v>
      </c>
      <c r="Z181" s="13">
        <v>1365</v>
      </c>
      <c r="AA181" s="13">
        <v>1191</v>
      </c>
      <c r="AB181" s="12">
        <v>0</v>
      </c>
      <c r="AC181" s="13">
        <v>505</v>
      </c>
      <c r="AD181" s="13">
        <v>1995</v>
      </c>
      <c r="AE181" s="13">
        <v>2130</v>
      </c>
      <c r="AF181" s="13">
        <v>1778</v>
      </c>
      <c r="AG181" s="13">
        <v>1862</v>
      </c>
      <c r="AH181" s="14">
        <v>7287</v>
      </c>
      <c r="AI181" s="14">
        <v>8586</v>
      </c>
      <c r="AJ181" s="14">
        <v>7850</v>
      </c>
      <c r="AK181" s="14">
        <v>8573</v>
      </c>
      <c r="AL181" s="14">
        <v>10790</v>
      </c>
      <c r="AM181" s="14">
        <v>10703</v>
      </c>
      <c r="AN181" s="14">
        <v>10648</v>
      </c>
      <c r="AO181" s="14">
        <v>17311</v>
      </c>
      <c r="AP181" s="14">
        <v>17688</v>
      </c>
      <c r="AQ181" s="14">
        <v>14606</v>
      </c>
      <c r="AR181" s="14">
        <v>5664</v>
      </c>
      <c r="AS181" s="14">
        <v>4600</v>
      </c>
      <c r="AT181" s="14">
        <v>4964</v>
      </c>
      <c r="AU181" s="14">
        <v>10019</v>
      </c>
      <c r="AV181" s="14">
        <v>3448</v>
      </c>
      <c r="AW181" s="14">
        <v>6768</v>
      </c>
      <c r="AX181" s="14">
        <v>9737</v>
      </c>
      <c r="AY181" s="14">
        <v>1421</v>
      </c>
      <c r="AZ181" s="14">
        <v>6177</v>
      </c>
      <c r="BA181" s="14">
        <v>10194</v>
      </c>
      <c r="BB181" s="13">
        <v>2597</v>
      </c>
      <c r="BC181" s="14">
        <v>10555</v>
      </c>
      <c r="BD181" s="14">
        <v>9245</v>
      </c>
      <c r="BE181" s="14">
        <v>10277</v>
      </c>
      <c r="BF181" s="13">
        <v>2868</v>
      </c>
      <c r="BG181" s="13">
        <v>2374</v>
      </c>
      <c r="BH181" s="14">
        <v>8024</v>
      </c>
      <c r="BI181" s="14">
        <v>10682</v>
      </c>
      <c r="BJ181" s="15">
        <v>10100</v>
      </c>
    </row>
    <row r="182" spans="1:62" x14ac:dyDescent="0.3">
      <c r="A182" s="10" t="s">
        <v>65</v>
      </c>
      <c r="B182" s="16">
        <v>7551</v>
      </c>
      <c r="C182" s="14">
        <v>8053</v>
      </c>
      <c r="D182" s="14">
        <v>7286</v>
      </c>
      <c r="E182" s="14">
        <v>7100</v>
      </c>
      <c r="F182" s="14">
        <v>6506</v>
      </c>
      <c r="G182" s="14">
        <v>8402</v>
      </c>
      <c r="H182" s="14">
        <v>8737</v>
      </c>
      <c r="I182" s="14">
        <v>9676</v>
      </c>
      <c r="J182" s="14">
        <v>6443</v>
      </c>
      <c r="K182" s="14">
        <v>5915</v>
      </c>
      <c r="L182" s="14">
        <v>8052</v>
      </c>
      <c r="M182" s="14">
        <v>8629</v>
      </c>
      <c r="N182" s="14">
        <v>9491</v>
      </c>
      <c r="O182" s="14">
        <v>8773</v>
      </c>
      <c r="P182" s="14">
        <v>6655</v>
      </c>
      <c r="Q182" s="13">
        <v>1666</v>
      </c>
      <c r="R182" s="13">
        <v>1393</v>
      </c>
      <c r="S182" s="13">
        <v>1138</v>
      </c>
      <c r="T182" s="13">
        <v>832</v>
      </c>
      <c r="U182" s="13">
        <v>531</v>
      </c>
      <c r="V182" s="13">
        <v>1056</v>
      </c>
      <c r="W182" s="13">
        <v>1473</v>
      </c>
      <c r="X182" s="13">
        <v>1500</v>
      </c>
      <c r="Y182" s="13">
        <v>1196</v>
      </c>
      <c r="Z182" s="13">
        <v>860</v>
      </c>
      <c r="AA182" s="13">
        <v>727</v>
      </c>
      <c r="AB182" s="13">
        <v>505</v>
      </c>
      <c r="AC182" s="12">
        <v>0</v>
      </c>
      <c r="AD182" s="13">
        <v>1628</v>
      </c>
      <c r="AE182" s="13">
        <v>1679</v>
      </c>
      <c r="AF182" s="13">
        <v>1357</v>
      </c>
      <c r="AG182" s="13">
        <v>1398</v>
      </c>
      <c r="AH182" s="14">
        <v>6783</v>
      </c>
      <c r="AI182" s="14">
        <v>8082</v>
      </c>
      <c r="AJ182" s="14">
        <v>7345</v>
      </c>
      <c r="AK182" s="14">
        <v>8073</v>
      </c>
      <c r="AL182" s="14">
        <v>10440</v>
      </c>
      <c r="AM182" s="14">
        <v>10333</v>
      </c>
      <c r="AN182" s="14">
        <v>10252</v>
      </c>
      <c r="AO182" s="14">
        <v>16827</v>
      </c>
      <c r="AP182" s="14">
        <v>17183</v>
      </c>
      <c r="AQ182" s="14">
        <v>14143</v>
      </c>
      <c r="AR182" s="14">
        <v>5172</v>
      </c>
      <c r="AS182" s="14">
        <v>4161</v>
      </c>
      <c r="AT182" s="14">
        <v>4489</v>
      </c>
      <c r="AU182" s="14">
        <v>9625</v>
      </c>
      <c r="AV182" s="14">
        <v>3016</v>
      </c>
      <c r="AW182" s="14">
        <v>6363</v>
      </c>
      <c r="AX182" s="14">
        <v>9380</v>
      </c>
      <c r="AY182" s="14">
        <v>1513</v>
      </c>
      <c r="AZ182" s="14">
        <v>5877</v>
      </c>
      <c r="BA182" s="14">
        <v>9691</v>
      </c>
      <c r="BB182" s="13">
        <v>2281</v>
      </c>
      <c r="BC182" s="14">
        <v>10082</v>
      </c>
      <c r="BD182" s="14">
        <v>8825</v>
      </c>
      <c r="BE182" s="14">
        <v>9845</v>
      </c>
      <c r="BF182" s="13">
        <v>2399</v>
      </c>
      <c r="BG182" s="13">
        <v>1882</v>
      </c>
      <c r="BH182" s="14">
        <v>8528</v>
      </c>
      <c r="BI182" s="14">
        <v>11140</v>
      </c>
      <c r="BJ182" s="15">
        <v>10549</v>
      </c>
    </row>
    <row r="183" spans="1:62" x14ac:dyDescent="0.3">
      <c r="A183" s="10" t="s">
        <v>29</v>
      </c>
      <c r="B183" s="16">
        <v>8044</v>
      </c>
      <c r="C183" s="14">
        <v>8279</v>
      </c>
      <c r="D183" s="14">
        <v>7135</v>
      </c>
      <c r="E183" s="14">
        <v>7107</v>
      </c>
      <c r="F183" s="14">
        <v>6752</v>
      </c>
      <c r="G183" s="14">
        <v>8172</v>
      </c>
      <c r="H183" s="14">
        <v>8092</v>
      </c>
      <c r="I183" s="14">
        <v>9300</v>
      </c>
      <c r="J183" s="14">
        <v>6527</v>
      </c>
      <c r="K183" s="14">
        <v>6032</v>
      </c>
      <c r="L183" s="14">
        <v>7474</v>
      </c>
      <c r="M183" s="14">
        <v>7948</v>
      </c>
      <c r="N183" s="14">
        <v>9737</v>
      </c>
      <c r="O183" s="14">
        <v>10352</v>
      </c>
      <c r="P183" s="14">
        <v>8244</v>
      </c>
      <c r="Q183" s="13">
        <v>1174</v>
      </c>
      <c r="R183" s="13">
        <v>1164</v>
      </c>
      <c r="S183" s="13">
        <v>1018</v>
      </c>
      <c r="T183" s="13">
        <v>992</v>
      </c>
      <c r="U183" s="13">
        <v>1103</v>
      </c>
      <c r="V183" s="13">
        <v>625</v>
      </c>
      <c r="W183" s="13">
        <v>302</v>
      </c>
      <c r="X183" s="13">
        <v>138</v>
      </c>
      <c r="Y183" s="13">
        <v>527</v>
      </c>
      <c r="Z183" s="13">
        <v>1291</v>
      </c>
      <c r="AA183" s="13">
        <v>966</v>
      </c>
      <c r="AB183" s="13">
        <v>1995</v>
      </c>
      <c r="AC183" s="13">
        <v>1628</v>
      </c>
      <c r="AD183" s="12">
        <v>0</v>
      </c>
      <c r="AE183" s="13">
        <v>528</v>
      </c>
      <c r="AF183" s="13">
        <v>372</v>
      </c>
      <c r="AG183" s="13">
        <v>614</v>
      </c>
      <c r="AH183" s="14">
        <v>5717</v>
      </c>
      <c r="AI183" s="14">
        <v>6960</v>
      </c>
      <c r="AJ183" s="14">
        <v>6377</v>
      </c>
      <c r="AK183" s="14">
        <v>7246</v>
      </c>
      <c r="AL183" s="14">
        <v>8815</v>
      </c>
      <c r="AM183" s="14">
        <v>8715</v>
      </c>
      <c r="AN183" s="14">
        <v>8652</v>
      </c>
      <c r="AO183" s="14">
        <v>15881</v>
      </c>
      <c r="AP183" s="14">
        <v>15989</v>
      </c>
      <c r="AQ183" s="14">
        <v>13506</v>
      </c>
      <c r="AR183" s="14">
        <v>4601</v>
      </c>
      <c r="AS183" s="14">
        <v>4150</v>
      </c>
      <c r="AT183" s="14">
        <v>4162</v>
      </c>
      <c r="AU183" s="14">
        <v>8024</v>
      </c>
      <c r="AV183" s="14">
        <v>1506</v>
      </c>
      <c r="AW183" s="14">
        <v>4775</v>
      </c>
      <c r="AX183" s="14">
        <v>7756</v>
      </c>
      <c r="AY183" s="14">
        <v>3086</v>
      </c>
      <c r="AZ183" s="14">
        <v>6407</v>
      </c>
      <c r="BA183" s="14">
        <v>8524</v>
      </c>
      <c r="BB183" s="13">
        <v>692</v>
      </c>
      <c r="BC183" s="14">
        <v>8655</v>
      </c>
      <c r="BD183" s="14">
        <v>7257</v>
      </c>
      <c r="BE183" s="14">
        <v>8297</v>
      </c>
      <c r="BF183" s="13">
        <v>1145</v>
      </c>
      <c r="BG183" s="13">
        <v>1856</v>
      </c>
      <c r="BH183" s="14">
        <v>9509</v>
      </c>
      <c r="BI183" s="14">
        <v>12620</v>
      </c>
      <c r="BJ183" s="15">
        <v>12059</v>
      </c>
    </row>
    <row r="184" spans="1:62" x14ac:dyDescent="0.3">
      <c r="A184" s="10" t="s">
        <v>30</v>
      </c>
      <c r="B184" s="16">
        <v>8529</v>
      </c>
      <c r="C184" s="14">
        <v>8793</v>
      </c>
      <c r="D184" s="14">
        <v>7662</v>
      </c>
      <c r="E184" s="14">
        <v>7631</v>
      </c>
      <c r="F184" s="14">
        <v>7259</v>
      </c>
      <c r="G184" s="14">
        <v>8699</v>
      </c>
      <c r="H184" s="14">
        <v>8594</v>
      </c>
      <c r="I184" s="14">
        <v>9821</v>
      </c>
      <c r="J184" s="14">
        <v>7046</v>
      </c>
      <c r="K184" s="14">
        <v>6547</v>
      </c>
      <c r="L184" s="14">
        <v>7985</v>
      </c>
      <c r="M184" s="14">
        <v>8446</v>
      </c>
      <c r="N184" s="14">
        <v>10253</v>
      </c>
      <c r="O184" s="14">
        <v>10448</v>
      </c>
      <c r="P184" s="14">
        <v>8328</v>
      </c>
      <c r="Q184" s="13">
        <v>1675</v>
      </c>
      <c r="R184" s="13">
        <v>1620</v>
      </c>
      <c r="S184" s="13">
        <v>1419</v>
      </c>
      <c r="T184" s="13">
        <v>1280</v>
      </c>
      <c r="U184" s="13">
        <v>1223</v>
      </c>
      <c r="V184" s="13">
        <v>646</v>
      </c>
      <c r="W184" s="13">
        <v>787</v>
      </c>
      <c r="X184" s="13">
        <v>531</v>
      </c>
      <c r="Y184" s="13">
        <v>894</v>
      </c>
      <c r="Z184" s="13">
        <v>1074</v>
      </c>
      <c r="AA184" s="13">
        <v>952</v>
      </c>
      <c r="AB184" s="13">
        <v>2130</v>
      </c>
      <c r="AC184" s="13">
        <v>1679</v>
      </c>
      <c r="AD184" s="13">
        <v>528</v>
      </c>
      <c r="AE184" s="12">
        <v>0</v>
      </c>
      <c r="AF184" s="13">
        <v>392</v>
      </c>
      <c r="AG184" s="13">
        <v>296</v>
      </c>
      <c r="AH184" s="14">
        <v>5322</v>
      </c>
      <c r="AI184" s="14">
        <v>6590</v>
      </c>
      <c r="AJ184" s="14">
        <v>5958</v>
      </c>
      <c r="AK184" s="14">
        <v>6798</v>
      </c>
      <c r="AL184" s="14">
        <v>8824</v>
      </c>
      <c r="AM184" s="14">
        <v>8692</v>
      </c>
      <c r="AN184" s="14">
        <v>8589</v>
      </c>
      <c r="AO184" s="14">
        <v>15511</v>
      </c>
      <c r="AP184" s="14">
        <v>15692</v>
      </c>
      <c r="AQ184" s="14">
        <v>13050</v>
      </c>
      <c r="AR184" s="14">
        <v>4098</v>
      </c>
      <c r="AS184" s="14">
        <v>3626</v>
      </c>
      <c r="AT184" s="14">
        <v>3637</v>
      </c>
      <c r="AU184" s="14">
        <v>7964</v>
      </c>
      <c r="AV184" s="12">
        <v>1342</v>
      </c>
      <c r="AW184" s="14">
        <v>4701</v>
      </c>
      <c r="AX184" s="14">
        <v>7758</v>
      </c>
      <c r="AY184" s="14">
        <v>2999</v>
      </c>
      <c r="AZ184" s="14">
        <v>5914</v>
      </c>
      <c r="BA184" s="14">
        <v>8176</v>
      </c>
      <c r="BB184" s="13">
        <v>1039</v>
      </c>
      <c r="BC184" s="14">
        <v>8429</v>
      </c>
      <c r="BD184" s="14">
        <v>7150</v>
      </c>
      <c r="BE184" s="14">
        <v>8166</v>
      </c>
      <c r="BF184" s="12">
        <v>755</v>
      </c>
      <c r="BG184" s="13">
        <v>1375</v>
      </c>
      <c r="BH184" s="14">
        <v>9907</v>
      </c>
      <c r="BI184" s="14">
        <v>12811</v>
      </c>
      <c r="BJ184" s="15">
        <v>12225</v>
      </c>
    </row>
    <row r="185" spans="1:62" x14ac:dyDescent="0.3">
      <c r="A185" s="10" t="s">
        <v>31</v>
      </c>
      <c r="B185" s="16">
        <v>8166</v>
      </c>
      <c r="C185" s="14">
        <v>8460</v>
      </c>
      <c r="D185" s="14">
        <v>7380</v>
      </c>
      <c r="E185" s="14">
        <v>7323</v>
      </c>
      <c r="F185" s="14">
        <v>6918</v>
      </c>
      <c r="G185" s="14">
        <v>8435</v>
      </c>
      <c r="H185" s="14">
        <v>8415</v>
      </c>
      <c r="I185" s="14">
        <v>9591</v>
      </c>
      <c r="J185" s="14">
        <v>6725</v>
      </c>
      <c r="K185" s="14">
        <v>6220</v>
      </c>
      <c r="L185" s="14">
        <v>7787</v>
      </c>
      <c r="M185" s="14">
        <v>8275</v>
      </c>
      <c r="N185" s="14">
        <v>9921</v>
      </c>
      <c r="O185" s="14">
        <v>10126</v>
      </c>
      <c r="P185" s="14">
        <v>8009</v>
      </c>
      <c r="Q185" s="13">
        <v>1347</v>
      </c>
      <c r="R185" s="13">
        <v>1258</v>
      </c>
      <c r="S185" s="13">
        <v>1039</v>
      </c>
      <c r="T185" s="13">
        <v>889</v>
      </c>
      <c r="U185" s="13">
        <v>864</v>
      </c>
      <c r="V185" s="13">
        <v>302</v>
      </c>
      <c r="W185" s="13">
        <v>493</v>
      </c>
      <c r="X185" s="13">
        <v>281</v>
      </c>
      <c r="Y185" s="13">
        <v>519</v>
      </c>
      <c r="Z185" s="13">
        <v>922</v>
      </c>
      <c r="AA185" s="13">
        <v>647</v>
      </c>
      <c r="AB185" s="13">
        <v>1778</v>
      </c>
      <c r="AC185" s="13">
        <v>1357</v>
      </c>
      <c r="AD185" s="13">
        <v>372</v>
      </c>
      <c r="AE185" s="13">
        <v>392</v>
      </c>
      <c r="AF185" s="12">
        <v>0</v>
      </c>
      <c r="AG185" s="13">
        <v>289</v>
      </c>
      <c r="AH185" s="14">
        <v>5714</v>
      </c>
      <c r="AI185" s="14">
        <v>6982</v>
      </c>
      <c r="AJ185" s="14">
        <v>6347</v>
      </c>
      <c r="AK185" s="14">
        <v>7181</v>
      </c>
      <c r="AL185" s="14">
        <v>9094</v>
      </c>
      <c r="AM185" s="14">
        <v>8978</v>
      </c>
      <c r="AN185" s="14">
        <v>8895</v>
      </c>
      <c r="AO185" s="14">
        <v>15902</v>
      </c>
      <c r="AP185" s="14">
        <v>16079</v>
      </c>
      <c r="AQ185" s="14">
        <v>13427</v>
      </c>
      <c r="AR185" s="14">
        <v>4451</v>
      </c>
      <c r="AS185" s="14">
        <v>3880</v>
      </c>
      <c r="AT185" s="14">
        <v>3951</v>
      </c>
      <c r="AU185" s="14">
        <v>8268</v>
      </c>
      <c r="AV185" s="14">
        <v>1670</v>
      </c>
      <c r="AW185" s="14">
        <v>5007</v>
      </c>
      <c r="AX185" s="14">
        <v>8031</v>
      </c>
      <c r="AY185" s="14">
        <v>2763</v>
      </c>
      <c r="AZ185" s="14">
        <v>6079</v>
      </c>
      <c r="BA185" s="14">
        <v>8567</v>
      </c>
      <c r="BB185" s="13">
        <v>1055</v>
      </c>
      <c r="BC185" s="14">
        <v>8796</v>
      </c>
      <c r="BD185" s="14">
        <v>7474</v>
      </c>
      <c r="BE185" s="14">
        <v>8501</v>
      </c>
      <c r="BF185" s="13">
        <v>1143</v>
      </c>
      <c r="BG185" s="13">
        <v>1533</v>
      </c>
      <c r="BH185" s="14">
        <v>9516</v>
      </c>
      <c r="BI185" s="14">
        <v>12455</v>
      </c>
      <c r="BJ185" s="15">
        <v>11878</v>
      </c>
    </row>
    <row r="186" spans="1:62" x14ac:dyDescent="0.3">
      <c r="A186" s="10" t="s">
        <v>32</v>
      </c>
      <c r="B186" s="16">
        <v>8371</v>
      </c>
      <c r="C186" s="14">
        <v>8057</v>
      </c>
      <c r="D186" s="14">
        <v>7668</v>
      </c>
      <c r="E186" s="14">
        <v>7608</v>
      </c>
      <c r="F186" s="14">
        <v>6504</v>
      </c>
      <c r="G186" s="14">
        <v>8724</v>
      </c>
      <c r="H186" s="14">
        <v>8696</v>
      </c>
      <c r="I186" s="14">
        <v>9879</v>
      </c>
      <c r="J186" s="14">
        <v>7007</v>
      </c>
      <c r="K186" s="14">
        <v>6499</v>
      </c>
      <c r="L186" s="14">
        <v>8070</v>
      </c>
      <c r="M186" s="14">
        <v>8554</v>
      </c>
      <c r="N186" s="14">
        <v>10199</v>
      </c>
      <c r="O186" s="14">
        <v>10159</v>
      </c>
      <c r="P186" s="14">
        <v>8038</v>
      </c>
      <c r="Q186" s="13">
        <v>1632</v>
      </c>
      <c r="R186" s="13">
        <v>1528</v>
      </c>
      <c r="S186" s="13">
        <v>1291</v>
      </c>
      <c r="T186" s="13">
        <v>1093</v>
      </c>
      <c r="U186" s="13">
        <v>970</v>
      </c>
      <c r="V186" s="13">
        <v>412</v>
      </c>
      <c r="W186" s="13">
        <v>782</v>
      </c>
      <c r="X186" s="13">
        <v>553</v>
      </c>
      <c r="Y186" s="13">
        <v>789</v>
      </c>
      <c r="Z186" s="13">
        <v>784</v>
      </c>
      <c r="AA186" s="13">
        <v>673</v>
      </c>
      <c r="AB186" s="13">
        <v>1862</v>
      </c>
      <c r="AC186" s="13">
        <v>1398</v>
      </c>
      <c r="AD186" s="13">
        <v>614</v>
      </c>
      <c r="AE186" s="13">
        <v>296</v>
      </c>
      <c r="AF186" s="13">
        <v>289</v>
      </c>
      <c r="AG186" s="12">
        <v>0</v>
      </c>
      <c r="AH186" s="14">
        <v>5520</v>
      </c>
      <c r="AI186" s="14">
        <v>6799</v>
      </c>
      <c r="AJ186" s="14">
        <v>6136</v>
      </c>
      <c r="AK186" s="14">
        <v>6951</v>
      </c>
      <c r="AL186" s="14">
        <v>9120</v>
      </c>
      <c r="AM186" s="14">
        <v>8987</v>
      </c>
      <c r="AN186" s="14">
        <v>8881</v>
      </c>
      <c r="AO186" s="14">
        <v>15702</v>
      </c>
      <c r="AP186" s="14">
        <v>15919</v>
      </c>
      <c r="AQ186" s="14">
        <v>13183</v>
      </c>
      <c r="AR186" s="14">
        <v>4188</v>
      </c>
      <c r="AS186" s="14">
        <v>3591</v>
      </c>
      <c r="AT186" s="14">
        <v>3670</v>
      </c>
      <c r="AU186" s="14">
        <v>8257</v>
      </c>
      <c r="AV186" s="14">
        <v>1634</v>
      </c>
      <c r="AW186" s="14">
        <v>4994</v>
      </c>
      <c r="AX186" s="14">
        <v>8054</v>
      </c>
      <c r="AY186" s="14">
        <v>2704</v>
      </c>
      <c r="AZ186" s="14">
        <v>5800</v>
      </c>
      <c r="BA186" s="14">
        <v>8394</v>
      </c>
      <c r="BB186" s="13">
        <v>1246</v>
      </c>
      <c r="BC186" s="14">
        <v>8693</v>
      </c>
      <c r="BD186" s="14">
        <v>7439</v>
      </c>
      <c r="BE186" s="14">
        <v>8451</v>
      </c>
      <c r="BF186" s="13">
        <v>1006</v>
      </c>
      <c r="BG186" s="12">
        <v>1250</v>
      </c>
      <c r="BH186" s="14">
        <v>9720</v>
      </c>
      <c r="BI186" s="14">
        <v>12536</v>
      </c>
      <c r="BJ186" s="15">
        <v>11946</v>
      </c>
    </row>
    <row r="187" spans="1:62" x14ac:dyDescent="0.3">
      <c r="A187" s="10" t="s">
        <v>104</v>
      </c>
      <c r="B187" s="16">
        <f>13513</f>
        <v>13513</v>
      </c>
      <c r="C187" s="14">
        <v>13384</v>
      </c>
      <c r="D187" s="14">
        <v>11798</v>
      </c>
      <c r="E187" s="14">
        <v>12046</v>
      </c>
      <c r="F187" s="14">
        <v>12068</v>
      </c>
      <c r="G187" s="14">
        <v>12433</v>
      </c>
      <c r="H187" s="14">
        <v>11340</v>
      </c>
      <c r="I187" s="14">
        <v>12881</v>
      </c>
      <c r="J187" s="14">
        <v>11670</v>
      </c>
      <c r="K187" s="14">
        <v>11283</v>
      </c>
      <c r="L187" s="14">
        <v>11111</v>
      </c>
      <c r="M187" s="14">
        <v>11145</v>
      </c>
      <c r="N187" s="14">
        <v>14643</v>
      </c>
      <c r="O187" s="14">
        <v>14431</v>
      </c>
      <c r="P187" s="14">
        <v>12597</v>
      </c>
      <c r="Q187" s="14">
        <v>6839</v>
      </c>
      <c r="R187" s="14">
        <v>6878</v>
      </c>
      <c r="S187" s="14">
        <v>6723</v>
      </c>
      <c r="T187" s="14">
        <v>6600</v>
      </c>
      <c r="U187" s="14">
        <v>6471</v>
      </c>
      <c r="V187" s="14">
        <v>5931</v>
      </c>
      <c r="W187" s="14">
        <v>6019</v>
      </c>
      <c r="X187" s="14">
        <v>5791</v>
      </c>
      <c r="Y187" s="14">
        <v>6202</v>
      </c>
      <c r="Z187" s="14">
        <v>5929</v>
      </c>
      <c r="AA187" s="14">
        <v>6140</v>
      </c>
      <c r="AB187" s="14">
        <v>7287</v>
      </c>
      <c r="AC187" s="14">
        <v>6783</v>
      </c>
      <c r="AD187" s="14">
        <v>5717</v>
      </c>
      <c r="AE187" s="14">
        <v>5322</v>
      </c>
      <c r="AF187" s="14">
        <v>5714</v>
      </c>
      <c r="AG187" s="14">
        <v>5520</v>
      </c>
      <c r="AH187" s="12">
        <v>0</v>
      </c>
      <c r="AI187" s="13">
        <v>1305</v>
      </c>
      <c r="AJ187" s="13">
        <v>746</v>
      </c>
      <c r="AK187" s="13">
        <v>1849</v>
      </c>
      <c r="AL187" s="13">
        <v>5854</v>
      </c>
      <c r="AM187" s="13">
        <v>5494</v>
      </c>
      <c r="AN187" s="13">
        <v>5093</v>
      </c>
      <c r="AO187" s="14">
        <v>10189</v>
      </c>
      <c r="AP187" s="14">
        <v>10416</v>
      </c>
      <c r="AQ187" s="14">
        <v>7849</v>
      </c>
      <c r="AR187" s="13">
        <v>2208</v>
      </c>
      <c r="AS187" s="13">
        <v>3840</v>
      </c>
      <c r="AT187" s="13">
        <v>3062</v>
      </c>
      <c r="AU187" s="13">
        <v>4696</v>
      </c>
      <c r="AV187" s="13">
        <v>4346</v>
      </c>
      <c r="AW187" s="12">
        <v>3286</v>
      </c>
      <c r="AX187" s="13">
        <v>5097</v>
      </c>
      <c r="AY187" s="14">
        <v>7454</v>
      </c>
      <c r="AZ187" s="14">
        <v>5429</v>
      </c>
      <c r="BA187" s="13">
        <v>2915</v>
      </c>
      <c r="BB187" s="14">
        <v>5577</v>
      </c>
      <c r="BC187" s="13">
        <v>3767</v>
      </c>
      <c r="BD187" s="13">
        <v>3786</v>
      </c>
      <c r="BE187" s="13">
        <v>4256</v>
      </c>
      <c r="BF187" s="14">
        <v>4584</v>
      </c>
      <c r="BG187" s="14">
        <v>5019</v>
      </c>
      <c r="BH187" s="14">
        <v>15225</v>
      </c>
      <c r="BI187" s="14">
        <v>16925</v>
      </c>
      <c r="BJ187" s="15">
        <v>16310</v>
      </c>
    </row>
    <row r="188" spans="1:62" x14ac:dyDescent="0.3">
      <c r="A188" s="10" t="s">
        <v>34</v>
      </c>
      <c r="B188" s="16">
        <v>14513</v>
      </c>
      <c r="C188" s="14">
        <v>14190</v>
      </c>
      <c r="D188" s="14">
        <v>12522</v>
      </c>
      <c r="E188" s="14">
        <v>12857</v>
      </c>
      <c r="F188" s="14">
        <v>13032</v>
      </c>
      <c r="G188" s="14">
        <v>12969</v>
      </c>
      <c r="H188" s="14">
        <v>11650</v>
      </c>
      <c r="I188" s="14">
        <v>13138</v>
      </c>
      <c r="J188" s="14">
        <v>12578</v>
      </c>
      <c r="K188" s="14">
        <v>12249</v>
      </c>
      <c r="L188" s="14">
        <v>11560</v>
      </c>
      <c r="M188" s="14">
        <v>11459</v>
      </c>
      <c r="N188" s="14">
        <v>15255</v>
      </c>
      <c r="O188" s="14">
        <v>15437</v>
      </c>
      <c r="P188" s="14">
        <v>13770</v>
      </c>
      <c r="Q188" s="14">
        <v>8052</v>
      </c>
      <c r="R188" s="14">
        <v>8112</v>
      </c>
      <c r="S188" s="14">
        <v>7975</v>
      </c>
      <c r="T188" s="14">
        <v>7870</v>
      </c>
      <c r="U188" s="14">
        <v>7758</v>
      </c>
      <c r="V188" s="14">
        <v>7210</v>
      </c>
      <c r="W188" s="14">
        <v>7261</v>
      </c>
      <c r="X188" s="14">
        <v>7041</v>
      </c>
      <c r="Y188" s="14">
        <v>7459</v>
      </c>
      <c r="Z188" s="14">
        <v>7230</v>
      </c>
      <c r="AA188" s="14">
        <v>7430</v>
      </c>
      <c r="AB188" s="14">
        <v>8586</v>
      </c>
      <c r="AC188" s="14">
        <v>8082</v>
      </c>
      <c r="AD188" s="14">
        <v>6960</v>
      </c>
      <c r="AE188" s="14">
        <v>6590</v>
      </c>
      <c r="AF188" s="14">
        <v>6982</v>
      </c>
      <c r="AG188" s="14">
        <v>6799</v>
      </c>
      <c r="AH188" s="13">
        <v>1305</v>
      </c>
      <c r="AI188" s="12">
        <v>0</v>
      </c>
      <c r="AJ188" s="13">
        <v>974</v>
      </c>
      <c r="AK188" s="13">
        <v>1355</v>
      </c>
      <c r="AL188" s="13">
        <v>5146</v>
      </c>
      <c r="AM188" s="13">
        <v>4754</v>
      </c>
      <c r="AN188" s="13">
        <v>4298</v>
      </c>
      <c r="AO188" s="14">
        <v>8926</v>
      </c>
      <c r="AP188" s="14">
        <v>9126</v>
      </c>
      <c r="AQ188" s="14">
        <v>6703</v>
      </c>
      <c r="AR188" s="13">
        <v>3375</v>
      </c>
      <c r="AS188" s="13">
        <v>4993</v>
      </c>
      <c r="AT188" s="13">
        <v>4245</v>
      </c>
      <c r="AU188" s="12">
        <v>4041</v>
      </c>
      <c r="AV188" s="13">
        <v>5536</v>
      </c>
      <c r="AW188" s="13">
        <v>3731</v>
      </c>
      <c r="AX188" s="12">
        <v>4599</v>
      </c>
      <c r="AY188" s="14">
        <v>8747</v>
      </c>
      <c r="AZ188" s="14">
        <v>6179</v>
      </c>
      <c r="BA188" s="13">
        <v>1611</v>
      </c>
      <c r="BB188" s="14">
        <v>6761</v>
      </c>
      <c r="BC188" s="12">
        <v>2653</v>
      </c>
      <c r="BD188" s="12">
        <v>3267</v>
      </c>
      <c r="BE188" s="12">
        <v>3411</v>
      </c>
      <c r="BF188" s="14">
        <v>5843</v>
      </c>
      <c r="BG188" s="14">
        <v>6323</v>
      </c>
      <c r="BH188" s="14">
        <v>16452</v>
      </c>
      <c r="BI188" s="14">
        <v>17642</v>
      </c>
      <c r="BJ188" s="15">
        <v>17142</v>
      </c>
    </row>
    <row r="189" spans="1:62" x14ac:dyDescent="0.3">
      <c r="A189" s="10" t="s">
        <v>35</v>
      </c>
      <c r="B189" s="16">
        <v>14352</v>
      </c>
      <c r="C189" s="14">
        <v>14130</v>
      </c>
      <c r="D189" s="14">
        <v>12538</v>
      </c>
      <c r="E189" s="14">
        <v>12791</v>
      </c>
      <c r="F189" s="14">
        <v>12808</v>
      </c>
      <c r="G189" s="14">
        <v>13150</v>
      </c>
      <c r="H189" s="14">
        <v>12001</v>
      </c>
      <c r="I189" s="14">
        <v>13534</v>
      </c>
      <c r="J189" s="14">
        <v>12415</v>
      </c>
      <c r="K189" s="14">
        <v>12024</v>
      </c>
      <c r="L189" s="14">
        <v>11806</v>
      </c>
      <c r="M189" s="14">
        <v>11806</v>
      </c>
      <c r="N189" s="14">
        <v>15378</v>
      </c>
      <c r="O189" s="14">
        <v>14473</v>
      </c>
      <c r="P189" s="14">
        <v>12803</v>
      </c>
      <c r="Q189" s="14">
        <v>7518</v>
      </c>
      <c r="R189" s="14">
        <v>7541</v>
      </c>
      <c r="S189" s="14">
        <v>7371</v>
      </c>
      <c r="T189" s="14">
        <v>7227</v>
      </c>
      <c r="U189" s="14">
        <v>7070</v>
      </c>
      <c r="V189" s="14">
        <v>6548</v>
      </c>
      <c r="W189" s="14">
        <v>6679</v>
      </c>
      <c r="X189" s="14">
        <v>6443</v>
      </c>
      <c r="Y189" s="14">
        <v>6847</v>
      </c>
      <c r="Z189" s="14">
        <v>6485</v>
      </c>
      <c r="AA189" s="14">
        <v>6733</v>
      </c>
      <c r="AB189" s="14">
        <v>7850</v>
      </c>
      <c r="AC189" s="14">
        <v>7345</v>
      </c>
      <c r="AD189" s="14">
        <v>6377</v>
      </c>
      <c r="AE189" s="14">
        <v>5958</v>
      </c>
      <c r="AF189" s="14">
        <v>6347</v>
      </c>
      <c r="AG189" s="14">
        <v>6136</v>
      </c>
      <c r="AH189" s="13">
        <v>746</v>
      </c>
      <c r="AI189" s="13">
        <v>974</v>
      </c>
      <c r="AJ189" s="12">
        <v>0</v>
      </c>
      <c r="AK189" s="13">
        <v>1005</v>
      </c>
      <c r="AL189" s="13">
        <v>6027</v>
      </c>
      <c r="AM189" s="13">
        <v>5644</v>
      </c>
      <c r="AN189" s="13">
        <v>5204</v>
      </c>
      <c r="AO189" s="14">
        <v>9566</v>
      </c>
      <c r="AP189" s="14">
        <v>9840</v>
      </c>
      <c r="AQ189" s="14">
        <v>7153</v>
      </c>
      <c r="AR189" s="13">
        <v>2436</v>
      </c>
      <c r="AS189" s="13">
        <v>4035</v>
      </c>
      <c r="AT189" s="13">
        <v>3303</v>
      </c>
      <c r="AU189" s="13">
        <v>4892</v>
      </c>
      <c r="AV189" s="13">
        <v>5048</v>
      </c>
      <c r="AW189" s="13">
        <v>3938</v>
      </c>
      <c r="AX189" s="13">
        <v>5385</v>
      </c>
      <c r="AY189" s="14">
        <v>7885</v>
      </c>
      <c r="AZ189" s="14">
        <v>5252</v>
      </c>
      <c r="BA189" s="13">
        <v>2460</v>
      </c>
      <c r="BB189" s="14">
        <v>6277</v>
      </c>
      <c r="BC189" s="13">
        <v>3625</v>
      </c>
      <c r="BD189" s="13">
        <v>4047</v>
      </c>
      <c r="BE189" s="13">
        <v>4328</v>
      </c>
      <c r="BF189" s="14">
        <v>5235</v>
      </c>
      <c r="BG189" s="14">
        <v>5524</v>
      </c>
      <c r="BH189" s="14">
        <v>15855</v>
      </c>
      <c r="BI189" s="14">
        <v>16790</v>
      </c>
      <c r="BJ189" s="15">
        <v>16236</v>
      </c>
    </row>
    <row r="190" spans="1:62" x14ac:dyDescent="0.3">
      <c r="A190" s="10" t="s">
        <v>36</v>
      </c>
      <c r="B190" s="16">
        <v>15214</v>
      </c>
      <c r="C190" s="14">
        <v>15132</v>
      </c>
      <c r="D190" s="14">
        <v>13542</v>
      </c>
      <c r="E190" s="14">
        <v>13795</v>
      </c>
      <c r="F190" s="14">
        <v>13788</v>
      </c>
      <c r="G190" s="14">
        <v>14131</v>
      </c>
      <c r="H190" s="14">
        <v>12919</v>
      </c>
      <c r="I190" s="14">
        <v>14434</v>
      </c>
      <c r="J190" s="14">
        <v>13408</v>
      </c>
      <c r="K190" s="14">
        <v>13007</v>
      </c>
      <c r="L190" s="14">
        <v>12765</v>
      </c>
      <c r="M190" s="14">
        <v>12725</v>
      </c>
      <c r="N190" s="14">
        <v>16376</v>
      </c>
      <c r="O190" s="14">
        <v>14332</v>
      </c>
      <c r="P190" s="14">
        <v>12937</v>
      </c>
      <c r="Q190" s="14">
        <v>8407</v>
      </c>
      <c r="R190" s="14">
        <v>8407</v>
      </c>
      <c r="S190" s="14">
        <v>8217</v>
      </c>
      <c r="T190" s="14">
        <v>8044</v>
      </c>
      <c r="U190" s="14">
        <v>7851</v>
      </c>
      <c r="V190" s="14">
        <v>7358</v>
      </c>
      <c r="W190" s="14">
        <v>7546</v>
      </c>
      <c r="X190" s="14">
        <v>7303</v>
      </c>
      <c r="Y190" s="14">
        <v>7693</v>
      </c>
      <c r="Z190" s="14">
        <v>7216</v>
      </c>
      <c r="AA190" s="14">
        <v>7510</v>
      </c>
      <c r="AB190" s="14">
        <v>8573</v>
      </c>
      <c r="AC190" s="14">
        <v>8073</v>
      </c>
      <c r="AD190" s="14">
        <v>7246</v>
      </c>
      <c r="AE190" s="14">
        <v>6798</v>
      </c>
      <c r="AF190" s="14">
        <v>7181</v>
      </c>
      <c r="AG190" s="14">
        <v>6951</v>
      </c>
      <c r="AH190" s="13">
        <v>1849</v>
      </c>
      <c r="AI190" s="13">
        <v>1355</v>
      </c>
      <c r="AJ190" s="13">
        <v>1005</v>
      </c>
      <c r="AK190" s="12">
        <v>0</v>
      </c>
      <c r="AL190" s="13">
        <v>6424</v>
      </c>
      <c r="AM190" s="13">
        <v>6025</v>
      </c>
      <c r="AN190" s="13">
        <v>5553</v>
      </c>
      <c r="AO190" s="14">
        <v>8778</v>
      </c>
      <c r="AP190" s="14">
        <v>9120</v>
      </c>
      <c r="AQ190" s="14">
        <v>6260</v>
      </c>
      <c r="AR190" s="13">
        <v>2946</v>
      </c>
      <c r="AS190" s="13">
        <v>4387</v>
      </c>
      <c r="AT190" s="13">
        <v>3755</v>
      </c>
      <c r="AU190" s="13">
        <v>5353</v>
      </c>
      <c r="AV190" s="13">
        <v>5982</v>
      </c>
      <c r="AW190" s="13">
        <v>4883</v>
      </c>
      <c r="AX190" s="13">
        <v>5940</v>
      </c>
      <c r="AY190" s="14">
        <v>8428</v>
      </c>
      <c r="AZ190" s="14">
        <v>5055</v>
      </c>
      <c r="BA190" s="13">
        <v>2190</v>
      </c>
      <c r="BB190" s="14">
        <v>7202</v>
      </c>
      <c r="BC190" s="13">
        <v>3727</v>
      </c>
      <c r="BD190" s="13">
        <v>4615</v>
      </c>
      <c r="BE190" s="13">
        <v>4663</v>
      </c>
      <c r="BF190" s="14">
        <v>6102</v>
      </c>
      <c r="BG190" s="14">
        <v>6206</v>
      </c>
      <c r="BH190" s="14">
        <v>16583</v>
      </c>
      <c r="BI190" s="14">
        <v>16313</v>
      </c>
      <c r="BJ190" s="15">
        <v>15866</v>
      </c>
    </row>
    <row r="191" spans="1:62" x14ac:dyDescent="0.3">
      <c r="A191" s="10" t="s">
        <v>37</v>
      </c>
      <c r="B191" s="16">
        <v>12019</v>
      </c>
      <c r="C191" s="14">
        <v>11070</v>
      </c>
      <c r="D191" s="14">
        <v>9605</v>
      </c>
      <c r="E191" s="14">
        <v>10159</v>
      </c>
      <c r="F191" s="14">
        <v>10925</v>
      </c>
      <c r="G191" s="14">
        <v>9350</v>
      </c>
      <c r="H191" s="14">
        <v>7712</v>
      </c>
      <c r="I191" s="14">
        <v>8830</v>
      </c>
      <c r="J191" s="14">
        <v>10365</v>
      </c>
      <c r="K191" s="14">
        <v>10412</v>
      </c>
      <c r="L191" s="14">
        <v>8010</v>
      </c>
      <c r="M191" s="14">
        <v>7568</v>
      </c>
      <c r="N191" s="14">
        <v>11291</v>
      </c>
      <c r="O191" s="14">
        <v>18528</v>
      </c>
      <c r="P191" s="14">
        <v>16896</v>
      </c>
      <c r="Q191" s="14">
        <v>9262</v>
      </c>
      <c r="R191" s="14">
        <v>9501</v>
      </c>
      <c r="S191" s="14">
        <v>9585</v>
      </c>
      <c r="T191" s="14">
        <v>9738</v>
      </c>
      <c r="U191" s="14">
        <v>9918</v>
      </c>
      <c r="V191" s="14">
        <v>9396</v>
      </c>
      <c r="W191" s="14">
        <v>9002</v>
      </c>
      <c r="X191" s="14">
        <v>8942</v>
      </c>
      <c r="Y191" s="14">
        <v>9287</v>
      </c>
      <c r="Z191" s="14">
        <v>9881</v>
      </c>
      <c r="AA191" s="14">
        <v>9741</v>
      </c>
      <c r="AB191" s="14">
        <v>10790</v>
      </c>
      <c r="AC191" s="14">
        <v>10440</v>
      </c>
      <c r="AD191" s="14">
        <v>8815</v>
      </c>
      <c r="AE191" s="14">
        <v>8824</v>
      </c>
      <c r="AF191" s="14">
        <v>9094</v>
      </c>
      <c r="AG191" s="14">
        <v>9120</v>
      </c>
      <c r="AH191" s="13">
        <v>5854</v>
      </c>
      <c r="AI191" s="13">
        <v>5146</v>
      </c>
      <c r="AJ191" s="13">
        <v>6027</v>
      </c>
      <c r="AK191" s="13">
        <v>6424</v>
      </c>
      <c r="AL191" s="12">
        <v>0</v>
      </c>
      <c r="AM191" s="13">
        <v>403</v>
      </c>
      <c r="AN191" s="13">
        <v>891</v>
      </c>
      <c r="AO191" s="14">
        <v>8155</v>
      </c>
      <c r="AP191" s="14">
        <v>7793</v>
      </c>
      <c r="AQ191" s="14">
        <v>7891</v>
      </c>
      <c r="AR191" s="13">
        <v>7953</v>
      </c>
      <c r="AS191" s="13">
        <v>9496</v>
      </c>
      <c r="AT191" s="13">
        <v>8713</v>
      </c>
      <c r="AU191" s="13">
        <v>1160</v>
      </c>
      <c r="AV191" s="13">
        <v>7501</v>
      </c>
      <c r="AW191" s="13">
        <v>4175</v>
      </c>
      <c r="AX191" s="13">
        <v>1067</v>
      </c>
      <c r="AY191" s="14">
        <v>11818</v>
      </c>
      <c r="AZ191" s="14">
        <v>11264</v>
      </c>
      <c r="BA191" s="13">
        <v>4609</v>
      </c>
      <c r="BB191" s="14">
        <v>8193</v>
      </c>
      <c r="BC191" s="13">
        <v>2886</v>
      </c>
      <c r="BD191" s="13">
        <v>2102</v>
      </c>
      <c r="BE191" s="13">
        <v>1767</v>
      </c>
      <c r="BF191" s="14">
        <v>8225</v>
      </c>
      <c r="BG191" s="14">
        <v>9531</v>
      </c>
      <c r="BH191" s="14">
        <v>14328</v>
      </c>
      <c r="BI191" s="14">
        <v>17235</v>
      </c>
      <c r="BJ191" s="15">
        <v>17759</v>
      </c>
    </row>
    <row r="192" spans="1:62" x14ac:dyDescent="0.3">
      <c r="A192" s="10" t="s">
        <v>38</v>
      </c>
      <c r="B192" s="16">
        <v>12337</v>
      </c>
      <c r="C192" s="14">
        <v>11408</v>
      </c>
      <c r="D192" s="14">
        <v>9912</v>
      </c>
      <c r="E192" s="14">
        <v>10459</v>
      </c>
      <c r="F192" s="14">
        <v>11199</v>
      </c>
      <c r="G192" s="14">
        <v>9697</v>
      </c>
      <c r="H192" s="14">
        <v>8064</v>
      </c>
      <c r="I192" s="14">
        <v>9211</v>
      </c>
      <c r="J192" s="14">
        <v>10637</v>
      </c>
      <c r="K192" s="14">
        <v>10658</v>
      </c>
      <c r="L192" s="14">
        <v>8340</v>
      </c>
      <c r="M192" s="14">
        <v>7916</v>
      </c>
      <c r="N192" s="14">
        <v>11670</v>
      </c>
      <c r="O192" s="14">
        <v>18754</v>
      </c>
      <c r="P192" s="14">
        <v>16900</v>
      </c>
      <c r="Q192" s="14">
        <v>9229</v>
      </c>
      <c r="R192" s="14">
        <v>9459</v>
      </c>
      <c r="S192" s="14">
        <v>9525</v>
      </c>
      <c r="T192" s="14">
        <v>9659</v>
      </c>
      <c r="U192" s="14">
        <v>9817</v>
      </c>
      <c r="V192" s="14">
        <v>9281</v>
      </c>
      <c r="W192" s="14">
        <v>8917</v>
      </c>
      <c r="X192" s="14">
        <v>8841</v>
      </c>
      <c r="Y192" s="14">
        <v>9201</v>
      </c>
      <c r="Z192" s="14">
        <v>9735</v>
      </c>
      <c r="AA192" s="14">
        <v>9622</v>
      </c>
      <c r="AB192" s="14">
        <v>10703</v>
      </c>
      <c r="AC192" s="14">
        <v>10333</v>
      </c>
      <c r="AD192" s="14">
        <v>8715</v>
      </c>
      <c r="AE192" s="14">
        <v>8692</v>
      </c>
      <c r="AF192" s="14">
        <v>8978</v>
      </c>
      <c r="AG192" s="14">
        <v>8987</v>
      </c>
      <c r="AH192" s="13">
        <v>5494</v>
      </c>
      <c r="AI192" s="13">
        <v>4754</v>
      </c>
      <c r="AJ192" s="13">
        <v>5644</v>
      </c>
      <c r="AK192" s="13">
        <v>6025</v>
      </c>
      <c r="AL192" s="13">
        <v>403</v>
      </c>
      <c r="AM192" s="12">
        <v>0</v>
      </c>
      <c r="AN192" s="13">
        <v>489</v>
      </c>
      <c r="AO192" s="14">
        <v>8084</v>
      </c>
      <c r="AP192" s="14">
        <v>7763</v>
      </c>
      <c r="AQ192" s="14">
        <v>7654</v>
      </c>
      <c r="AR192" s="13">
        <v>7617</v>
      </c>
      <c r="AS192" s="13">
        <v>9179</v>
      </c>
      <c r="AT192" s="13">
        <v>8392</v>
      </c>
      <c r="AU192" s="13">
        <v>831</v>
      </c>
      <c r="AV192" s="13">
        <v>7357</v>
      </c>
      <c r="AW192" s="13">
        <v>4004</v>
      </c>
      <c r="AX192" s="13">
        <v>990</v>
      </c>
      <c r="AY192" s="14">
        <v>11670</v>
      </c>
      <c r="AZ192" s="14">
        <v>10889</v>
      </c>
      <c r="BA192" s="13">
        <v>4208</v>
      </c>
      <c r="BB192" s="14">
        <v>8113</v>
      </c>
      <c r="BC192" s="13">
        <v>2488</v>
      </c>
      <c r="BD192" s="13">
        <v>1786</v>
      </c>
      <c r="BE192" s="13">
        <v>1364</v>
      </c>
      <c r="BF192" s="14">
        <v>8066</v>
      </c>
      <c r="BG192" s="14">
        <v>9328</v>
      </c>
      <c r="BH192" s="14">
        <v>14685</v>
      </c>
      <c r="BI192" s="14">
        <v>17614</v>
      </c>
      <c r="BJ192" s="15">
        <v>18156</v>
      </c>
    </row>
    <row r="193" spans="1:62" x14ac:dyDescent="0.3">
      <c r="A193" s="10" t="s">
        <v>39</v>
      </c>
      <c r="B193" s="16">
        <v>12748</v>
      </c>
      <c r="C193" s="14">
        <v>11843</v>
      </c>
      <c r="D193" s="14">
        <v>10317</v>
      </c>
      <c r="E193" s="14">
        <v>10856</v>
      </c>
      <c r="F193" s="14">
        <v>11566</v>
      </c>
      <c r="G193" s="14">
        <v>10143</v>
      </c>
      <c r="H193" s="14">
        <v>8517</v>
      </c>
      <c r="I193" s="14">
        <v>9688</v>
      </c>
      <c r="J193" s="14">
        <v>11002</v>
      </c>
      <c r="K193" s="14">
        <v>10995</v>
      </c>
      <c r="L193" s="14">
        <v>8770</v>
      </c>
      <c r="M193" s="14">
        <v>8365</v>
      </c>
      <c r="N193" s="14">
        <v>12145</v>
      </c>
      <c r="O193" s="14">
        <v>18946</v>
      </c>
      <c r="P193" s="14">
        <v>16894</v>
      </c>
      <c r="Q193" s="14">
        <v>9247</v>
      </c>
      <c r="R193" s="14">
        <v>9463</v>
      </c>
      <c r="S193" s="14">
        <v>9508</v>
      </c>
      <c r="T193" s="14">
        <v>9617</v>
      </c>
      <c r="U193" s="14">
        <v>9747</v>
      </c>
      <c r="V193" s="14">
        <v>9196</v>
      </c>
      <c r="W193" s="14">
        <v>8871</v>
      </c>
      <c r="X193" s="14">
        <v>8777</v>
      </c>
      <c r="Y193" s="14">
        <v>9153</v>
      </c>
      <c r="Z193" s="14">
        <v>9609</v>
      </c>
      <c r="AA193" s="14">
        <v>9532</v>
      </c>
      <c r="AB193" s="14">
        <v>10648</v>
      </c>
      <c r="AC193" s="14">
        <v>10252</v>
      </c>
      <c r="AD193" s="14">
        <v>8652</v>
      </c>
      <c r="AE193" s="14">
        <v>8589</v>
      </c>
      <c r="AF193" s="14">
        <v>8895</v>
      </c>
      <c r="AG193" s="14">
        <v>8881</v>
      </c>
      <c r="AH193" s="13">
        <v>5093</v>
      </c>
      <c r="AI193" s="13">
        <v>4298</v>
      </c>
      <c r="AJ193" s="13">
        <v>5204</v>
      </c>
      <c r="AK193" s="13">
        <v>5553</v>
      </c>
      <c r="AL193" s="13">
        <v>891</v>
      </c>
      <c r="AM193" s="13">
        <v>489</v>
      </c>
      <c r="AN193" s="12">
        <v>0</v>
      </c>
      <c r="AO193" s="14">
        <v>7956</v>
      </c>
      <c r="AP193" s="14">
        <v>7687</v>
      </c>
      <c r="AQ193" s="14">
        <v>7334</v>
      </c>
      <c r="AR193" s="13">
        <v>7247</v>
      </c>
      <c r="AS193" s="13">
        <v>8832</v>
      </c>
      <c r="AT193" s="13">
        <v>8042</v>
      </c>
      <c r="AU193" s="13">
        <v>629</v>
      </c>
      <c r="AV193" s="13">
        <v>7247</v>
      </c>
      <c r="AW193" s="13">
        <v>3889</v>
      </c>
      <c r="AX193" s="13">
        <v>1152</v>
      </c>
      <c r="AY193" s="14">
        <v>11532</v>
      </c>
      <c r="AZ193" s="14">
        <v>10456</v>
      </c>
      <c r="BA193" s="13">
        <v>3719</v>
      </c>
      <c r="BB193" s="14">
        <v>8080</v>
      </c>
      <c r="BC193" s="13">
        <v>2000</v>
      </c>
      <c r="BD193" s="13">
        <v>1504</v>
      </c>
      <c r="BE193" s="13">
        <v>890</v>
      </c>
      <c r="BF193" s="14">
        <v>7932</v>
      </c>
      <c r="BG193" s="14">
        <v>9134</v>
      </c>
      <c r="BH193" s="14">
        <v>15114</v>
      </c>
      <c r="BI193" s="14">
        <v>18034</v>
      </c>
      <c r="BJ193" s="15">
        <v>18614</v>
      </c>
    </row>
    <row r="194" spans="1:62" x14ac:dyDescent="0.3">
      <c r="A194" s="10" t="s">
        <v>40</v>
      </c>
      <c r="B194" s="16">
        <v>15598</v>
      </c>
      <c r="C194" s="14">
        <v>14932</v>
      </c>
      <c r="D194" s="14">
        <v>15192</v>
      </c>
      <c r="E194" s="14">
        <v>15569</v>
      </c>
      <c r="F194" s="14">
        <v>16383</v>
      </c>
      <c r="G194" s="14">
        <v>14100</v>
      </c>
      <c r="H194" s="14">
        <v>13166</v>
      </c>
      <c r="I194" s="14">
        <v>12764</v>
      </c>
      <c r="J194" s="14">
        <v>16242</v>
      </c>
      <c r="K194" s="14">
        <v>16734</v>
      </c>
      <c r="L194" s="14">
        <v>13866</v>
      </c>
      <c r="M194" s="14">
        <v>13194</v>
      </c>
      <c r="N194" s="14">
        <v>13572</v>
      </c>
      <c r="O194" s="14">
        <v>13107</v>
      </c>
      <c r="P194" s="14">
        <v>14927</v>
      </c>
      <c r="Q194" s="14">
        <v>16904</v>
      </c>
      <c r="R194" s="14">
        <v>17013</v>
      </c>
      <c r="S194" s="14">
        <v>16898</v>
      </c>
      <c r="T194" s="14">
        <v>16789</v>
      </c>
      <c r="U194" s="14">
        <v>16627</v>
      </c>
      <c r="V194" s="14">
        <v>16113</v>
      </c>
      <c r="W194" s="14">
        <v>16179</v>
      </c>
      <c r="X194" s="14">
        <v>15966</v>
      </c>
      <c r="Y194" s="14">
        <v>16384</v>
      </c>
      <c r="Z194" s="14">
        <v>15982</v>
      </c>
      <c r="AA194" s="14">
        <v>16288</v>
      </c>
      <c r="AB194" s="14">
        <v>17311</v>
      </c>
      <c r="AC194" s="14">
        <v>16827</v>
      </c>
      <c r="AD194" s="14">
        <v>15881</v>
      </c>
      <c r="AE194" s="14">
        <v>15511</v>
      </c>
      <c r="AF194" s="14">
        <v>15902</v>
      </c>
      <c r="AG194" s="14">
        <v>15702</v>
      </c>
      <c r="AH194" s="14">
        <v>10189</v>
      </c>
      <c r="AI194" s="14">
        <v>8926</v>
      </c>
      <c r="AJ194" s="14">
        <v>9566</v>
      </c>
      <c r="AK194" s="14">
        <v>8778</v>
      </c>
      <c r="AL194" s="14">
        <v>8155</v>
      </c>
      <c r="AM194" s="14">
        <v>8084</v>
      </c>
      <c r="AN194" s="14">
        <v>7956</v>
      </c>
      <c r="AO194" s="12">
        <v>0</v>
      </c>
      <c r="AP194" s="19">
        <v>713</v>
      </c>
      <c r="AQ194" s="19">
        <v>2730</v>
      </c>
      <c r="AR194" s="14">
        <v>11657</v>
      </c>
      <c r="AS194" s="14">
        <v>12739</v>
      </c>
      <c r="AT194" s="14">
        <v>12347</v>
      </c>
      <c r="AU194" s="14">
        <v>8548</v>
      </c>
      <c r="AV194" s="14">
        <v>14412</v>
      </c>
      <c r="AW194" s="14">
        <v>11506</v>
      </c>
      <c r="AX194" s="14">
        <v>9061</v>
      </c>
      <c r="AY194" s="14">
        <v>16614</v>
      </c>
      <c r="AZ194" s="14">
        <v>11510</v>
      </c>
      <c r="BA194" s="14">
        <v>7357</v>
      </c>
      <c r="BB194" s="14">
        <v>15587</v>
      </c>
      <c r="BC194" s="14">
        <v>7395</v>
      </c>
      <c r="BD194" s="14">
        <v>9086</v>
      </c>
      <c r="BE194" s="14">
        <v>8024</v>
      </c>
      <c r="BF194" s="14">
        <v>14768</v>
      </c>
      <c r="BG194" s="14">
        <v>14945</v>
      </c>
      <c r="BH194" s="14">
        <v>14615</v>
      </c>
      <c r="BI194" s="14">
        <v>11299</v>
      </c>
      <c r="BJ194" s="15">
        <v>11767</v>
      </c>
    </row>
    <row r="195" spans="1:62" x14ac:dyDescent="0.3">
      <c r="A195" s="10" t="s">
        <v>41</v>
      </c>
      <c r="B195" s="16">
        <v>15035</v>
      </c>
      <c r="C195" s="14">
        <v>14299</v>
      </c>
      <c r="D195" s="14">
        <v>14484</v>
      </c>
      <c r="E195" s="14">
        <v>14871</v>
      </c>
      <c r="F195" s="14">
        <v>15710</v>
      </c>
      <c r="G195" s="14">
        <v>13398</v>
      </c>
      <c r="H195" s="14">
        <v>12454</v>
      </c>
      <c r="I195" s="14">
        <v>12063</v>
      </c>
      <c r="J195" s="14">
        <v>15542</v>
      </c>
      <c r="K195" s="14">
        <v>16027</v>
      </c>
      <c r="L195" s="14">
        <v>13156</v>
      </c>
      <c r="M195" s="14">
        <v>12485</v>
      </c>
      <c r="N195" s="14">
        <v>12980</v>
      </c>
      <c r="O195" s="14">
        <v>13377</v>
      </c>
      <c r="P195" s="14">
        <v>15319</v>
      </c>
      <c r="Q195" s="14">
        <v>16870</v>
      </c>
      <c r="R195" s="14">
        <v>17038</v>
      </c>
      <c r="S195" s="14">
        <v>16991</v>
      </c>
      <c r="T195" s="14">
        <v>16960</v>
      </c>
      <c r="U195" s="14">
        <v>16883</v>
      </c>
      <c r="V195" s="14">
        <v>16326</v>
      </c>
      <c r="W195" s="14">
        <v>16273</v>
      </c>
      <c r="X195" s="14">
        <v>16090</v>
      </c>
      <c r="Y195" s="14">
        <v>16513</v>
      </c>
      <c r="Z195" s="14">
        <v>16323</v>
      </c>
      <c r="AA195" s="14">
        <v>16556</v>
      </c>
      <c r="AB195" s="14">
        <v>17688</v>
      </c>
      <c r="AC195" s="14">
        <v>17183</v>
      </c>
      <c r="AD195" s="14">
        <v>15989</v>
      </c>
      <c r="AE195" s="14">
        <v>15692</v>
      </c>
      <c r="AF195" s="14">
        <v>16079</v>
      </c>
      <c r="AG195" s="14">
        <v>15919</v>
      </c>
      <c r="AH195" s="14">
        <v>10416</v>
      </c>
      <c r="AI195" s="14">
        <v>9126</v>
      </c>
      <c r="AJ195" s="14">
        <v>9840</v>
      </c>
      <c r="AK195" s="14">
        <v>9120</v>
      </c>
      <c r="AL195" s="14">
        <v>7793</v>
      </c>
      <c r="AM195" s="14">
        <v>7763</v>
      </c>
      <c r="AN195" s="14">
        <v>7687</v>
      </c>
      <c r="AO195" s="13">
        <v>713</v>
      </c>
      <c r="AP195" s="12">
        <v>0</v>
      </c>
      <c r="AQ195" s="13">
        <v>3301</v>
      </c>
      <c r="AR195" s="14">
        <v>12046</v>
      </c>
      <c r="AS195" s="14">
        <v>13238</v>
      </c>
      <c r="AT195" s="14">
        <v>12784</v>
      </c>
      <c r="AU195" s="14">
        <v>8299</v>
      </c>
      <c r="AV195" s="14">
        <v>14486</v>
      </c>
      <c r="AW195" s="14">
        <v>11389</v>
      </c>
      <c r="AX195" s="14">
        <v>8752</v>
      </c>
      <c r="AY195" s="14">
        <v>17232</v>
      </c>
      <c r="AZ195" s="14">
        <v>12163</v>
      </c>
      <c r="BA195" s="14">
        <v>7525</v>
      </c>
      <c r="BB195" s="14">
        <v>15588</v>
      </c>
      <c r="BC195" s="14">
        <v>7355</v>
      </c>
      <c r="BD195" s="14">
        <v>8920</v>
      </c>
      <c r="BE195" s="14">
        <v>7855</v>
      </c>
      <c r="BF195" s="14">
        <v>14937</v>
      </c>
      <c r="BG195" s="14">
        <v>15326</v>
      </c>
      <c r="BH195" s="14">
        <v>14333</v>
      </c>
      <c r="BI195" s="14">
        <v>11367</v>
      </c>
      <c r="BJ195" s="15">
        <v>11883</v>
      </c>
    </row>
    <row r="196" spans="1:62" x14ac:dyDescent="0.3">
      <c r="A196" s="10" t="s">
        <v>42</v>
      </c>
      <c r="B196" s="16">
        <v>18328</v>
      </c>
      <c r="C196" s="14">
        <v>17549</v>
      </c>
      <c r="D196" s="14">
        <v>17118</v>
      </c>
      <c r="E196" s="14">
        <v>17667</v>
      </c>
      <c r="F196" s="14">
        <v>18620</v>
      </c>
      <c r="G196" s="14">
        <v>16269</v>
      </c>
      <c r="H196" s="14">
        <v>14874</v>
      </c>
      <c r="I196" s="14">
        <v>15025</v>
      </c>
      <c r="J196" s="14">
        <v>18140</v>
      </c>
      <c r="K196" s="14">
        <v>18297</v>
      </c>
      <c r="L196" s="14">
        <v>15452</v>
      </c>
      <c r="M196" s="14">
        <v>14820</v>
      </c>
      <c r="N196" s="14">
        <v>16281</v>
      </c>
      <c r="O196" s="14">
        <v>13590</v>
      </c>
      <c r="P196" s="14">
        <v>14605</v>
      </c>
      <c r="Q196" s="14">
        <v>14664</v>
      </c>
      <c r="R196" s="14">
        <v>14664</v>
      </c>
      <c r="S196" s="14">
        <v>14466</v>
      </c>
      <c r="T196" s="14">
        <v>14267</v>
      </c>
      <c r="U196" s="14">
        <v>14027</v>
      </c>
      <c r="V196" s="14">
        <v>13581</v>
      </c>
      <c r="W196" s="14">
        <v>13805</v>
      </c>
      <c r="X196" s="14">
        <v>13560</v>
      </c>
      <c r="Y196" s="14">
        <v>13943</v>
      </c>
      <c r="Z196" s="14">
        <v>13328</v>
      </c>
      <c r="AA196" s="14">
        <v>13689</v>
      </c>
      <c r="AB196" s="14">
        <v>14606</v>
      </c>
      <c r="AC196" s="14">
        <v>14143</v>
      </c>
      <c r="AD196" s="14">
        <v>13506</v>
      </c>
      <c r="AE196" s="14">
        <v>13050</v>
      </c>
      <c r="AF196" s="14">
        <v>13427</v>
      </c>
      <c r="AG196" s="14">
        <v>13183</v>
      </c>
      <c r="AH196" s="14">
        <v>7849</v>
      </c>
      <c r="AI196" s="14">
        <v>6703</v>
      </c>
      <c r="AJ196" s="14">
        <v>7153</v>
      </c>
      <c r="AK196" s="14">
        <v>6260</v>
      </c>
      <c r="AL196" s="14">
        <v>7891</v>
      </c>
      <c r="AM196" s="14">
        <v>7654</v>
      </c>
      <c r="AN196" s="14">
        <v>7334</v>
      </c>
      <c r="AO196" s="13">
        <v>2730</v>
      </c>
      <c r="AP196" s="13">
        <v>3301</v>
      </c>
      <c r="AQ196" s="12">
        <v>0</v>
      </c>
      <c r="AR196" s="14">
        <v>9020</v>
      </c>
      <c r="AS196" s="14">
        <v>10014</v>
      </c>
      <c r="AT196" s="14">
        <v>9657</v>
      </c>
      <c r="AU196" s="14">
        <v>7780</v>
      </c>
      <c r="AV196" s="14">
        <v>12195</v>
      </c>
      <c r="AW196" s="14">
        <v>9987</v>
      </c>
      <c r="AX196" s="14">
        <v>8472</v>
      </c>
      <c r="AY196" s="14">
        <v>13831</v>
      </c>
      <c r="AZ196" s="14">
        <v>8902</v>
      </c>
      <c r="BA196" s="14">
        <v>5314</v>
      </c>
      <c r="BB196" s="14">
        <v>13426</v>
      </c>
      <c r="BC196" s="14">
        <v>6006</v>
      </c>
      <c r="BD196" s="14">
        <v>7954</v>
      </c>
      <c r="BE196" s="14">
        <v>7016</v>
      </c>
      <c r="BF196" s="14">
        <v>12361</v>
      </c>
      <c r="BG196" s="14">
        <v>12276</v>
      </c>
      <c r="BH196" s="14">
        <v>16809</v>
      </c>
      <c r="BI196" s="14">
        <v>12735</v>
      </c>
      <c r="BJ196" s="15">
        <v>12992</v>
      </c>
    </row>
    <row r="197" spans="1:62" x14ac:dyDescent="0.3">
      <c r="A197" s="10" t="s">
        <v>43</v>
      </c>
      <c r="B197" s="16">
        <v>12612</v>
      </c>
      <c r="C197" s="14">
        <v>12875</v>
      </c>
      <c r="D197" s="14">
        <v>11605</v>
      </c>
      <c r="E197" s="14">
        <v>11658</v>
      </c>
      <c r="F197" s="14">
        <v>11353</v>
      </c>
      <c r="G197" s="14">
        <v>12530</v>
      </c>
      <c r="H197" s="14">
        <v>11937</v>
      </c>
      <c r="I197" s="14">
        <v>13410</v>
      </c>
      <c r="J197" s="14">
        <v>11112</v>
      </c>
      <c r="K197" s="14">
        <v>10627</v>
      </c>
      <c r="L197" s="14">
        <v>11494</v>
      </c>
      <c r="M197" s="14">
        <v>11753</v>
      </c>
      <c r="N197" s="14">
        <v>14326</v>
      </c>
      <c r="O197" s="14">
        <v>12225</v>
      </c>
      <c r="P197" s="14">
        <v>10410</v>
      </c>
      <c r="Q197" s="14">
        <v>5771</v>
      </c>
      <c r="R197" s="14">
        <v>5709</v>
      </c>
      <c r="S197" s="14">
        <v>5479</v>
      </c>
      <c r="T197" s="14">
        <v>5255</v>
      </c>
      <c r="U197" s="14">
        <v>5009</v>
      </c>
      <c r="V197" s="14">
        <v>4572</v>
      </c>
      <c r="W197" s="14">
        <v>4882</v>
      </c>
      <c r="X197" s="14">
        <v>4628</v>
      </c>
      <c r="Y197" s="14">
        <v>4970</v>
      </c>
      <c r="Z197" s="14">
        <v>4327</v>
      </c>
      <c r="AA197" s="14">
        <v>4670</v>
      </c>
      <c r="AB197" s="14">
        <v>5664</v>
      </c>
      <c r="AC197" s="14">
        <v>5172</v>
      </c>
      <c r="AD197" s="14">
        <v>4601</v>
      </c>
      <c r="AE197" s="14">
        <v>4098</v>
      </c>
      <c r="AF197" s="14">
        <v>4451</v>
      </c>
      <c r="AG197" s="14">
        <v>4188</v>
      </c>
      <c r="AH197" s="13">
        <v>2208</v>
      </c>
      <c r="AI197" s="13">
        <v>3375</v>
      </c>
      <c r="AJ197" s="13">
        <v>2436</v>
      </c>
      <c r="AK197" s="13">
        <v>2946</v>
      </c>
      <c r="AL197" s="13">
        <v>7953</v>
      </c>
      <c r="AM197" s="13">
        <v>7617</v>
      </c>
      <c r="AN197" s="13">
        <v>7247</v>
      </c>
      <c r="AO197" s="14">
        <v>11657</v>
      </c>
      <c r="AP197" s="14">
        <v>12046</v>
      </c>
      <c r="AQ197" s="14">
        <v>9020</v>
      </c>
      <c r="AR197" s="12">
        <v>0</v>
      </c>
      <c r="AS197" s="13">
        <v>1633</v>
      </c>
      <c r="AT197" s="13">
        <v>870</v>
      </c>
      <c r="AU197" s="13">
        <v>6796</v>
      </c>
      <c r="AV197" s="13">
        <v>3684</v>
      </c>
      <c r="AW197" s="13">
        <v>4656</v>
      </c>
      <c r="AX197" s="13">
        <v>7090</v>
      </c>
      <c r="AY197" s="14">
        <v>5496</v>
      </c>
      <c r="AZ197" s="14">
        <v>3542</v>
      </c>
      <c r="BA197" s="13">
        <v>4890</v>
      </c>
      <c r="BB197" s="14">
        <v>4759</v>
      </c>
      <c r="BC197" s="13">
        <v>5965</v>
      </c>
      <c r="BD197" s="13">
        <v>5852</v>
      </c>
      <c r="BE197" s="13">
        <v>6438</v>
      </c>
      <c r="BF197" s="14">
        <v>3513</v>
      </c>
      <c r="BG197" s="14">
        <v>3290</v>
      </c>
      <c r="BH197" s="14">
        <v>13639</v>
      </c>
      <c r="BI197" s="14">
        <v>14744</v>
      </c>
      <c r="BJ197" s="15">
        <v>14123</v>
      </c>
    </row>
    <row r="198" spans="1:62" x14ac:dyDescent="0.3">
      <c r="A198" s="10" t="s">
        <v>44</v>
      </c>
      <c r="B198" s="16">
        <v>11642</v>
      </c>
      <c r="C198" s="14">
        <v>12202</v>
      </c>
      <c r="D198" s="14">
        <v>11255</v>
      </c>
      <c r="E198" s="14">
        <v>11164</v>
      </c>
      <c r="F198" s="14">
        <v>10650</v>
      </c>
      <c r="G198" s="14">
        <v>12315</v>
      </c>
      <c r="H198" s="14">
        <v>12154</v>
      </c>
      <c r="I198" s="14">
        <v>13443</v>
      </c>
      <c r="J198" s="14">
        <v>10536</v>
      </c>
      <c r="K198" s="14">
        <v>10015</v>
      </c>
      <c r="L198" s="14">
        <v>11581</v>
      </c>
      <c r="M198" s="14">
        <v>11993</v>
      </c>
      <c r="N198" s="14">
        <v>13649</v>
      </c>
      <c r="O198" s="14">
        <v>10599</v>
      </c>
      <c r="P198" s="14">
        <v>8782</v>
      </c>
      <c r="Q198" s="14">
        <v>5212</v>
      </c>
      <c r="R198" s="14">
        <v>5067</v>
      </c>
      <c r="S198" s="14">
        <v>4793</v>
      </c>
      <c r="T198" s="14">
        <v>4498</v>
      </c>
      <c r="U198" s="14">
        <v>4165</v>
      </c>
      <c r="V198" s="14">
        <v>3888</v>
      </c>
      <c r="W198" s="14">
        <v>4370</v>
      </c>
      <c r="X198" s="14">
        <v>4127</v>
      </c>
      <c r="Y198" s="14">
        <v>4355</v>
      </c>
      <c r="Z198" s="14">
        <v>3419</v>
      </c>
      <c r="AA198" s="14">
        <v>3858</v>
      </c>
      <c r="AB198" s="14">
        <v>4600</v>
      </c>
      <c r="AC198" s="14">
        <v>4161</v>
      </c>
      <c r="AD198" s="14">
        <v>4150</v>
      </c>
      <c r="AE198" s="14">
        <v>3626</v>
      </c>
      <c r="AF198" s="14">
        <v>3880</v>
      </c>
      <c r="AG198" s="14">
        <v>3591</v>
      </c>
      <c r="AH198" s="13">
        <v>3840</v>
      </c>
      <c r="AI198" s="13">
        <v>4993</v>
      </c>
      <c r="AJ198" s="13">
        <v>4035</v>
      </c>
      <c r="AK198" s="13">
        <v>4387</v>
      </c>
      <c r="AL198" s="13">
        <v>9496</v>
      </c>
      <c r="AM198" s="13">
        <v>9179</v>
      </c>
      <c r="AN198" s="13">
        <v>8832</v>
      </c>
      <c r="AO198" s="14">
        <v>12739</v>
      </c>
      <c r="AP198" s="14">
        <v>13238</v>
      </c>
      <c r="AQ198" s="14">
        <v>10014</v>
      </c>
      <c r="AR198" s="13">
        <v>1633</v>
      </c>
      <c r="AS198" s="12">
        <v>0</v>
      </c>
      <c r="AT198" s="13">
        <v>790</v>
      </c>
      <c r="AU198" s="13">
        <v>8350</v>
      </c>
      <c r="AV198" s="13">
        <v>3815</v>
      </c>
      <c r="AW198" s="13">
        <v>5780</v>
      </c>
      <c r="AX198" s="13">
        <v>8575</v>
      </c>
      <c r="AY198" s="12">
        <v>4105</v>
      </c>
      <c r="AZ198" s="12">
        <v>2533</v>
      </c>
      <c r="BA198" s="13">
        <v>6460</v>
      </c>
      <c r="BB198" s="14">
        <v>4550</v>
      </c>
      <c r="BC198" s="13">
        <v>7597</v>
      </c>
      <c r="BD198" s="13">
        <v>7397</v>
      </c>
      <c r="BE198" s="13">
        <v>8046</v>
      </c>
      <c r="BF198" s="14">
        <v>3320</v>
      </c>
      <c r="BG198" s="14">
        <v>2400</v>
      </c>
      <c r="BH198" s="14">
        <v>12277</v>
      </c>
      <c r="BI198" s="14">
        <v>13149</v>
      </c>
      <c r="BJ198" s="15">
        <v>12510</v>
      </c>
    </row>
    <row r="199" spans="1:62" x14ac:dyDescent="0.3">
      <c r="A199" s="20" t="s">
        <v>45</v>
      </c>
      <c r="B199" s="21">
        <v>12022</v>
      </c>
      <c r="C199" s="22">
        <v>12404</v>
      </c>
      <c r="D199" s="22">
        <v>11287</v>
      </c>
      <c r="E199" s="22">
        <v>11268</v>
      </c>
      <c r="F199" s="22">
        <v>10856</v>
      </c>
      <c r="G199" s="22">
        <v>12290</v>
      </c>
      <c r="H199" s="22">
        <v>11920</v>
      </c>
      <c r="I199" s="22">
        <v>13309</v>
      </c>
      <c r="J199" s="22">
        <v>10676</v>
      </c>
      <c r="K199" s="22">
        <v>10170</v>
      </c>
      <c r="L199" s="22">
        <v>11403</v>
      </c>
      <c r="M199" s="22">
        <v>11746</v>
      </c>
      <c r="N199" s="22">
        <v>14867</v>
      </c>
      <c r="O199" s="22">
        <v>11385</v>
      </c>
      <c r="P199" s="22">
        <v>9544</v>
      </c>
      <c r="Q199" s="22">
        <v>5298</v>
      </c>
      <c r="R199" s="22">
        <v>5195</v>
      </c>
      <c r="S199" s="22">
        <v>4942</v>
      </c>
      <c r="T199" s="22">
        <v>4683</v>
      </c>
      <c r="U199" s="22">
        <v>4394</v>
      </c>
      <c r="V199" s="22">
        <v>4022</v>
      </c>
      <c r="W199" s="22">
        <v>4418</v>
      </c>
      <c r="X199" s="22">
        <v>4165</v>
      </c>
      <c r="Y199" s="22">
        <v>4459</v>
      </c>
      <c r="Z199" s="22">
        <v>3675</v>
      </c>
      <c r="AA199" s="22">
        <v>4064</v>
      </c>
      <c r="AB199" s="22">
        <v>4964</v>
      </c>
      <c r="AC199" s="22">
        <v>4489</v>
      </c>
      <c r="AD199" s="22">
        <v>4162</v>
      </c>
      <c r="AE199" s="22">
        <v>3637</v>
      </c>
      <c r="AF199" s="22">
        <v>3951</v>
      </c>
      <c r="AG199" s="22">
        <v>3670</v>
      </c>
      <c r="AH199" s="23">
        <v>3062</v>
      </c>
      <c r="AI199" s="23">
        <v>4245</v>
      </c>
      <c r="AJ199" s="23">
        <v>3303</v>
      </c>
      <c r="AK199" s="23">
        <v>3755</v>
      </c>
      <c r="AL199" s="23">
        <v>8713</v>
      </c>
      <c r="AM199" s="23">
        <v>8392</v>
      </c>
      <c r="AN199" s="23">
        <v>8042</v>
      </c>
      <c r="AO199" s="22">
        <v>12347</v>
      </c>
      <c r="AP199" s="22">
        <v>12784</v>
      </c>
      <c r="AQ199" s="22">
        <v>9657</v>
      </c>
      <c r="AR199" s="23">
        <v>870</v>
      </c>
      <c r="AS199" s="23">
        <v>790</v>
      </c>
      <c r="AT199" s="24">
        <v>0</v>
      </c>
      <c r="AU199" s="23">
        <v>7564</v>
      </c>
      <c r="AV199" s="23">
        <v>3525</v>
      </c>
      <c r="AW199" s="23">
        <v>5083</v>
      </c>
      <c r="AX199" s="23">
        <v>7805</v>
      </c>
      <c r="AY199" s="22">
        <v>4674</v>
      </c>
      <c r="AZ199" s="22">
        <v>3067</v>
      </c>
      <c r="BA199" s="24">
        <v>5752</v>
      </c>
      <c r="BB199" s="22">
        <v>4443</v>
      </c>
      <c r="BC199" s="23">
        <v>6826</v>
      </c>
      <c r="BD199" s="23">
        <v>6612</v>
      </c>
      <c r="BE199" s="23">
        <v>7256</v>
      </c>
      <c r="BF199" s="22">
        <v>3175</v>
      </c>
      <c r="BG199" s="22">
        <v>2621</v>
      </c>
      <c r="BH199" s="22">
        <v>12850</v>
      </c>
      <c r="BI199" s="22">
        <v>13939</v>
      </c>
      <c r="BJ199" s="25">
        <v>13300</v>
      </c>
    </row>
  </sheetData>
  <mergeCells count="10">
    <mergeCell ref="A1:B1"/>
    <mergeCell ref="A51:B51"/>
    <mergeCell ref="A101:B101"/>
    <mergeCell ref="A103:B103"/>
    <mergeCell ref="BM103:BN103"/>
    <mergeCell ref="DY103:DZ103"/>
    <mergeCell ref="A152:B152"/>
    <mergeCell ref="BL51:BN51"/>
    <mergeCell ref="BM101:BO101"/>
    <mergeCell ref="DY101:EB1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H310"/>
  <sheetViews>
    <sheetView zoomScale="86" workbookViewId="0">
      <selection activeCell="B6" sqref="B6"/>
    </sheetView>
  </sheetViews>
  <sheetFormatPr baseColWidth="10" defaultRowHeight="14.4" x14ac:dyDescent="0.3"/>
  <cols>
    <col min="1" max="1" width="18.21875" customWidth="1"/>
    <col min="2" max="2" width="17.88671875" customWidth="1"/>
    <col min="3" max="3" width="13.6640625" customWidth="1"/>
    <col min="65" max="65" width="14.44140625" customWidth="1"/>
  </cols>
  <sheetData>
    <row r="2" spans="1:62" ht="21" x14ac:dyDescent="0.3">
      <c r="A2" s="55" t="s">
        <v>121</v>
      </c>
      <c r="B2" s="56"/>
    </row>
    <row r="4" spans="1:62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  <c r="AM4" s="3" t="s">
        <v>38</v>
      </c>
      <c r="AN4" s="3" t="s">
        <v>39</v>
      </c>
      <c r="AO4" s="3" t="s">
        <v>40</v>
      </c>
      <c r="AP4" s="3" t="s">
        <v>41</v>
      </c>
      <c r="AQ4" s="3" t="s">
        <v>42</v>
      </c>
      <c r="AR4" s="3" t="s">
        <v>43</v>
      </c>
      <c r="AS4" s="3" t="s">
        <v>44</v>
      </c>
      <c r="AT4" s="3" t="s">
        <v>45</v>
      </c>
      <c r="AU4" s="3" t="s">
        <v>46</v>
      </c>
      <c r="AV4" s="3" t="s">
        <v>47</v>
      </c>
      <c r="AW4" s="3" t="s">
        <v>112</v>
      </c>
      <c r="AX4" s="3" t="s">
        <v>113</v>
      </c>
      <c r="AY4" s="3" t="s">
        <v>114</v>
      </c>
      <c r="AZ4" s="3" t="s">
        <v>51</v>
      </c>
      <c r="BA4" s="3" t="s">
        <v>52</v>
      </c>
      <c r="BB4" s="3" t="s">
        <v>53</v>
      </c>
      <c r="BC4" s="3" t="s">
        <v>54</v>
      </c>
      <c r="BD4" s="3" t="s">
        <v>71</v>
      </c>
      <c r="BE4" s="3" t="s">
        <v>56</v>
      </c>
      <c r="BF4" s="3" t="s">
        <v>57</v>
      </c>
      <c r="BG4" s="3" t="s">
        <v>58</v>
      </c>
      <c r="BH4" s="3" t="s">
        <v>59</v>
      </c>
      <c r="BI4" s="3" t="s">
        <v>60</v>
      </c>
      <c r="BJ4" s="4" t="s">
        <v>61</v>
      </c>
    </row>
    <row r="5" spans="1:62" x14ac:dyDescent="0.3">
      <c r="A5" s="29" t="s">
        <v>115</v>
      </c>
      <c r="B5" s="37">
        <v>511492.875</v>
      </c>
      <c r="C5" s="38">
        <v>511492.875</v>
      </c>
      <c r="D5" s="38">
        <v>511492.875</v>
      </c>
      <c r="E5" s="38">
        <v>511492.875</v>
      </c>
      <c r="F5" s="38">
        <v>511492.875</v>
      </c>
      <c r="G5" s="38">
        <v>511492.875</v>
      </c>
      <c r="H5" s="38">
        <v>511492.875</v>
      </c>
      <c r="I5" s="38">
        <v>511492.875</v>
      </c>
      <c r="J5" s="38">
        <v>8525</v>
      </c>
      <c r="K5" s="38">
        <v>8525</v>
      </c>
      <c r="L5" s="38">
        <v>8525</v>
      </c>
      <c r="M5" s="38">
        <v>8525</v>
      </c>
      <c r="N5" s="38">
        <v>9207</v>
      </c>
      <c r="O5" s="38">
        <v>17050</v>
      </c>
      <c r="P5" s="38">
        <v>17050</v>
      </c>
      <c r="Q5" s="38">
        <v>125031.66666666667</v>
      </c>
      <c r="R5" s="38">
        <v>125031.66666666667</v>
      </c>
      <c r="S5" s="38">
        <v>125031.66666666667</v>
      </c>
      <c r="T5" s="38">
        <v>17050</v>
      </c>
      <c r="U5" s="38">
        <v>17050</v>
      </c>
      <c r="V5" s="38">
        <v>144923</v>
      </c>
      <c r="W5" s="38">
        <v>144923</v>
      </c>
      <c r="X5" s="38">
        <v>144923</v>
      </c>
      <c r="Y5" s="38">
        <v>144923</v>
      </c>
      <c r="Z5" s="38">
        <v>4603.5</v>
      </c>
      <c r="AA5" s="38">
        <v>4603.5</v>
      </c>
      <c r="AB5" s="38">
        <v>4603.5</v>
      </c>
      <c r="AC5" s="38">
        <v>4603.5</v>
      </c>
      <c r="AD5" s="38">
        <v>4603.5</v>
      </c>
      <c r="AE5" s="38">
        <v>4603.5</v>
      </c>
      <c r="AF5" s="38">
        <v>9207</v>
      </c>
      <c r="AG5" s="38">
        <v>9207</v>
      </c>
      <c r="AH5" s="38">
        <v>2301.75</v>
      </c>
      <c r="AI5" s="38">
        <v>2301.75</v>
      </c>
      <c r="AJ5" s="38">
        <v>2301.75</v>
      </c>
      <c r="AK5" s="38">
        <v>2301.75</v>
      </c>
      <c r="AL5" s="38">
        <v>136398</v>
      </c>
      <c r="AM5" s="38">
        <v>136398</v>
      </c>
      <c r="AN5" s="38">
        <v>136398</v>
      </c>
      <c r="AO5" s="38">
        <v>3069</v>
      </c>
      <c r="AP5" s="38">
        <v>3069</v>
      </c>
      <c r="AQ5" s="38">
        <v>3069</v>
      </c>
      <c r="AR5" s="38">
        <v>3069</v>
      </c>
      <c r="AS5" s="38">
        <v>3069</v>
      </c>
      <c r="AT5" s="38">
        <v>3069</v>
      </c>
      <c r="AU5" s="38">
        <v>34100</v>
      </c>
      <c r="AV5" s="38">
        <v>11366.666666666666</v>
      </c>
      <c r="AW5" s="38">
        <v>11366.666666666666</v>
      </c>
      <c r="AX5" s="38">
        <v>11366.666666666666</v>
      </c>
      <c r="AY5" s="38">
        <v>9207</v>
      </c>
      <c r="AZ5" s="38">
        <v>9207</v>
      </c>
      <c r="BA5" s="38">
        <v>9207</v>
      </c>
      <c r="BB5" s="38">
        <v>9207</v>
      </c>
      <c r="BC5" s="38">
        <v>79565.666666666672</v>
      </c>
      <c r="BD5" s="38">
        <v>79565.666666666672</v>
      </c>
      <c r="BE5" s="38">
        <v>79565.666666666672</v>
      </c>
      <c r="BF5" s="38">
        <v>9207</v>
      </c>
      <c r="BG5" s="38">
        <v>9207</v>
      </c>
      <c r="BH5" s="38">
        <v>9207</v>
      </c>
      <c r="BI5" s="38">
        <v>9207</v>
      </c>
      <c r="BJ5" s="39">
        <v>9207</v>
      </c>
    </row>
    <row r="6" spans="1:62" x14ac:dyDescent="0.3">
      <c r="A6" s="29" t="s">
        <v>116</v>
      </c>
      <c r="B6" s="40">
        <f>ROUNDUP(B5/2542,0)</f>
        <v>202</v>
      </c>
      <c r="C6" s="41">
        <f t="shared" ref="C6:AT6" si="0">ROUNDUP(C5/2542,0)</f>
        <v>202</v>
      </c>
      <c r="D6" s="41">
        <f t="shared" si="0"/>
        <v>202</v>
      </c>
      <c r="E6" s="41">
        <f t="shared" si="0"/>
        <v>202</v>
      </c>
      <c r="F6" s="41">
        <f t="shared" si="0"/>
        <v>202</v>
      </c>
      <c r="G6" s="41">
        <f t="shared" si="0"/>
        <v>202</v>
      </c>
      <c r="H6" s="41">
        <f t="shared" si="0"/>
        <v>202</v>
      </c>
      <c r="I6" s="41">
        <f t="shared" si="0"/>
        <v>202</v>
      </c>
      <c r="J6" s="41">
        <f t="shared" si="0"/>
        <v>4</v>
      </c>
      <c r="K6" s="41">
        <f t="shared" si="0"/>
        <v>4</v>
      </c>
      <c r="L6" s="41">
        <f t="shared" si="0"/>
        <v>4</v>
      </c>
      <c r="M6" s="41">
        <f t="shared" si="0"/>
        <v>4</v>
      </c>
      <c r="N6" s="41">
        <f t="shared" si="0"/>
        <v>4</v>
      </c>
      <c r="O6" s="41">
        <f t="shared" si="0"/>
        <v>7</v>
      </c>
      <c r="P6" s="41">
        <f t="shared" si="0"/>
        <v>7</v>
      </c>
      <c r="Q6" s="41">
        <f t="shared" si="0"/>
        <v>50</v>
      </c>
      <c r="R6" s="41">
        <f t="shared" si="0"/>
        <v>50</v>
      </c>
      <c r="S6" s="41">
        <f t="shared" si="0"/>
        <v>50</v>
      </c>
      <c r="T6" s="41">
        <f t="shared" si="0"/>
        <v>7</v>
      </c>
      <c r="U6" s="41">
        <f t="shared" si="0"/>
        <v>7</v>
      </c>
      <c r="V6" s="41">
        <f t="shared" si="0"/>
        <v>58</v>
      </c>
      <c r="W6" s="41">
        <f t="shared" si="0"/>
        <v>58</v>
      </c>
      <c r="X6" s="41">
        <f t="shared" si="0"/>
        <v>58</v>
      </c>
      <c r="Y6" s="41">
        <f t="shared" si="0"/>
        <v>58</v>
      </c>
      <c r="Z6" s="41">
        <f t="shared" si="0"/>
        <v>2</v>
      </c>
      <c r="AA6" s="41">
        <f t="shared" si="0"/>
        <v>2</v>
      </c>
      <c r="AB6" s="41">
        <f t="shared" si="0"/>
        <v>2</v>
      </c>
      <c r="AC6" s="41">
        <f t="shared" si="0"/>
        <v>2</v>
      </c>
      <c r="AD6" s="41">
        <f t="shared" si="0"/>
        <v>2</v>
      </c>
      <c r="AE6" s="41">
        <f t="shared" si="0"/>
        <v>2</v>
      </c>
      <c r="AF6" s="41">
        <f t="shared" si="0"/>
        <v>4</v>
      </c>
      <c r="AG6" s="41">
        <f t="shared" si="0"/>
        <v>4</v>
      </c>
      <c r="AH6" s="41">
        <f t="shared" si="0"/>
        <v>1</v>
      </c>
      <c r="AI6" s="41">
        <f t="shared" si="0"/>
        <v>1</v>
      </c>
      <c r="AJ6" s="41">
        <f t="shared" si="0"/>
        <v>1</v>
      </c>
      <c r="AK6" s="41">
        <f t="shared" si="0"/>
        <v>1</v>
      </c>
      <c r="AL6" s="41">
        <f t="shared" si="0"/>
        <v>54</v>
      </c>
      <c r="AM6" s="41">
        <f t="shared" si="0"/>
        <v>54</v>
      </c>
      <c r="AN6" s="41">
        <f t="shared" si="0"/>
        <v>54</v>
      </c>
      <c r="AO6" s="41">
        <f t="shared" si="0"/>
        <v>2</v>
      </c>
      <c r="AP6" s="41">
        <f t="shared" si="0"/>
        <v>2</v>
      </c>
      <c r="AQ6" s="41">
        <f t="shared" si="0"/>
        <v>2</v>
      </c>
      <c r="AR6" s="41">
        <f t="shared" si="0"/>
        <v>2</v>
      </c>
      <c r="AS6" s="41">
        <f t="shared" si="0"/>
        <v>2</v>
      </c>
      <c r="AT6" s="41">
        <f t="shared" si="0"/>
        <v>2</v>
      </c>
      <c r="AU6" s="41">
        <f>ROUNDUP(AU5/2542,0)</f>
        <v>14</v>
      </c>
      <c r="AV6" s="41">
        <f t="shared" ref="AV6:BJ6" si="1">ROUNDUP(AV5/2542,0)</f>
        <v>5</v>
      </c>
      <c r="AW6" s="41">
        <f t="shared" si="1"/>
        <v>5</v>
      </c>
      <c r="AX6" s="41">
        <f t="shared" si="1"/>
        <v>5</v>
      </c>
      <c r="AY6" s="41">
        <f t="shared" si="1"/>
        <v>4</v>
      </c>
      <c r="AZ6" s="41">
        <f t="shared" si="1"/>
        <v>4</v>
      </c>
      <c r="BA6" s="41">
        <f t="shared" si="1"/>
        <v>4</v>
      </c>
      <c r="BB6" s="41">
        <f t="shared" si="1"/>
        <v>4</v>
      </c>
      <c r="BC6" s="41">
        <f t="shared" si="1"/>
        <v>32</v>
      </c>
      <c r="BD6" s="41">
        <f t="shared" si="1"/>
        <v>32</v>
      </c>
      <c r="BE6" s="41">
        <f t="shared" si="1"/>
        <v>32</v>
      </c>
      <c r="BF6" s="41">
        <f t="shared" si="1"/>
        <v>4</v>
      </c>
      <c r="BG6" s="41">
        <f t="shared" si="1"/>
        <v>4</v>
      </c>
      <c r="BH6" s="41">
        <f t="shared" si="1"/>
        <v>4</v>
      </c>
      <c r="BI6" s="41">
        <f t="shared" si="1"/>
        <v>4</v>
      </c>
      <c r="BJ6" s="42">
        <f t="shared" si="1"/>
        <v>4</v>
      </c>
    </row>
    <row r="7" spans="1:62" x14ac:dyDescent="0.3">
      <c r="A7" s="34" t="s">
        <v>1</v>
      </c>
      <c r="B7" s="6">
        <f>2*DZ111*B6*Distances!B4*1.84</f>
        <v>0</v>
      </c>
      <c r="C7" s="7">
        <f>2*EA111*C6*Distances!C4*1.84</f>
        <v>17191.438933333331</v>
      </c>
      <c r="D7" s="7">
        <f>2*EB111*D6*Distances!D4*1.84</f>
        <v>35706.058666666671</v>
      </c>
      <c r="E7" s="7">
        <f>2*EC111*E6*Distances!E4*1.84</f>
        <v>27441.134400000003</v>
      </c>
      <c r="F7" s="7">
        <f>2*ED111*F6*Distances!F4*1.84</f>
        <v>21008.592533333333</v>
      </c>
      <c r="G7" s="7">
        <f>2*EE111*G6*Distances!G4*1.84</f>
        <v>41131.347733333336</v>
      </c>
      <c r="H7" s="7">
        <f>2*EF111*H6*Distances!H4*1.84</f>
        <v>66289.127999999997</v>
      </c>
      <c r="I7" s="7">
        <f>2*EG111*I6*Distances!I4*1.84</f>
        <v>54467.226133333337</v>
      </c>
      <c r="J7" s="7">
        <f>2*EH111*J6*Distances!J4*1.84</f>
        <v>578.66773333333322</v>
      </c>
      <c r="K7" s="7">
        <f>2*EI111*K6*Distances!K4*1.84</f>
        <v>646.01173333333327</v>
      </c>
      <c r="L7" s="7">
        <f>2*EJ111*L6*Distances!L4*1.84</f>
        <v>1214.0810666666666</v>
      </c>
      <c r="M7" s="7">
        <f>2*EK111*M6*Distances!M4*1.84</f>
        <v>1366.4821333333334</v>
      </c>
      <c r="N7" s="7">
        <f>2*EL111*N6*Distances!N4*1.84</f>
        <v>870.58986666666669</v>
      </c>
      <c r="O7" s="8" t="s">
        <v>62</v>
      </c>
      <c r="P7" s="8" t="s">
        <v>62</v>
      </c>
      <c r="Q7" s="8" t="s">
        <v>62</v>
      </c>
      <c r="R7" s="8" t="s">
        <v>62</v>
      </c>
      <c r="S7" s="8" t="s">
        <v>62</v>
      </c>
      <c r="T7" s="8" t="s">
        <v>62</v>
      </c>
      <c r="U7" s="8" t="s">
        <v>62</v>
      </c>
      <c r="V7" s="8" t="s">
        <v>62</v>
      </c>
      <c r="W7" s="8" t="s">
        <v>62</v>
      </c>
      <c r="X7" s="8" t="s">
        <v>62</v>
      </c>
      <c r="Y7" s="8" t="s">
        <v>62</v>
      </c>
      <c r="Z7" s="8" t="s">
        <v>62</v>
      </c>
      <c r="AA7" s="8" t="s">
        <v>62</v>
      </c>
      <c r="AB7" s="8" t="s">
        <v>62</v>
      </c>
      <c r="AC7" s="8" t="s">
        <v>62</v>
      </c>
      <c r="AD7" s="8" t="s">
        <v>62</v>
      </c>
      <c r="AE7" s="8" t="s">
        <v>62</v>
      </c>
      <c r="AF7" s="8" t="s">
        <v>62</v>
      </c>
      <c r="AG7" s="8" t="s">
        <v>62</v>
      </c>
      <c r="AH7" s="8" t="s">
        <v>62</v>
      </c>
      <c r="AI7" s="8" t="s">
        <v>62</v>
      </c>
      <c r="AJ7" s="8" t="s">
        <v>62</v>
      </c>
      <c r="AK7" s="8" t="s">
        <v>62</v>
      </c>
      <c r="AL7" s="8" t="s">
        <v>62</v>
      </c>
      <c r="AM7" s="8" t="s">
        <v>62</v>
      </c>
      <c r="AN7" s="8" t="s">
        <v>62</v>
      </c>
      <c r="AO7" s="8" t="s">
        <v>62</v>
      </c>
      <c r="AP7" s="8" t="s">
        <v>62</v>
      </c>
      <c r="AQ7" s="8" t="s">
        <v>62</v>
      </c>
      <c r="AR7" s="8" t="s">
        <v>62</v>
      </c>
      <c r="AS7" s="8" t="s">
        <v>62</v>
      </c>
      <c r="AT7" s="8" t="s">
        <v>62</v>
      </c>
      <c r="AU7" s="8" t="s">
        <v>62</v>
      </c>
      <c r="AV7" s="8" t="s">
        <v>62</v>
      </c>
      <c r="AW7" s="8" t="s">
        <v>62</v>
      </c>
      <c r="AX7" s="8" t="s">
        <v>62</v>
      </c>
      <c r="AY7" s="8" t="s">
        <v>62</v>
      </c>
      <c r="AZ7" s="8" t="s">
        <v>62</v>
      </c>
      <c r="BA7" s="8" t="s">
        <v>62</v>
      </c>
      <c r="BB7" s="8" t="s">
        <v>62</v>
      </c>
      <c r="BC7" s="8" t="s">
        <v>62</v>
      </c>
      <c r="BD7" s="8" t="s">
        <v>62</v>
      </c>
      <c r="BE7" s="8" t="s">
        <v>62</v>
      </c>
      <c r="BF7" s="8" t="s">
        <v>62</v>
      </c>
      <c r="BG7" s="8" t="s">
        <v>62</v>
      </c>
      <c r="BH7" s="8" t="s">
        <v>62</v>
      </c>
      <c r="BI7" s="8" t="s">
        <v>62</v>
      </c>
      <c r="BJ7" s="9" t="s">
        <v>62</v>
      </c>
    </row>
    <row r="8" spans="1:62" x14ac:dyDescent="0.3">
      <c r="A8" s="35" t="s">
        <v>2</v>
      </c>
      <c r="B8" s="11">
        <f>2*DZ112*B6*Distances!B5*1.84</f>
        <v>17191.438933333331</v>
      </c>
      <c r="C8" s="12">
        <f>2*EA112*C6*Distances!C5*1.84</f>
        <v>0</v>
      </c>
      <c r="D8" s="13">
        <f>2*EB112*D6*Distances!D5*1.84</f>
        <v>23835.838400000001</v>
      </c>
      <c r="E8" s="13">
        <f>2*EC112*E6*Distances!E5*1.84</f>
        <v>18439.0448</v>
      </c>
      <c r="F8" s="13">
        <f>2*ED112*F6*Distances!F5*1.84</f>
        <v>21605.758400000002</v>
      </c>
      <c r="G8" s="13">
        <f>2*EE112*G6*Distances!G5*1.84</f>
        <v>27847.504533333333</v>
      </c>
      <c r="H8" s="13">
        <f>2*EF112*H6*Distances!H5*1.84</f>
        <v>54022.449066666668</v>
      </c>
      <c r="I8" s="13">
        <f>2*EG112*I6*Distances!I5*1.84</f>
        <v>37746.581866666667</v>
      </c>
      <c r="J8" s="13">
        <f>2*EH112*J6*Distances!J5*1.84</f>
        <v>503.91466666666668</v>
      </c>
      <c r="K8" s="13">
        <f>2*EI112*K6*Distances!K5*1.84</f>
        <v>641.52213333333339</v>
      </c>
      <c r="L8" s="13">
        <f>2*EJ112*L6*Distances!L5*1.84</f>
        <v>980.74453333333338</v>
      </c>
      <c r="M8" s="13">
        <f>2*EK112*M6*Distances!M5*1.84</f>
        <v>1123.6021333333333</v>
      </c>
      <c r="N8" s="13">
        <f>2*EL112*N6*Distances!N5*1.84</f>
        <v>539.48800000000006</v>
      </c>
      <c r="O8" s="14" t="s">
        <v>62</v>
      </c>
      <c r="P8" s="14" t="s">
        <v>62</v>
      </c>
      <c r="Q8" s="14" t="s">
        <v>62</v>
      </c>
      <c r="R8" s="14" t="s">
        <v>62</v>
      </c>
      <c r="S8" s="14" t="s">
        <v>62</v>
      </c>
      <c r="T8" s="14" t="s">
        <v>62</v>
      </c>
      <c r="U8" s="14" t="s">
        <v>62</v>
      </c>
      <c r="V8" s="14" t="s">
        <v>62</v>
      </c>
      <c r="W8" s="14" t="s">
        <v>62</v>
      </c>
      <c r="X8" s="14" t="s">
        <v>62</v>
      </c>
      <c r="Y8" s="14" t="s">
        <v>62</v>
      </c>
      <c r="Z8" s="14" t="s">
        <v>62</v>
      </c>
      <c r="AA8" s="14" t="s">
        <v>62</v>
      </c>
      <c r="AB8" s="14" t="s">
        <v>62</v>
      </c>
      <c r="AC8" s="14" t="s">
        <v>62</v>
      </c>
      <c r="AD8" s="14" t="s">
        <v>62</v>
      </c>
      <c r="AE8" s="14" t="s">
        <v>62</v>
      </c>
      <c r="AF8" s="14" t="s">
        <v>62</v>
      </c>
      <c r="AG8" s="14" t="s">
        <v>62</v>
      </c>
      <c r="AH8" s="14" t="s">
        <v>62</v>
      </c>
      <c r="AI8" s="14" t="s">
        <v>62</v>
      </c>
      <c r="AJ8" s="14" t="s">
        <v>62</v>
      </c>
      <c r="AK8" s="14" t="s">
        <v>62</v>
      </c>
      <c r="AL8" s="14" t="s">
        <v>62</v>
      </c>
      <c r="AM8" s="14" t="s">
        <v>62</v>
      </c>
      <c r="AN8" s="14" t="s">
        <v>62</v>
      </c>
      <c r="AO8" s="14" t="s">
        <v>62</v>
      </c>
      <c r="AP8" s="14" t="s">
        <v>62</v>
      </c>
      <c r="AQ8" s="14" t="s">
        <v>62</v>
      </c>
      <c r="AR8" s="14" t="s">
        <v>62</v>
      </c>
      <c r="AS8" s="14" t="s">
        <v>62</v>
      </c>
      <c r="AT8" s="14" t="s">
        <v>62</v>
      </c>
      <c r="AU8" s="14" t="s">
        <v>62</v>
      </c>
      <c r="AV8" s="14" t="s">
        <v>62</v>
      </c>
      <c r="AW8" s="14" t="s">
        <v>62</v>
      </c>
      <c r="AX8" s="14" t="s">
        <v>62</v>
      </c>
      <c r="AY8" s="14" t="s">
        <v>62</v>
      </c>
      <c r="AZ8" s="14" t="s">
        <v>62</v>
      </c>
      <c r="BA8" s="14" t="s">
        <v>62</v>
      </c>
      <c r="BB8" s="14" t="s">
        <v>62</v>
      </c>
      <c r="BC8" s="14" t="s">
        <v>62</v>
      </c>
      <c r="BD8" s="14" t="s">
        <v>62</v>
      </c>
      <c r="BE8" s="14" t="s">
        <v>62</v>
      </c>
      <c r="BF8" s="14" t="s">
        <v>62</v>
      </c>
      <c r="BG8" s="14" t="s">
        <v>62</v>
      </c>
      <c r="BH8" s="14" t="s">
        <v>62</v>
      </c>
      <c r="BI8" s="14" t="s">
        <v>62</v>
      </c>
      <c r="BJ8" s="15" t="s">
        <v>62</v>
      </c>
    </row>
    <row r="9" spans="1:62" x14ac:dyDescent="0.3">
      <c r="A9" s="35" t="s">
        <v>3</v>
      </c>
      <c r="B9" s="11">
        <f>2*DZ113*B6*Distances!B6*1.84</f>
        <v>35706.058666666671</v>
      </c>
      <c r="C9" s="13">
        <f>2*EA113*C6*Distances!C6*1.84</f>
        <v>23835.838400000001</v>
      </c>
      <c r="D9" s="12">
        <f>2*EB113*D6*Distances!D6*1.84</f>
        <v>0</v>
      </c>
      <c r="E9" s="13">
        <f>2*EC113*E6*Distances!E6*1.84</f>
        <v>8145.9866666666676</v>
      </c>
      <c r="F9" s="13">
        <f>2*ED113*F6*Distances!F6*1.84</f>
        <v>21999.739200000004</v>
      </c>
      <c r="G9" s="13">
        <f>2*EE113*G6*Distances!G6*1.84</f>
        <v>17166.660266666669</v>
      </c>
      <c r="H9" s="13">
        <f>2*EF113*H6*Distances!H6*1.84</f>
        <v>33021.290133333343</v>
      </c>
      <c r="I9" s="13">
        <f>2*EG113*I6*Distances!I6*1.84</f>
        <v>37356.317866666664</v>
      </c>
      <c r="J9" s="13">
        <f>2*EH113*J6*Distances!J6*1.84</f>
        <v>359.92853333333329</v>
      </c>
      <c r="K9" s="13">
        <f>2*EI113*K6*Distances!K6*1.84</f>
        <v>495.94133333333332</v>
      </c>
      <c r="L9" s="13">
        <f>2*EJ113*L6*Distances!L6*1.84</f>
        <v>507.42293333333345</v>
      </c>
      <c r="M9" s="13">
        <f>2*EK113*M6*Distances!M6*1.84</f>
        <v>707.73760000000016</v>
      </c>
      <c r="N9" s="13">
        <f>2*EL113*N6*Distances!N6*1.84</f>
        <v>826.08640000000003</v>
      </c>
      <c r="O9" s="14" t="s">
        <v>62</v>
      </c>
      <c r="P9" s="14" t="s">
        <v>62</v>
      </c>
      <c r="Q9" s="14" t="s">
        <v>62</v>
      </c>
      <c r="R9" s="14" t="s">
        <v>62</v>
      </c>
      <c r="S9" s="14" t="s">
        <v>62</v>
      </c>
      <c r="T9" s="14" t="s">
        <v>62</v>
      </c>
      <c r="U9" s="14" t="s">
        <v>62</v>
      </c>
      <c r="V9" s="14" t="s">
        <v>62</v>
      </c>
      <c r="W9" s="14" t="s">
        <v>62</v>
      </c>
      <c r="X9" s="14" t="s">
        <v>62</v>
      </c>
      <c r="Y9" s="14" t="s">
        <v>62</v>
      </c>
      <c r="Z9" s="14" t="s">
        <v>62</v>
      </c>
      <c r="AA9" s="14" t="s">
        <v>62</v>
      </c>
      <c r="AB9" s="14" t="s">
        <v>62</v>
      </c>
      <c r="AC9" s="14" t="s">
        <v>62</v>
      </c>
      <c r="AD9" s="14" t="s">
        <v>62</v>
      </c>
      <c r="AE9" s="14" t="s">
        <v>62</v>
      </c>
      <c r="AF9" s="14" t="s">
        <v>62</v>
      </c>
      <c r="AG9" s="14" t="s">
        <v>62</v>
      </c>
      <c r="AH9" s="14" t="s">
        <v>62</v>
      </c>
      <c r="AI9" s="14" t="s">
        <v>62</v>
      </c>
      <c r="AJ9" s="14" t="s">
        <v>62</v>
      </c>
      <c r="AK9" s="14" t="s">
        <v>62</v>
      </c>
      <c r="AL9" s="14" t="s">
        <v>62</v>
      </c>
      <c r="AM9" s="14" t="s">
        <v>62</v>
      </c>
      <c r="AN9" s="14" t="s">
        <v>62</v>
      </c>
      <c r="AO9" s="14" t="s">
        <v>62</v>
      </c>
      <c r="AP9" s="14" t="s">
        <v>62</v>
      </c>
      <c r="AQ9" s="14" t="s">
        <v>62</v>
      </c>
      <c r="AR9" s="14" t="s">
        <v>62</v>
      </c>
      <c r="AS9" s="14" t="s">
        <v>62</v>
      </c>
      <c r="AT9" s="14" t="s">
        <v>62</v>
      </c>
      <c r="AU9" s="14" t="s">
        <v>62</v>
      </c>
      <c r="AV9" s="14" t="s">
        <v>62</v>
      </c>
      <c r="AW9" s="14" t="s">
        <v>62</v>
      </c>
      <c r="AX9" s="14" t="s">
        <v>62</v>
      </c>
      <c r="AY9" s="14" t="s">
        <v>62</v>
      </c>
      <c r="AZ9" s="14" t="s">
        <v>62</v>
      </c>
      <c r="BA9" s="14" t="s">
        <v>62</v>
      </c>
      <c r="BB9" s="14" t="s">
        <v>62</v>
      </c>
      <c r="BC9" s="14" t="s">
        <v>62</v>
      </c>
      <c r="BD9" s="14" t="s">
        <v>62</v>
      </c>
      <c r="BE9" s="14" t="s">
        <v>62</v>
      </c>
      <c r="BF9" s="14" t="s">
        <v>62</v>
      </c>
      <c r="BG9" s="14" t="s">
        <v>62</v>
      </c>
      <c r="BH9" s="14" t="s">
        <v>62</v>
      </c>
      <c r="BI9" s="14" t="s">
        <v>62</v>
      </c>
      <c r="BJ9" s="15" t="s">
        <v>62</v>
      </c>
    </row>
    <row r="10" spans="1:62" x14ac:dyDescent="0.3">
      <c r="A10" s="35" t="s">
        <v>4</v>
      </c>
      <c r="B10" s="11">
        <f>2*DZ114*B6*Distances!B7*1.84</f>
        <v>27441.134400000003</v>
      </c>
      <c r="C10" s="13">
        <f>2*EA114*C6*Distances!C7*1.84</f>
        <v>18439.0448</v>
      </c>
      <c r="D10" s="13">
        <f>2*EB114*D6*Distances!D7*1.84</f>
        <v>8145.9866666666676</v>
      </c>
      <c r="E10" s="12">
        <f>2*EC114*E6*Distances!E7*1.84</f>
        <v>0</v>
      </c>
      <c r="F10" s="13">
        <f>2*ED114*F6*Distances!F7*1.84</f>
        <v>13864.902933333333</v>
      </c>
      <c r="G10" s="13">
        <f>2*EE114*G6*Distances!G7*1.84</f>
        <v>19985.2336</v>
      </c>
      <c r="H10" s="13">
        <f>2*EF114*H6*Distances!H7*1.84</f>
        <v>41833.822933333337</v>
      </c>
      <c r="I10" s="13">
        <f>2*EG114*I6*Distances!I7*1.84</f>
        <v>40176.130133333339</v>
      </c>
      <c r="J10" s="13">
        <f>2*EH114*J6*Distances!J7*1.84</f>
        <v>205.09866666666667</v>
      </c>
      <c r="K10" s="13">
        <f>2*EI114*K6*Distances!K7*1.84</f>
        <v>334.8554666666667</v>
      </c>
      <c r="L10" s="13">
        <f>2*EJ114*L6*Distances!L7*1.84</f>
        <v>668.28800000000001</v>
      </c>
      <c r="M10" s="13">
        <f>2*EK114*M6*Distances!M7*1.84</f>
        <v>882.2432</v>
      </c>
      <c r="N10" s="13">
        <f>2*EL114*N6*Distances!N7*1.84</f>
        <v>805.18399999999997</v>
      </c>
      <c r="O10" s="14" t="s">
        <v>62</v>
      </c>
      <c r="P10" s="14" t="s">
        <v>62</v>
      </c>
      <c r="Q10" s="14" t="s">
        <v>62</v>
      </c>
      <c r="R10" s="14" t="s">
        <v>62</v>
      </c>
      <c r="S10" s="14" t="s">
        <v>62</v>
      </c>
      <c r="T10" s="14" t="s">
        <v>62</v>
      </c>
      <c r="U10" s="14" t="s">
        <v>62</v>
      </c>
      <c r="V10" s="14" t="s">
        <v>62</v>
      </c>
      <c r="W10" s="14" t="s">
        <v>62</v>
      </c>
      <c r="X10" s="14" t="s">
        <v>62</v>
      </c>
      <c r="Y10" s="14" t="s">
        <v>62</v>
      </c>
      <c r="Z10" s="14" t="s">
        <v>62</v>
      </c>
      <c r="AA10" s="14" t="s">
        <v>62</v>
      </c>
      <c r="AB10" s="14" t="s">
        <v>62</v>
      </c>
      <c r="AC10" s="14" t="s">
        <v>62</v>
      </c>
      <c r="AD10" s="14" t="s">
        <v>62</v>
      </c>
      <c r="AE10" s="14" t="s">
        <v>62</v>
      </c>
      <c r="AF10" s="14" t="s">
        <v>62</v>
      </c>
      <c r="AG10" s="14" t="s">
        <v>62</v>
      </c>
      <c r="AH10" s="14" t="s">
        <v>62</v>
      </c>
      <c r="AI10" s="14" t="s">
        <v>62</v>
      </c>
      <c r="AJ10" s="14" t="s">
        <v>62</v>
      </c>
      <c r="AK10" s="14" t="s">
        <v>62</v>
      </c>
      <c r="AL10" s="14" t="s">
        <v>62</v>
      </c>
      <c r="AM10" s="14" t="s">
        <v>62</v>
      </c>
      <c r="AN10" s="14" t="s">
        <v>62</v>
      </c>
      <c r="AO10" s="14" t="s">
        <v>62</v>
      </c>
      <c r="AP10" s="14" t="s">
        <v>62</v>
      </c>
      <c r="AQ10" s="14" t="s">
        <v>62</v>
      </c>
      <c r="AR10" s="14" t="s">
        <v>62</v>
      </c>
      <c r="AS10" s="14" t="s">
        <v>62</v>
      </c>
      <c r="AT10" s="14" t="s">
        <v>62</v>
      </c>
      <c r="AU10" s="14" t="s">
        <v>62</v>
      </c>
      <c r="AV10" s="14" t="s">
        <v>62</v>
      </c>
      <c r="AW10" s="14" t="s">
        <v>62</v>
      </c>
      <c r="AX10" s="14" t="s">
        <v>62</v>
      </c>
      <c r="AY10" s="14" t="s">
        <v>62</v>
      </c>
      <c r="AZ10" s="14" t="s">
        <v>62</v>
      </c>
      <c r="BA10" s="14" t="s">
        <v>62</v>
      </c>
      <c r="BB10" s="14" t="s">
        <v>62</v>
      </c>
      <c r="BC10" s="14" t="s">
        <v>62</v>
      </c>
      <c r="BD10" s="14" t="s">
        <v>62</v>
      </c>
      <c r="BE10" s="14" t="s">
        <v>62</v>
      </c>
      <c r="BF10" s="14" t="s">
        <v>62</v>
      </c>
      <c r="BG10" s="14" t="s">
        <v>62</v>
      </c>
      <c r="BH10" s="14" t="s">
        <v>62</v>
      </c>
      <c r="BI10" s="14" t="s">
        <v>62</v>
      </c>
      <c r="BJ10" s="15" t="s">
        <v>62</v>
      </c>
    </row>
    <row r="11" spans="1:62" x14ac:dyDescent="0.3">
      <c r="A11" s="35" t="s">
        <v>5</v>
      </c>
      <c r="B11" s="11">
        <f>2*DZ115*B6*Distances!B8*1.84</f>
        <v>21008.592533333333</v>
      </c>
      <c r="C11" s="13">
        <f>2*EA115*C6*Distances!C8*1.84</f>
        <v>21605.758400000002</v>
      </c>
      <c r="D11" s="13">
        <f>2*EB115*D6*Distances!D8*1.84</f>
        <v>21999.739200000004</v>
      </c>
      <c r="E11" s="13">
        <f>2*EC115*E6*Distances!E8*1.84</f>
        <v>13864.902933333333</v>
      </c>
      <c r="F11" s="12">
        <f>2*ED115*F6*Distances!F8*1.84</f>
        <v>0</v>
      </c>
      <c r="G11" s="13">
        <f>2*EE115*G6*Distances!G8*1.84</f>
        <v>33243.059199999996</v>
      </c>
      <c r="H11" s="13">
        <f>2*EF115*H6*Distances!H8*1.84</f>
        <v>55695.009066666666</v>
      </c>
      <c r="I11" s="13">
        <f>2*EG115*I6*Distances!I8*1.84</f>
        <v>52855.373866666669</v>
      </c>
      <c r="J11" s="13">
        <f>2*EH115*J6*Distances!J8*1.84</f>
        <v>183.55840000000001</v>
      </c>
      <c r="K11" s="13">
        <f>2*EI115*K6*Distances!K8*1.84</f>
        <v>230.02453333333335</v>
      </c>
      <c r="L11" s="13">
        <f>2*EJ115*L6*Distances!L8*1.84</f>
        <v>942.76693333333333</v>
      </c>
      <c r="M11" s="13">
        <f>2*EK115*M6*Distances!M8*1.84</f>
        <v>1156.6976</v>
      </c>
      <c r="N11" s="13">
        <f>2*EL115*N6*Distances!N8*1.84</f>
        <v>963.84106666666662</v>
      </c>
      <c r="O11" s="14" t="s">
        <v>62</v>
      </c>
      <c r="P11" s="14" t="s">
        <v>62</v>
      </c>
      <c r="Q11" s="14" t="s">
        <v>62</v>
      </c>
      <c r="R11" s="14" t="s">
        <v>62</v>
      </c>
      <c r="S11" s="14" t="s">
        <v>62</v>
      </c>
      <c r="T11" s="14" t="s">
        <v>62</v>
      </c>
      <c r="U11" s="14" t="s">
        <v>62</v>
      </c>
      <c r="V11" s="14" t="s">
        <v>62</v>
      </c>
      <c r="W11" s="14" t="s">
        <v>62</v>
      </c>
      <c r="X11" s="14" t="s">
        <v>62</v>
      </c>
      <c r="Y11" s="14" t="s">
        <v>62</v>
      </c>
      <c r="Z11" s="14" t="s">
        <v>62</v>
      </c>
      <c r="AA11" s="14" t="s">
        <v>62</v>
      </c>
      <c r="AB11" s="14" t="s">
        <v>62</v>
      </c>
      <c r="AC11" s="14" t="s">
        <v>62</v>
      </c>
      <c r="AD11" s="14" t="s">
        <v>62</v>
      </c>
      <c r="AE11" s="14" t="s">
        <v>62</v>
      </c>
      <c r="AF11" s="14" t="s">
        <v>62</v>
      </c>
      <c r="AG11" s="14" t="s">
        <v>62</v>
      </c>
      <c r="AH11" s="14" t="s">
        <v>62</v>
      </c>
      <c r="AI11" s="14" t="s">
        <v>62</v>
      </c>
      <c r="AJ11" s="14" t="s">
        <v>62</v>
      </c>
      <c r="AK11" s="14" t="s">
        <v>62</v>
      </c>
      <c r="AL11" s="14" t="s">
        <v>62</v>
      </c>
      <c r="AM11" s="14" t="s">
        <v>62</v>
      </c>
      <c r="AN11" s="14" t="s">
        <v>62</v>
      </c>
      <c r="AO11" s="14" t="s">
        <v>62</v>
      </c>
      <c r="AP11" s="14" t="s">
        <v>62</v>
      </c>
      <c r="AQ11" s="14" t="s">
        <v>62</v>
      </c>
      <c r="AR11" s="14" t="s">
        <v>62</v>
      </c>
      <c r="AS11" s="14" t="s">
        <v>62</v>
      </c>
      <c r="AT11" s="14" t="s">
        <v>62</v>
      </c>
      <c r="AU11" s="14" t="s">
        <v>62</v>
      </c>
      <c r="AV11" s="14" t="s">
        <v>62</v>
      </c>
      <c r="AW11" s="14" t="s">
        <v>62</v>
      </c>
      <c r="AX11" s="14" t="s">
        <v>62</v>
      </c>
      <c r="AY11" s="14" t="s">
        <v>62</v>
      </c>
      <c r="AZ11" s="14" t="s">
        <v>62</v>
      </c>
      <c r="BA11" s="14" t="s">
        <v>62</v>
      </c>
      <c r="BB11" s="14" t="s">
        <v>62</v>
      </c>
      <c r="BC11" s="14" t="s">
        <v>62</v>
      </c>
      <c r="BD11" s="14" t="s">
        <v>62</v>
      </c>
      <c r="BE11" s="14" t="s">
        <v>62</v>
      </c>
      <c r="BF11" s="14" t="s">
        <v>62</v>
      </c>
      <c r="BG11" s="14" t="s">
        <v>62</v>
      </c>
      <c r="BH11" s="14" t="s">
        <v>62</v>
      </c>
      <c r="BI11" s="14" t="s">
        <v>62</v>
      </c>
      <c r="BJ11" s="15" t="s">
        <v>62</v>
      </c>
    </row>
    <row r="12" spans="1:62" x14ac:dyDescent="0.3">
      <c r="A12" s="35" t="s">
        <v>6</v>
      </c>
      <c r="B12" s="11">
        <f>2*DZ116*B6*Distances!B9*1.84</f>
        <v>41131.347733333336</v>
      </c>
      <c r="C12" s="13">
        <f>2*EA116*C6*Distances!C9*1.84</f>
        <v>27847.504533333333</v>
      </c>
      <c r="D12" s="13">
        <f>2*EB116*D6*Distances!D9*1.84</f>
        <v>17166.660266666669</v>
      </c>
      <c r="E12" s="13">
        <f>2*EC116*E6*Distances!E9*1.84</f>
        <v>19985.2336</v>
      </c>
      <c r="F12" s="13">
        <f>2*ED116*F6*Distances!F9*1.84</f>
        <v>33243.059199999996</v>
      </c>
      <c r="G12" s="12">
        <f>2*EE116*G6*Distances!G9*1.84</f>
        <v>0</v>
      </c>
      <c r="H12" s="13">
        <f>2*EF116*H6*Distances!H9*1.84</f>
        <v>26354.589866666665</v>
      </c>
      <c r="I12" s="13">
        <f>2*EG116*I6*Distances!I9*1.84</f>
        <v>20278.860799999999</v>
      </c>
      <c r="J12" s="13">
        <f>2*EH116*J6*Distances!J9*1.84</f>
        <v>588.60373333333337</v>
      </c>
      <c r="K12" s="13">
        <f>2*EI116*K6*Distances!K9*1.84</f>
        <v>724.61653333333334</v>
      </c>
      <c r="L12" s="13">
        <f>2*EJ116*L6*Distances!L9*1.84</f>
        <v>432.86613333333332</v>
      </c>
      <c r="M12" s="13">
        <f>2*EK116*M6*Distances!M9*1.84</f>
        <v>575.69920000000002</v>
      </c>
      <c r="N12" s="13">
        <f>2*EL116*N6*Distances!N9*1.84</f>
        <v>691.93813333333333</v>
      </c>
      <c r="O12" s="14" t="s">
        <v>62</v>
      </c>
      <c r="P12" s="14" t="s">
        <v>62</v>
      </c>
      <c r="Q12" s="14" t="s">
        <v>62</v>
      </c>
      <c r="R12" s="14" t="s">
        <v>62</v>
      </c>
      <c r="S12" s="14" t="s">
        <v>62</v>
      </c>
      <c r="T12" s="14" t="s">
        <v>62</v>
      </c>
      <c r="U12" s="14" t="s">
        <v>62</v>
      </c>
      <c r="V12" s="14" t="s">
        <v>62</v>
      </c>
      <c r="W12" s="14" t="s">
        <v>62</v>
      </c>
      <c r="X12" s="14" t="s">
        <v>62</v>
      </c>
      <c r="Y12" s="14" t="s">
        <v>62</v>
      </c>
      <c r="Z12" s="14" t="s">
        <v>62</v>
      </c>
      <c r="AA12" s="14" t="s">
        <v>62</v>
      </c>
      <c r="AB12" s="14" t="s">
        <v>62</v>
      </c>
      <c r="AC12" s="14" t="s">
        <v>62</v>
      </c>
      <c r="AD12" s="14" t="s">
        <v>62</v>
      </c>
      <c r="AE12" s="14" t="s">
        <v>62</v>
      </c>
      <c r="AF12" s="14" t="s">
        <v>62</v>
      </c>
      <c r="AG12" s="14" t="s">
        <v>62</v>
      </c>
      <c r="AH12" s="14" t="s">
        <v>62</v>
      </c>
      <c r="AI12" s="14" t="s">
        <v>62</v>
      </c>
      <c r="AJ12" s="14" t="s">
        <v>62</v>
      </c>
      <c r="AK12" s="14" t="s">
        <v>62</v>
      </c>
      <c r="AL12" s="14" t="s">
        <v>62</v>
      </c>
      <c r="AM12" s="14" t="s">
        <v>62</v>
      </c>
      <c r="AN12" s="14" t="s">
        <v>62</v>
      </c>
      <c r="AO12" s="14" t="s">
        <v>62</v>
      </c>
      <c r="AP12" s="14" t="s">
        <v>62</v>
      </c>
      <c r="AQ12" s="14" t="s">
        <v>62</v>
      </c>
      <c r="AR12" s="14" t="s">
        <v>62</v>
      </c>
      <c r="AS12" s="14" t="s">
        <v>62</v>
      </c>
      <c r="AT12" s="14" t="s">
        <v>62</v>
      </c>
      <c r="AU12" s="14" t="s">
        <v>62</v>
      </c>
      <c r="AV12" s="14" t="s">
        <v>62</v>
      </c>
      <c r="AW12" s="14" t="s">
        <v>62</v>
      </c>
      <c r="AX12" s="14" t="s">
        <v>62</v>
      </c>
      <c r="AY12" s="14" t="s">
        <v>62</v>
      </c>
      <c r="AZ12" s="14" t="s">
        <v>62</v>
      </c>
      <c r="BA12" s="14" t="s">
        <v>62</v>
      </c>
      <c r="BB12" s="14" t="s">
        <v>62</v>
      </c>
      <c r="BC12" s="14" t="s">
        <v>62</v>
      </c>
      <c r="BD12" s="14" t="s">
        <v>62</v>
      </c>
      <c r="BE12" s="14" t="s">
        <v>62</v>
      </c>
      <c r="BF12" s="14" t="s">
        <v>62</v>
      </c>
      <c r="BG12" s="14" t="s">
        <v>62</v>
      </c>
      <c r="BH12" s="14" t="s">
        <v>62</v>
      </c>
      <c r="BI12" s="14" t="s">
        <v>62</v>
      </c>
      <c r="BJ12" s="15" t="s">
        <v>62</v>
      </c>
    </row>
    <row r="13" spans="1:62" x14ac:dyDescent="0.3">
      <c r="A13" s="35" t="s">
        <v>63</v>
      </c>
      <c r="B13" s="11">
        <f>2*DZ117*B6*Distances!B10*1.84</f>
        <v>66289.127999999997</v>
      </c>
      <c r="C13" s="13">
        <f>2*EA117*C6*Distances!C10*1.84</f>
        <v>54022.449066666668</v>
      </c>
      <c r="D13" s="13">
        <f>2*EB117*D6*Distances!D10*1.84</f>
        <v>33021.290133333343</v>
      </c>
      <c r="E13" s="13">
        <f>2*EC117*E6*Distances!E10*1.84</f>
        <v>41833.822933333337</v>
      </c>
      <c r="F13" s="13">
        <f>2*ED117*F6*Distances!F10*1.84</f>
        <v>55695.009066666666</v>
      </c>
      <c r="G13" s="13">
        <f>2*EE117*G6*Distances!G10*1.84</f>
        <v>26354.589866666665</v>
      </c>
      <c r="H13" s="12">
        <f>2*EF117*H6*Distances!H10*1.84</f>
        <v>0</v>
      </c>
      <c r="I13" s="13">
        <f>2*EG117*I6*Distances!I10*1.84</f>
        <v>22631.595200000003</v>
      </c>
      <c r="J13" s="13">
        <f>2*EH117*J6*Distances!J10*1.84</f>
        <v>1026.9162666666668</v>
      </c>
      <c r="K13" s="13">
        <f>2*EI117*K6*Distances!K10*1.84</f>
        <v>1162.9290666666666</v>
      </c>
      <c r="L13" s="13">
        <f>2*EJ117*L6*Distances!L10*1.84</f>
        <v>264.96000000000004</v>
      </c>
      <c r="M13" s="13">
        <f>2*EK117*M6*Distances!M10*1.84</f>
        <v>56.475733333333331</v>
      </c>
      <c r="N13" s="13">
        <f>2*EL117*N6*Distances!N10*1.84</f>
        <v>1103.7546666666667</v>
      </c>
      <c r="O13" s="14" t="s">
        <v>62</v>
      </c>
      <c r="P13" s="14" t="s">
        <v>62</v>
      </c>
      <c r="Q13" s="14" t="s">
        <v>62</v>
      </c>
      <c r="R13" s="14" t="s">
        <v>62</v>
      </c>
      <c r="S13" s="14" t="s">
        <v>62</v>
      </c>
      <c r="T13" s="14" t="s">
        <v>62</v>
      </c>
      <c r="U13" s="14" t="s">
        <v>62</v>
      </c>
      <c r="V13" s="14" t="s">
        <v>62</v>
      </c>
      <c r="W13" s="14" t="s">
        <v>62</v>
      </c>
      <c r="X13" s="14" t="s">
        <v>62</v>
      </c>
      <c r="Y13" s="14" t="s">
        <v>62</v>
      </c>
      <c r="Z13" s="14" t="s">
        <v>62</v>
      </c>
      <c r="AA13" s="14" t="s">
        <v>62</v>
      </c>
      <c r="AB13" s="14" t="s">
        <v>62</v>
      </c>
      <c r="AC13" s="14" t="s">
        <v>62</v>
      </c>
      <c r="AD13" s="14" t="s">
        <v>62</v>
      </c>
      <c r="AE13" s="14" t="s">
        <v>62</v>
      </c>
      <c r="AF13" s="14" t="s">
        <v>62</v>
      </c>
      <c r="AG13" s="14" t="s">
        <v>62</v>
      </c>
      <c r="AH13" s="14" t="s">
        <v>62</v>
      </c>
      <c r="AI13" s="14" t="s">
        <v>62</v>
      </c>
      <c r="AJ13" s="14" t="s">
        <v>62</v>
      </c>
      <c r="AK13" s="14" t="s">
        <v>62</v>
      </c>
      <c r="AL13" s="14" t="s">
        <v>62</v>
      </c>
      <c r="AM13" s="14" t="s">
        <v>62</v>
      </c>
      <c r="AN13" s="14" t="s">
        <v>62</v>
      </c>
      <c r="AO13" s="14" t="s">
        <v>62</v>
      </c>
      <c r="AP13" s="14" t="s">
        <v>62</v>
      </c>
      <c r="AQ13" s="14" t="s">
        <v>62</v>
      </c>
      <c r="AR13" s="14" t="s">
        <v>62</v>
      </c>
      <c r="AS13" s="14" t="s">
        <v>62</v>
      </c>
      <c r="AT13" s="14" t="s">
        <v>62</v>
      </c>
      <c r="AU13" s="14" t="s">
        <v>62</v>
      </c>
      <c r="AV13" s="14" t="s">
        <v>62</v>
      </c>
      <c r="AW13" s="14" t="s">
        <v>62</v>
      </c>
      <c r="AX13" s="14" t="s">
        <v>62</v>
      </c>
      <c r="AY13" s="14" t="s">
        <v>62</v>
      </c>
      <c r="AZ13" s="14" t="s">
        <v>62</v>
      </c>
      <c r="BA13" s="14" t="s">
        <v>62</v>
      </c>
      <c r="BB13" s="14" t="s">
        <v>62</v>
      </c>
      <c r="BC13" s="14" t="s">
        <v>62</v>
      </c>
      <c r="BD13" s="14" t="s">
        <v>62</v>
      </c>
      <c r="BE13" s="14" t="s">
        <v>62</v>
      </c>
      <c r="BF13" s="14" t="s">
        <v>62</v>
      </c>
      <c r="BG13" s="14" t="s">
        <v>62</v>
      </c>
      <c r="BH13" s="14" t="s">
        <v>62</v>
      </c>
      <c r="BI13" s="14" t="s">
        <v>62</v>
      </c>
      <c r="BJ13" s="15" t="s">
        <v>62</v>
      </c>
    </row>
    <row r="14" spans="1:62" x14ac:dyDescent="0.3">
      <c r="A14" s="35" t="s">
        <v>8</v>
      </c>
      <c r="B14" s="11">
        <f>2*DZ118*B6*Distances!B11*1.84</f>
        <v>54467.226133333337</v>
      </c>
      <c r="C14" s="13">
        <f>2*EA118*C6*Distances!C11*1.84</f>
        <v>37746.581866666667</v>
      </c>
      <c r="D14" s="13">
        <f>2*EB118*D6*Distances!D11*1.84</f>
        <v>37356.317866666664</v>
      </c>
      <c r="E14" s="13">
        <f>2*EC118*E6*Distances!E11*1.84</f>
        <v>40176.130133333339</v>
      </c>
      <c r="F14" s="13">
        <f>2*ED118*F6*Distances!F11*1.84</f>
        <v>52855.373866666669</v>
      </c>
      <c r="G14" s="13">
        <f>2*EE118*G6*Distances!G11*1.84</f>
        <v>20278.860799999999</v>
      </c>
      <c r="H14" s="13">
        <f>2*EF118*H6*Distances!H11*1.84</f>
        <v>22631.595200000003</v>
      </c>
      <c r="I14" s="12">
        <f>2*EG118*I6*Distances!I11*1.84</f>
        <v>0</v>
      </c>
      <c r="J14" s="13">
        <f>2*EH118*J6*Distances!J11*1.84</f>
        <v>988.3989333333335</v>
      </c>
      <c r="K14" s="13">
        <f>2*EI118*K6*Distances!K11*1.84</f>
        <v>1124.3872000000001</v>
      </c>
      <c r="L14" s="13">
        <f>2*EJ118*L6*Distances!L11*1.84</f>
        <v>619.8101333333334</v>
      </c>
      <c r="M14" s="13">
        <f>2*EK118*M6*Distances!M11*1.84</f>
        <v>504.50346666666667</v>
      </c>
      <c r="N14" s="13">
        <f>2*EL118*N6*Distances!N11*1.84</f>
        <v>741.64266666666674</v>
      </c>
      <c r="O14" s="14" t="s">
        <v>62</v>
      </c>
      <c r="P14" s="14" t="s">
        <v>62</v>
      </c>
      <c r="Q14" s="14" t="s">
        <v>62</v>
      </c>
      <c r="R14" s="14" t="s">
        <v>62</v>
      </c>
      <c r="S14" s="14" t="s">
        <v>62</v>
      </c>
      <c r="T14" s="14" t="s">
        <v>62</v>
      </c>
      <c r="U14" s="14" t="s">
        <v>62</v>
      </c>
      <c r="V14" s="14" t="s">
        <v>62</v>
      </c>
      <c r="W14" s="14" t="s">
        <v>62</v>
      </c>
      <c r="X14" s="14" t="s">
        <v>62</v>
      </c>
      <c r="Y14" s="14" t="s">
        <v>62</v>
      </c>
      <c r="Z14" s="14" t="s">
        <v>62</v>
      </c>
      <c r="AA14" s="14" t="s">
        <v>62</v>
      </c>
      <c r="AB14" s="14" t="s">
        <v>62</v>
      </c>
      <c r="AC14" s="14" t="s">
        <v>62</v>
      </c>
      <c r="AD14" s="14" t="s">
        <v>62</v>
      </c>
      <c r="AE14" s="14" t="s">
        <v>62</v>
      </c>
      <c r="AF14" s="14" t="s">
        <v>62</v>
      </c>
      <c r="AG14" s="14" t="s">
        <v>62</v>
      </c>
      <c r="AH14" s="14" t="s">
        <v>62</v>
      </c>
      <c r="AI14" s="14" t="s">
        <v>62</v>
      </c>
      <c r="AJ14" s="14" t="s">
        <v>62</v>
      </c>
      <c r="AK14" s="14" t="s">
        <v>62</v>
      </c>
      <c r="AL14" s="14" t="s">
        <v>62</v>
      </c>
      <c r="AM14" s="14" t="s">
        <v>62</v>
      </c>
      <c r="AN14" s="14" t="s">
        <v>62</v>
      </c>
      <c r="AO14" s="14" t="s">
        <v>62</v>
      </c>
      <c r="AP14" s="14" t="s">
        <v>62</v>
      </c>
      <c r="AQ14" s="14" t="s">
        <v>62</v>
      </c>
      <c r="AR14" s="14" t="s">
        <v>62</v>
      </c>
      <c r="AS14" s="14" t="s">
        <v>62</v>
      </c>
      <c r="AT14" s="14" t="s">
        <v>62</v>
      </c>
      <c r="AU14" s="14" t="s">
        <v>62</v>
      </c>
      <c r="AV14" s="14" t="s">
        <v>62</v>
      </c>
      <c r="AW14" s="14" t="s">
        <v>62</v>
      </c>
      <c r="AX14" s="14" t="s">
        <v>62</v>
      </c>
      <c r="AY14" s="14" t="s">
        <v>62</v>
      </c>
      <c r="AZ14" s="14" t="s">
        <v>62</v>
      </c>
      <c r="BA14" s="14" t="s">
        <v>62</v>
      </c>
      <c r="BB14" s="14" t="s">
        <v>62</v>
      </c>
      <c r="BC14" s="14" t="s">
        <v>62</v>
      </c>
      <c r="BD14" s="14" t="s">
        <v>62</v>
      </c>
      <c r="BE14" s="14" t="s">
        <v>62</v>
      </c>
      <c r="BF14" s="14" t="s">
        <v>62</v>
      </c>
      <c r="BG14" s="14" t="s">
        <v>62</v>
      </c>
      <c r="BH14" s="14" t="s">
        <v>62</v>
      </c>
      <c r="BI14" s="14" t="s">
        <v>62</v>
      </c>
      <c r="BJ14" s="15" t="s">
        <v>62</v>
      </c>
    </row>
    <row r="15" spans="1:62" x14ac:dyDescent="0.3">
      <c r="A15" s="35" t="s">
        <v>64</v>
      </c>
      <c r="B15" s="11">
        <f>2*DZ119*B6*Distances!B12*1.84</f>
        <v>29222.720533333333</v>
      </c>
      <c r="C15" s="13">
        <f>2*EA119*C6*Distances!C12*1.84</f>
        <v>25447.690666666669</v>
      </c>
      <c r="D15" s="13">
        <f>2*EB119*D6*Distances!D12*1.84</f>
        <v>18176.390933333336</v>
      </c>
      <c r="E15" s="13">
        <f>2*EC119*E6*Distances!E12*1.84</f>
        <v>10357.482666666667</v>
      </c>
      <c r="F15" s="13">
        <f>2*ED119*F6*Distances!F12*1.84</f>
        <v>9269.6992000000009</v>
      </c>
      <c r="G15" s="13">
        <f>2*EE119*G6*Distances!G12*1.84</f>
        <v>29724.488533333333</v>
      </c>
      <c r="H15" s="13">
        <f>2*EF119*H6*Distances!H12*1.84</f>
        <v>51859.271466666672</v>
      </c>
      <c r="I15" s="13">
        <f>2*EG119*I6*Distances!I12*1.84</f>
        <v>49914.146133333335</v>
      </c>
      <c r="J15" s="12">
        <f>2*EH119*J6*Distances!J12*1.84</f>
        <v>0</v>
      </c>
      <c r="K15" s="13">
        <f>2*EI119*K6*Distances!K12*1.84</f>
        <v>138.73600000000002</v>
      </c>
      <c r="L15" s="13">
        <f>2*EJ119*L6*Distances!L12*1.84</f>
        <v>867.05706666666663</v>
      </c>
      <c r="M15" s="13">
        <f>2*EK119*M6*Distances!M12*1.84</f>
        <v>1080.9877333333334</v>
      </c>
      <c r="N15" s="13">
        <f>2*EL119*N6*Distances!N12*1.84</f>
        <v>989.42933333333337</v>
      </c>
      <c r="O15" s="14" t="s">
        <v>62</v>
      </c>
      <c r="P15" s="14" t="s">
        <v>62</v>
      </c>
      <c r="Q15" s="14" t="s">
        <v>62</v>
      </c>
      <c r="R15" s="14" t="s">
        <v>62</v>
      </c>
      <c r="S15" s="14" t="s">
        <v>62</v>
      </c>
      <c r="T15" s="14" t="s">
        <v>62</v>
      </c>
      <c r="U15" s="14" t="s">
        <v>62</v>
      </c>
      <c r="V15" s="14" t="s">
        <v>62</v>
      </c>
      <c r="W15" s="14" t="s">
        <v>62</v>
      </c>
      <c r="X15" s="14" t="s">
        <v>62</v>
      </c>
      <c r="Y15" s="14" t="s">
        <v>62</v>
      </c>
      <c r="Z15" s="14" t="s">
        <v>62</v>
      </c>
      <c r="AA15" s="14" t="s">
        <v>62</v>
      </c>
      <c r="AB15" s="14" t="s">
        <v>62</v>
      </c>
      <c r="AC15" s="14" t="s">
        <v>62</v>
      </c>
      <c r="AD15" s="14" t="s">
        <v>62</v>
      </c>
      <c r="AE15" s="14" t="s">
        <v>62</v>
      </c>
      <c r="AF15" s="14" t="s">
        <v>62</v>
      </c>
      <c r="AG15" s="14" t="s">
        <v>62</v>
      </c>
      <c r="AH15" s="14" t="s">
        <v>62</v>
      </c>
      <c r="AI15" s="14" t="s">
        <v>62</v>
      </c>
      <c r="AJ15" s="14" t="s">
        <v>62</v>
      </c>
      <c r="AK15" s="14" t="s">
        <v>62</v>
      </c>
      <c r="AL15" s="14" t="s">
        <v>62</v>
      </c>
      <c r="AM15" s="14" t="s">
        <v>62</v>
      </c>
      <c r="AN15" s="14" t="s">
        <v>62</v>
      </c>
      <c r="AO15" s="14" t="s">
        <v>62</v>
      </c>
      <c r="AP15" s="14" t="s">
        <v>62</v>
      </c>
      <c r="AQ15" s="14" t="s">
        <v>62</v>
      </c>
      <c r="AR15" s="14" t="s">
        <v>62</v>
      </c>
      <c r="AS15" s="14" t="s">
        <v>62</v>
      </c>
      <c r="AT15" s="14" t="s">
        <v>62</v>
      </c>
      <c r="AU15" s="14" t="s">
        <v>62</v>
      </c>
      <c r="AV15" s="14" t="s">
        <v>62</v>
      </c>
      <c r="AW15" s="14" t="s">
        <v>62</v>
      </c>
      <c r="AX15" s="14" t="s">
        <v>62</v>
      </c>
      <c r="AY15" s="14" t="s">
        <v>62</v>
      </c>
      <c r="AZ15" s="14" t="s">
        <v>62</v>
      </c>
      <c r="BA15" s="14" t="s">
        <v>62</v>
      </c>
      <c r="BB15" s="14" t="s">
        <v>62</v>
      </c>
      <c r="BC15" s="14" t="s">
        <v>62</v>
      </c>
      <c r="BD15" s="14" t="s">
        <v>62</v>
      </c>
      <c r="BE15" s="14" t="s">
        <v>62</v>
      </c>
      <c r="BF15" s="14" t="s">
        <v>62</v>
      </c>
      <c r="BG15" s="14" t="s">
        <v>62</v>
      </c>
      <c r="BH15" s="14" t="s">
        <v>62</v>
      </c>
      <c r="BI15" s="14" t="s">
        <v>62</v>
      </c>
      <c r="BJ15" s="15" t="s">
        <v>62</v>
      </c>
    </row>
    <row r="16" spans="1:62" x14ac:dyDescent="0.3">
      <c r="A16" s="35" t="s">
        <v>10</v>
      </c>
      <c r="B16" s="11">
        <f>2*DZ120*B6*Distances!B13*1.84</f>
        <v>32623.592533333336</v>
      </c>
      <c r="C16" s="13">
        <f>2*EA120*C6*Distances!C13*1.84</f>
        <v>32396.86773333334</v>
      </c>
      <c r="D16" s="13">
        <f>2*EB120*D6*Distances!D13*1.84</f>
        <v>25045.037333333337</v>
      </c>
      <c r="E16" s="13">
        <f>2*EC120*E6*Distances!E13*1.84</f>
        <v>16910.201066666668</v>
      </c>
      <c r="F16" s="13">
        <f>2*ED120*F6*Distances!F13*1.84</f>
        <v>11616.238933333334</v>
      </c>
      <c r="G16" s="13">
        <f>2*EE120*G6*Distances!G13*1.84</f>
        <v>36593.134933333335</v>
      </c>
      <c r="H16" s="13">
        <f>2*EF120*H6*Distances!H13*1.84</f>
        <v>58727.917866666663</v>
      </c>
      <c r="I16" s="13">
        <f>2*EG120*I6*Distances!I13*1.84</f>
        <v>56781.553600000014</v>
      </c>
      <c r="J16" s="13">
        <f>2*EH120*J6*Distances!J13*1.84</f>
        <v>138.73600000000002</v>
      </c>
      <c r="K16" s="12">
        <f>2*EI120*K6*Distances!K13*1.84</f>
        <v>0</v>
      </c>
      <c r="L16" s="13">
        <f>2*EJ120*L6*Distances!L13*1.84</f>
        <v>1002.8490666666667</v>
      </c>
      <c r="M16" s="13">
        <f>2*EK120*M6*Distances!M13*1.84</f>
        <v>1216.7797333333333</v>
      </c>
      <c r="N16" s="13">
        <f>2*EL120*N6*Distances!N13*1.84</f>
        <v>1131.7472</v>
      </c>
      <c r="O16" s="14" t="s">
        <v>62</v>
      </c>
      <c r="P16" s="14" t="s">
        <v>62</v>
      </c>
      <c r="Q16" s="14" t="s">
        <v>62</v>
      </c>
      <c r="R16" s="14" t="s">
        <v>62</v>
      </c>
      <c r="S16" s="14" t="s">
        <v>62</v>
      </c>
      <c r="T16" s="14" t="s">
        <v>62</v>
      </c>
      <c r="U16" s="14" t="s">
        <v>62</v>
      </c>
      <c r="V16" s="14" t="s">
        <v>62</v>
      </c>
      <c r="W16" s="14" t="s">
        <v>62</v>
      </c>
      <c r="X16" s="14" t="s">
        <v>62</v>
      </c>
      <c r="Y16" s="14" t="s">
        <v>62</v>
      </c>
      <c r="Z16" s="14" t="s">
        <v>62</v>
      </c>
      <c r="AA16" s="14" t="s">
        <v>62</v>
      </c>
      <c r="AB16" s="14" t="s">
        <v>62</v>
      </c>
      <c r="AC16" s="14" t="s">
        <v>62</v>
      </c>
      <c r="AD16" s="14" t="s">
        <v>62</v>
      </c>
      <c r="AE16" s="14" t="s">
        <v>62</v>
      </c>
      <c r="AF16" s="14" t="s">
        <v>62</v>
      </c>
      <c r="AG16" s="14" t="s">
        <v>62</v>
      </c>
      <c r="AH16" s="14" t="s">
        <v>62</v>
      </c>
      <c r="AI16" s="14" t="s">
        <v>62</v>
      </c>
      <c r="AJ16" s="14" t="s">
        <v>62</v>
      </c>
      <c r="AK16" s="14" t="s">
        <v>62</v>
      </c>
      <c r="AL16" s="14" t="s">
        <v>62</v>
      </c>
      <c r="AM16" s="14" t="s">
        <v>62</v>
      </c>
      <c r="AN16" s="14" t="s">
        <v>62</v>
      </c>
      <c r="AO16" s="14" t="s">
        <v>62</v>
      </c>
      <c r="AP16" s="14" t="s">
        <v>62</v>
      </c>
      <c r="AQ16" s="14" t="s">
        <v>62</v>
      </c>
      <c r="AR16" s="14" t="s">
        <v>62</v>
      </c>
      <c r="AS16" s="14" t="s">
        <v>62</v>
      </c>
      <c r="AT16" s="14" t="s">
        <v>62</v>
      </c>
      <c r="AU16" s="14" t="s">
        <v>62</v>
      </c>
      <c r="AV16" s="14" t="s">
        <v>62</v>
      </c>
      <c r="AW16" s="14" t="s">
        <v>62</v>
      </c>
      <c r="AX16" s="14" t="s">
        <v>62</v>
      </c>
      <c r="AY16" s="14" t="s">
        <v>62</v>
      </c>
      <c r="AZ16" s="14" t="s">
        <v>62</v>
      </c>
      <c r="BA16" s="14" t="s">
        <v>62</v>
      </c>
      <c r="BB16" s="14" t="s">
        <v>62</v>
      </c>
      <c r="BC16" s="14" t="s">
        <v>62</v>
      </c>
      <c r="BD16" s="14" t="s">
        <v>62</v>
      </c>
      <c r="BE16" s="14" t="s">
        <v>62</v>
      </c>
      <c r="BF16" s="14" t="s">
        <v>62</v>
      </c>
      <c r="BG16" s="14" t="s">
        <v>62</v>
      </c>
      <c r="BH16" s="14" t="s">
        <v>62</v>
      </c>
      <c r="BI16" s="14" t="s">
        <v>62</v>
      </c>
      <c r="BJ16" s="15" t="s">
        <v>62</v>
      </c>
    </row>
    <row r="17" spans="1:62" x14ac:dyDescent="0.3">
      <c r="A17" s="35" t="s">
        <v>11</v>
      </c>
      <c r="B17" s="11">
        <f>2*DZ121*B6*Distances!B14*1.84</f>
        <v>61311.09386666667</v>
      </c>
      <c r="C17" s="13">
        <f>2*EA121*C6*Distances!C14*1.84</f>
        <v>49527.598933333335</v>
      </c>
      <c r="D17" s="13">
        <f>2*EB121*D6*Distances!D14*1.84</f>
        <v>25624.858133333339</v>
      </c>
      <c r="E17" s="13">
        <f>2*EC121*E6*Distances!E14*1.84</f>
        <v>33748.544000000002</v>
      </c>
      <c r="F17" s="13">
        <f>2*ED121*F6*Distances!F14*1.84</f>
        <v>47609.730133333338</v>
      </c>
      <c r="G17" s="13">
        <f>2*EE121*G6*Distances!G14*1.84</f>
        <v>21859.739733333336</v>
      </c>
      <c r="H17" s="13">
        <f>2*EF121*H6*Distances!H14*1.84</f>
        <v>13380.480000000001</v>
      </c>
      <c r="I17" s="13">
        <f>2*EG121*I6*Distances!I14*1.84</f>
        <v>31300.411733333338</v>
      </c>
      <c r="J17" s="13">
        <f>2*EH121*J6*Distances!J14*1.84</f>
        <v>867.05706666666663</v>
      </c>
      <c r="K17" s="13">
        <f>2*EI121*K6*Distances!K14*1.84</f>
        <v>1002.8490666666667</v>
      </c>
      <c r="L17" s="12">
        <f>2*EJ121*L6*Distances!L14*1.84</f>
        <v>0</v>
      </c>
      <c r="M17" s="13">
        <f>2*EK121*M6*Distances!M14*1.84</f>
        <v>238.19413333333333</v>
      </c>
      <c r="N17" s="13">
        <f>2*EL121*N6*Distances!N14*1.84</f>
        <v>1125.0250666666666</v>
      </c>
      <c r="O17" s="14" t="s">
        <v>62</v>
      </c>
      <c r="P17" s="14" t="s">
        <v>62</v>
      </c>
      <c r="Q17" s="14" t="s">
        <v>62</v>
      </c>
      <c r="R17" s="14" t="s">
        <v>62</v>
      </c>
      <c r="S17" s="14" t="s">
        <v>62</v>
      </c>
      <c r="T17" s="14" t="s">
        <v>62</v>
      </c>
      <c r="U17" s="14" t="s">
        <v>62</v>
      </c>
      <c r="V17" s="14" t="s">
        <v>62</v>
      </c>
      <c r="W17" s="14" t="s">
        <v>62</v>
      </c>
      <c r="X17" s="14" t="s">
        <v>62</v>
      </c>
      <c r="Y17" s="14" t="s">
        <v>62</v>
      </c>
      <c r="Z17" s="14" t="s">
        <v>62</v>
      </c>
      <c r="AA17" s="14" t="s">
        <v>62</v>
      </c>
      <c r="AB17" s="14" t="s">
        <v>62</v>
      </c>
      <c r="AC17" s="14" t="s">
        <v>62</v>
      </c>
      <c r="AD17" s="14" t="s">
        <v>62</v>
      </c>
      <c r="AE17" s="14" t="s">
        <v>62</v>
      </c>
      <c r="AF17" s="14" t="s">
        <v>62</v>
      </c>
      <c r="AG17" s="14" t="s">
        <v>62</v>
      </c>
      <c r="AH17" s="14" t="s">
        <v>62</v>
      </c>
      <c r="AI17" s="14" t="s">
        <v>62</v>
      </c>
      <c r="AJ17" s="14" t="s">
        <v>62</v>
      </c>
      <c r="AK17" s="14" t="s">
        <v>62</v>
      </c>
      <c r="AL17" s="14" t="s">
        <v>62</v>
      </c>
      <c r="AM17" s="14" t="s">
        <v>62</v>
      </c>
      <c r="AN17" s="14" t="s">
        <v>62</v>
      </c>
      <c r="AO17" s="14" t="s">
        <v>62</v>
      </c>
      <c r="AP17" s="14" t="s">
        <v>62</v>
      </c>
      <c r="AQ17" s="14" t="s">
        <v>62</v>
      </c>
      <c r="AR17" s="14" t="s">
        <v>62</v>
      </c>
      <c r="AS17" s="14" t="s">
        <v>62</v>
      </c>
      <c r="AT17" s="14" t="s">
        <v>62</v>
      </c>
      <c r="AU17" s="14" t="s">
        <v>62</v>
      </c>
      <c r="AV17" s="14" t="s">
        <v>62</v>
      </c>
      <c r="AW17" s="14" t="s">
        <v>62</v>
      </c>
      <c r="AX17" s="14" t="s">
        <v>62</v>
      </c>
      <c r="AY17" s="14" t="s">
        <v>62</v>
      </c>
      <c r="AZ17" s="14" t="s">
        <v>62</v>
      </c>
      <c r="BA17" s="14" t="s">
        <v>62</v>
      </c>
      <c r="BB17" s="14" t="s">
        <v>62</v>
      </c>
      <c r="BC17" s="14" t="s">
        <v>62</v>
      </c>
      <c r="BD17" s="14" t="s">
        <v>62</v>
      </c>
      <c r="BE17" s="14" t="s">
        <v>62</v>
      </c>
      <c r="BF17" s="14" t="s">
        <v>62</v>
      </c>
      <c r="BG17" s="14" t="s">
        <v>62</v>
      </c>
      <c r="BH17" s="14" t="s">
        <v>62</v>
      </c>
      <c r="BI17" s="14" t="s">
        <v>62</v>
      </c>
      <c r="BJ17" s="15" t="s">
        <v>62</v>
      </c>
    </row>
    <row r="18" spans="1:62" x14ac:dyDescent="0.3">
      <c r="A18" s="35" t="s">
        <v>12</v>
      </c>
      <c r="B18" s="11">
        <f>2*DZ122*B6*Distances!B15*1.84</f>
        <v>69007.347733333329</v>
      </c>
      <c r="C18" s="13">
        <f>2*EA122*C6*Distances!C15*1.84</f>
        <v>56741.907733333333</v>
      </c>
      <c r="D18" s="13">
        <f>2*EB122*D6*Distances!D15*1.84</f>
        <v>35740.748800000001</v>
      </c>
      <c r="E18" s="13">
        <f>2*EC122*E6*Distances!E15*1.84</f>
        <v>44553.281599999995</v>
      </c>
      <c r="F18" s="13">
        <f>2*ED122*F6*Distances!F15*1.84</f>
        <v>58413.228800000004</v>
      </c>
      <c r="G18" s="13">
        <f>2*EE122*G6*Distances!G15*1.84</f>
        <v>29072.809600000001</v>
      </c>
      <c r="H18" s="13">
        <f>2*EF122*H6*Distances!H15*1.84</f>
        <v>2852.0245333333332</v>
      </c>
      <c r="I18" s="13">
        <f>2*EG122*I6*Distances!I15*1.84</f>
        <v>25477.42506666667</v>
      </c>
      <c r="J18" s="13">
        <f>2*EH122*J6*Distances!J15*1.84</f>
        <v>1080.9877333333334</v>
      </c>
      <c r="K18" s="13">
        <f>2*EI122*K6*Distances!K15*1.84</f>
        <v>1216.7797333333333</v>
      </c>
      <c r="L18" s="13">
        <f>2*EJ122*L6*Distances!L15*1.84</f>
        <v>238.19413333333333</v>
      </c>
      <c r="M18" s="12">
        <f>2*EK122*M6*Distances!M15*1.84</f>
        <v>0</v>
      </c>
      <c r="N18" s="13">
        <f>2*EL122*N6*Distances!N15*1.84</f>
        <v>1157.3600000000001</v>
      </c>
      <c r="O18" s="14" t="s">
        <v>62</v>
      </c>
      <c r="P18" s="14" t="s">
        <v>62</v>
      </c>
      <c r="Q18" s="14" t="s">
        <v>62</v>
      </c>
      <c r="R18" s="14" t="s">
        <v>62</v>
      </c>
      <c r="S18" s="14" t="s">
        <v>62</v>
      </c>
      <c r="T18" s="14" t="s">
        <v>62</v>
      </c>
      <c r="U18" s="14" t="s">
        <v>62</v>
      </c>
      <c r="V18" s="14" t="s">
        <v>62</v>
      </c>
      <c r="W18" s="14" t="s">
        <v>62</v>
      </c>
      <c r="X18" s="14" t="s">
        <v>62</v>
      </c>
      <c r="Y18" s="14" t="s">
        <v>62</v>
      </c>
      <c r="Z18" s="14" t="s">
        <v>62</v>
      </c>
      <c r="AA18" s="14" t="s">
        <v>62</v>
      </c>
      <c r="AB18" s="14" t="s">
        <v>62</v>
      </c>
      <c r="AC18" s="14" t="s">
        <v>62</v>
      </c>
      <c r="AD18" s="14" t="s">
        <v>62</v>
      </c>
      <c r="AE18" s="14" t="s">
        <v>62</v>
      </c>
      <c r="AF18" s="14" t="s">
        <v>62</v>
      </c>
      <c r="AG18" s="14" t="s">
        <v>62</v>
      </c>
      <c r="AH18" s="14" t="s">
        <v>62</v>
      </c>
      <c r="AI18" s="14" t="s">
        <v>62</v>
      </c>
      <c r="AJ18" s="14" t="s">
        <v>62</v>
      </c>
      <c r="AK18" s="14" t="s">
        <v>62</v>
      </c>
      <c r="AL18" s="14" t="s">
        <v>62</v>
      </c>
      <c r="AM18" s="14" t="s">
        <v>62</v>
      </c>
      <c r="AN18" s="14" t="s">
        <v>62</v>
      </c>
      <c r="AO18" s="14" t="s">
        <v>62</v>
      </c>
      <c r="AP18" s="14" t="s">
        <v>62</v>
      </c>
      <c r="AQ18" s="14" t="s">
        <v>62</v>
      </c>
      <c r="AR18" s="14" t="s">
        <v>62</v>
      </c>
      <c r="AS18" s="14" t="s">
        <v>62</v>
      </c>
      <c r="AT18" s="14" t="s">
        <v>62</v>
      </c>
      <c r="AU18" s="14" t="s">
        <v>62</v>
      </c>
      <c r="AV18" s="14" t="s">
        <v>62</v>
      </c>
      <c r="AW18" s="14" t="s">
        <v>62</v>
      </c>
      <c r="AX18" s="14" t="s">
        <v>62</v>
      </c>
      <c r="AY18" s="14" t="s">
        <v>62</v>
      </c>
      <c r="AZ18" s="14" t="s">
        <v>62</v>
      </c>
      <c r="BA18" s="14" t="s">
        <v>62</v>
      </c>
      <c r="BB18" s="14" t="s">
        <v>62</v>
      </c>
      <c r="BC18" s="14" t="s">
        <v>62</v>
      </c>
      <c r="BD18" s="14" t="s">
        <v>62</v>
      </c>
      <c r="BE18" s="14" t="s">
        <v>62</v>
      </c>
      <c r="BF18" s="14" t="s">
        <v>62</v>
      </c>
      <c r="BG18" s="14" t="s">
        <v>62</v>
      </c>
      <c r="BH18" s="14" t="s">
        <v>62</v>
      </c>
      <c r="BI18" s="14" t="s">
        <v>62</v>
      </c>
      <c r="BJ18" s="15" t="s">
        <v>62</v>
      </c>
    </row>
    <row r="19" spans="1:62" x14ac:dyDescent="0.3">
      <c r="A19" s="35" t="s">
        <v>13</v>
      </c>
      <c r="B19" s="11">
        <f>2*DZ123*B6*Distances!B16*1.84</f>
        <v>43964.78826666667</v>
      </c>
      <c r="C19" s="13">
        <f>2*EA123*C6*Distances!C16*1.84</f>
        <v>27244.144</v>
      </c>
      <c r="D19" s="13">
        <f>2*EB123*D6*Distances!D16*1.84</f>
        <v>41717.3632</v>
      </c>
      <c r="E19" s="13">
        <f>2*EC123*E6*Distances!E16*1.84</f>
        <v>40661.792000000001</v>
      </c>
      <c r="F19" s="13">
        <f>2*ED123*F6*Distances!F16*1.84</f>
        <v>48673.973866666667</v>
      </c>
      <c r="G19" s="13">
        <f>2*EE123*G6*Distances!G16*1.84</f>
        <v>34942.875733333334</v>
      </c>
      <c r="H19" s="13">
        <f>2*EF123*H6*Distances!H16*1.84</f>
        <v>55739.610666666667</v>
      </c>
      <c r="I19" s="13">
        <f>2*EG123*I6*Distances!I16*1.84</f>
        <v>37452.954666666672</v>
      </c>
      <c r="J19" s="13">
        <f>2*EH123*J6*Distances!J16*1.84</f>
        <v>989.42933333333337</v>
      </c>
      <c r="K19" s="13">
        <f>2*EI123*K6*Distances!K16*1.84</f>
        <v>1131.7472</v>
      </c>
      <c r="L19" s="13">
        <f>2*EJ123*L6*Distances!L16*1.84</f>
        <v>1125.0250666666666</v>
      </c>
      <c r="M19" s="13">
        <f>2*EK123*M6*Distances!M16*1.84</f>
        <v>1157.3600000000001</v>
      </c>
      <c r="N19" s="12">
        <f>2*EL123*N6*Distances!N16*1.84</f>
        <v>0</v>
      </c>
      <c r="O19" s="14" t="s">
        <v>62</v>
      </c>
      <c r="P19" s="14" t="s">
        <v>62</v>
      </c>
      <c r="Q19" s="14" t="s">
        <v>62</v>
      </c>
      <c r="R19" s="14" t="s">
        <v>62</v>
      </c>
      <c r="S19" s="14" t="s">
        <v>62</v>
      </c>
      <c r="T19" s="14" t="s">
        <v>62</v>
      </c>
      <c r="U19" s="14" t="s">
        <v>62</v>
      </c>
      <c r="V19" s="14" t="s">
        <v>62</v>
      </c>
      <c r="W19" s="14" t="s">
        <v>62</v>
      </c>
      <c r="X19" s="14" t="s">
        <v>62</v>
      </c>
      <c r="Y19" s="14" t="s">
        <v>62</v>
      </c>
      <c r="Z19" s="14" t="s">
        <v>62</v>
      </c>
      <c r="AA19" s="14" t="s">
        <v>62</v>
      </c>
      <c r="AB19" s="14" t="s">
        <v>62</v>
      </c>
      <c r="AC19" s="14" t="s">
        <v>62</v>
      </c>
      <c r="AD19" s="14" t="s">
        <v>62</v>
      </c>
      <c r="AE19" s="14" t="s">
        <v>62</v>
      </c>
      <c r="AF19" s="14" t="s">
        <v>62</v>
      </c>
      <c r="AG19" s="14" t="s">
        <v>62</v>
      </c>
      <c r="AH19" s="14" t="s">
        <v>62</v>
      </c>
      <c r="AI19" s="14" t="s">
        <v>62</v>
      </c>
      <c r="AJ19" s="14" t="s">
        <v>62</v>
      </c>
      <c r="AK19" s="14" t="s">
        <v>62</v>
      </c>
      <c r="AL19" s="14" t="s">
        <v>62</v>
      </c>
      <c r="AM19" s="14" t="s">
        <v>62</v>
      </c>
      <c r="AN19" s="14" t="s">
        <v>62</v>
      </c>
      <c r="AO19" s="14" t="s">
        <v>62</v>
      </c>
      <c r="AP19" s="14" t="s">
        <v>62</v>
      </c>
      <c r="AQ19" s="14" t="s">
        <v>62</v>
      </c>
      <c r="AR19" s="14" t="s">
        <v>62</v>
      </c>
      <c r="AS19" s="14" t="s">
        <v>62</v>
      </c>
      <c r="AT19" s="14" t="s">
        <v>62</v>
      </c>
      <c r="AU19" s="14" t="s">
        <v>62</v>
      </c>
      <c r="AV19" s="14" t="s">
        <v>62</v>
      </c>
      <c r="AW19" s="14" t="s">
        <v>62</v>
      </c>
      <c r="AX19" s="14" t="s">
        <v>62</v>
      </c>
      <c r="AY19" s="14" t="s">
        <v>62</v>
      </c>
      <c r="AZ19" s="14" t="s">
        <v>62</v>
      </c>
      <c r="BA19" s="14" t="s">
        <v>62</v>
      </c>
      <c r="BB19" s="14" t="s">
        <v>62</v>
      </c>
      <c r="BC19" s="14" t="s">
        <v>62</v>
      </c>
      <c r="BD19" s="14" t="s">
        <v>62</v>
      </c>
      <c r="BE19" s="14" t="s">
        <v>62</v>
      </c>
      <c r="BF19" s="14" t="s">
        <v>62</v>
      </c>
      <c r="BG19" s="14" t="s">
        <v>62</v>
      </c>
      <c r="BH19" s="14" t="s">
        <v>62</v>
      </c>
      <c r="BI19" s="14" t="s">
        <v>62</v>
      </c>
      <c r="BJ19" s="15" t="s">
        <v>62</v>
      </c>
    </row>
    <row r="20" spans="1:62" x14ac:dyDescent="0.3">
      <c r="A20" s="35" t="s">
        <v>14</v>
      </c>
      <c r="B20" s="16" t="s">
        <v>62</v>
      </c>
      <c r="C20" s="14" t="s">
        <v>62</v>
      </c>
      <c r="D20" s="14" t="s">
        <v>62</v>
      </c>
      <c r="E20" s="14" t="s">
        <v>62</v>
      </c>
      <c r="F20" s="14" t="s">
        <v>62</v>
      </c>
      <c r="G20" s="14" t="s">
        <v>62</v>
      </c>
      <c r="H20" s="14" t="s">
        <v>62</v>
      </c>
      <c r="I20" s="14" t="s">
        <v>62</v>
      </c>
      <c r="J20" s="14" t="s">
        <v>62</v>
      </c>
      <c r="K20" s="14" t="s">
        <v>62</v>
      </c>
      <c r="L20" s="14" t="s">
        <v>62</v>
      </c>
      <c r="M20" s="14" t="s">
        <v>62</v>
      </c>
      <c r="N20" s="14" t="s">
        <v>62</v>
      </c>
      <c r="O20" s="12">
        <f>2*EM124*O6*Distances!O17*1.84</f>
        <v>0</v>
      </c>
      <c r="P20" s="13">
        <f>2*EN124*P6*Distances!P17*1.84</f>
        <v>13451.872000000003</v>
      </c>
      <c r="Q20" s="14" t="s">
        <v>62</v>
      </c>
      <c r="R20" s="14" t="s">
        <v>62</v>
      </c>
      <c r="S20" s="14" t="s">
        <v>62</v>
      </c>
      <c r="T20" s="14" t="s">
        <v>62</v>
      </c>
      <c r="U20" s="14" t="s">
        <v>62</v>
      </c>
      <c r="V20" s="14" t="s">
        <v>62</v>
      </c>
      <c r="W20" s="14" t="s">
        <v>62</v>
      </c>
      <c r="X20" s="14" t="s">
        <v>62</v>
      </c>
      <c r="Y20" s="14" t="s">
        <v>62</v>
      </c>
      <c r="Z20" s="14" t="s">
        <v>62</v>
      </c>
      <c r="AA20" s="14" t="s">
        <v>62</v>
      </c>
      <c r="AB20" s="14" t="s">
        <v>62</v>
      </c>
      <c r="AC20" s="14" t="s">
        <v>62</v>
      </c>
      <c r="AD20" s="14" t="s">
        <v>62</v>
      </c>
      <c r="AE20" s="14" t="s">
        <v>62</v>
      </c>
      <c r="AF20" s="14" t="s">
        <v>62</v>
      </c>
      <c r="AG20" s="14" t="s">
        <v>62</v>
      </c>
      <c r="AH20" s="14" t="s">
        <v>62</v>
      </c>
      <c r="AI20" s="14" t="s">
        <v>62</v>
      </c>
      <c r="AJ20" s="14" t="s">
        <v>62</v>
      </c>
      <c r="AK20" s="14" t="s">
        <v>62</v>
      </c>
      <c r="AL20" s="14" t="s">
        <v>62</v>
      </c>
      <c r="AM20" s="14" t="s">
        <v>62</v>
      </c>
      <c r="AN20" s="14" t="s">
        <v>62</v>
      </c>
      <c r="AO20" s="14" t="s">
        <v>62</v>
      </c>
      <c r="AP20" s="14" t="s">
        <v>62</v>
      </c>
      <c r="AQ20" s="14" t="s">
        <v>62</v>
      </c>
      <c r="AR20" s="14" t="s">
        <v>62</v>
      </c>
      <c r="AS20" s="14" t="s">
        <v>62</v>
      </c>
      <c r="AT20" s="14" t="s">
        <v>62</v>
      </c>
      <c r="AU20" s="14" t="s">
        <v>62</v>
      </c>
      <c r="AV20" s="14" t="s">
        <v>62</v>
      </c>
      <c r="AW20" s="14" t="s">
        <v>62</v>
      </c>
      <c r="AX20" s="14" t="s">
        <v>62</v>
      </c>
      <c r="AY20" s="14" t="s">
        <v>62</v>
      </c>
      <c r="AZ20" s="14" t="s">
        <v>62</v>
      </c>
      <c r="BA20" s="14" t="s">
        <v>62</v>
      </c>
      <c r="BB20" s="14" t="s">
        <v>62</v>
      </c>
      <c r="BC20" s="14" t="s">
        <v>62</v>
      </c>
      <c r="BD20" s="14" t="s">
        <v>62</v>
      </c>
      <c r="BE20" s="14" t="s">
        <v>62</v>
      </c>
      <c r="BF20" s="14" t="s">
        <v>62</v>
      </c>
      <c r="BG20" s="14" t="s">
        <v>62</v>
      </c>
      <c r="BH20" s="12">
        <f>2*GF124*BH6*Distances!BH17*1.84</f>
        <v>64175.078399999991</v>
      </c>
      <c r="BI20" s="12">
        <f>2*GG124*BI6*Distances!BI17*1.84</f>
        <v>31037.414400000001</v>
      </c>
      <c r="BJ20" s="17">
        <f>2*GH124*BJ6*Distances!BJ17*1.84</f>
        <v>21745.267200000002</v>
      </c>
    </row>
    <row r="21" spans="1:62" x14ac:dyDescent="0.3">
      <c r="A21" s="35" t="s">
        <v>15</v>
      </c>
      <c r="B21" s="16" t="s">
        <v>62</v>
      </c>
      <c r="C21" s="14" t="s">
        <v>62</v>
      </c>
      <c r="D21" s="14" t="s">
        <v>62</v>
      </c>
      <c r="E21" s="14" t="s">
        <v>62</v>
      </c>
      <c r="F21" s="14" t="s">
        <v>62</v>
      </c>
      <c r="G21" s="14" t="s">
        <v>62</v>
      </c>
      <c r="H21" s="14" t="s">
        <v>62</v>
      </c>
      <c r="I21" s="14" t="s">
        <v>62</v>
      </c>
      <c r="J21" s="14" t="s">
        <v>62</v>
      </c>
      <c r="K21" s="14" t="s">
        <v>62</v>
      </c>
      <c r="L21" s="14" t="s">
        <v>62</v>
      </c>
      <c r="M21" s="14" t="s">
        <v>62</v>
      </c>
      <c r="N21" s="14" t="s">
        <v>62</v>
      </c>
      <c r="O21" s="13">
        <f>2*EM125*O6*Distances!O18*1.84</f>
        <v>13451.872000000003</v>
      </c>
      <c r="P21" s="12">
        <f>2*EN125*P6*Distances!P18*1.84</f>
        <v>0</v>
      </c>
      <c r="Q21" s="14" t="s">
        <v>62</v>
      </c>
      <c r="R21" s="14" t="s">
        <v>62</v>
      </c>
      <c r="S21" s="14" t="s">
        <v>62</v>
      </c>
      <c r="T21" s="14" t="s">
        <v>62</v>
      </c>
      <c r="U21" s="14" t="s">
        <v>62</v>
      </c>
      <c r="V21" s="14" t="s">
        <v>62</v>
      </c>
      <c r="W21" s="14" t="s">
        <v>62</v>
      </c>
      <c r="X21" s="14" t="s">
        <v>62</v>
      </c>
      <c r="Y21" s="14" t="s">
        <v>62</v>
      </c>
      <c r="Z21" s="14" t="s">
        <v>62</v>
      </c>
      <c r="AA21" s="14" t="s">
        <v>62</v>
      </c>
      <c r="AB21" s="14" t="s">
        <v>62</v>
      </c>
      <c r="AC21" s="14" t="s">
        <v>62</v>
      </c>
      <c r="AD21" s="14" t="s">
        <v>62</v>
      </c>
      <c r="AE21" s="14" t="s">
        <v>62</v>
      </c>
      <c r="AF21" s="14" t="s">
        <v>62</v>
      </c>
      <c r="AG21" s="14" t="s">
        <v>62</v>
      </c>
      <c r="AH21" s="14" t="s">
        <v>62</v>
      </c>
      <c r="AI21" s="14" t="s">
        <v>62</v>
      </c>
      <c r="AJ21" s="14" t="s">
        <v>62</v>
      </c>
      <c r="AK21" s="14" t="s">
        <v>62</v>
      </c>
      <c r="AL21" s="14" t="s">
        <v>62</v>
      </c>
      <c r="AM21" s="14" t="s">
        <v>62</v>
      </c>
      <c r="AN21" s="14" t="s">
        <v>62</v>
      </c>
      <c r="AO21" s="14" t="s">
        <v>62</v>
      </c>
      <c r="AP21" s="14" t="s">
        <v>62</v>
      </c>
      <c r="AQ21" s="14" t="s">
        <v>62</v>
      </c>
      <c r="AR21" s="14" t="s">
        <v>62</v>
      </c>
      <c r="AS21" s="14" t="s">
        <v>62</v>
      </c>
      <c r="AT21" s="14" t="s">
        <v>62</v>
      </c>
      <c r="AU21" s="14" t="s">
        <v>62</v>
      </c>
      <c r="AV21" s="14" t="s">
        <v>62</v>
      </c>
      <c r="AW21" s="14" t="s">
        <v>62</v>
      </c>
      <c r="AX21" s="14" t="s">
        <v>62</v>
      </c>
      <c r="AY21" s="14" t="s">
        <v>62</v>
      </c>
      <c r="AZ21" s="14" t="s">
        <v>62</v>
      </c>
      <c r="BA21" s="14" t="s">
        <v>62</v>
      </c>
      <c r="BB21" s="14" t="s">
        <v>62</v>
      </c>
      <c r="BC21" s="14" t="s">
        <v>62</v>
      </c>
      <c r="BD21" s="14" t="s">
        <v>62</v>
      </c>
      <c r="BE21" s="14" t="s">
        <v>62</v>
      </c>
      <c r="BF21" s="14" t="s">
        <v>62</v>
      </c>
      <c r="BG21" s="14" t="s">
        <v>62</v>
      </c>
      <c r="BH21" s="13">
        <f>2*GF125*BH6*Distances!BH18*1.84</f>
        <v>27826.393600000003</v>
      </c>
      <c r="BI21" s="13">
        <f>2*GG125*BI6*Distances!BI18*1.84</f>
        <v>17465.574400000005</v>
      </c>
      <c r="BJ21" s="18">
        <f>2*GH125*BJ6*Distances!BJ18*1.84</f>
        <v>14367.8976</v>
      </c>
    </row>
    <row r="22" spans="1:62" x14ac:dyDescent="0.3">
      <c r="A22" s="35" t="s">
        <v>16</v>
      </c>
      <c r="B22" s="16" t="s">
        <v>62</v>
      </c>
      <c r="C22" s="14" t="s">
        <v>62</v>
      </c>
      <c r="D22" s="14" t="s">
        <v>62</v>
      </c>
      <c r="E22" s="14" t="s">
        <v>62</v>
      </c>
      <c r="F22" s="14" t="s">
        <v>62</v>
      </c>
      <c r="G22" s="14" t="s">
        <v>62</v>
      </c>
      <c r="H22" s="14" t="s">
        <v>62</v>
      </c>
      <c r="I22" s="14" t="s">
        <v>62</v>
      </c>
      <c r="J22" s="14" t="s">
        <v>62</v>
      </c>
      <c r="K22" s="14" t="s">
        <v>62</v>
      </c>
      <c r="L22" s="14" t="s">
        <v>62</v>
      </c>
      <c r="M22" s="14" t="s">
        <v>62</v>
      </c>
      <c r="N22" s="14" t="s">
        <v>62</v>
      </c>
      <c r="O22" s="14" t="s">
        <v>62</v>
      </c>
      <c r="P22" s="14" t="s">
        <v>62</v>
      </c>
      <c r="Q22" s="12">
        <f>2*EO126*Q6*Distances!Q19*1.84</f>
        <v>0</v>
      </c>
      <c r="R22" s="13">
        <f>2*EP126*R6*Distances!R19*1.84</f>
        <v>795.57</v>
      </c>
      <c r="S22" s="13">
        <f>2*EQ126*S6*Distances!S19*1.84</f>
        <v>1374.94</v>
      </c>
      <c r="T22" s="13" t="s">
        <v>62</v>
      </c>
      <c r="U22" s="13" t="s">
        <v>62</v>
      </c>
      <c r="V22" s="13" t="s">
        <v>62</v>
      </c>
      <c r="W22" s="13" t="s">
        <v>62</v>
      </c>
      <c r="X22" s="13" t="s">
        <v>62</v>
      </c>
      <c r="Y22" s="13" t="s">
        <v>62</v>
      </c>
      <c r="Z22" s="13" t="s">
        <v>62</v>
      </c>
      <c r="AA22" s="13" t="s">
        <v>62</v>
      </c>
      <c r="AB22" s="13" t="s">
        <v>62</v>
      </c>
      <c r="AC22" s="13" t="s">
        <v>62</v>
      </c>
      <c r="AD22" s="13" t="s">
        <v>62</v>
      </c>
      <c r="AE22" s="13" t="s">
        <v>62</v>
      </c>
      <c r="AF22" s="13" t="s">
        <v>62</v>
      </c>
      <c r="AG22" s="13" t="s">
        <v>62</v>
      </c>
      <c r="AH22" s="14" t="s">
        <v>62</v>
      </c>
      <c r="AI22" s="14" t="s">
        <v>62</v>
      </c>
      <c r="AJ22" s="14" t="s">
        <v>62</v>
      </c>
      <c r="AK22" s="14" t="s">
        <v>62</v>
      </c>
      <c r="AL22" s="14" t="s">
        <v>62</v>
      </c>
      <c r="AM22" s="14" t="s">
        <v>62</v>
      </c>
      <c r="AN22" s="14" t="s">
        <v>62</v>
      </c>
      <c r="AO22" s="14" t="s">
        <v>62</v>
      </c>
      <c r="AP22" s="14" t="s">
        <v>62</v>
      </c>
      <c r="AQ22" s="14" t="s">
        <v>62</v>
      </c>
      <c r="AR22" s="14" t="s">
        <v>62</v>
      </c>
      <c r="AS22" s="14" t="s">
        <v>62</v>
      </c>
      <c r="AT22" s="14" t="s">
        <v>62</v>
      </c>
      <c r="AU22" s="14" t="s">
        <v>62</v>
      </c>
      <c r="AV22" s="14" t="s">
        <v>62</v>
      </c>
      <c r="AW22" s="14" t="s">
        <v>62</v>
      </c>
      <c r="AX22" s="14" t="s">
        <v>62</v>
      </c>
      <c r="AY22" s="14" t="s">
        <v>62</v>
      </c>
      <c r="AZ22" s="14" t="s">
        <v>62</v>
      </c>
      <c r="BA22" s="14" t="s">
        <v>62</v>
      </c>
      <c r="BB22" s="13" t="s">
        <v>62</v>
      </c>
      <c r="BC22" s="14" t="s">
        <v>62</v>
      </c>
      <c r="BD22" s="14" t="s">
        <v>62</v>
      </c>
      <c r="BE22" s="14" t="s">
        <v>62</v>
      </c>
      <c r="BF22" s="13" t="s">
        <v>62</v>
      </c>
      <c r="BG22" s="13" t="s">
        <v>62</v>
      </c>
      <c r="BH22" s="14" t="s">
        <v>62</v>
      </c>
      <c r="BI22" s="14" t="s">
        <v>62</v>
      </c>
      <c r="BJ22" s="15" t="s">
        <v>62</v>
      </c>
    </row>
    <row r="23" spans="1:62" x14ac:dyDescent="0.3">
      <c r="A23" s="35" t="s">
        <v>17</v>
      </c>
      <c r="B23" s="16" t="s">
        <v>62</v>
      </c>
      <c r="C23" s="14" t="s">
        <v>62</v>
      </c>
      <c r="D23" s="14" t="s">
        <v>62</v>
      </c>
      <c r="E23" s="14" t="s">
        <v>62</v>
      </c>
      <c r="F23" s="14" t="s">
        <v>62</v>
      </c>
      <c r="G23" s="14" t="s">
        <v>62</v>
      </c>
      <c r="H23" s="14" t="s">
        <v>62</v>
      </c>
      <c r="I23" s="14" t="s">
        <v>62</v>
      </c>
      <c r="J23" s="14" t="s">
        <v>62</v>
      </c>
      <c r="K23" s="14" t="s">
        <v>62</v>
      </c>
      <c r="L23" s="14" t="s">
        <v>62</v>
      </c>
      <c r="M23" s="14" t="s">
        <v>62</v>
      </c>
      <c r="N23" s="14" t="s">
        <v>62</v>
      </c>
      <c r="O23" s="14" t="s">
        <v>62</v>
      </c>
      <c r="P23" s="14" t="s">
        <v>62</v>
      </c>
      <c r="Q23" s="13">
        <f>2*EO127*Q6*Distances!Q20*1.84</f>
        <v>795.57</v>
      </c>
      <c r="R23" s="12">
        <f>2*EP127*R6*Distances!R20*1.84</f>
        <v>0</v>
      </c>
      <c r="S23" s="13">
        <f>2*EQ127*S6*Distances!S20*1.84</f>
        <v>775.1</v>
      </c>
      <c r="T23" s="13" t="s">
        <v>62</v>
      </c>
      <c r="U23" s="13" t="s">
        <v>62</v>
      </c>
      <c r="V23" s="13" t="s">
        <v>62</v>
      </c>
      <c r="W23" s="13" t="s">
        <v>62</v>
      </c>
      <c r="X23" s="13" t="s">
        <v>62</v>
      </c>
      <c r="Y23" s="13" t="s">
        <v>62</v>
      </c>
      <c r="Z23" s="13" t="s">
        <v>62</v>
      </c>
      <c r="AA23" s="13" t="s">
        <v>62</v>
      </c>
      <c r="AB23" s="13" t="s">
        <v>62</v>
      </c>
      <c r="AC23" s="13" t="s">
        <v>62</v>
      </c>
      <c r="AD23" s="13" t="s">
        <v>62</v>
      </c>
      <c r="AE23" s="13" t="s">
        <v>62</v>
      </c>
      <c r="AF23" s="13" t="s">
        <v>62</v>
      </c>
      <c r="AG23" s="13" t="s">
        <v>62</v>
      </c>
      <c r="AH23" s="14" t="s">
        <v>62</v>
      </c>
      <c r="AI23" s="14" t="s">
        <v>62</v>
      </c>
      <c r="AJ23" s="14" t="s">
        <v>62</v>
      </c>
      <c r="AK23" s="14" t="s">
        <v>62</v>
      </c>
      <c r="AL23" s="14" t="s">
        <v>62</v>
      </c>
      <c r="AM23" s="14" t="s">
        <v>62</v>
      </c>
      <c r="AN23" s="14" t="s">
        <v>62</v>
      </c>
      <c r="AO23" s="14" t="s">
        <v>62</v>
      </c>
      <c r="AP23" s="14" t="s">
        <v>62</v>
      </c>
      <c r="AQ23" s="14" t="s">
        <v>62</v>
      </c>
      <c r="AR23" s="14" t="s">
        <v>62</v>
      </c>
      <c r="AS23" s="14" t="s">
        <v>62</v>
      </c>
      <c r="AT23" s="14" t="s">
        <v>62</v>
      </c>
      <c r="AU23" s="14" t="s">
        <v>62</v>
      </c>
      <c r="AV23" s="14" t="s">
        <v>62</v>
      </c>
      <c r="AW23" s="14" t="s">
        <v>62</v>
      </c>
      <c r="AX23" s="14" t="s">
        <v>62</v>
      </c>
      <c r="AY23" s="14" t="s">
        <v>62</v>
      </c>
      <c r="AZ23" s="14" t="s">
        <v>62</v>
      </c>
      <c r="BA23" s="14" t="s">
        <v>62</v>
      </c>
      <c r="BB23" s="13" t="s">
        <v>62</v>
      </c>
      <c r="BC23" s="14" t="s">
        <v>62</v>
      </c>
      <c r="BD23" s="14" t="s">
        <v>62</v>
      </c>
      <c r="BE23" s="14" t="s">
        <v>62</v>
      </c>
      <c r="BF23" s="13" t="s">
        <v>62</v>
      </c>
      <c r="BG23" s="13" t="s">
        <v>62</v>
      </c>
      <c r="BH23" s="14" t="s">
        <v>62</v>
      </c>
      <c r="BI23" s="14" t="s">
        <v>62</v>
      </c>
      <c r="BJ23" s="15" t="s">
        <v>62</v>
      </c>
    </row>
    <row r="24" spans="1:62" x14ac:dyDescent="0.3">
      <c r="A24" s="35" t="s">
        <v>18</v>
      </c>
      <c r="B24" s="16" t="s">
        <v>62</v>
      </c>
      <c r="C24" s="14" t="s">
        <v>62</v>
      </c>
      <c r="D24" s="14" t="s">
        <v>62</v>
      </c>
      <c r="E24" s="14" t="s">
        <v>62</v>
      </c>
      <c r="F24" s="14" t="s">
        <v>62</v>
      </c>
      <c r="G24" s="14" t="s">
        <v>62</v>
      </c>
      <c r="H24" s="14" t="s">
        <v>62</v>
      </c>
      <c r="I24" s="14" t="s">
        <v>62</v>
      </c>
      <c r="J24" s="14" t="s">
        <v>62</v>
      </c>
      <c r="K24" s="14" t="s">
        <v>62</v>
      </c>
      <c r="L24" s="14" t="s">
        <v>62</v>
      </c>
      <c r="M24" s="14" t="s">
        <v>62</v>
      </c>
      <c r="N24" s="14" t="s">
        <v>62</v>
      </c>
      <c r="O24" s="14" t="s">
        <v>62</v>
      </c>
      <c r="P24" s="14" t="s">
        <v>62</v>
      </c>
      <c r="Q24" s="13">
        <f>2*EO128*Q6*Distances!Q21*1.84</f>
        <v>1374.94</v>
      </c>
      <c r="R24" s="13">
        <f>2*EP128*R6*Distances!R21*1.84</f>
        <v>775.1</v>
      </c>
      <c r="S24" s="12">
        <f>2*EQ128*S6*Distances!S21*1.84</f>
        <v>0</v>
      </c>
      <c r="T24" s="13" t="s">
        <v>62</v>
      </c>
      <c r="U24" s="13" t="s">
        <v>62</v>
      </c>
      <c r="V24" s="13" t="s">
        <v>62</v>
      </c>
      <c r="W24" s="13" t="s">
        <v>62</v>
      </c>
      <c r="X24" s="13" t="s">
        <v>62</v>
      </c>
      <c r="Y24" s="13" t="s">
        <v>62</v>
      </c>
      <c r="Z24" s="13" t="s">
        <v>62</v>
      </c>
      <c r="AA24" s="13" t="s">
        <v>62</v>
      </c>
      <c r="AB24" s="13" t="s">
        <v>62</v>
      </c>
      <c r="AC24" s="13" t="s">
        <v>62</v>
      </c>
      <c r="AD24" s="13" t="s">
        <v>62</v>
      </c>
      <c r="AE24" s="13" t="s">
        <v>62</v>
      </c>
      <c r="AF24" s="13" t="s">
        <v>62</v>
      </c>
      <c r="AG24" s="13" t="s">
        <v>62</v>
      </c>
      <c r="AH24" s="14" t="s">
        <v>62</v>
      </c>
      <c r="AI24" s="14" t="s">
        <v>62</v>
      </c>
      <c r="AJ24" s="14" t="s">
        <v>62</v>
      </c>
      <c r="AK24" s="14" t="s">
        <v>62</v>
      </c>
      <c r="AL24" s="14" t="s">
        <v>62</v>
      </c>
      <c r="AM24" s="14" t="s">
        <v>62</v>
      </c>
      <c r="AN24" s="14" t="s">
        <v>62</v>
      </c>
      <c r="AO24" s="14" t="s">
        <v>62</v>
      </c>
      <c r="AP24" s="14" t="s">
        <v>62</v>
      </c>
      <c r="AQ24" s="14" t="s">
        <v>62</v>
      </c>
      <c r="AR24" s="14" t="s">
        <v>62</v>
      </c>
      <c r="AS24" s="14" t="s">
        <v>62</v>
      </c>
      <c r="AT24" s="14" t="s">
        <v>62</v>
      </c>
      <c r="AU24" s="14" t="s">
        <v>62</v>
      </c>
      <c r="AV24" s="14" t="s">
        <v>62</v>
      </c>
      <c r="AW24" s="14" t="s">
        <v>62</v>
      </c>
      <c r="AX24" s="14" t="s">
        <v>62</v>
      </c>
      <c r="AY24" s="14" t="s">
        <v>62</v>
      </c>
      <c r="AZ24" s="14" t="s">
        <v>62</v>
      </c>
      <c r="BA24" s="14" t="s">
        <v>62</v>
      </c>
      <c r="BB24" s="13" t="s">
        <v>62</v>
      </c>
      <c r="BC24" s="14" t="s">
        <v>62</v>
      </c>
      <c r="BD24" s="14" t="s">
        <v>62</v>
      </c>
      <c r="BE24" s="14" t="s">
        <v>62</v>
      </c>
      <c r="BF24" s="13" t="s">
        <v>62</v>
      </c>
      <c r="BG24" s="13" t="s">
        <v>62</v>
      </c>
      <c r="BH24" s="14" t="s">
        <v>62</v>
      </c>
      <c r="BI24" s="14" t="s">
        <v>62</v>
      </c>
      <c r="BJ24" s="15" t="s">
        <v>62</v>
      </c>
    </row>
    <row r="25" spans="1:62" x14ac:dyDescent="0.3">
      <c r="A25" s="35" t="s">
        <v>19</v>
      </c>
      <c r="B25" s="16" t="s">
        <v>62</v>
      </c>
      <c r="C25" s="14" t="s">
        <v>62</v>
      </c>
      <c r="D25" s="14" t="s">
        <v>62</v>
      </c>
      <c r="E25" s="14" t="s">
        <v>62</v>
      </c>
      <c r="F25" s="14" t="s">
        <v>62</v>
      </c>
      <c r="G25" s="14" t="s">
        <v>62</v>
      </c>
      <c r="H25" s="14" t="s">
        <v>62</v>
      </c>
      <c r="I25" s="14" t="s">
        <v>62</v>
      </c>
      <c r="J25" s="14" t="s">
        <v>62</v>
      </c>
      <c r="K25" s="14" t="s">
        <v>62</v>
      </c>
      <c r="L25" s="14" t="s">
        <v>62</v>
      </c>
      <c r="M25" s="14" t="s">
        <v>62</v>
      </c>
      <c r="N25" s="14" t="s">
        <v>62</v>
      </c>
      <c r="O25" s="14" t="s">
        <v>62</v>
      </c>
      <c r="P25" s="14" t="s">
        <v>62</v>
      </c>
      <c r="Q25" s="13" t="s">
        <v>62</v>
      </c>
      <c r="R25" s="13" t="s">
        <v>62</v>
      </c>
      <c r="S25" s="13" t="s">
        <v>62</v>
      </c>
      <c r="T25" s="12">
        <f>2*ER129*T6*Distances!T22*1.84</f>
        <v>0</v>
      </c>
      <c r="U25" s="13">
        <f>2*ES129*U6*Distances!U22*1.84</f>
        <v>148.79620000000003</v>
      </c>
      <c r="V25" s="13">
        <f>2*ET129*V6*Distances!V22*1.84</f>
        <v>2208.8372000000004</v>
      </c>
      <c r="W25" s="13">
        <f>2*EU129*W6*Distances!W22*1.84</f>
        <v>2392.3956000000003</v>
      </c>
      <c r="X25" s="13">
        <f>2*EV129*X6*Distances!X22*1.84</f>
        <v>2779.5224000000003</v>
      </c>
      <c r="Y25" s="13">
        <f>2*EW129*Y6*Distances!Y22*1.84</f>
        <v>1496.4812000000002</v>
      </c>
      <c r="Z25" s="13">
        <f>2*EX129*Z6*Distances!Z22*1.84</f>
        <v>131.44040000000001</v>
      </c>
      <c r="AA25" s="13">
        <f>2*EY129*AA6*Distances!AA22*1.84</f>
        <v>78.586400000000012</v>
      </c>
      <c r="AB25" s="13">
        <f>2*EZ129*AB6*Distances!AB22*1.84</f>
        <v>116.43520000000001</v>
      </c>
      <c r="AC25" s="13">
        <f>2*FA129*AC6*Distances!AC22*1.84</f>
        <v>95.1096</v>
      </c>
      <c r="AD25" s="13">
        <f>2*FB129*AD6*Distances!AD22*1.84</f>
        <v>110.27120000000001</v>
      </c>
      <c r="AE25" s="13">
        <f>2*FC129*AE6*Distances!AE22*1.84</f>
        <v>141.25680000000003</v>
      </c>
      <c r="AF25" s="13">
        <f>2*FD129*AF6*Distances!AF22*1.84</f>
        <v>189.31760000000003</v>
      </c>
      <c r="AG25" s="13">
        <f>2*FE129*AG6*Distances!AG22*1.84</f>
        <v>242.75120000000001</v>
      </c>
      <c r="AH25" s="14" t="s">
        <v>62</v>
      </c>
      <c r="AI25" s="14">
        <f>2*FG129*AI6*Distances!AI22*1.84</f>
        <v>210.20370285714287</v>
      </c>
      <c r="AJ25" s="14" t="s">
        <v>62</v>
      </c>
      <c r="AK25" s="14">
        <f>2*FI129*AK6*Distances!AK22*1.84</f>
        <v>222.40447999999998</v>
      </c>
      <c r="AL25" s="14" t="s">
        <v>62</v>
      </c>
      <c r="AM25" s="14" t="s">
        <v>62</v>
      </c>
      <c r="AN25" s="14" t="s">
        <v>62</v>
      </c>
      <c r="AO25" s="14" t="s">
        <v>62</v>
      </c>
      <c r="AP25" s="14" t="s">
        <v>62</v>
      </c>
      <c r="AQ25" s="14" t="s">
        <v>62</v>
      </c>
      <c r="AR25" s="14" t="s">
        <v>62</v>
      </c>
      <c r="AS25" s="14">
        <f>2*FQ129*AS6*Distances!AS22*1.84</f>
        <v>254.41206857142856</v>
      </c>
      <c r="AT25" s="14">
        <f>2*FR129*AT6*Distances!AT22*1.84</f>
        <v>243.90198857142857</v>
      </c>
      <c r="AU25" s="14">
        <f>2*FS129*AU6*Distances!AU22*1.84</f>
        <v>3429.0534400000001</v>
      </c>
      <c r="AV25" s="14">
        <f>2*FT129*AV6*Distances!AV22*1.84</f>
        <v>306.79294117647055</v>
      </c>
      <c r="AW25" s="14">
        <f>2*FU129*AW6*Distances!AW22*1.84</f>
        <v>721.13280000000009</v>
      </c>
      <c r="AX25" s="14">
        <f>2*FV129*AX6*Distances!AX22*1.84</f>
        <v>1269.9259428571429</v>
      </c>
      <c r="AY25" s="14">
        <f>2*FW129*AY6*Distances!AY22*1.84</f>
        <v>591.26225454545465</v>
      </c>
      <c r="AZ25" s="14">
        <f>2*FX129*AZ6*Distances!AZ22*1.84</f>
        <v>634.53236363636381</v>
      </c>
      <c r="BA25" s="14">
        <f>2*FY129*BA6*Distances!BA22*1.84</f>
        <v>1076.048822857143</v>
      </c>
      <c r="BB25" s="13">
        <f>2*FZ129*BB6*Distances!BB22*1.84</f>
        <v>367.76080000000002</v>
      </c>
      <c r="BC25" s="14">
        <f>2*GA129*BC6*Distances!BC22*1.84</f>
        <v>7973.1594971428576</v>
      </c>
      <c r="BD25" s="14">
        <f>2*GB129*BD6*Distances!BD22*1.84</f>
        <v>6966.277851428571</v>
      </c>
      <c r="BE25" s="14">
        <f>2*GC129*BE6*Distances!BE22*1.84</f>
        <v>7709.5116800000005</v>
      </c>
      <c r="BF25" s="13">
        <f>2*GD129*BF6*Distances!BF22*1.84</f>
        <v>441.45279999999997</v>
      </c>
      <c r="BG25" s="13">
        <f>2*GE129*BG6*Distances!BG22*1.84</f>
        <v>528.17200000000003</v>
      </c>
      <c r="BH25" s="14" t="s">
        <v>62</v>
      </c>
      <c r="BI25" s="14" t="s">
        <v>62</v>
      </c>
      <c r="BJ25" s="15" t="s">
        <v>62</v>
      </c>
    </row>
    <row r="26" spans="1:62" x14ac:dyDescent="0.3">
      <c r="A26" s="35" t="s">
        <v>20</v>
      </c>
      <c r="B26" s="16" t="s">
        <v>62</v>
      </c>
      <c r="C26" s="14" t="s">
        <v>62</v>
      </c>
      <c r="D26" s="14" t="s">
        <v>62</v>
      </c>
      <c r="E26" s="14" t="s">
        <v>62</v>
      </c>
      <c r="F26" s="14" t="s">
        <v>62</v>
      </c>
      <c r="G26" s="14" t="s">
        <v>62</v>
      </c>
      <c r="H26" s="14" t="s">
        <v>62</v>
      </c>
      <c r="I26" s="14" t="s">
        <v>62</v>
      </c>
      <c r="J26" s="14" t="s">
        <v>62</v>
      </c>
      <c r="K26" s="14" t="s">
        <v>62</v>
      </c>
      <c r="L26" s="14" t="s">
        <v>62</v>
      </c>
      <c r="M26" s="14" t="s">
        <v>62</v>
      </c>
      <c r="N26" s="14" t="s">
        <v>62</v>
      </c>
      <c r="O26" s="14" t="s">
        <v>62</v>
      </c>
      <c r="P26" s="14" t="s">
        <v>62</v>
      </c>
      <c r="Q26" s="13" t="s">
        <v>62</v>
      </c>
      <c r="R26" s="13" t="s">
        <v>62</v>
      </c>
      <c r="S26" s="13" t="s">
        <v>62</v>
      </c>
      <c r="T26" s="13">
        <f>2*ER130*T6*Distances!T23*1.84</f>
        <v>148.79620000000003</v>
      </c>
      <c r="U26" s="12">
        <f>2*ES130*U6*Distances!U23*1.84</f>
        <v>0</v>
      </c>
      <c r="V26" s="13">
        <f>2*ET130*V6*Distances!V23*1.84</f>
        <v>1963.1144000000002</v>
      </c>
      <c r="W26" s="13">
        <f>2*EU130*W6*Distances!W23*1.84</f>
        <v>3137.0344000000005</v>
      </c>
      <c r="X26" s="13">
        <f>2*EV130*X6*Distances!X23*1.84</f>
        <v>3273.9028000000003</v>
      </c>
      <c r="Y26" s="13">
        <f>2*EW130*Y6*Distances!Y23*1.84</f>
        <v>2175.4872000000005</v>
      </c>
      <c r="Z26" s="13">
        <f>2*EX130*Z6*Distances!Z23*1.84</f>
        <v>90.454400000000007</v>
      </c>
      <c r="AA26" s="13">
        <f>2*EY130*AA6*Distances!AA23*1.84</f>
        <v>40.2776</v>
      </c>
      <c r="AB26" s="13">
        <f>2*EZ130*AB6*Distances!AB23*1.84</f>
        <v>112.79200000000002</v>
      </c>
      <c r="AC26" s="13">
        <f>2*FA130*AC6*Distances!AC23*1.84</f>
        <v>58.696000000000005</v>
      </c>
      <c r="AD26" s="13">
        <f>2*FB130*AD6*Distances!AD23*1.84</f>
        <v>129.11280000000002</v>
      </c>
      <c r="AE26" s="13">
        <f>2*FC130*AE6*Distances!AE23*1.84</f>
        <v>148.24880000000002</v>
      </c>
      <c r="AF26" s="13">
        <f>2*FD130*AF6*Distances!AF23*1.84</f>
        <v>197.8</v>
      </c>
      <c r="AG26" s="13">
        <f>2*FE130*AG6*Distances!AG23*1.84</f>
        <v>226.74320000000003</v>
      </c>
      <c r="AH26" s="14" t="s">
        <v>62</v>
      </c>
      <c r="AI26" s="14" t="s">
        <v>62</v>
      </c>
      <c r="AJ26" s="14" t="s">
        <v>62</v>
      </c>
      <c r="AK26" s="14">
        <f>2*FI130*AK6*Distances!AK23*1.84</f>
        <v>215.5197257142857</v>
      </c>
      <c r="AL26" s="14" t="s">
        <v>62</v>
      </c>
      <c r="AM26" s="14" t="s">
        <v>62</v>
      </c>
      <c r="AN26" s="14" t="s">
        <v>62</v>
      </c>
      <c r="AO26" s="14" t="s">
        <v>62</v>
      </c>
      <c r="AP26" s="14" t="s">
        <v>62</v>
      </c>
      <c r="AQ26" s="14" t="s">
        <v>62</v>
      </c>
      <c r="AR26" s="14" t="s">
        <v>62</v>
      </c>
      <c r="AS26" s="14">
        <f>2*FQ130*AS6*Distances!AS23*1.84</f>
        <v>240.64256</v>
      </c>
      <c r="AT26" s="14">
        <f>2*FR130*AT6*Distances!AT23*1.84</f>
        <v>230.1366857142857</v>
      </c>
      <c r="AU26" s="14">
        <f>2*FS130*AU6*Distances!AU23*1.84</f>
        <v>3483.6057599999999</v>
      </c>
      <c r="AV26" s="14">
        <f>2*FT130*AV6*Distances!AV23*1.84</f>
        <v>326.84894117647065</v>
      </c>
      <c r="AW26" s="14">
        <f>2*FU130*AW6*Distances!AW23*1.84</f>
        <v>740.6262857142857</v>
      </c>
      <c r="AX26" s="14">
        <f>2*FV130*AX6*Distances!AX23*1.84</f>
        <v>1289.4194285714286</v>
      </c>
      <c r="AY26" s="14">
        <f>2*FW130*AY6*Distances!AY23*1.84</f>
        <v>569.40305454545467</v>
      </c>
      <c r="AZ26" s="14">
        <f>2*FX130*AZ6*Distances!AZ23*1.84</f>
        <v>612.67316363636371</v>
      </c>
      <c r="BA26" s="14" t="s">
        <v>62</v>
      </c>
      <c r="BB26" s="13">
        <f>2*FZ130*BB6*Distances!BB23*1.84</f>
        <v>413.35600000000005</v>
      </c>
      <c r="BC26" s="14">
        <f>2*GA130*BC6*Distances!BC23*1.84</f>
        <v>8097.8505142857139</v>
      </c>
      <c r="BD26" s="14">
        <f>2*GB130*BD6*Distances!BD23*1.84</f>
        <v>7091.0361599999997</v>
      </c>
      <c r="BE26" s="14">
        <f>2*GC130*BE6*Distances!BE23*1.84</f>
        <v>7834.2026971428586</v>
      </c>
      <c r="BF26" s="13">
        <f>2*GD130*BF6*Distances!BF23*1.84</f>
        <v>455.43680000000001</v>
      </c>
      <c r="BG26" s="13">
        <f>2*GE130*BG6*Distances!BG23*1.84</f>
        <v>467.93040000000002</v>
      </c>
      <c r="BH26" s="14" t="s">
        <v>62</v>
      </c>
      <c r="BI26" s="14" t="s">
        <v>62</v>
      </c>
      <c r="BJ26" s="15" t="s">
        <v>62</v>
      </c>
    </row>
    <row r="27" spans="1:62" x14ac:dyDescent="0.3">
      <c r="A27" s="35" t="s">
        <v>21</v>
      </c>
      <c r="B27" s="16" t="s">
        <v>62</v>
      </c>
      <c r="C27" s="14" t="s">
        <v>62</v>
      </c>
      <c r="D27" s="14" t="s">
        <v>62</v>
      </c>
      <c r="E27" s="14" t="s">
        <v>62</v>
      </c>
      <c r="F27" s="14" t="s">
        <v>62</v>
      </c>
      <c r="G27" s="14" t="s">
        <v>62</v>
      </c>
      <c r="H27" s="14" t="s">
        <v>62</v>
      </c>
      <c r="I27" s="14" t="s">
        <v>62</v>
      </c>
      <c r="J27" s="14" t="s">
        <v>62</v>
      </c>
      <c r="K27" s="14" t="s">
        <v>62</v>
      </c>
      <c r="L27" s="14" t="s">
        <v>62</v>
      </c>
      <c r="M27" s="14" t="s">
        <v>62</v>
      </c>
      <c r="N27" s="14" t="s">
        <v>62</v>
      </c>
      <c r="O27" s="14" t="s">
        <v>62</v>
      </c>
      <c r="P27" s="14" t="s">
        <v>62</v>
      </c>
      <c r="Q27" s="13" t="s">
        <v>62</v>
      </c>
      <c r="R27" s="13" t="s">
        <v>62</v>
      </c>
      <c r="S27" s="13" t="s">
        <v>62</v>
      </c>
      <c r="T27" s="13">
        <f>2*ER131*T6*Distances!T24*1.84</f>
        <v>266.58380000000005</v>
      </c>
      <c r="U27" s="13">
        <f>2*ES131*U6*Distances!U24*1.84</f>
        <v>236.92760000000004</v>
      </c>
      <c r="V27" s="12">
        <f>2*ET131*V6*Distances!V24*1.84</f>
        <v>0</v>
      </c>
      <c r="W27" s="13">
        <f>2*EU131*W6*Distances!W24*1.84</f>
        <v>2110.1212</v>
      </c>
      <c r="X27" s="13">
        <f>2*EV131*X6*Distances!X24*1.84</f>
        <v>1553.0428000000004</v>
      </c>
      <c r="Y27" s="13">
        <f>2*EW131*Y6*Distances!Y24*1.84</f>
        <v>1848.3904000000002</v>
      </c>
      <c r="Z27" s="13">
        <f>2*EX131*Z6*Distances!Z24*1.84</f>
        <v>84.152400000000014</v>
      </c>
      <c r="AA27" s="13">
        <f>2*EY131*AA6*Distances!AA24*1.84</f>
        <v>45.365200000000002</v>
      </c>
      <c r="AB27" s="13">
        <f>2*EZ131*AB6*Distances!AB24*1.84</f>
        <v>180.36600000000001</v>
      </c>
      <c r="AC27" s="13">
        <f>2*FA131*AC6*Distances!AC24*1.84</f>
        <v>126.26080000000002</v>
      </c>
      <c r="AD27" s="13">
        <f>2*FB131*AD6*Distances!AD24*1.84</f>
        <v>69.772800000000004</v>
      </c>
      <c r="AE27" s="13">
        <f>2*FC131*AE6*Distances!AE24*1.84</f>
        <v>83.646400000000014</v>
      </c>
      <c r="AF27" s="13">
        <f>2*FD131*AF6*Distances!AF24*1.84</f>
        <v>70.085599999999999</v>
      </c>
      <c r="AG27" s="13">
        <f>2*FE131*AG6*Distances!AG24*1.84</f>
        <v>89.792000000000016</v>
      </c>
      <c r="AH27" s="14" t="s">
        <v>62</v>
      </c>
      <c r="AI27" s="14" t="s">
        <v>62</v>
      </c>
      <c r="AJ27" s="14" t="s">
        <v>62</v>
      </c>
      <c r="AK27" s="14">
        <f>2*FI131*AK6*Distances!AK24*1.84</f>
        <v>204.7173485714286</v>
      </c>
      <c r="AL27" s="14" t="s">
        <v>62</v>
      </c>
      <c r="AM27" s="14" t="s">
        <v>62</v>
      </c>
      <c r="AN27" s="14" t="s">
        <v>62</v>
      </c>
      <c r="AO27" s="14" t="s">
        <v>62</v>
      </c>
      <c r="AP27" s="14" t="s">
        <v>62</v>
      </c>
      <c r="AQ27" s="14" t="s">
        <v>62</v>
      </c>
      <c r="AR27" s="14" t="s">
        <v>62</v>
      </c>
      <c r="AS27" s="14">
        <f>2*FQ131*AS6*Distances!AS24*1.84</f>
        <v>219.03780571428575</v>
      </c>
      <c r="AT27" s="14">
        <f>2*FR131*AT6*Distances!AT24*1.84</f>
        <v>208.52772571428571</v>
      </c>
      <c r="AU27" s="14">
        <f>2*FS131*AU6*Distances!AU24*1.84</f>
        <v>3293.7177600000005</v>
      </c>
      <c r="AV27" s="14">
        <f>2*FT131*AV6*Distances!AV24*1.84</f>
        <v>257.03717647058829</v>
      </c>
      <c r="AW27" s="14">
        <f>2*FU131*AW6*Distances!AW24*1.84</f>
        <v>672.80914285714289</v>
      </c>
      <c r="AX27" s="14">
        <f>2*FV131*AX6*Distances!AX24*1.84</f>
        <v>1221.6022857142857</v>
      </c>
      <c r="AY27" s="14">
        <f>2*FW131*AY6*Distances!AY24*1.84</f>
        <v>535.03185454545462</v>
      </c>
      <c r="AZ27" s="14">
        <f>2*FX131*AZ6*Distances!AZ24*1.84</f>
        <v>578.30196363636378</v>
      </c>
      <c r="BA27" s="14" t="s">
        <v>62</v>
      </c>
      <c r="BB27" s="13">
        <f>2*FZ131*BB6*Distances!BB24*1.84</f>
        <v>350.29919999999998</v>
      </c>
      <c r="BC27" s="14">
        <f>2*GA131*BC6*Distances!BC24*1.84</f>
        <v>7663.8208000000004</v>
      </c>
      <c r="BD27" s="14">
        <f>2*GB131*BD6*Distances!BD24*1.84</f>
        <v>6657.0064457142853</v>
      </c>
      <c r="BE27" s="14">
        <f>2*GC131*BE6*Distances!BE24*1.84</f>
        <v>7400.1729828571442</v>
      </c>
      <c r="BF27" s="13">
        <f>2*GD131*BF6*Distances!BF24*1.84</f>
        <v>326.23200000000003</v>
      </c>
      <c r="BG27" s="13">
        <f>2*GE131*BG6*Distances!BG24*1.84</f>
        <v>373.40960000000007</v>
      </c>
      <c r="BH27" s="14" t="s">
        <v>62</v>
      </c>
      <c r="BI27" s="14" t="s">
        <v>62</v>
      </c>
      <c r="BJ27" s="15" t="s">
        <v>62</v>
      </c>
    </row>
    <row r="28" spans="1:62" x14ac:dyDescent="0.3">
      <c r="A28" s="35" t="s">
        <v>22</v>
      </c>
      <c r="B28" s="16" t="s">
        <v>62</v>
      </c>
      <c r="C28" s="14" t="s">
        <v>62</v>
      </c>
      <c r="D28" s="14" t="s">
        <v>62</v>
      </c>
      <c r="E28" s="14" t="s">
        <v>62</v>
      </c>
      <c r="F28" s="14" t="s">
        <v>62</v>
      </c>
      <c r="G28" s="14" t="s">
        <v>62</v>
      </c>
      <c r="H28" s="14" t="s">
        <v>62</v>
      </c>
      <c r="I28" s="14" t="s">
        <v>62</v>
      </c>
      <c r="J28" s="14" t="s">
        <v>62</v>
      </c>
      <c r="K28" s="14" t="s">
        <v>62</v>
      </c>
      <c r="L28" s="14" t="s">
        <v>62</v>
      </c>
      <c r="M28" s="14" t="s">
        <v>62</v>
      </c>
      <c r="N28" s="14" t="s">
        <v>62</v>
      </c>
      <c r="O28" s="14" t="s">
        <v>62</v>
      </c>
      <c r="P28" s="14" t="s">
        <v>62</v>
      </c>
      <c r="Q28" s="13" t="s">
        <v>62</v>
      </c>
      <c r="R28" s="13" t="s">
        <v>62</v>
      </c>
      <c r="S28" s="13" t="s">
        <v>62</v>
      </c>
      <c r="T28" s="13">
        <f>2*ER132*T6*Distances!T25*1.84</f>
        <v>288.73740000000004</v>
      </c>
      <c r="U28" s="13">
        <f>2*ES132*U6*Distances!U25*1.84</f>
        <v>378.60760000000005</v>
      </c>
      <c r="V28" s="13">
        <f>2*ET132*V6*Distances!V25*1.84</f>
        <v>2110.1212</v>
      </c>
      <c r="W28" s="12">
        <f>2*EU132*W6*Distances!W25*1.84</f>
        <v>0</v>
      </c>
      <c r="X28" s="13">
        <f>2*EV132*X6*Distances!X25*1.84</f>
        <v>750.24160000000006</v>
      </c>
      <c r="Y28" s="13">
        <f>2*EW132*Y6*Distances!Y25*1.84</f>
        <v>918.32560000000012</v>
      </c>
      <c r="Z28" s="13">
        <f>2*EX132*Z6*Distances!Z25*1.84</f>
        <v>157.03480000000002</v>
      </c>
      <c r="AA28" s="13">
        <f>2*EY132*AA6*Distances!AA25*1.84</f>
        <v>101.99120000000001</v>
      </c>
      <c r="AB28" s="13">
        <f>2*EZ132*AB6*Distances!AB25*1.84</f>
        <v>198.88560000000004</v>
      </c>
      <c r="AC28" s="13">
        <f>2*FA132*AC6*Distances!AC25*1.84</f>
        <v>166.8604</v>
      </c>
      <c r="AD28" s="13">
        <f>2*FB132*AD6*Distances!AD25*1.84</f>
        <v>38.327200000000005</v>
      </c>
      <c r="AE28" s="13">
        <f>2*FC132*AE6*Distances!AE25*1.84</f>
        <v>83.554400000000015</v>
      </c>
      <c r="AF28" s="13">
        <f>2*FD132*AF6*Distances!AF25*1.84</f>
        <v>117.37360000000001</v>
      </c>
      <c r="AG28" s="13">
        <f>2*FE132*AG6*Distances!AG25*1.84</f>
        <v>177.79920000000001</v>
      </c>
      <c r="AH28" s="14" t="s">
        <v>62</v>
      </c>
      <c r="AI28" s="14">
        <f>2*FG132*AI6*Distances!AI25*1.84</f>
        <v>186.53394285714288</v>
      </c>
      <c r="AJ28" s="14" t="s">
        <v>62</v>
      </c>
      <c r="AK28" s="14" t="s">
        <v>62</v>
      </c>
      <c r="AL28" s="14" t="s">
        <v>62</v>
      </c>
      <c r="AM28" s="14" t="s">
        <v>62</v>
      </c>
      <c r="AN28" s="14" t="s">
        <v>62</v>
      </c>
      <c r="AO28" s="14" t="s">
        <v>62</v>
      </c>
      <c r="AP28" s="14" t="s">
        <v>62</v>
      </c>
      <c r="AQ28" s="14" t="s">
        <v>62</v>
      </c>
      <c r="AR28" s="14">
        <f>2*FP132*AR6*Distances!AR25*1.84</f>
        <v>275.95373714285711</v>
      </c>
      <c r="AS28" s="14">
        <f>2*FQ132*AS6*Distances!AS25*1.84</f>
        <v>244.00713142857145</v>
      </c>
      <c r="AT28" s="14">
        <f>2*FR132*AT6*Distances!AT25*1.84</f>
        <v>233.49705142857144</v>
      </c>
      <c r="AU28" s="14">
        <f>2*FS132*AU6*Distances!AU25*1.84</f>
        <v>3214.4358400000006</v>
      </c>
      <c r="AV28" s="14">
        <f>2*FT132*AV6*Distances!AV25*1.84</f>
        <v>227.90023529411764</v>
      </c>
      <c r="AW28" s="14">
        <f>2*FU132*AW6*Distances!AW25*1.84</f>
        <v>644.49417142857146</v>
      </c>
      <c r="AX28" s="14">
        <f>2*FV132*AX6*Distances!AX25*1.84</f>
        <v>1193.2873142857145</v>
      </c>
      <c r="AY28" s="14">
        <f>2*FW132*AY6*Distances!AY25*1.84</f>
        <v>574.74909090909102</v>
      </c>
      <c r="AZ28" s="14">
        <f>2*FX132*AZ6*Distances!AZ25*1.84</f>
        <v>618.01920000000007</v>
      </c>
      <c r="BA28" s="14">
        <f>2*FY132*BA6*Distances!BA25*1.84</f>
        <v>1014.7379199999999</v>
      </c>
      <c r="BB28" s="12">
        <f>2*FZ132*BB6*Distances!BB25*1.84</f>
        <v>9837.0815999999995</v>
      </c>
      <c r="BC28" s="14">
        <f>2*GA132*BC6*Distances!BC25*1.84</f>
        <v>7482.6049828571431</v>
      </c>
      <c r="BD28" s="14">
        <f>2*GB132*BD6*Distances!BD25*1.84</f>
        <v>6475.7906285714289</v>
      </c>
      <c r="BE28" s="14">
        <f>2*GC132*BE6*Distances!BE25*1.84</f>
        <v>7218.9571657142851</v>
      </c>
      <c r="BF28" s="13">
        <f>2*GD132*BF6*Distances!BF25*1.84</f>
        <v>298.83440000000002</v>
      </c>
      <c r="BG28" s="13">
        <f>2*GE132*BG6*Distances!BG25*1.84</f>
        <v>482.65040000000005</v>
      </c>
      <c r="BH28" s="14" t="s">
        <v>62</v>
      </c>
      <c r="BI28" s="14" t="s">
        <v>62</v>
      </c>
      <c r="BJ28" s="15" t="s">
        <v>62</v>
      </c>
    </row>
    <row r="29" spans="1:62" x14ac:dyDescent="0.3">
      <c r="A29" s="35" t="s">
        <v>23</v>
      </c>
      <c r="B29" s="16" t="s">
        <v>62</v>
      </c>
      <c r="C29" s="14" t="s">
        <v>62</v>
      </c>
      <c r="D29" s="14" t="s">
        <v>62</v>
      </c>
      <c r="E29" s="14" t="s">
        <v>62</v>
      </c>
      <c r="F29" s="14" t="s">
        <v>62</v>
      </c>
      <c r="G29" s="14" t="s">
        <v>62</v>
      </c>
      <c r="H29" s="14" t="s">
        <v>62</v>
      </c>
      <c r="I29" s="14" t="s">
        <v>62</v>
      </c>
      <c r="J29" s="14" t="s">
        <v>62</v>
      </c>
      <c r="K29" s="14" t="s">
        <v>62</v>
      </c>
      <c r="L29" s="14" t="s">
        <v>62</v>
      </c>
      <c r="M29" s="14" t="s">
        <v>62</v>
      </c>
      <c r="N29" s="14" t="s">
        <v>62</v>
      </c>
      <c r="O29" s="14" t="s">
        <v>62</v>
      </c>
      <c r="P29" s="14" t="s">
        <v>62</v>
      </c>
      <c r="Q29" s="13" t="s">
        <v>62</v>
      </c>
      <c r="R29" s="13" t="s">
        <v>62</v>
      </c>
      <c r="S29" s="13" t="s">
        <v>62</v>
      </c>
      <c r="T29" s="13">
        <f>2*ER133*T6*Distances!T26*1.84</f>
        <v>335.45960000000002</v>
      </c>
      <c r="U29" s="13">
        <f>2*ES133*U6*Distances!U26*1.84</f>
        <v>395.12620000000004</v>
      </c>
      <c r="V29" s="13">
        <f>2*ET133*V6*Distances!V26*1.84</f>
        <v>1553.0428000000004</v>
      </c>
      <c r="W29" s="13">
        <f>2*EU133*W6*Distances!W26*1.84</f>
        <v>750.24160000000006</v>
      </c>
      <c r="X29" s="12">
        <f>2*EV133*X6*Distances!X26*1.84</f>
        <v>0</v>
      </c>
      <c r="Y29" s="13">
        <f>2*EW133*Y6*Distances!Y26*1.84</f>
        <v>1309.1876000000002</v>
      </c>
      <c r="Z29" s="13">
        <f>2*EX133*Z6*Distances!Z26*1.84</f>
        <v>137.89880000000002</v>
      </c>
      <c r="AA29" s="13">
        <f>2*EY133*AA6*Distances!AA26*1.84</f>
        <v>95.008400000000009</v>
      </c>
      <c r="AB29" s="13">
        <f>2*EZ133*AB6*Distances!AB26*1.84</f>
        <v>217.9572</v>
      </c>
      <c r="AC29" s="13">
        <f>2*FA133*AC6*Distances!AC26*1.84</f>
        <v>171.57080000000002</v>
      </c>
      <c r="AD29" s="13">
        <f>2*FB133*AD6*Distances!AD26*1.84</f>
        <v>13.137600000000001</v>
      </c>
      <c r="AE29" s="13">
        <f>2*FC133*AE6*Distances!AE26*1.84</f>
        <v>54.694000000000003</v>
      </c>
      <c r="AF29" s="13">
        <f>2*FD133*AF6*Distances!AF26*1.84</f>
        <v>63.664000000000009</v>
      </c>
      <c r="AG29" s="13">
        <f>2*FE133*AG6*Distances!AG26*1.84</f>
        <v>124.07119999999999</v>
      </c>
      <c r="AH29" s="14" t="s">
        <v>62</v>
      </c>
      <c r="AI29" s="14">
        <f>2*FG133*AI6*Distances!AI26*1.84</f>
        <v>180.64804571428573</v>
      </c>
      <c r="AJ29" s="14" t="s">
        <v>62</v>
      </c>
      <c r="AK29" s="14" t="s">
        <v>62</v>
      </c>
      <c r="AL29" s="14" t="s">
        <v>62</v>
      </c>
      <c r="AM29" s="14" t="s">
        <v>62</v>
      </c>
      <c r="AN29" s="14" t="s">
        <v>62</v>
      </c>
      <c r="AO29" s="14" t="s">
        <v>62</v>
      </c>
      <c r="AP29" s="14" t="s">
        <v>62</v>
      </c>
      <c r="AQ29" s="14" t="s">
        <v>62</v>
      </c>
      <c r="AR29" s="14">
        <f>2*FP133*AR6*Distances!AR26*1.84</f>
        <v>263.67305142857145</v>
      </c>
      <c r="AS29" s="14">
        <f>2*FQ133*AS6*Distances!AS26*1.84</f>
        <v>231.72644571428572</v>
      </c>
      <c r="AT29" s="14">
        <f>2*FR133*AT6*Distances!AT26*1.84</f>
        <v>221.2163657142857</v>
      </c>
      <c r="AU29" s="14">
        <f>2*FS133*AU6*Distances!AU26*1.84</f>
        <v>3132.0627199999999</v>
      </c>
      <c r="AV29" s="14">
        <f>2*FT133*AV6*Distances!AV26*1.84</f>
        <v>197.60517647058825</v>
      </c>
      <c r="AW29" s="14">
        <f>2*FU133*AW6*Distances!AW26*1.84</f>
        <v>615.06468571428582</v>
      </c>
      <c r="AX29" s="14">
        <f>2*FV133*AX6*Distances!AX26*1.84</f>
        <v>1163.8578285714284</v>
      </c>
      <c r="AY29" s="14">
        <f>2*FW133*AY6*Distances!AY26*1.84</f>
        <v>555.52610909090924</v>
      </c>
      <c r="AZ29" s="14">
        <f>2*FX133*AZ6*Distances!AZ26*1.84</f>
        <v>598.4817454545456</v>
      </c>
      <c r="BA29" s="14">
        <f>2*FY133*BA6*Distances!BA26*1.84</f>
        <v>991.19433142857156</v>
      </c>
      <c r="BB29" s="13">
        <f>2*FZ133*BB6*Distances!BB26*1.84</f>
        <v>254.78480000000002</v>
      </c>
      <c r="BC29" s="14">
        <f>2*GA133*BC6*Distances!BC26*1.84</f>
        <v>7294.3235657142859</v>
      </c>
      <c r="BD29" s="14">
        <f>2*GB133*BD6*Distances!BD26*1.84</f>
        <v>6287.4419200000002</v>
      </c>
      <c r="BE29" s="14">
        <f>2*GC133*BE6*Distances!BE26*1.84</f>
        <v>7030.6084571428573</v>
      </c>
      <c r="BF29" s="13">
        <f>2*GD133*BF6*Distances!BF26*1.84</f>
        <v>247.35120000000003</v>
      </c>
      <c r="BG29" s="13">
        <f>2*GE133*BG6*Distances!BG26*1.84</f>
        <v>428.92240000000004</v>
      </c>
      <c r="BH29" s="14" t="s">
        <v>62</v>
      </c>
      <c r="BI29" s="14" t="s">
        <v>62</v>
      </c>
      <c r="BJ29" s="15" t="s">
        <v>62</v>
      </c>
    </row>
    <row r="30" spans="1:62" x14ac:dyDescent="0.3">
      <c r="A30" s="35" t="s">
        <v>24</v>
      </c>
      <c r="B30" s="16" t="s">
        <v>62</v>
      </c>
      <c r="C30" s="14" t="s">
        <v>62</v>
      </c>
      <c r="D30" s="14" t="s">
        <v>62</v>
      </c>
      <c r="E30" s="14" t="s">
        <v>62</v>
      </c>
      <c r="F30" s="14" t="s">
        <v>62</v>
      </c>
      <c r="G30" s="14" t="s">
        <v>62</v>
      </c>
      <c r="H30" s="14" t="s">
        <v>62</v>
      </c>
      <c r="I30" s="14" t="s">
        <v>62</v>
      </c>
      <c r="J30" s="14" t="s">
        <v>62</v>
      </c>
      <c r="K30" s="14" t="s">
        <v>62</v>
      </c>
      <c r="L30" s="14" t="s">
        <v>62</v>
      </c>
      <c r="M30" s="14" t="s">
        <v>62</v>
      </c>
      <c r="N30" s="14" t="s">
        <v>62</v>
      </c>
      <c r="O30" s="14" t="s">
        <v>62</v>
      </c>
      <c r="P30" s="14" t="s">
        <v>62</v>
      </c>
      <c r="Q30" s="13" t="s">
        <v>62</v>
      </c>
      <c r="R30" s="13" t="s">
        <v>62</v>
      </c>
      <c r="S30" s="13" t="s">
        <v>62</v>
      </c>
      <c r="T30" s="13">
        <f>2*ER134*T6*Distances!T27*1.84</f>
        <v>180.60980000000001</v>
      </c>
      <c r="U30" s="13">
        <f>2*ES134*U6*Distances!U27*1.84</f>
        <v>262.55880000000008</v>
      </c>
      <c r="V30" s="13">
        <f>2*ET134*V6*Distances!V27*1.84</f>
        <v>1848.3904000000002</v>
      </c>
      <c r="W30" s="13">
        <f>2*EU134*W6*Distances!W27*1.84</f>
        <v>918.32560000000012</v>
      </c>
      <c r="X30" s="13">
        <f>2*EV134*X6*Distances!X27*1.84</f>
        <v>1309.1876000000002</v>
      </c>
      <c r="Y30" s="12">
        <f>2*EW134*Y6*Distances!Y27*1.84</f>
        <v>0</v>
      </c>
      <c r="Z30" s="13">
        <f>2*EX134*Z6*Distances!Z27*1.84</f>
        <v>133.44600000000003</v>
      </c>
      <c r="AA30" s="13">
        <f>2*EY134*AA6*Distances!AA27*1.84</f>
        <v>80.343599999999995</v>
      </c>
      <c r="AB30" s="13">
        <f>2*EZ134*AB6*Distances!AB27*1.84</f>
        <v>168.51640000000003</v>
      </c>
      <c r="AC30" s="13">
        <f>2*FA134*AC6*Distances!AC27*1.84</f>
        <v>133.4092</v>
      </c>
      <c r="AD30" s="13">
        <f>2*FB134*AD6*Distances!AD27*1.84</f>
        <v>59.57</v>
      </c>
      <c r="AE30" s="13">
        <f>2*FC134*AE6*Distances!AE27*1.84</f>
        <v>94.484000000000009</v>
      </c>
      <c r="AF30" s="13">
        <f>2*FD134*AF6*Distances!AF27*1.84</f>
        <v>120.64880000000002</v>
      </c>
      <c r="AG30" s="13">
        <f>2*FE134*AG6*Distances!AG27*1.84</f>
        <v>181.05600000000001</v>
      </c>
      <c r="AH30" s="14" t="s">
        <v>62</v>
      </c>
      <c r="AI30" s="14">
        <f>2*FG134*AI6*Distances!AI27*1.84</f>
        <v>190.27282285714287</v>
      </c>
      <c r="AJ30" s="14" t="s">
        <v>62</v>
      </c>
      <c r="AK30" s="14">
        <f>2*FI134*AK6*Distances!AK27*1.84</f>
        <v>202.47149714285715</v>
      </c>
      <c r="AL30" s="14" t="s">
        <v>62</v>
      </c>
      <c r="AM30" s="14" t="s">
        <v>62</v>
      </c>
      <c r="AN30" s="14" t="s">
        <v>62</v>
      </c>
      <c r="AO30" s="14" t="s">
        <v>62</v>
      </c>
      <c r="AP30" s="14" t="s">
        <v>62</v>
      </c>
      <c r="AQ30" s="14" t="s">
        <v>62</v>
      </c>
      <c r="AR30" s="14">
        <f>2*FP134*AR6*Distances!AR27*1.84</f>
        <v>274.62052571428575</v>
      </c>
      <c r="AS30" s="14">
        <f>2*FQ134*AS6*Distances!AS27*1.84</f>
        <v>242.67392000000001</v>
      </c>
      <c r="AT30" s="14">
        <f>2*FR134*AT6*Distances!AT27*1.84</f>
        <v>232.16384000000002</v>
      </c>
      <c r="AU30" s="14">
        <f>2*FS134*AU6*Distances!AU27*1.84</f>
        <v>3266.8096</v>
      </c>
      <c r="AV30" s="14">
        <f>2*FT134*AV6*Distances!AV27*1.84</f>
        <v>247.14447058823529</v>
      </c>
      <c r="AW30" s="14">
        <f>2*FU134*AW6*Distances!AW27*1.84</f>
        <v>663.19908571428584</v>
      </c>
      <c r="AX30" s="14">
        <f>2*FV134*AX6*Distances!AX27*1.84</f>
        <v>1211.9922285714285</v>
      </c>
      <c r="AY30" s="14">
        <f>2*FW134*AY6*Distances!AY27*1.84</f>
        <v>572.62807272727287</v>
      </c>
      <c r="AZ30" s="14">
        <f>2*FX134*AZ6*Distances!AZ27*1.84</f>
        <v>615.89818181818191</v>
      </c>
      <c r="BA30" s="14">
        <f>2*FY134*BA6*Distances!BA27*1.84</f>
        <v>1029.69344</v>
      </c>
      <c r="BB30" s="13">
        <f>2*FZ134*BB6*Distances!BB27*1.84</f>
        <v>266.34000000000003</v>
      </c>
      <c r="BC30" s="14">
        <f>2*GA134*BC6*Distances!BC27*1.84</f>
        <v>7602.3164342857144</v>
      </c>
      <c r="BD30" s="14">
        <f>2*GB134*BD6*Distances!BD27*1.84</f>
        <v>6595.5020800000002</v>
      </c>
      <c r="BE30" s="14">
        <f>2*GC134*BE6*Distances!BE27*1.84</f>
        <v>7338.6686171428573</v>
      </c>
      <c r="BF30" s="13">
        <f>2*GD134*BF6*Distances!BF27*1.84</f>
        <v>347.88880000000006</v>
      </c>
      <c r="BG30" s="13">
        <f>2*GE134*BG6*Distances!BG27*1.84</f>
        <v>476.81760000000008</v>
      </c>
      <c r="BH30" s="14" t="s">
        <v>62</v>
      </c>
      <c r="BI30" s="14" t="s">
        <v>62</v>
      </c>
      <c r="BJ30" s="15" t="s">
        <v>62</v>
      </c>
    </row>
    <row r="31" spans="1:62" x14ac:dyDescent="0.3">
      <c r="A31" s="35" t="s">
        <v>25</v>
      </c>
      <c r="B31" s="16" t="s">
        <v>62</v>
      </c>
      <c r="C31" s="14" t="s">
        <v>62</v>
      </c>
      <c r="D31" s="14" t="s">
        <v>62</v>
      </c>
      <c r="E31" s="14" t="s">
        <v>62</v>
      </c>
      <c r="F31" s="14" t="s">
        <v>62</v>
      </c>
      <c r="G31" s="14" t="s">
        <v>62</v>
      </c>
      <c r="H31" s="14" t="s">
        <v>62</v>
      </c>
      <c r="I31" s="14" t="s">
        <v>62</v>
      </c>
      <c r="J31" s="14" t="s">
        <v>62</v>
      </c>
      <c r="K31" s="14" t="s">
        <v>62</v>
      </c>
      <c r="L31" s="14" t="s">
        <v>62</v>
      </c>
      <c r="M31" s="14" t="s">
        <v>62</v>
      </c>
      <c r="N31" s="14" t="s">
        <v>62</v>
      </c>
      <c r="O31" s="14" t="s">
        <v>62</v>
      </c>
      <c r="P31" s="14" t="s">
        <v>62</v>
      </c>
      <c r="Q31" s="13" t="s">
        <v>62</v>
      </c>
      <c r="R31" s="13" t="s">
        <v>62</v>
      </c>
      <c r="S31" s="13" t="s">
        <v>62</v>
      </c>
      <c r="T31" s="13">
        <f>2*ER135*T6*Distances!T28*1.84</f>
        <v>460.04140000000007</v>
      </c>
      <c r="U31" s="13">
        <f>2*ES135*U6*Distances!U28*1.84</f>
        <v>316.59040000000005</v>
      </c>
      <c r="V31" s="13">
        <f>2*ET135*V6*Distances!V28*1.84</f>
        <v>2440.4196000000006</v>
      </c>
      <c r="W31" s="13">
        <f>2*EU135*W6*Distances!W28*1.84</f>
        <v>4554.0092000000013</v>
      </c>
      <c r="X31" s="13">
        <f>2*EV135*X6*Distances!X28*1.84</f>
        <v>3999.0652000000005</v>
      </c>
      <c r="Y31" s="13">
        <f>2*EW135*Y6*Distances!Y28*1.84</f>
        <v>3869.9340000000007</v>
      </c>
      <c r="Z31" s="12">
        <f>2*EX135*Z6*Distances!Z28*1.84</f>
        <v>0</v>
      </c>
      <c r="AA31" s="13">
        <f>2*EY135*AA6*Distances!AA28*1.84</f>
        <v>52.743600000000001</v>
      </c>
      <c r="AB31" s="13">
        <f>2*EZ135*AB6*Distances!AB28*1.84</f>
        <v>179.42760000000001</v>
      </c>
      <c r="AC31" s="13">
        <f>2*FA135*AC6*Distances!AC28*1.84</f>
        <v>125.33159999999999</v>
      </c>
      <c r="AD31" s="13">
        <f>2*FB135*AD6*Distances!AD28*1.84</f>
        <v>154.24719999999999</v>
      </c>
      <c r="AE31" s="13">
        <f>2*FC135*AE6*Distances!AE28*1.84</f>
        <v>144.9092</v>
      </c>
      <c r="AF31" s="13">
        <f>2*FD135*AF6*Distances!AF28*1.84</f>
        <v>239.03440000000001</v>
      </c>
      <c r="AG31" s="13">
        <f>2*FE135*AG6*Distances!AG28*1.84</f>
        <v>214.87520000000001</v>
      </c>
      <c r="AH31" s="14" t="s">
        <v>62</v>
      </c>
      <c r="AI31" s="14" t="s">
        <v>62</v>
      </c>
      <c r="AJ31" s="14" t="s">
        <v>62</v>
      </c>
      <c r="AK31" s="14" t="s">
        <v>62</v>
      </c>
      <c r="AL31" s="14" t="s">
        <v>62</v>
      </c>
      <c r="AM31" s="14" t="s">
        <v>62</v>
      </c>
      <c r="AN31" s="14" t="s">
        <v>62</v>
      </c>
      <c r="AO31" s="14" t="s">
        <v>62</v>
      </c>
      <c r="AP31" s="14" t="s">
        <v>62</v>
      </c>
      <c r="AQ31" s="14" t="s">
        <v>62</v>
      </c>
      <c r="AR31" s="14" t="s">
        <v>62</v>
      </c>
      <c r="AS31" s="14">
        <f>2*FQ135*AS6*Distances!AS28*1.84</f>
        <v>233.38770285714287</v>
      </c>
      <c r="AT31" s="14" t="s">
        <v>62</v>
      </c>
      <c r="AU31" s="14">
        <f>2*FS135*AU6*Distances!AU28*1.84</f>
        <v>3496.1177600000001</v>
      </c>
      <c r="AV31" s="14">
        <f>2*FT135*AV6*Distances!AV28*1.84</f>
        <v>331.45976470588238</v>
      </c>
      <c r="AW31" s="14">
        <f>2*FU135*AW6*Distances!AW28*1.84</f>
        <v>745.09485714285711</v>
      </c>
      <c r="AX31" s="14">
        <f>2*FV135*AX6*Distances!AX28*1.84</f>
        <v>1293.8879999999999</v>
      </c>
      <c r="AY31" s="14">
        <f>2*FW135*AY6*Distances!AY28*1.84</f>
        <v>557.86123636363652</v>
      </c>
      <c r="AZ31" s="14">
        <f>2*FX135*AZ6*Distances!AZ28*1.84</f>
        <v>601.13134545454557</v>
      </c>
      <c r="BA31" s="14" t="s">
        <v>62</v>
      </c>
      <c r="BB31" s="13">
        <f>2*FZ135*BB6*Distances!BB28*1.84</f>
        <v>510.21360000000004</v>
      </c>
      <c r="BC31" s="14">
        <f>2*GA135*BC6*Distances!BC28*1.84</f>
        <v>8126.4493714285718</v>
      </c>
      <c r="BD31" s="14">
        <f>2*GB135*BD6*Distances!BD28*1.84</f>
        <v>7119.6350171428576</v>
      </c>
      <c r="BE31" s="14">
        <f>2*GC135*BE6*Distances!BE28*1.84</f>
        <v>7862.8015542857147</v>
      </c>
      <c r="BF31" s="13">
        <f>2*GD135*BF6*Distances!BF28*1.84</f>
        <v>448.75760000000002</v>
      </c>
      <c r="BG31" s="13" t="s">
        <v>62</v>
      </c>
      <c r="BH31" s="14" t="s">
        <v>62</v>
      </c>
      <c r="BI31" s="14" t="s">
        <v>62</v>
      </c>
      <c r="BJ31" s="15" t="s">
        <v>62</v>
      </c>
    </row>
    <row r="32" spans="1:62" x14ac:dyDescent="0.3">
      <c r="A32" s="35" t="s">
        <v>26</v>
      </c>
      <c r="B32" s="16" t="s">
        <v>62</v>
      </c>
      <c r="C32" s="14" t="s">
        <v>62</v>
      </c>
      <c r="D32" s="14" t="s">
        <v>62</v>
      </c>
      <c r="E32" s="14" t="s">
        <v>62</v>
      </c>
      <c r="F32" s="14" t="s">
        <v>62</v>
      </c>
      <c r="G32" s="14" t="s">
        <v>62</v>
      </c>
      <c r="H32" s="14" t="s">
        <v>62</v>
      </c>
      <c r="I32" s="14" t="s">
        <v>62</v>
      </c>
      <c r="J32" s="14" t="s">
        <v>62</v>
      </c>
      <c r="K32" s="14" t="s">
        <v>62</v>
      </c>
      <c r="L32" s="14" t="s">
        <v>62</v>
      </c>
      <c r="M32" s="14" t="s">
        <v>62</v>
      </c>
      <c r="N32" s="14" t="s">
        <v>62</v>
      </c>
      <c r="O32" s="14" t="s">
        <v>62</v>
      </c>
      <c r="P32" s="14" t="s">
        <v>62</v>
      </c>
      <c r="Q32" s="13" t="s">
        <v>62</v>
      </c>
      <c r="R32" s="13" t="s">
        <v>62</v>
      </c>
      <c r="S32" s="13" t="s">
        <v>62</v>
      </c>
      <c r="T32" s="13">
        <f>2*ER136*T6*Distances!T29*1.84</f>
        <v>275.05240000000003</v>
      </c>
      <c r="U32" s="13">
        <f>2*ES136*U6*Distances!U29*1.84</f>
        <v>140.97160000000002</v>
      </c>
      <c r="V32" s="13">
        <f>2*ET136*V6*Distances!V29*1.84</f>
        <v>1315.5908000000002</v>
      </c>
      <c r="W32" s="13">
        <f>2*EU136*W6*Distances!W29*1.84</f>
        <v>2957.7448000000004</v>
      </c>
      <c r="X32" s="13">
        <f>2*EV136*X6*Distances!X29*1.84</f>
        <v>2755.2436000000007</v>
      </c>
      <c r="Y32" s="13">
        <f>2*EW136*Y6*Distances!Y29*1.84</f>
        <v>2329.9644000000003</v>
      </c>
      <c r="Z32" s="13">
        <f>2*EX136*Z6*Distances!Z29*1.84</f>
        <v>52.743600000000001</v>
      </c>
      <c r="AA32" s="12">
        <f>2*EY136*AA6*Distances!AA29*1.84</f>
        <v>0</v>
      </c>
      <c r="AB32" s="13">
        <f>2*EZ136*AB6*Distances!AB29*1.84</f>
        <v>144.31120000000001</v>
      </c>
      <c r="AC32" s="13">
        <f>2*FA136*AC6*Distances!AC29*1.84</f>
        <v>90.21520000000001</v>
      </c>
      <c r="AD32" s="13">
        <f>2*FB136*AD6*Distances!AD29*1.84</f>
        <v>111.2004</v>
      </c>
      <c r="AE32" s="13">
        <f>2*FC136*AE6*Distances!AE29*1.84</f>
        <v>120.74080000000001</v>
      </c>
      <c r="AF32" s="13">
        <f>2*FD136*AF6*Distances!AF29*1.84</f>
        <v>162.78480000000002</v>
      </c>
      <c r="AG32" s="13">
        <f>2*FE136*AG6*Distances!AG29*1.84</f>
        <v>166.53840000000002</v>
      </c>
      <c r="AH32" s="14" t="s">
        <v>62</v>
      </c>
      <c r="AI32" s="14" t="s">
        <v>62</v>
      </c>
      <c r="AJ32" s="14" t="s">
        <v>62</v>
      </c>
      <c r="AK32" s="14">
        <f>2*FI136*AK6*Distances!AK29*1.84</f>
        <v>206.37019428571429</v>
      </c>
      <c r="AL32" s="14" t="s">
        <v>62</v>
      </c>
      <c r="AM32" s="14" t="s">
        <v>62</v>
      </c>
      <c r="AN32" s="14" t="s">
        <v>62</v>
      </c>
      <c r="AO32" s="14" t="s">
        <v>62</v>
      </c>
      <c r="AP32" s="14" t="s">
        <v>62</v>
      </c>
      <c r="AQ32" s="14" t="s">
        <v>62</v>
      </c>
      <c r="AR32" s="14" t="s">
        <v>62</v>
      </c>
      <c r="AS32" s="14">
        <f>2*FQ136*AS6*Distances!AS29*1.84</f>
        <v>222.34349714285713</v>
      </c>
      <c r="AT32" s="14">
        <f>2*FR136*AT6*Distances!AT29*1.84</f>
        <v>211.83341714285717</v>
      </c>
      <c r="AU32" s="14">
        <f>2*FS136*AU6*Distances!AU29*1.84</f>
        <v>3426.2860800000003</v>
      </c>
      <c r="AV32" s="14">
        <f>2*FT136*AV6*Distances!AV29*1.84</f>
        <v>305.77552941176475</v>
      </c>
      <c r="AW32" s="14">
        <f>2*FU136*AW6*Distances!AW29*1.84</f>
        <v>720.15497142857146</v>
      </c>
      <c r="AX32" s="14">
        <f>2*FV136*AX6*Distances!AX29*1.84</f>
        <v>1268.9481142857142</v>
      </c>
      <c r="AY32" s="14">
        <f>2*FW136*AY6*Distances!AY29*1.84</f>
        <v>540.28421818181835</v>
      </c>
      <c r="AZ32" s="14">
        <f>2*FX136*AZ6*Distances!AZ29*1.84</f>
        <v>583.55432727272739</v>
      </c>
      <c r="BA32" s="14" t="s">
        <v>62</v>
      </c>
      <c r="BB32" s="13">
        <f>2*FZ136*BB6*Distances!BB29*1.84</f>
        <v>408.84800000000007</v>
      </c>
      <c r="BC32" s="14">
        <f>2*GA136*BC6*Distances!BC29*1.84</f>
        <v>7966.6322285714286</v>
      </c>
      <c r="BD32" s="14">
        <f>2*GB136*BD6*Distances!BD29*1.84</f>
        <v>6960.0197485714289</v>
      </c>
      <c r="BE32" s="14">
        <f>2*GC136*BE6*Distances!BE29*1.84</f>
        <v>7703.186285714286</v>
      </c>
      <c r="BF32" s="13">
        <f>2*GD136*BF6*Distances!BF29*1.84</f>
        <v>400.42080000000004</v>
      </c>
      <c r="BG32" s="13">
        <f>2*GE136*BG6*Distances!BG29*1.84</f>
        <v>387.87200000000001</v>
      </c>
      <c r="BH32" s="14" t="s">
        <v>62</v>
      </c>
      <c r="BI32" s="14" t="s">
        <v>62</v>
      </c>
      <c r="BJ32" s="15" t="s">
        <v>62</v>
      </c>
    </row>
    <row r="33" spans="1:62" x14ac:dyDescent="0.3">
      <c r="A33" s="35" t="s">
        <v>27</v>
      </c>
      <c r="B33" s="16" t="s">
        <v>62</v>
      </c>
      <c r="C33" s="14" t="s">
        <v>62</v>
      </c>
      <c r="D33" s="14" t="s">
        <v>62</v>
      </c>
      <c r="E33" s="14" t="s">
        <v>62</v>
      </c>
      <c r="F33" s="14" t="s">
        <v>62</v>
      </c>
      <c r="G33" s="14" t="s">
        <v>62</v>
      </c>
      <c r="H33" s="14" t="s">
        <v>62</v>
      </c>
      <c r="I33" s="14" t="s">
        <v>62</v>
      </c>
      <c r="J33" s="14" t="s">
        <v>62</v>
      </c>
      <c r="K33" s="14" t="s">
        <v>62</v>
      </c>
      <c r="L33" s="14" t="s">
        <v>62</v>
      </c>
      <c r="M33" s="14" t="s">
        <v>62</v>
      </c>
      <c r="N33" s="14" t="s">
        <v>62</v>
      </c>
      <c r="O33" s="14" t="s">
        <v>62</v>
      </c>
      <c r="P33" s="14" t="s">
        <v>62</v>
      </c>
      <c r="Q33" s="13" t="s">
        <v>62</v>
      </c>
      <c r="R33" s="13" t="s">
        <v>62</v>
      </c>
      <c r="S33" s="13" t="s">
        <v>62</v>
      </c>
      <c r="T33" s="13">
        <f>2*ER137*T6*Distances!T30*1.84</f>
        <v>407.52320000000003</v>
      </c>
      <c r="U33" s="13">
        <f>2*ES137*U6*Distances!U30*1.84</f>
        <v>394.77200000000005</v>
      </c>
      <c r="V33" s="13">
        <f>2*ET137*V6*Distances!V30*1.84</f>
        <v>5230.6140000000005</v>
      </c>
      <c r="W33" s="13">
        <f>2*EU137*W6*Distances!W30*1.84</f>
        <v>5767.6824000000015</v>
      </c>
      <c r="X33" s="13">
        <f>2*EV137*X6*Distances!X30*1.84</f>
        <v>6320.7588000000005</v>
      </c>
      <c r="Y33" s="13">
        <f>2*EW137*Y6*Distances!Y30*1.84</f>
        <v>4886.9756000000016</v>
      </c>
      <c r="Z33" s="13">
        <f>2*EX137*Z6*Distances!Z30*1.84</f>
        <v>179.42760000000001</v>
      </c>
      <c r="AA33" s="13">
        <f>2*EY137*AA6*Distances!AA30*1.84</f>
        <v>144.31120000000001</v>
      </c>
      <c r="AB33" s="12">
        <f>2*EZ137*AB6*Distances!AB30*1.84</f>
        <v>0</v>
      </c>
      <c r="AC33" s="13">
        <f>2*FA137*AC6*Distances!AC30*1.84</f>
        <v>57.049200000000006</v>
      </c>
      <c r="AD33" s="13">
        <f>2*FB137*AD6*Distances!AD30*1.84</f>
        <v>226.97320000000002</v>
      </c>
      <c r="AE33" s="13">
        <f>2*FC137*AE6*Distances!AE30*1.84</f>
        <v>257.18600000000004</v>
      </c>
      <c r="AF33" s="13">
        <f>2*FD137*AF6*Distances!AF30*1.84</f>
        <v>406.7688</v>
      </c>
      <c r="AG33" s="13">
        <f>2*FE137*AG6*Distances!AG30*1.84</f>
        <v>451.70160000000004</v>
      </c>
      <c r="AH33" s="14" t="s">
        <v>62</v>
      </c>
      <c r="AI33" s="14" t="s">
        <v>62</v>
      </c>
      <c r="AJ33" s="14" t="s">
        <v>62</v>
      </c>
      <c r="AK33" s="14">
        <f>2*FI137*AK6*Distances!AK30*1.84</f>
        <v>239.08013714285715</v>
      </c>
      <c r="AL33" s="14" t="s">
        <v>62</v>
      </c>
      <c r="AM33" s="14" t="s">
        <v>62</v>
      </c>
      <c r="AN33" s="14" t="s">
        <v>62</v>
      </c>
      <c r="AO33" s="14" t="s">
        <v>62</v>
      </c>
      <c r="AP33" s="14" t="s">
        <v>62</v>
      </c>
      <c r="AQ33" s="14" t="s">
        <v>62</v>
      </c>
      <c r="AR33" s="14" t="s">
        <v>62</v>
      </c>
      <c r="AS33" s="14">
        <f>2*FQ137*AS6*Distances!AS30*1.84</f>
        <v>287.76758857142858</v>
      </c>
      <c r="AT33" s="14">
        <f>2*FR137*AT6*Distances!AT30*1.84</f>
        <v>277.25750857142856</v>
      </c>
      <c r="AU33" s="14">
        <f>2*FS137*AU6*Distances!AU30*1.84</f>
        <v>3764.4928000000004</v>
      </c>
      <c r="AV33" s="14">
        <f>2*FT137*AV6*Distances!AV30*1.84</f>
        <v>450.24799999999999</v>
      </c>
      <c r="AW33" s="14">
        <f>2*FU137*AW6*Distances!AW30*1.84</f>
        <v>858.40731428571428</v>
      </c>
      <c r="AX33" s="14">
        <f>2*FV137*AX6*Distances!AX30*1.84</f>
        <v>1384.6052571428572</v>
      </c>
      <c r="AY33" s="14" t="s">
        <v>62</v>
      </c>
      <c r="AZ33" s="14">
        <f>2*FX137*AZ6*Distances!AZ30*1.84</f>
        <v>688.52800000000013</v>
      </c>
      <c r="BA33" s="14" t="s">
        <v>62</v>
      </c>
      <c r="BB33" s="13">
        <f>2*FZ137*BB6*Distances!BB30*1.84</f>
        <v>601.2016000000001</v>
      </c>
      <c r="BC33" s="14">
        <f>2*GA137*BC6*Distances!BC30*1.84</f>
        <v>8751.0484114285719</v>
      </c>
      <c r="BD33" s="14">
        <f>2*GB137*BD6*Distances!BD30*1.84</f>
        <v>7734.0730514285706</v>
      </c>
      <c r="BE33" s="14">
        <f>2*GC137*BE6*Distances!BE30*1.84</f>
        <v>8478.6527085714279</v>
      </c>
      <c r="BF33" s="13">
        <f>2*GD137*BF6*Distances!BF30*1.84</f>
        <v>673.80800000000011</v>
      </c>
      <c r="BG33" s="13">
        <f>2*GE137*BG6*Distances!BG30*1.84</f>
        <v>673.84480000000008</v>
      </c>
      <c r="BH33" s="14" t="s">
        <v>62</v>
      </c>
      <c r="BI33" s="14" t="s">
        <v>62</v>
      </c>
      <c r="BJ33" s="15" t="s">
        <v>62</v>
      </c>
    </row>
    <row r="34" spans="1:62" x14ac:dyDescent="0.3">
      <c r="A34" s="35" t="s">
        <v>65</v>
      </c>
      <c r="B34" s="16" t="s">
        <v>62</v>
      </c>
      <c r="C34" s="14" t="s">
        <v>62</v>
      </c>
      <c r="D34" s="14" t="s">
        <v>62</v>
      </c>
      <c r="E34" s="14" t="s">
        <v>62</v>
      </c>
      <c r="F34" s="14" t="s">
        <v>62</v>
      </c>
      <c r="G34" s="14" t="s">
        <v>62</v>
      </c>
      <c r="H34" s="14" t="s">
        <v>62</v>
      </c>
      <c r="I34" s="14" t="s">
        <v>62</v>
      </c>
      <c r="J34" s="14" t="s">
        <v>62</v>
      </c>
      <c r="K34" s="14" t="s">
        <v>62</v>
      </c>
      <c r="L34" s="14" t="s">
        <v>62</v>
      </c>
      <c r="M34" s="14" t="s">
        <v>62</v>
      </c>
      <c r="N34" s="14" t="s">
        <v>62</v>
      </c>
      <c r="O34" s="14" t="s">
        <v>62</v>
      </c>
      <c r="P34" s="14" t="s">
        <v>62</v>
      </c>
      <c r="Q34" s="13" t="s">
        <v>62</v>
      </c>
      <c r="R34" s="13" t="s">
        <v>62</v>
      </c>
      <c r="S34" s="13" t="s">
        <v>62</v>
      </c>
      <c r="T34" s="13">
        <f>2*ER138*T6*Distances!T31*1.84</f>
        <v>332.88360000000006</v>
      </c>
      <c r="U34" s="13">
        <f>2*ES138*U6*Distances!U31*1.84</f>
        <v>205.43600000000001</v>
      </c>
      <c r="V34" s="13">
        <f>2*ET138*V6*Distances!V31*1.84</f>
        <v>3661.563200000001</v>
      </c>
      <c r="W34" s="13">
        <f>2*EU138*W6*Distances!W31*1.84</f>
        <v>4838.9516000000003</v>
      </c>
      <c r="X34" s="13">
        <f>2*EV138*X6*Distances!X31*1.84</f>
        <v>4975.5532000000012</v>
      </c>
      <c r="Y34" s="13">
        <f>2*EW138*Y6*Distances!Y31*1.84</f>
        <v>3868.8668000000002</v>
      </c>
      <c r="Z34" s="13">
        <f>2*EX138*Z6*Distances!Z31*1.84</f>
        <v>125.33159999999999</v>
      </c>
      <c r="AA34" s="13">
        <f>2*EY138*AA6*Distances!AA31*1.84</f>
        <v>90.21520000000001</v>
      </c>
      <c r="AB34" s="13">
        <f>2*EZ138*AB6*Distances!AB31*1.84</f>
        <v>57.049200000000006</v>
      </c>
      <c r="AC34" s="12">
        <f>2*FA138*AC6*Distances!AC31*1.84</f>
        <v>0</v>
      </c>
      <c r="AD34" s="13">
        <f>2*FB138*AD6*Distances!AD31*1.84</f>
        <v>187.81800000000001</v>
      </c>
      <c r="AE34" s="13">
        <f>2*FC138*AE6*Distances!AE31*1.84</f>
        <v>206.95400000000004</v>
      </c>
      <c r="AF34" s="13">
        <f>2*FD138*AF6*Distances!AF31*1.84</f>
        <v>315.19200000000001</v>
      </c>
      <c r="AG34" s="13">
        <f>2*FE138*AG6*Distances!AG31*1.84</f>
        <v>344.02480000000008</v>
      </c>
      <c r="AH34" s="14" t="s">
        <v>62</v>
      </c>
      <c r="AI34" s="14" t="s">
        <v>62</v>
      </c>
      <c r="AJ34" s="14" t="s">
        <v>62</v>
      </c>
      <c r="AK34" s="14" t="s">
        <v>62</v>
      </c>
      <c r="AL34" s="14" t="s">
        <v>62</v>
      </c>
      <c r="AM34" s="14" t="s">
        <v>62</v>
      </c>
      <c r="AN34" s="14" t="s">
        <v>62</v>
      </c>
      <c r="AO34" s="14" t="s">
        <v>62</v>
      </c>
      <c r="AP34" s="14" t="s">
        <v>62</v>
      </c>
      <c r="AQ34" s="14" t="s">
        <v>62</v>
      </c>
      <c r="AR34" s="14" t="s">
        <v>62</v>
      </c>
      <c r="AS34" s="14">
        <f>2*FQ138*AS6*Distances!AS31*1.84</f>
        <v>263.13892571428573</v>
      </c>
      <c r="AT34" s="14">
        <f>2*FR138*AT6*Distances!AT31*1.84</f>
        <v>252.62884571428575</v>
      </c>
      <c r="AU34" s="14">
        <f>2*FS138*AU6*Distances!AU31*1.84</f>
        <v>3616.0563199999997</v>
      </c>
      <c r="AV34" s="14">
        <f>2*FT138*AV6*Distances!AV31*1.84</f>
        <v>395.68658823529415</v>
      </c>
      <c r="AW34" s="14">
        <f>2*FU138*AW6*Distances!AW31*1.84</f>
        <v>805.39428571428573</v>
      </c>
      <c r="AX34" s="14">
        <f>2*FV138*AX6*Distances!AX31*1.84</f>
        <v>1332.8223999999998</v>
      </c>
      <c r="AY34" s="14">
        <f>2*FW138*AY6*Distances!AY31*1.84</f>
        <v>606.4104727272728</v>
      </c>
      <c r="AZ34" s="14">
        <f>2*FX138*AZ6*Distances!AZ31*1.84</f>
        <v>649.18545454545472</v>
      </c>
      <c r="BA34" s="14" t="s">
        <v>62</v>
      </c>
      <c r="BB34" s="13">
        <f>2*FZ138*BB6*Distances!BB31*1.84</f>
        <v>539.15679999999998</v>
      </c>
      <c r="BC34" s="14">
        <f>2*GA138*BC6*Distances!BC31*1.84</f>
        <v>8411.8323200000013</v>
      </c>
      <c r="BD34" s="14">
        <f>2*GB138*BD6*Distances!BD31*1.84</f>
        <v>7394.8569599999992</v>
      </c>
      <c r="BE34" s="14">
        <f>2*GC138*BE6*Distances!BE31*1.84</f>
        <v>8139.3693257142868</v>
      </c>
      <c r="BF34" s="13">
        <f>2*GD138*BF6*Distances!BF31*1.84</f>
        <v>573.12320000000011</v>
      </c>
      <c r="BG34" s="13">
        <f>2*GE138*BG6*Distances!BG31*1.84</f>
        <v>565.65280000000007</v>
      </c>
      <c r="BH34" s="14" t="s">
        <v>62</v>
      </c>
      <c r="BI34" s="14" t="s">
        <v>62</v>
      </c>
      <c r="BJ34" s="15" t="s">
        <v>62</v>
      </c>
    </row>
    <row r="35" spans="1:62" x14ac:dyDescent="0.3">
      <c r="A35" s="35" t="s">
        <v>29</v>
      </c>
      <c r="B35" s="16" t="s">
        <v>62</v>
      </c>
      <c r="C35" s="14" t="s">
        <v>62</v>
      </c>
      <c r="D35" s="14" t="s">
        <v>62</v>
      </c>
      <c r="E35" s="14" t="s">
        <v>62</v>
      </c>
      <c r="F35" s="14" t="s">
        <v>62</v>
      </c>
      <c r="G35" s="14" t="s">
        <v>62</v>
      </c>
      <c r="H35" s="14" t="s">
        <v>62</v>
      </c>
      <c r="I35" s="14" t="s">
        <v>62</v>
      </c>
      <c r="J35" s="14" t="s">
        <v>62</v>
      </c>
      <c r="K35" s="14" t="s">
        <v>62</v>
      </c>
      <c r="L35" s="14" t="s">
        <v>62</v>
      </c>
      <c r="M35" s="14" t="s">
        <v>62</v>
      </c>
      <c r="N35" s="14" t="s">
        <v>62</v>
      </c>
      <c r="O35" s="14" t="s">
        <v>62</v>
      </c>
      <c r="P35" s="14" t="s">
        <v>62</v>
      </c>
      <c r="Q35" s="13" t="s">
        <v>62</v>
      </c>
      <c r="R35" s="13" t="s">
        <v>62</v>
      </c>
      <c r="S35" s="13" t="s">
        <v>62</v>
      </c>
      <c r="T35" s="13">
        <f>2*ER139*T6*Distances!T32*1.84</f>
        <v>385.94920000000002</v>
      </c>
      <c r="U35" s="13">
        <f>2*ES139*U6*Distances!U32*1.84</f>
        <v>451.89480000000009</v>
      </c>
      <c r="V35" s="13">
        <f>2*ET139*V6*Distances!V32*1.84</f>
        <v>2023.4112000000002</v>
      </c>
      <c r="W35" s="13">
        <f>2*EU139*W6*Distances!W32*1.84</f>
        <v>1111.4888000000003</v>
      </c>
      <c r="X35" s="13">
        <f>2*EV139*X6*Distances!X32*1.84</f>
        <v>380.99040000000008</v>
      </c>
      <c r="Y35" s="13">
        <f>2*EW139*Y6*Distances!Y32*1.84</f>
        <v>1727.5300000000002</v>
      </c>
      <c r="Z35" s="13">
        <f>2*EX139*Z6*Distances!Z32*1.84</f>
        <v>154.24719999999999</v>
      </c>
      <c r="AA35" s="13">
        <f>2*EY139*AA6*Distances!AA32*1.84</f>
        <v>111.2004</v>
      </c>
      <c r="AB35" s="13">
        <f>2*EZ139*AB6*Distances!AB32*1.84</f>
        <v>226.97320000000002</v>
      </c>
      <c r="AC35" s="13">
        <f>2*FA139*AC6*Distances!AC32*1.84</f>
        <v>187.81800000000001</v>
      </c>
      <c r="AD35" s="12">
        <f>2*FB139*AD6*Distances!AD32*1.84</f>
        <v>0</v>
      </c>
      <c r="AE35" s="13">
        <f>2*FC139*AE6*Distances!AE32*1.84</f>
        <v>59.321600000000004</v>
      </c>
      <c r="AF35" s="13">
        <f>2*FD139*AF6*Distances!AF32*1.84</f>
        <v>91.28240000000001</v>
      </c>
      <c r="AG35" s="13">
        <f>2*FE139*AG6*Distances!AG32*1.84</f>
        <v>151.68960000000001</v>
      </c>
      <c r="AH35" s="14" t="s">
        <v>62</v>
      </c>
      <c r="AI35" s="14" t="s">
        <v>62</v>
      </c>
      <c r="AJ35" s="14" t="s">
        <v>62</v>
      </c>
      <c r="AK35" s="14" t="s">
        <v>62</v>
      </c>
      <c r="AL35" s="14" t="s">
        <v>62</v>
      </c>
      <c r="AM35" s="14" t="s">
        <v>62</v>
      </c>
      <c r="AN35" s="14" t="s">
        <v>62</v>
      </c>
      <c r="AO35" s="14" t="s">
        <v>62</v>
      </c>
      <c r="AP35" s="14" t="s">
        <v>62</v>
      </c>
      <c r="AQ35" s="14" t="s">
        <v>62</v>
      </c>
      <c r="AR35" s="14">
        <f>2*FP139*AR6*Distances!AR32*1.84</f>
        <v>269.98582857142861</v>
      </c>
      <c r="AS35" s="14">
        <f>2*FQ139*AS6*Distances!AS32*1.84</f>
        <v>238.03922285714287</v>
      </c>
      <c r="AT35" s="14">
        <f>2*FR139*AT6*Distances!AT32*1.84</f>
        <v>227.52914285714286</v>
      </c>
      <c r="AU35" s="14">
        <f>2*FS139*AU6*Distances!AU32*1.84</f>
        <v>3074.97856</v>
      </c>
      <c r="AV35" s="14">
        <f>2*FT139*AV6*Distances!AV32*1.84</f>
        <v>196.75011764705883</v>
      </c>
      <c r="AW35" s="14">
        <f>2*FU139*AW6*Distances!AW32*1.84</f>
        <v>612.15222857142862</v>
      </c>
      <c r="AX35" s="14">
        <f>2*FV139*AX6*Distances!AX32*1.84</f>
        <v>1139.5803428571428</v>
      </c>
      <c r="AY35" s="14">
        <f>2*FW139*AY6*Distances!AY32*1.84</f>
        <v>566.55941818181839</v>
      </c>
      <c r="AZ35" s="14">
        <f>2*FX139*AZ6*Distances!AZ32*1.84</f>
        <v>609.33440000000007</v>
      </c>
      <c r="BA35" s="14">
        <f>2*FY139*BA6*Distances!BA32*1.84</f>
        <v>975.75094857142847</v>
      </c>
      <c r="BB35" s="13" t="s">
        <v>62</v>
      </c>
      <c r="BC35" s="14">
        <f>2*GA139*BC6*Distances!BC32*1.84</f>
        <v>7175.0158628571435</v>
      </c>
      <c r="BD35" s="14">
        <f>2*GB139*BD6*Distances!BD32*1.84</f>
        <v>6158.0405028571431</v>
      </c>
      <c r="BE35" s="14">
        <f>2*GC139*BE6*Distances!BE32*1.84</f>
        <v>6902.6201599999995</v>
      </c>
      <c r="BF35" s="13">
        <f>2*GD139*BF6*Distances!BF32*1.84</f>
        <v>247.18560000000002</v>
      </c>
      <c r="BG35" s="13">
        <f>2*GE139*BG6*Distances!BG32*1.84</f>
        <v>456.06240000000003</v>
      </c>
      <c r="BH35" s="14" t="s">
        <v>62</v>
      </c>
      <c r="BI35" s="14" t="s">
        <v>62</v>
      </c>
      <c r="BJ35" s="15" t="s">
        <v>62</v>
      </c>
    </row>
    <row r="36" spans="1:62" x14ac:dyDescent="0.3">
      <c r="A36" s="35" t="s">
        <v>30</v>
      </c>
      <c r="B36" s="16" t="s">
        <v>62</v>
      </c>
      <c r="C36" s="14" t="s">
        <v>62</v>
      </c>
      <c r="D36" s="14" t="s">
        <v>62</v>
      </c>
      <c r="E36" s="14" t="s">
        <v>62</v>
      </c>
      <c r="F36" s="14" t="s">
        <v>62</v>
      </c>
      <c r="G36" s="14" t="s">
        <v>62</v>
      </c>
      <c r="H36" s="14" t="s">
        <v>62</v>
      </c>
      <c r="I36" s="14" t="s">
        <v>62</v>
      </c>
      <c r="J36" s="14" t="s">
        <v>62</v>
      </c>
      <c r="K36" s="14" t="s">
        <v>62</v>
      </c>
      <c r="L36" s="14" t="s">
        <v>62</v>
      </c>
      <c r="M36" s="14" t="s">
        <v>62</v>
      </c>
      <c r="N36" s="14" t="s">
        <v>62</v>
      </c>
      <c r="O36" s="14" t="s">
        <v>62</v>
      </c>
      <c r="P36" s="14" t="s">
        <v>62</v>
      </c>
      <c r="Q36" s="13" t="s">
        <v>62</v>
      </c>
      <c r="R36" s="13" t="s">
        <v>62</v>
      </c>
      <c r="S36" s="13" t="s">
        <v>62</v>
      </c>
      <c r="T36" s="13">
        <f>2*ER140*T6*Distances!T33*1.84</f>
        <v>494.39880000000011</v>
      </c>
      <c r="U36" s="13">
        <f>2*ES140*U6*Distances!U33*1.84</f>
        <v>518.87080000000014</v>
      </c>
      <c r="V36" s="13">
        <f>2*ET140*V6*Distances!V33*1.84</f>
        <v>2425.7456000000002</v>
      </c>
      <c r="W36" s="13">
        <f>2*EU140*W6*Distances!W33*1.84</f>
        <v>2423.0776000000005</v>
      </c>
      <c r="X36" s="13">
        <f>2*EV140*X6*Distances!X33*1.84</f>
        <v>1586.1260000000002</v>
      </c>
      <c r="Y36" s="13">
        <f>2*EW140*Y6*Distances!Y33*1.84</f>
        <v>2740.0360000000005</v>
      </c>
      <c r="Z36" s="13">
        <f>2*EX140*Z6*Distances!Z33*1.84</f>
        <v>144.9092</v>
      </c>
      <c r="AA36" s="13">
        <f>2*EY140*AA6*Distances!AA33*1.84</f>
        <v>120.74080000000001</v>
      </c>
      <c r="AB36" s="13">
        <f>2*EZ140*AB6*Distances!AB33*1.84</f>
        <v>257.18600000000004</v>
      </c>
      <c r="AC36" s="13">
        <f>2*FA140*AC6*Distances!AC33*1.84</f>
        <v>206.95400000000004</v>
      </c>
      <c r="AD36" s="13">
        <f>2*FB140*AD6*Distances!AD33*1.84</f>
        <v>59.321600000000004</v>
      </c>
      <c r="AE36" s="12">
        <f>2*FC140*AE6*Distances!AE33*1.84</f>
        <v>0</v>
      </c>
      <c r="AF36" s="13">
        <f>2*FD140*AF6*Distances!AF33*1.84</f>
        <v>98.476800000000026</v>
      </c>
      <c r="AG36" s="13">
        <f>2*FE140*AG6*Distances!AG33*1.84</f>
        <v>83.536000000000016</v>
      </c>
      <c r="AH36" s="14" t="s">
        <v>62</v>
      </c>
      <c r="AI36" s="14">
        <f>2*FG140*AI6*Distances!AI33*1.84</f>
        <v>167.30962285714287</v>
      </c>
      <c r="AJ36" s="14" t="s">
        <v>62</v>
      </c>
      <c r="AK36" s="14" t="s">
        <v>62</v>
      </c>
      <c r="AL36" s="14" t="s">
        <v>62</v>
      </c>
      <c r="AM36" s="14" t="s">
        <v>62</v>
      </c>
      <c r="AN36" s="14" t="s">
        <v>62</v>
      </c>
      <c r="AO36" s="14" t="s">
        <v>62</v>
      </c>
      <c r="AP36" s="14" t="s">
        <v>62</v>
      </c>
      <c r="AQ36" s="14" t="s">
        <v>62</v>
      </c>
      <c r="AR36" s="14" t="s">
        <v>62</v>
      </c>
      <c r="AS36" s="14">
        <f>2*FQ140*AS6*Distances!AS33*1.84</f>
        <v>211.93435428571428</v>
      </c>
      <c r="AT36" s="14" t="s">
        <v>62</v>
      </c>
      <c r="AU36" s="14">
        <f>2*FS140*AU6*Distances!AU33*1.84</f>
        <v>2997.02144</v>
      </c>
      <c r="AV36" s="12">
        <f>2*FT140*AV6*Distances!AV33*1.84</f>
        <v>17145.12</v>
      </c>
      <c r="AW36" s="14">
        <f>2*FU140*AW6*Distances!AW33*1.84</f>
        <v>584.31040000000007</v>
      </c>
      <c r="AX36" s="14">
        <f>2*FV140*AX6*Distances!AX33*1.84</f>
        <v>1111.7385142857142</v>
      </c>
      <c r="AY36" s="14">
        <f>2*FW140*AY6*Distances!AY33*1.84</f>
        <v>524.79476363636377</v>
      </c>
      <c r="AZ36" s="14">
        <f>2*FX140*AZ6*Distances!AZ33*1.84</f>
        <v>567.56974545454568</v>
      </c>
      <c r="BA36" s="14">
        <f>2*FY140*BA6*Distances!BA33*1.84</f>
        <v>953.47748571428565</v>
      </c>
      <c r="BB36" s="13">
        <f>2*FZ140*BB6*Distances!BB33*1.84</f>
        <v>370.42880000000008</v>
      </c>
      <c r="BC36" s="14">
        <f>2*GA140*BC6*Distances!BC33*1.84</f>
        <v>6996.82816</v>
      </c>
      <c r="BD36" s="14">
        <f>2*GB140*BD6*Distances!BD33*1.84</f>
        <v>5979.8528000000006</v>
      </c>
      <c r="BE36" s="14">
        <f>2*GC140*BE6*Distances!BE33*1.84</f>
        <v>6724.4324571428569</v>
      </c>
      <c r="BF36" s="12">
        <f>2*GD140*BF6*Distances!BF33*1.84</f>
        <v>7632.6144000000004</v>
      </c>
      <c r="BG36" s="13">
        <f>2*GE140*BG6*Distances!BG33*1.84</f>
        <v>341.19120000000004</v>
      </c>
      <c r="BH36" s="14" t="s">
        <v>62</v>
      </c>
      <c r="BI36" s="14" t="s">
        <v>62</v>
      </c>
      <c r="BJ36" s="15" t="s">
        <v>62</v>
      </c>
    </row>
    <row r="37" spans="1:62" x14ac:dyDescent="0.3">
      <c r="A37" s="35" t="s">
        <v>31</v>
      </c>
      <c r="B37" s="16" t="s">
        <v>62</v>
      </c>
      <c r="C37" s="14" t="s">
        <v>62</v>
      </c>
      <c r="D37" s="14" t="s">
        <v>62</v>
      </c>
      <c r="E37" s="14" t="s">
        <v>62</v>
      </c>
      <c r="F37" s="14" t="s">
        <v>62</v>
      </c>
      <c r="G37" s="14" t="s">
        <v>62</v>
      </c>
      <c r="H37" s="14" t="s">
        <v>62</v>
      </c>
      <c r="I37" s="14" t="s">
        <v>62</v>
      </c>
      <c r="J37" s="14" t="s">
        <v>62</v>
      </c>
      <c r="K37" s="14" t="s">
        <v>62</v>
      </c>
      <c r="L37" s="14" t="s">
        <v>62</v>
      </c>
      <c r="M37" s="14" t="s">
        <v>62</v>
      </c>
      <c r="N37" s="14" t="s">
        <v>62</v>
      </c>
      <c r="O37" s="14" t="s">
        <v>62</v>
      </c>
      <c r="P37" s="14" t="s">
        <v>62</v>
      </c>
      <c r="Q37" s="13" t="s">
        <v>62</v>
      </c>
      <c r="R37" s="13" t="s">
        <v>62</v>
      </c>
      <c r="S37" s="13" t="s">
        <v>62</v>
      </c>
      <c r="T37" s="13">
        <f>2*ER141*T6*Distances!T34*1.84</f>
        <v>331.30580000000009</v>
      </c>
      <c r="U37" s="13">
        <f>2*ES141*U6*Distances!U34*1.84</f>
        <v>346.15000000000009</v>
      </c>
      <c r="V37" s="13">
        <f>2*ET141*V6*Distances!V34*1.84</f>
        <v>1016.2412000000002</v>
      </c>
      <c r="W37" s="13">
        <f>2*EU141*W6*Distances!W34*1.84</f>
        <v>1701.9172000000001</v>
      </c>
      <c r="X37" s="13">
        <f>2*EV141*X6*Distances!X34*1.84</f>
        <v>923.12800000000016</v>
      </c>
      <c r="Y37" s="13">
        <f>2*EW141*Y6*Distances!Y34*1.84</f>
        <v>1749.4076000000005</v>
      </c>
      <c r="Z37" s="13">
        <f>2*EX141*Z6*Distances!Z34*1.84</f>
        <v>119.5172</v>
      </c>
      <c r="AA37" s="13">
        <f>2*EY141*AA6*Distances!AA34*1.84</f>
        <v>81.392400000000009</v>
      </c>
      <c r="AB37" s="13">
        <f>2*EZ141*AB6*Distances!AB34*1.84</f>
        <v>203.3844</v>
      </c>
      <c r="AC37" s="13">
        <f>2*FA141*AC6*Distances!AC34*1.84</f>
        <v>157.596</v>
      </c>
      <c r="AD37" s="13">
        <f>2*FB141*AD6*Distances!AD34*1.84</f>
        <v>45.641200000000005</v>
      </c>
      <c r="AE37" s="13">
        <f>2*FC141*AE6*Distances!AE34*1.84</f>
        <v>49.238400000000013</v>
      </c>
      <c r="AF37" s="12">
        <f>2*FD141*AF6*Distances!AF34*1.84</f>
        <v>0</v>
      </c>
      <c r="AG37" s="13">
        <f>2*FE141*AG6*Distances!AG34*1.84</f>
        <v>60.922400000000017</v>
      </c>
      <c r="AH37" s="14" t="s">
        <v>62</v>
      </c>
      <c r="AI37" s="14">
        <f>2*FG141*AI6*Distances!AI34*1.84</f>
        <v>191.64598857142857</v>
      </c>
      <c r="AJ37" s="14" t="s">
        <v>62</v>
      </c>
      <c r="AK37" s="14" t="s">
        <v>62</v>
      </c>
      <c r="AL37" s="14" t="s">
        <v>62</v>
      </c>
      <c r="AM37" s="14" t="s">
        <v>62</v>
      </c>
      <c r="AN37" s="14" t="s">
        <v>62</v>
      </c>
      <c r="AO37" s="14" t="s">
        <v>62</v>
      </c>
      <c r="AP37" s="14" t="s">
        <v>62</v>
      </c>
      <c r="AQ37" s="14" t="s">
        <v>62</v>
      </c>
      <c r="AR37" s="14" t="s">
        <v>62</v>
      </c>
      <c r="AS37" s="14">
        <f>2*FQ141*AS6*Distances!AS34*1.84</f>
        <v>217.29243428571431</v>
      </c>
      <c r="AT37" s="14" t="s">
        <v>62</v>
      </c>
      <c r="AU37" s="14">
        <f>2*FS141*AU6*Distances!AU34*1.84</f>
        <v>3107.1564800000006</v>
      </c>
      <c r="AV37" s="14">
        <f>2*FT141*AV6*Distances!AV34*1.84</f>
        <v>208.58023529411764</v>
      </c>
      <c r="AW37" s="14">
        <f>2*FU141*AW6*Distances!AW34*1.84</f>
        <v>623.64434285714276</v>
      </c>
      <c r="AX37" s="14">
        <f>2*FV141*AX6*Distances!AX34*1.84</f>
        <v>1151.0724571428573</v>
      </c>
      <c r="AY37" s="14">
        <f>2*FW141*AY6*Distances!AY34*1.84</f>
        <v>533.4862545454547</v>
      </c>
      <c r="AZ37" s="14">
        <f>2*FX141*AZ6*Distances!AZ34*1.84</f>
        <v>576.2612363636365</v>
      </c>
      <c r="BA37" s="14" t="s">
        <v>62</v>
      </c>
      <c r="BB37" s="13">
        <f>2*FZ141*BB6*Distances!BB34*1.84</f>
        <v>322.80960000000005</v>
      </c>
      <c r="BC37" s="14">
        <f>2*GA141*BC6*Distances!BC34*1.84</f>
        <v>7248.5653942857143</v>
      </c>
      <c r="BD37" s="14">
        <f>2*GB141*BD6*Distances!BD34*1.84</f>
        <v>6231.5900342857149</v>
      </c>
      <c r="BE37" s="14">
        <f>2*GC141*BE6*Distances!BE34*1.84</f>
        <v>6976.1696914285712</v>
      </c>
      <c r="BF37" s="13">
        <f>2*GD141*BF6*Distances!BF34*1.84</f>
        <v>257.54480000000001</v>
      </c>
      <c r="BG37" s="13">
        <f>2*GE141*BG6*Distances!BG34*1.84</f>
        <v>365.11120000000005</v>
      </c>
      <c r="BH37" s="14" t="s">
        <v>62</v>
      </c>
      <c r="BI37" s="14" t="s">
        <v>62</v>
      </c>
      <c r="BJ37" s="15" t="s">
        <v>62</v>
      </c>
    </row>
    <row r="38" spans="1:62" x14ac:dyDescent="0.3">
      <c r="A38" s="35" t="s">
        <v>32</v>
      </c>
      <c r="B38" s="16" t="s">
        <v>62</v>
      </c>
      <c r="C38" s="14" t="s">
        <v>62</v>
      </c>
      <c r="D38" s="14" t="s">
        <v>62</v>
      </c>
      <c r="E38" s="14" t="s">
        <v>62</v>
      </c>
      <c r="F38" s="14" t="s">
        <v>62</v>
      </c>
      <c r="G38" s="14" t="s">
        <v>62</v>
      </c>
      <c r="H38" s="14" t="s">
        <v>62</v>
      </c>
      <c r="I38" s="14" t="s">
        <v>62</v>
      </c>
      <c r="J38" s="14" t="s">
        <v>62</v>
      </c>
      <c r="K38" s="14" t="s">
        <v>62</v>
      </c>
      <c r="L38" s="14" t="s">
        <v>62</v>
      </c>
      <c r="M38" s="14" t="s">
        <v>62</v>
      </c>
      <c r="N38" s="14" t="s">
        <v>62</v>
      </c>
      <c r="O38" s="14" t="s">
        <v>62</v>
      </c>
      <c r="P38" s="14" t="s">
        <v>62</v>
      </c>
      <c r="Q38" s="13" t="s">
        <v>62</v>
      </c>
      <c r="R38" s="13" t="s">
        <v>62</v>
      </c>
      <c r="S38" s="13" t="s">
        <v>62</v>
      </c>
      <c r="T38" s="13">
        <f>2*ER142*T6*Distances!T35*1.84</f>
        <v>424.81460000000004</v>
      </c>
      <c r="U38" s="13">
        <f>2*ES142*U6*Distances!U35*1.84</f>
        <v>396.80060000000003</v>
      </c>
      <c r="V38" s="13">
        <f>2*ET142*V6*Distances!V35*1.84</f>
        <v>1301.9840000000004</v>
      </c>
      <c r="W38" s="13">
        <f>2*EU142*W6*Distances!W35*1.84</f>
        <v>2578.0884000000005</v>
      </c>
      <c r="X38" s="13">
        <f>2*EV142*X6*Distances!X35*1.84</f>
        <v>1799.0324000000001</v>
      </c>
      <c r="Y38" s="13">
        <f>2*EW142*Y6*Distances!Y35*1.84</f>
        <v>2625.3120000000004</v>
      </c>
      <c r="Z38" s="13">
        <f>2*EX142*Z6*Distances!Z35*1.84</f>
        <v>107.4376</v>
      </c>
      <c r="AA38" s="13">
        <f>2*EY142*AA6*Distances!AA35*1.84</f>
        <v>83.269200000000012</v>
      </c>
      <c r="AB38" s="13">
        <f>2*EZ142*AB6*Distances!AB35*1.84</f>
        <v>225.85080000000002</v>
      </c>
      <c r="AC38" s="13">
        <f>2*FA142*AC6*Distances!AC35*1.84</f>
        <v>172.01240000000004</v>
      </c>
      <c r="AD38" s="13">
        <f>2*FB142*AD6*Distances!AD35*1.84</f>
        <v>75.844800000000006</v>
      </c>
      <c r="AE38" s="13">
        <f>2*FC142*AE6*Distances!AE35*1.84</f>
        <v>41.768000000000008</v>
      </c>
      <c r="AF38" s="13">
        <f>2*FD142*AF6*Distances!AF35*1.84</f>
        <v>60.922400000000017</v>
      </c>
      <c r="AG38" s="12">
        <f>2*FE142*AG6*Distances!AG35*1.84</f>
        <v>0</v>
      </c>
      <c r="AH38" s="14" t="s">
        <v>62</v>
      </c>
      <c r="AI38" s="14" t="s">
        <v>62</v>
      </c>
      <c r="AJ38" s="14" t="s">
        <v>62</v>
      </c>
      <c r="AK38" s="14">
        <f>2*FI142*AK6*Distances!AK35*1.84</f>
        <v>196.97252571428572</v>
      </c>
      <c r="AL38" s="14" t="s">
        <v>62</v>
      </c>
      <c r="AM38" s="14" t="s">
        <v>62</v>
      </c>
      <c r="AN38" s="14" t="s">
        <v>62</v>
      </c>
      <c r="AO38" s="14" t="s">
        <v>62</v>
      </c>
      <c r="AP38" s="14" t="s">
        <v>62</v>
      </c>
      <c r="AQ38" s="14" t="s">
        <v>62</v>
      </c>
      <c r="AR38" s="14" t="s">
        <v>62</v>
      </c>
      <c r="AS38" s="14">
        <f>2*FQ142*AS6*Distances!AS35*1.84</f>
        <v>203.54816000000002</v>
      </c>
      <c r="AT38" s="14" t="s">
        <v>62</v>
      </c>
      <c r="AU38" s="14">
        <f>2*FS142*AU6*Distances!AU35*1.84</f>
        <v>3110.7776000000003</v>
      </c>
      <c r="AV38" s="14">
        <f>2*FT142*AV6*Distances!AV35*1.84</f>
        <v>209.92235294117648</v>
      </c>
      <c r="AW38" s="14">
        <f>2*FU142*AW6*Distances!AW35*1.84</f>
        <v>624.94811428571427</v>
      </c>
      <c r="AX38" s="14">
        <f>2*FV142*AX6*Distances!AX35*1.84</f>
        <v>1152.3657142857141</v>
      </c>
      <c r="AY38" s="14">
        <f>2*FW142*AY6*Distances!AY35*1.84</f>
        <v>512.31621818181816</v>
      </c>
      <c r="AZ38" s="14">
        <f>2*FX142*AZ6*Distances!AZ35*1.84</f>
        <v>554.3552000000002</v>
      </c>
      <c r="BA38" s="14" t="s">
        <v>62</v>
      </c>
      <c r="BB38" s="13">
        <f>2*FZ142*BB6*Distances!BB35*1.84</f>
        <v>383.21679999999998</v>
      </c>
      <c r="BC38" s="14">
        <f>2*GA142*BC6*Distances!BC35*1.84</f>
        <v>7256.9768228571429</v>
      </c>
      <c r="BD38" s="14">
        <f>2*GB142*BD6*Distances!BD35*1.84</f>
        <v>6239.9341714285711</v>
      </c>
      <c r="BE38" s="14">
        <f>2*GC142*BE6*Distances!BE35*1.84</f>
        <v>6984.5138285714293</v>
      </c>
      <c r="BF38" s="13">
        <f>2*GD142*BF6*Distances!BF35*1.84</f>
        <v>242.60400000000001</v>
      </c>
      <c r="BG38" s="12">
        <f>2*GE142*BG6*Distances!BG35*1.84</f>
        <v>14633.7408</v>
      </c>
      <c r="BH38" s="14" t="s">
        <v>62</v>
      </c>
      <c r="BI38" s="14" t="s">
        <v>62</v>
      </c>
      <c r="BJ38" s="15" t="s">
        <v>62</v>
      </c>
    </row>
    <row r="39" spans="1:62" x14ac:dyDescent="0.3">
      <c r="A39" s="35" t="s">
        <v>33</v>
      </c>
      <c r="B39" s="16" t="s">
        <v>62</v>
      </c>
      <c r="C39" s="14" t="s">
        <v>62</v>
      </c>
      <c r="D39" s="14" t="s">
        <v>62</v>
      </c>
      <c r="E39" s="14" t="s">
        <v>62</v>
      </c>
      <c r="F39" s="14" t="s">
        <v>62</v>
      </c>
      <c r="G39" s="14" t="s">
        <v>62</v>
      </c>
      <c r="H39" s="14" t="s">
        <v>62</v>
      </c>
      <c r="I39" s="14" t="s">
        <v>62</v>
      </c>
      <c r="J39" s="14" t="s">
        <v>62</v>
      </c>
      <c r="K39" s="14" t="s">
        <v>62</v>
      </c>
      <c r="L39" s="14" t="s">
        <v>62</v>
      </c>
      <c r="M39" s="14" t="s">
        <v>62</v>
      </c>
      <c r="N39" s="14" t="s">
        <v>62</v>
      </c>
      <c r="O39" s="14" t="s">
        <v>62</v>
      </c>
      <c r="P39" s="14" t="s">
        <v>62</v>
      </c>
      <c r="Q39" s="14" t="s">
        <v>62</v>
      </c>
      <c r="R39" s="14" t="s">
        <v>62</v>
      </c>
      <c r="S39" s="14" t="s">
        <v>62</v>
      </c>
      <c r="T39" s="14" t="s">
        <v>62</v>
      </c>
      <c r="U39" s="14" t="s">
        <v>62</v>
      </c>
      <c r="V39" s="14" t="s">
        <v>62</v>
      </c>
      <c r="W39" s="14" t="s">
        <v>62</v>
      </c>
      <c r="X39" s="14" t="s">
        <v>62</v>
      </c>
      <c r="Y39" s="14" t="s">
        <v>62</v>
      </c>
      <c r="Z39" s="14" t="s">
        <v>62</v>
      </c>
      <c r="AA39" s="14" t="s">
        <v>62</v>
      </c>
      <c r="AB39" s="14" t="s">
        <v>62</v>
      </c>
      <c r="AC39" s="14" t="s">
        <v>62</v>
      </c>
      <c r="AD39" s="14" t="s">
        <v>62</v>
      </c>
      <c r="AE39" s="14" t="s">
        <v>62</v>
      </c>
      <c r="AF39" s="14" t="s">
        <v>62</v>
      </c>
      <c r="AG39" s="14" t="s">
        <v>62</v>
      </c>
      <c r="AH39" s="12">
        <f>2*FF143*AH6*Distances!AH36*1.84</f>
        <v>0</v>
      </c>
      <c r="AI39" s="13">
        <f>2*FG143*AI6*Distances!AI36*1.84</f>
        <v>120.81031111111112</v>
      </c>
      <c r="AJ39" s="13">
        <f>2*FH143*AJ6*Distances!AJ36*1.84</f>
        <v>72.512355555555573</v>
      </c>
      <c r="AK39" s="13">
        <f>2*FI143*AK6*Distances!AK36*1.84</f>
        <v>171.21813333333333</v>
      </c>
      <c r="AL39" s="13" t="s">
        <v>62</v>
      </c>
      <c r="AM39" s="13" t="s">
        <v>62</v>
      </c>
      <c r="AN39" s="13" t="s">
        <v>62</v>
      </c>
      <c r="AO39" s="14" t="s">
        <v>62</v>
      </c>
      <c r="AP39" s="14" t="s">
        <v>62</v>
      </c>
      <c r="AQ39" s="14" t="s">
        <v>62</v>
      </c>
      <c r="AR39" s="13" t="s">
        <v>62</v>
      </c>
      <c r="AS39" s="13" t="s">
        <v>62</v>
      </c>
      <c r="AT39" s="13" t="s">
        <v>62</v>
      </c>
      <c r="AU39" s="13">
        <f>2*FS143*AU6*Distances!AU36*1.84</f>
        <v>7508.9827555555557</v>
      </c>
      <c r="AV39" s="13" t="s">
        <v>62</v>
      </c>
      <c r="AW39" s="12">
        <f>2*FU143*AW6*Distances!AW36*1.84</f>
        <v>59115.887999999999</v>
      </c>
      <c r="AX39" s="13">
        <f>2*FV143*AX6*Distances!AX36*1.84</f>
        <v>2863.9395555555561</v>
      </c>
      <c r="AY39" s="14" t="s">
        <v>62</v>
      </c>
      <c r="AZ39" s="14">
        <f>2*FX143*AZ6*Distances!AZ36*1.84</f>
        <v>685.76465454545473</v>
      </c>
      <c r="BA39" s="13">
        <f>2*FY143*BA6*Distances!BA36*1.84</f>
        <v>1332.6179555555557</v>
      </c>
      <c r="BB39" s="14" t="s">
        <v>62</v>
      </c>
      <c r="BC39" s="13">
        <f>2*GA143*BC6*Distances!BC36*1.84</f>
        <v>13054.350222222223</v>
      </c>
      <c r="BD39" s="13">
        <f>2*GB143*BD6*Distances!BD36*1.84</f>
        <v>13807.490844444446</v>
      </c>
      <c r="BE39" s="13">
        <f>2*GC143*BE6*Distances!BE36*1.84</f>
        <v>15281.322666666669</v>
      </c>
      <c r="BF39" s="14" t="s">
        <v>62</v>
      </c>
      <c r="BG39" s="14" t="s">
        <v>62</v>
      </c>
      <c r="BH39" s="14" t="s">
        <v>62</v>
      </c>
      <c r="BI39" s="14" t="s">
        <v>62</v>
      </c>
      <c r="BJ39" s="15" t="s">
        <v>62</v>
      </c>
    </row>
    <row r="40" spans="1:62" x14ac:dyDescent="0.3">
      <c r="A40" s="35" t="s">
        <v>34</v>
      </c>
      <c r="B40" s="16" t="s">
        <v>62</v>
      </c>
      <c r="C40" s="14" t="s">
        <v>62</v>
      </c>
      <c r="D40" s="14" t="s">
        <v>62</v>
      </c>
      <c r="E40" s="14" t="s">
        <v>62</v>
      </c>
      <c r="F40" s="14" t="s">
        <v>62</v>
      </c>
      <c r="G40" s="14" t="s">
        <v>62</v>
      </c>
      <c r="H40" s="14" t="s">
        <v>62</v>
      </c>
      <c r="I40" s="14" t="s">
        <v>62</v>
      </c>
      <c r="J40" s="14" t="s">
        <v>62</v>
      </c>
      <c r="K40" s="14" t="s">
        <v>62</v>
      </c>
      <c r="L40" s="14" t="s">
        <v>62</v>
      </c>
      <c r="M40" s="14" t="s">
        <v>62</v>
      </c>
      <c r="N40" s="14" t="s">
        <v>62</v>
      </c>
      <c r="O40" s="14" t="s">
        <v>62</v>
      </c>
      <c r="P40" s="14" t="s">
        <v>62</v>
      </c>
      <c r="Q40" s="14" t="s">
        <v>62</v>
      </c>
      <c r="R40" s="14" t="s">
        <v>62</v>
      </c>
      <c r="S40" s="14" t="s">
        <v>62</v>
      </c>
      <c r="T40" s="14">
        <f>2*ER144*T6*Distances!T37*1.84</f>
        <v>1839.2824000000003</v>
      </c>
      <c r="U40" s="14" t="s">
        <v>62</v>
      </c>
      <c r="V40" s="14" t="s">
        <v>62</v>
      </c>
      <c r="W40" s="14">
        <f>2*EU144*W6*Distances!W37*1.84</f>
        <v>13523.710857142858</v>
      </c>
      <c r="X40" s="14">
        <f>2*EV144*X6*Distances!X37*1.84</f>
        <v>13096.983314285717</v>
      </c>
      <c r="Y40" s="14">
        <f>2*EW144*Y6*Distances!Y37*1.84</f>
        <v>13794.779657142859</v>
      </c>
      <c r="Z40" s="14" t="s">
        <v>62</v>
      </c>
      <c r="AA40" s="14" t="s">
        <v>62</v>
      </c>
      <c r="AB40" s="14" t="s">
        <v>62</v>
      </c>
      <c r="AC40" s="14" t="s">
        <v>62</v>
      </c>
      <c r="AD40" s="14" t="s">
        <v>62</v>
      </c>
      <c r="AE40" s="14">
        <f>2*FC144*AE6*Distances!AE37*1.84</f>
        <v>418.2740571428572</v>
      </c>
      <c r="AF40" s="14">
        <f>2*FD144*AF6*Distances!AF37*1.84</f>
        <v>958.2299428571431</v>
      </c>
      <c r="AG40" s="14" t="s">
        <v>62</v>
      </c>
      <c r="AH40" s="13">
        <f>2*FF144*AH6*Distances!AH37*1.84</f>
        <v>120.81031111111112</v>
      </c>
      <c r="AI40" s="12">
        <f>2*FG144*AI6*Distances!AI37*1.84</f>
        <v>0</v>
      </c>
      <c r="AJ40" s="13">
        <f>2*FH144*AJ6*Distances!AJ37*1.84</f>
        <v>98.06791111111113</v>
      </c>
      <c r="AK40" s="13">
        <f>2*FI144*AK6*Distances!AK37*1.84</f>
        <v>134.11555555555555</v>
      </c>
      <c r="AL40" s="13" t="s">
        <v>62</v>
      </c>
      <c r="AM40" s="13" t="s">
        <v>62</v>
      </c>
      <c r="AN40" s="13" t="s">
        <v>62</v>
      </c>
      <c r="AO40" s="14" t="s">
        <v>62</v>
      </c>
      <c r="AP40" s="14" t="s">
        <v>62</v>
      </c>
      <c r="AQ40" s="14" t="s">
        <v>62</v>
      </c>
      <c r="AR40" s="13" t="s">
        <v>62</v>
      </c>
      <c r="AS40" s="13" t="s">
        <v>62</v>
      </c>
      <c r="AT40" s="13" t="s">
        <v>62</v>
      </c>
      <c r="AU40" s="12">
        <f>2*FS144*AU6*Distances!AU37*1.84</f>
        <v>182529.17760000002</v>
      </c>
      <c r="AV40" s="13">
        <f>2*FT144*AV6*Distances!AV37*1.84</f>
        <v>2524.9951999999998</v>
      </c>
      <c r="AW40" s="13">
        <f>2*FU144*AW6*Distances!AW37*1.84</f>
        <v>2384.394666666667</v>
      </c>
      <c r="AX40" s="12">
        <f>2*FV144*AX6*Distances!AX37*1.84</f>
        <v>70107.312000000005</v>
      </c>
      <c r="AY40" s="14" t="s">
        <v>62</v>
      </c>
      <c r="AZ40" s="14">
        <f>2*FX144*AZ6*Distances!AZ37*1.84</f>
        <v>786.10152727272737</v>
      </c>
      <c r="BA40" s="13">
        <f>2*FY144*BA6*Distances!BA37*1.84</f>
        <v>933.93493333333333</v>
      </c>
      <c r="BB40" s="14">
        <f>2*FZ144*BB6*Distances!BB37*1.84</f>
        <v>992.3488000000001</v>
      </c>
      <c r="BC40" s="12">
        <f>2*GA144*BC6*Distances!BC37*1.84</f>
        <v>278511.82079999999</v>
      </c>
      <c r="BD40" s="12">
        <f>2*GB144*BD6*Distances!BD37*1.84</f>
        <v>326607.35999999999</v>
      </c>
      <c r="BE40" s="12">
        <f>2*GC144*BE6*Distances!BE37*1.84</f>
        <v>338724.864</v>
      </c>
      <c r="BF40" s="14" t="s">
        <v>62</v>
      </c>
      <c r="BG40" s="14" t="s">
        <v>62</v>
      </c>
      <c r="BH40" s="14" t="s">
        <v>62</v>
      </c>
      <c r="BI40" s="14" t="s">
        <v>62</v>
      </c>
      <c r="BJ40" s="15" t="s">
        <v>62</v>
      </c>
    </row>
    <row r="41" spans="1:62" x14ac:dyDescent="0.3">
      <c r="A41" s="35" t="s">
        <v>35</v>
      </c>
      <c r="B41" s="16" t="s">
        <v>62</v>
      </c>
      <c r="C41" s="14" t="s">
        <v>62</v>
      </c>
      <c r="D41" s="14" t="s">
        <v>62</v>
      </c>
      <c r="E41" s="14" t="s">
        <v>62</v>
      </c>
      <c r="F41" s="14" t="s">
        <v>62</v>
      </c>
      <c r="G41" s="14" t="s">
        <v>62</v>
      </c>
      <c r="H41" s="14" t="s">
        <v>62</v>
      </c>
      <c r="I41" s="14" t="s">
        <v>62</v>
      </c>
      <c r="J41" s="14" t="s">
        <v>62</v>
      </c>
      <c r="K41" s="14" t="s">
        <v>62</v>
      </c>
      <c r="L41" s="14" t="s">
        <v>62</v>
      </c>
      <c r="M41" s="14" t="s">
        <v>62</v>
      </c>
      <c r="N41" s="14" t="s">
        <v>62</v>
      </c>
      <c r="O41" s="14" t="s">
        <v>62</v>
      </c>
      <c r="P41" s="14" t="s">
        <v>62</v>
      </c>
      <c r="Q41" s="14" t="s">
        <v>62</v>
      </c>
      <c r="R41" s="14" t="s">
        <v>62</v>
      </c>
      <c r="S41" s="14" t="s">
        <v>62</v>
      </c>
      <c r="T41" s="14" t="s">
        <v>62</v>
      </c>
      <c r="U41" s="14" t="s">
        <v>62</v>
      </c>
      <c r="V41" s="14" t="s">
        <v>62</v>
      </c>
      <c r="W41" s="14" t="s">
        <v>62</v>
      </c>
      <c r="X41" s="14" t="s">
        <v>62</v>
      </c>
      <c r="Y41" s="14" t="s">
        <v>62</v>
      </c>
      <c r="Z41" s="14" t="s">
        <v>62</v>
      </c>
      <c r="AA41" s="14" t="s">
        <v>62</v>
      </c>
      <c r="AB41" s="14" t="s">
        <v>62</v>
      </c>
      <c r="AC41" s="14" t="s">
        <v>62</v>
      </c>
      <c r="AD41" s="14" t="s">
        <v>62</v>
      </c>
      <c r="AE41" s="14" t="s">
        <v>62</v>
      </c>
      <c r="AF41" s="14" t="s">
        <v>62</v>
      </c>
      <c r="AG41" s="14" t="s">
        <v>62</v>
      </c>
      <c r="AH41" s="13">
        <f>2*FF145*AH6*Distances!AH38*1.84</f>
        <v>72.512355555555573</v>
      </c>
      <c r="AI41" s="13">
        <f>2*FG145*AI6*Distances!AI38*1.84</f>
        <v>98.06791111111113</v>
      </c>
      <c r="AJ41" s="12">
        <f>2*FH145*AJ6*Distances!AJ38*1.84</f>
        <v>0</v>
      </c>
      <c r="AK41" s="13">
        <f>2*FI145*AK6*Distances!AK38*1.84</f>
        <v>98.640355555555558</v>
      </c>
      <c r="AL41" s="13" t="s">
        <v>62</v>
      </c>
      <c r="AM41" s="13" t="s">
        <v>62</v>
      </c>
      <c r="AN41" s="13" t="s">
        <v>62</v>
      </c>
      <c r="AO41" s="14" t="s">
        <v>62</v>
      </c>
      <c r="AP41" s="14" t="s">
        <v>62</v>
      </c>
      <c r="AQ41" s="14" t="s">
        <v>62</v>
      </c>
      <c r="AR41" s="13">
        <f>2*FP145*AR6*Distances!AR38*1.84</f>
        <v>1030.2037333333333</v>
      </c>
      <c r="AS41" s="13">
        <f>2*FQ145*AS6*Distances!AS38*1.84</f>
        <v>1089.4108444444446</v>
      </c>
      <c r="AT41" s="13">
        <f>2*FR145*AT6*Distances!AT38*1.84</f>
        <v>947.62453333333337</v>
      </c>
      <c r="AU41" s="13">
        <f>2*FS145*AU6*Distances!AU38*1.84</f>
        <v>7554.0913777777778</v>
      </c>
      <c r="AV41" s="13" t="s">
        <v>62</v>
      </c>
      <c r="AW41" s="13">
        <f>2*FU145*AW6*Distances!AW38*1.84</f>
        <v>2546.3146666666671</v>
      </c>
      <c r="AX41" s="13">
        <f>2*FV145*AX6*Distances!AX38*1.84</f>
        <v>2880.0497777777782</v>
      </c>
      <c r="AY41" s="14" t="s">
        <v>62</v>
      </c>
      <c r="AZ41" s="14">
        <f>2*FX145*AZ6*Distances!AZ38*1.84</f>
        <v>744.1562181818183</v>
      </c>
      <c r="BA41" s="13">
        <f>2*FY145*BA6*Distances!BA38*1.84</f>
        <v>1303.9957333333334</v>
      </c>
      <c r="BB41" s="14" t="s">
        <v>62</v>
      </c>
      <c r="BC41" s="13">
        <f>2*GA145*BC6*Distances!BC38*1.84</f>
        <v>12825.372444444445</v>
      </c>
      <c r="BD41" s="13">
        <f>2*GB145*BD6*Distances!BD38*1.84</f>
        <v>13910.857955555557</v>
      </c>
      <c r="BE41" s="13">
        <f>2*GC145*BE6*Distances!BE38*1.84</f>
        <v>15384.428088888888</v>
      </c>
      <c r="BF41" s="14" t="s">
        <v>62</v>
      </c>
      <c r="BG41" s="14" t="s">
        <v>62</v>
      </c>
      <c r="BH41" s="14" t="s">
        <v>62</v>
      </c>
      <c r="BI41" s="14" t="s">
        <v>62</v>
      </c>
      <c r="BJ41" s="15" t="s">
        <v>62</v>
      </c>
    </row>
    <row r="42" spans="1:62" x14ac:dyDescent="0.3">
      <c r="A42" s="35" t="s">
        <v>36</v>
      </c>
      <c r="B42" s="16" t="s">
        <v>62</v>
      </c>
      <c r="C42" s="14" t="s">
        <v>62</v>
      </c>
      <c r="D42" s="14" t="s">
        <v>62</v>
      </c>
      <c r="E42" s="14" t="s">
        <v>62</v>
      </c>
      <c r="F42" s="14" t="s">
        <v>62</v>
      </c>
      <c r="G42" s="14" t="s">
        <v>62</v>
      </c>
      <c r="H42" s="14" t="s">
        <v>62</v>
      </c>
      <c r="I42" s="14" t="s">
        <v>62</v>
      </c>
      <c r="J42" s="14" t="s">
        <v>62</v>
      </c>
      <c r="K42" s="14" t="s">
        <v>62</v>
      </c>
      <c r="L42" s="14" t="s">
        <v>62</v>
      </c>
      <c r="M42" s="14" t="s">
        <v>62</v>
      </c>
      <c r="N42" s="14" t="s">
        <v>62</v>
      </c>
      <c r="O42" s="14" t="s">
        <v>62</v>
      </c>
      <c r="P42" s="14" t="s">
        <v>62</v>
      </c>
      <c r="Q42" s="14" t="s">
        <v>62</v>
      </c>
      <c r="R42" s="14" t="s">
        <v>62</v>
      </c>
      <c r="S42" s="14" t="s">
        <v>62</v>
      </c>
      <c r="T42" s="14">
        <f>2*ER146*T6*Distances!T39*1.84</f>
        <v>1946.0391999999999</v>
      </c>
      <c r="U42" s="14">
        <f>2*ES146*U6*Distances!U39*1.84</f>
        <v>1885.7976000000003</v>
      </c>
      <c r="V42" s="14">
        <f>2*ET146*V6*Distances!V39*1.84</f>
        <v>14842.007771428574</v>
      </c>
      <c r="W42" s="14" t="s">
        <v>62</v>
      </c>
      <c r="X42" s="14" t="s">
        <v>62</v>
      </c>
      <c r="Y42" s="14">
        <f>2*EW146*Y6*Distances!Y39*1.84</f>
        <v>14679.183542857145</v>
      </c>
      <c r="Z42" s="14" t="s">
        <v>62</v>
      </c>
      <c r="AA42" s="14">
        <f>2*EY146*AA6*Distances!AA39*1.84</f>
        <v>515.92548571428574</v>
      </c>
      <c r="AB42" s="14">
        <f>2*EZ146*AB6*Distances!AB39*1.84</f>
        <v>597.70034285714291</v>
      </c>
      <c r="AC42" s="14" t="s">
        <v>62</v>
      </c>
      <c r="AD42" s="14" t="s">
        <v>62</v>
      </c>
      <c r="AE42" s="14" t="s">
        <v>62</v>
      </c>
      <c r="AF42" s="14" t="s">
        <v>62</v>
      </c>
      <c r="AG42" s="14">
        <f>2*FE146*AG6*Distances!AG39*1.84</f>
        <v>984.86262857142867</v>
      </c>
      <c r="AH42" s="13">
        <f>2*FF146*AH6*Distances!AH39*1.84</f>
        <v>171.21813333333333</v>
      </c>
      <c r="AI42" s="13">
        <f>2*FG146*AI6*Distances!AI39*1.84</f>
        <v>134.11555555555555</v>
      </c>
      <c r="AJ42" s="13">
        <f>2*FH146*AJ6*Distances!AJ39*1.84</f>
        <v>98.640355555555558</v>
      </c>
      <c r="AK42" s="12">
        <f>2*FI146*AK6*Distances!AK39*1.84</f>
        <v>0</v>
      </c>
      <c r="AL42" s="13" t="s">
        <v>62</v>
      </c>
      <c r="AM42" s="13" t="s">
        <v>62</v>
      </c>
      <c r="AN42" s="13" t="s">
        <v>62</v>
      </c>
      <c r="AO42" s="14" t="s">
        <v>62</v>
      </c>
      <c r="AP42" s="14" t="s">
        <v>62</v>
      </c>
      <c r="AQ42" s="14" t="s">
        <v>62</v>
      </c>
      <c r="AR42" s="13">
        <f>2*FP146*AR6*Distances!AR39*1.84</f>
        <v>1225.3745777777781</v>
      </c>
      <c r="AS42" s="13">
        <f>2*FQ146*AS6*Distances!AS39*1.84</f>
        <v>1284.5653333333335</v>
      </c>
      <c r="AT42" s="13">
        <f>2*FR146*AT6*Distances!AT39*1.84</f>
        <v>1142.7953777777777</v>
      </c>
      <c r="AU42" s="13">
        <f>2*FS146*AU6*Distances!AU39*1.84</f>
        <v>8553.9228444444434</v>
      </c>
      <c r="AV42" s="13" t="s">
        <v>62</v>
      </c>
      <c r="AW42" s="13">
        <f>2*FU146*AW6*Distances!AW39*1.84</f>
        <v>3039.8435555555557</v>
      </c>
      <c r="AX42" s="13">
        <f>2*FV146*AX6*Distances!AX39*1.84</f>
        <v>3237.1324444444444</v>
      </c>
      <c r="AY42" s="14" t="s">
        <v>62</v>
      </c>
      <c r="AZ42" s="14">
        <f>2*FX146*AZ6*Distances!AZ39*1.84</f>
        <v>824.91549090909098</v>
      </c>
      <c r="BA42" s="13">
        <f>2*FY146*BA6*Distances!BA39*1.84</f>
        <v>1467.7148444444445</v>
      </c>
      <c r="BB42" s="14" t="s">
        <v>62</v>
      </c>
      <c r="BC42" s="13">
        <f>2*GA146*BC6*Distances!BC39*1.84</f>
        <v>14585.230222222222</v>
      </c>
      <c r="BD42" s="13">
        <f>2*GB146*BD6*Distances!BD39*1.84</f>
        <v>16195.925333333334</v>
      </c>
      <c r="BE42" s="13">
        <f>2*GC146*BE6*Distances!BE39*1.84</f>
        <v>16810.632533333333</v>
      </c>
      <c r="BF42" s="14" t="s">
        <v>62</v>
      </c>
      <c r="BG42" s="14" t="s">
        <v>62</v>
      </c>
      <c r="BH42" s="14" t="s">
        <v>62</v>
      </c>
      <c r="BI42" s="14" t="s">
        <v>62</v>
      </c>
      <c r="BJ42" s="15" t="s">
        <v>62</v>
      </c>
    </row>
    <row r="43" spans="1:62" x14ac:dyDescent="0.3">
      <c r="A43" s="35" t="s">
        <v>37</v>
      </c>
      <c r="B43" s="16" t="s">
        <v>62</v>
      </c>
      <c r="C43" s="14" t="s">
        <v>62</v>
      </c>
      <c r="D43" s="14" t="s">
        <v>62</v>
      </c>
      <c r="E43" s="14" t="s">
        <v>62</v>
      </c>
      <c r="F43" s="14" t="s">
        <v>62</v>
      </c>
      <c r="G43" s="14" t="s">
        <v>62</v>
      </c>
      <c r="H43" s="14" t="s">
        <v>62</v>
      </c>
      <c r="I43" s="14" t="s">
        <v>62</v>
      </c>
      <c r="J43" s="14" t="s">
        <v>62</v>
      </c>
      <c r="K43" s="14" t="s">
        <v>62</v>
      </c>
      <c r="L43" s="14" t="s">
        <v>62</v>
      </c>
      <c r="M43" s="14" t="s">
        <v>62</v>
      </c>
      <c r="N43" s="14" t="s">
        <v>62</v>
      </c>
      <c r="O43" s="14" t="s">
        <v>62</v>
      </c>
      <c r="P43" s="14" t="s">
        <v>62</v>
      </c>
      <c r="Q43" s="14" t="s">
        <v>62</v>
      </c>
      <c r="R43" s="14" t="s">
        <v>62</v>
      </c>
      <c r="S43" s="14" t="s">
        <v>62</v>
      </c>
      <c r="T43" s="14" t="s">
        <v>62</v>
      </c>
      <c r="U43" s="14" t="s">
        <v>62</v>
      </c>
      <c r="V43" s="14" t="s">
        <v>62</v>
      </c>
      <c r="W43" s="14" t="s">
        <v>62</v>
      </c>
      <c r="X43" s="14" t="s">
        <v>62</v>
      </c>
      <c r="Y43" s="14" t="s">
        <v>62</v>
      </c>
      <c r="Z43" s="14" t="s">
        <v>62</v>
      </c>
      <c r="AA43" s="14" t="s">
        <v>62</v>
      </c>
      <c r="AB43" s="14" t="s">
        <v>62</v>
      </c>
      <c r="AC43" s="14" t="s">
        <v>62</v>
      </c>
      <c r="AD43" s="14" t="s">
        <v>62</v>
      </c>
      <c r="AE43" s="14" t="s">
        <v>62</v>
      </c>
      <c r="AF43" s="14" t="s">
        <v>62</v>
      </c>
      <c r="AG43" s="14" t="s">
        <v>62</v>
      </c>
      <c r="AH43" s="13" t="s">
        <v>62</v>
      </c>
      <c r="AI43" s="13" t="s">
        <v>62</v>
      </c>
      <c r="AJ43" s="13" t="s">
        <v>62</v>
      </c>
      <c r="AK43" s="13" t="s">
        <v>62</v>
      </c>
      <c r="AL43" s="12">
        <f>2*FJ147*AL6*Distances!AL40*1.84</f>
        <v>0</v>
      </c>
      <c r="AM43" s="13">
        <f>2*FK147*AM6*Distances!AM40*1.84</f>
        <v>2248.1855999999998</v>
      </c>
      <c r="AN43" s="13">
        <f>2*FL147*AN6*Distances!AN40*1.84</f>
        <v>5206.4639999999999</v>
      </c>
      <c r="AO43" s="14" t="s">
        <v>62</v>
      </c>
      <c r="AP43" s="14" t="s">
        <v>62</v>
      </c>
      <c r="AQ43" s="14" t="s">
        <v>62</v>
      </c>
      <c r="AR43" s="13" t="s">
        <v>62</v>
      </c>
      <c r="AS43" s="13" t="s">
        <v>62</v>
      </c>
      <c r="AT43" s="13" t="s">
        <v>62</v>
      </c>
      <c r="AU43" s="13" t="s">
        <v>62</v>
      </c>
      <c r="AV43" s="13" t="s">
        <v>62</v>
      </c>
      <c r="AW43" s="13" t="s">
        <v>62</v>
      </c>
      <c r="AX43" s="13" t="s">
        <v>62</v>
      </c>
      <c r="AY43" s="14" t="s">
        <v>62</v>
      </c>
      <c r="AZ43" s="14" t="s">
        <v>62</v>
      </c>
      <c r="BA43" s="13" t="s">
        <v>62</v>
      </c>
      <c r="BB43" s="14" t="s">
        <v>62</v>
      </c>
      <c r="BC43" s="13" t="s">
        <v>62</v>
      </c>
      <c r="BD43" s="13" t="s">
        <v>62</v>
      </c>
      <c r="BE43" s="13" t="s">
        <v>62</v>
      </c>
      <c r="BF43" s="14" t="s">
        <v>62</v>
      </c>
      <c r="BG43" s="14" t="s">
        <v>62</v>
      </c>
      <c r="BH43" s="14" t="s">
        <v>62</v>
      </c>
      <c r="BI43" s="14" t="s">
        <v>62</v>
      </c>
      <c r="BJ43" s="15" t="s">
        <v>62</v>
      </c>
    </row>
    <row r="44" spans="1:62" x14ac:dyDescent="0.3">
      <c r="A44" s="35" t="s">
        <v>38</v>
      </c>
      <c r="B44" s="16" t="s">
        <v>62</v>
      </c>
      <c r="C44" s="14" t="s">
        <v>62</v>
      </c>
      <c r="D44" s="14" t="s">
        <v>62</v>
      </c>
      <c r="E44" s="14" t="s">
        <v>62</v>
      </c>
      <c r="F44" s="14" t="s">
        <v>62</v>
      </c>
      <c r="G44" s="14" t="s">
        <v>62</v>
      </c>
      <c r="H44" s="14" t="s">
        <v>62</v>
      </c>
      <c r="I44" s="14" t="s">
        <v>62</v>
      </c>
      <c r="J44" s="14" t="s">
        <v>62</v>
      </c>
      <c r="K44" s="14" t="s">
        <v>62</v>
      </c>
      <c r="L44" s="14" t="s">
        <v>62</v>
      </c>
      <c r="M44" s="14" t="s">
        <v>62</v>
      </c>
      <c r="N44" s="14" t="s">
        <v>62</v>
      </c>
      <c r="O44" s="14" t="s">
        <v>62</v>
      </c>
      <c r="P44" s="14" t="s">
        <v>62</v>
      </c>
      <c r="Q44" s="14" t="s">
        <v>62</v>
      </c>
      <c r="R44" s="14" t="s">
        <v>62</v>
      </c>
      <c r="S44" s="14" t="s">
        <v>62</v>
      </c>
      <c r="T44" s="14" t="s">
        <v>62</v>
      </c>
      <c r="U44" s="14" t="s">
        <v>62</v>
      </c>
      <c r="V44" s="14" t="s">
        <v>62</v>
      </c>
      <c r="W44" s="14" t="s">
        <v>62</v>
      </c>
      <c r="X44" s="14" t="s">
        <v>62</v>
      </c>
      <c r="Y44" s="14" t="s">
        <v>62</v>
      </c>
      <c r="Z44" s="14" t="s">
        <v>62</v>
      </c>
      <c r="AA44" s="14" t="s">
        <v>62</v>
      </c>
      <c r="AB44" s="14" t="s">
        <v>62</v>
      </c>
      <c r="AC44" s="14" t="s">
        <v>62</v>
      </c>
      <c r="AD44" s="14" t="s">
        <v>62</v>
      </c>
      <c r="AE44" s="14" t="s">
        <v>62</v>
      </c>
      <c r="AF44" s="14" t="s">
        <v>62</v>
      </c>
      <c r="AG44" s="14" t="s">
        <v>62</v>
      </c>
      <c r="AH44" s="13" t="s">
        <v>62</v>
      </c>
      <c r="AI44" s="13" t="s">
        <v>62</v>
      </c>
      <c r="AJ44" s="13" t="s">
        <v>62</v>
      </c>
      <c r="AK44" s="13" t="s">
        <v>62</v>
      </c>
      <c r="AL44" s="13">
        <f>2*FJ148*AL6*Distances!AL41*1.84</f>
        <v>2248.1855999999998</v>
      </c>
      <c r="AM44" s="12">
        <f>2*FK148*AM6*Distances!AM41*1.84</f>
        <v>0</v>
      </c>
      <c r="AN44" s="13">
        <f>2*FL148*AN6*Distances!AN41*1.84</f>
        <v>3089.8751999999999</v>
      </c>
      <c r="AO44" s="14" t="s">
        <v>62</v>
      </c>
      <c r="AP44" s="14" t="s">
        <v>62</v>
      </c>
      <c r="AQ44" s="14" t="s">
        <v>62</v>
      </c>
      <c r="AR44" s="13" t="s">
        <v>62</v>
      </c>
      <c r="AS44" s="13" t="s">
        <v>62</v>
      </c>
      <c r="AT44" s="13" t="s">
        <v>62</v>
      </c>
      <c r="AU44" s="13" t="s">
        <v>62</v>
      </c>
      <c r="AV44" s="13" t="s">
        <v>62</v>
      </c>
      <c r="AW44" s="13" t="s">
        <v>62</v>
      </c>
      <c r="AX44" s="13" t="s">
        <v>62</v>
      </c>
      <c r="AY44" s="14" t="s">
        <v>62</v>
      </c>
      <c r="AZ44" s="14" t="s">
        <v>62</v>
      </c>
      <c r="BA44" s="13" t="s">
        <v>62</v>
      </c>
      <c r="BB44" s="14" t="s">
        <v>62</v>
      </c>
      <c r="BC44" s="13" t="s">
        <v>62</v>
      </c>
      <c r="BD44" s="13" t="s">
        <v>62</v>
      </c>
      <c r="BE44" s="13" t="s">
        <v>62</v>
      </c>
      <c r="BF44" s="14" t="s">
        <v>62</v>
      </c>
      <c r="BG44" s="14" t="s">
        <v>62</v>
      </c>
      <c r="BH44" s="14" t="s">
        <v>62</v>
      </c>
      <c r="BI44" s="14" t="s">
        <v>62</v>
      </c>
      <c r="BJ44" s="15" t="s">
        <v>62</v>
      </c>
    </row>
    <row r="45" spans="1:62" x14ac:dyDescent="0.3">
      <c r="A45" s="35" t="s">
        <v>39</v>
      </c>
      <c r="B45" s="16" t="s">
        <v>62</v>
      </c>
      <c r="C45" s="14" t="s">
        <v>62</v>
      </c>
      <c r="D45" s="14" t="s">
        <v>62</v>
      </c>
      <c r="E45" s="14" t="s">
        <v>62</v>
      </c>
      <c r="F45" s="14" t="s">
        <v>62</v>
      </c>
      <c r="G45" s="14" t="s">
        <v>62</v>
      </c>
      <c r="H45" s="14" t="s">
        <v>62</v>
      </c>
      <c r="I45" s="14" t="s">
        <v>62</v>
      </c>
      <c r="J45" s="14" t="s">
        <v>62</v>
      </c>
      <c r="K45" s="14" t="s">
        <v>62</v>
      </c>
      <c r="L45" s="14" t="s">
        <v>62</v>
      </c>
      <c r="M45" s="14" t="s">
        <v>62</v>
      </c>
      <c r="N45" s="14" t="s">
        <v>62</v>
      </c>
      <c r="O45" s="14" t="s">
        <v>62</v>
      </c>
      <c r="P45" s="14" t="s">
        <v>62</v>
      </c>
      <c r="Q45" s="14" t="s">
        <v>62</v>
      </c>
      <c r="R45" s="14" t="s">
        <v>62</v>
      </c>
      <c r="S45" s="14" t="s">
        <v>62</v>
      </c>
      <c r="T45" s="14" t="s">
        <v>62</v>
      </c>
      <c r="U45" s="14" t="s">
        <v>62</v>
      </c>
      <c r="V45" s="14" t="s">
        <v>62</v>
      </c>
      <c r="W45" s="14" t="s">
        <v>62</v>
      </c>
      <c r="X45" s="14" t="s">
        <v>62</v>
      </c>
      <c r="Y45" s="14" t="s">
        <v>62</v>
      </c>
      <c r="Z45" s="14" t="s">
        <v>62</v>
      </c>
      <c r="AA45" s="14" t="s">
        <v>62</v>
      </c>
      <c r="AB45" s="14" t="s">
        <v>62</v>
      </c>
      <c r="AC45" s="14" t="s">
        <v>62</v>
      </c>
      <c r="AD45" s="14" t="s">
        <v>62</v>
      </c>
      <c r="AE45" s="14" t="s">
        <v>62</v>
      </c>
      <c r="AF45" s="14" t="s">
        <v>62</v>
      </c>
      <c r="AG45" s="14" t="s">
        <v>62</v>
      </c>
      <c r="AH45" s="13" t="s">
        <v>62</v>
      </c>
      <c r="AI45" s="13" t="s">
        <v>62</v>
      </c>
      <c r="AJ45" s="13" t="s">
        <v>62</v>
      </c>
      <c r="AK45" s="13" t="s">
        <v>62</v>
      </c>
      <c r="AL45" s="13">
        <f>2*FJ149*AL6*Distances!AL42*1.84</f>
        <v>5206.4639999999999</v>
      </c>
      <c r="AM45" s="13">
        <f>2*FK149*AM6*Distances!AM42*1.84</f>
        <v>3089.8751999999999</v>
      </c>
      <c r="AN45" s="12">
        <f>2*FL149*AN6*Distances!AN42*1.84</f>
        <v>0</v>
      </c>
      <c r="AO45" s="14" t="s">
        <v>62</v>
      </c>
      <c r="AP45" s="14" t="s">
        <v>62</v>
      </c>
      <c r="AQ45" s="14" t="s">
        <v>62</v>
      </c>
      <c r="AR45" s="13" t="s">
        <v>62</v>
      </c>
      <c r="AS45" s="13" t="s">
        <v>62</v>
      </c>
      <c r="AT45" s="13" t="s">
        <v>62</v>
      </c>
      <c r="AU45" s="13" t="s">
        <v>62</v>
      </c>
      <c r="AV45" s="13" t="s">
        <v>62</v>
      </c>
      <c r="AW45" s="13" t="s">
        <v>62</v>
      </c>
      <c r="AX45" s="13" t="s">
        <v>62</v>
      </c>
      <c r="AY45" s="14" t="s">
        <v>62</v>
      </c>
      <c r="AZ45" s="14" t="s">
        <v>62</v>
      </c>
      <c r="BA45" s="13" t="s">
        <v>62</v>
      </c>
      <c r="BB45" s="14" t="s">
        <v>62</v>
      </c>
      <c r="BC45" s="13" t="s">
        <v>62</v>
      </c>
      <c r="BD45" s="13" t="s">
        <v>62</v>
      </c>
      <c r="BE45" s="13" t="s">
        <v>62</v>
      </c>
      <c r="BF45" s="14" t="s">
        <v>62</v>
      </c>
      <c r="BG45" s="14" t="s">
        <v>62</v>
      </c>
      <c r="BH45" s="14" t="s">
        <v>62</v>
      </c>
      <c r="BI45" s="14" t="s">
        <v>62</v>
      </c>
      <c r="BJ45" s="15" t="s">
        <v>62</v>
      </c>
    </row>
    <row r="46" spans="1:62" x14ac:dyDescent="0.3">
      <c r="A46" s="35" t="s">
        <v>40</v>
      </c>
      <c r="B46" s="16" t="s">
        <v>62</v>
      </c>
      <c r="C46" s="14" t="s">
        <v>62</v>
      </c>
      <c r="D46" s="14" t="s">
        <v>62</v>
      </c>
      <c r="E46" s="14" t="s">
        <v>62</v>
      </c>
      <c r="F46" s="14" t="s">
        <v>62</v>
      </c>
      <c r="G46" s="14" t="s">
        <v>62</v>
      </c>
      <c r="H46" s="14" t="s">
        <v>62</v>
      </c>
      <c r="I46" s="14" t="s">
        <v>62</v>
      </c>
      <c r="J46" s="14" t="s">
        <v>62</v>
      </c>
      <c r="K46" s="14" t="s">
        <v>62</v>
      </c>
      <c r="L46" s="14" t="s">
        <v>62</v>
      </c>
      <c r="M46" s="14" t="s">
        <v>62</v>
      </c>
      <c r="N46" s="14" t="s">
        <v>62</v>
      </c>
      <c r="O46" s="14" t="s">
        <v>62</v>
      </c>
      <c r="P46" s="14" t="s">
        <v>62</v>
      </c>
      <c r="Q46" s="14" t="s">
        <v>62</v>
      </c>
      <c r="R46" s="14" t="s">
        <v>62</v>
      </c>
      <c r="S46" s="14" t="s">
        <v>62</v>
      </c>
      <c r="T46" s="14" t="s">
        <v>62</v>
      </c>
      <c r="U46" s="14" t="s">
        <v>62</v>
      </c>
      <c r="V46" s="14" t="s">
        <v>62</v>
      </c>
      <c r="W46" s="14" t="s">
        <v>62</v>
      </c>
      <c r="X46" s="14" t="s">
        <v>62</v>
      </c>
      <c r="Y46" s="14" t="s">
        <v>62</v>
      </c>
      <c r="Z46" s="14" t="s">
        <v>62</v>
      </c>
      <c r="AA46" s="14" t="s">
        <v>62</v>
      </c>
      <c r="AB46" s="14" t="s">
        <v>62</v>
      </c>
      <c r="AC46" s="14" t="s">
        <v>62</v>
      </c>
      <c r="AD46" s="14" t="s">
        <v>62</v>
      </c>
      <c r="AE46" s="14" t="s">
        <v>62</v>
      </c>
      <c r="AF46" s="14" t="s">
        <v>62</v>
      </c>
      <c r="AG46" s="14" t="s">
        <v>62</v>
      </c>
      <c r="AH46" s="14" t="s">
        <v>62</v>
      </c>
      <c r="AI46" s="14" t="s">
        <v>62</v>
      </c>
      <c r="AJ46" s="14" t="s">
        <v>62</v>
      </c>
      <c r="AK46" s="14" t="s">
        <v>62</v>
      </c>
      <c r="AL46" s="14" t="s">
        <v>62</v>
      </c>
      <c r="AM46" s="14" t="s">
        <v>62</v>
      </c>
      <c r="AN46" s="14" t="s">
        <v>62</v>
      </c>
      <c r="AO46" s="12">
        <f>2*FM150*AO6*Distances!AO43*1.84</f>
        <v>0</v>
      </c>
      <c r="AP46" s="19">
        <f>2*FN150*AP6*Distances!AP43*1.84</f>
        <v>632.7392000000001</v>
      </c>
      <c r="AQ46" s="19">
        <f>2*FO150*AQ6*Distances!AQ43*1.84</f>
        <v>2515.7216000000003</v>
      </c>
      <c r="AR46" s="14" t="s">
        <v>62</v>
      </c>
      <c r="AS46" s="14" t="s">
        <v>62</v>
      </c>
      <c r="AT46" s="14" t="s">
        <v>62</v>
      </c>
      <c r="AU46" s="14" t="s">
        <v>62</v>
      </c>
      <c r="AV46" s="14" t="s">
        <v>62</v>
      </c>
      <c r="AW46" s="14" t="s">
        <v>62</v>
      </c>
      <c r="AX46" s="14" t="s">
        <v>62</v>
      </c>
      <c r="AY46" s="14" t="s">
        <v>62</v>
      </c>
      <c r="AZ46" s="14" t="s">
        <v>62</v>
      </c>
      <c r="BA46" s="14" t="s">
        <v>62</v>
      </c>
      <c r="BB46" s="14" t="s">
        <v>62</v>
      </c>
      <c r="BC46" s="14" t="s">
        <v>62</v>
      </c>
      <c r="BD46" s="14" t="s">
        <v>62</v>
      </c>
      <c r="BE46" s="14" t="s">
        <v>62</v>
      </c>
      <c r="BF46" s="14" t="s">
        <v>62</v>
      </c>
      <c r="BG46" s="14" t="s">
        <v>62</v>
      </c>
      <c r="BH46" s="14" t="s">
        <v>62</v>
      </c>
      <c r="BI46" s="14" t="s">
        <v>62</v>
      </c>
      <c r="BJ46" s="15" t="s">
        <v>62</v>
      </c>
    </row>
    <row r="47" spans="1:62" x14ac:dyDescent="0.3">
      <c r="A47" s="35" t="s">
        <v>41</v>
      </c>
      <c r="B47" s="16" t="s">
        <v>62</v>
      </c>
      <c r="C47" s="14" t="s">
        <v>62</v>
      </c>
      <c r="D47" s="14" t="s">
        <v>62</v>
      </c>
      <c r="E47" s="14" t="s">
        <v>62</v>
      </c>
      <c r="F47" s="14" t="s">
        <v>62</v>
      </c>
      <c r="G47" s="14" t="s">
        <v>62</v>
      </c>
      <c r="H47" s="14" t="s">
        <v>62</v>
      </c>
      <c r="I47" s="14" t="s">
        <v>62</v>
      </c>
      <c r="J47" s="14" t="s">
        <v>62</v>
      </c>
      <c r="K47" s="14" t="s">
        <v>62</v>
      </c>
      <c r="L47" s="14" t="s">
        <v>62</v>
      </c>
      <c r="M47" s="14" t="s">
        <v>62</v>
      </c>
      <c r="N47" s="14" t="s">
        <v>62</v>
      </c>
      <c r="O47" s="14" t="s">
        <v>62</v>
      </c>
      <c r="P47" s="14" t="s">
        <v>62</v>
      </c>
      <c r="Q47" s="14" t="s">
        <v>62</v>
      </c>
      <c r="R47" s="14" t="s">
        <v>62</v>
      </c>
      <c r="S47" s="14" t="s">
        <v>62</v>
      </c>
      <c r="T47" s="14" t="s">
        <v>62</v>
      </c>
      <c r="U47" s="14" t="s">
        <v>62</v>
      </c>
      <c r="V47" s="14" t="s">
        <v>62</v>
      </c>
      <c r="W47" s="14" t="s">
        <v>62</v>
      </c>
      <c r="X47" s="14" t="s">
        <v>62</v>
      </c>
      <c r="Y47" s="14" t="s">
        <v>62</v>
      </c>
      <c r="Z47" s="14" t="s">
        <v>62</v>
      </c>
      <c r="AA47" s="14" t="s">
        <v>62</v>
      </c>
      <c r="AB47" s="14" t="s">
        <v>62</v>
      </c>
      <c r="AC47" s="14" t="s">
        <v>62</v>
      </c>
      <c r="AD47" s="14" t="s">
        <v>62</v>
      </c>
      <c r="AE47" s="14" t="s">
        <v>62</v>
      </c>
      <c r="AF47" s="14" t="s">
        <v>62</v>
      </c>
      <c r="AG47" s="14" t="s">
        <v>62</v>
      </c>
      <c r="AH47" s="14" t="s">
        <v>62</v>
      </c>
      <c r="AI47" s="14" t="s">
        <v>62</v>
      </c>
      <c r="AJ47" s="14" t="s">
        <v>62</v>
      </c>
      <c r="AK47" s="14" t="s">
        <v>62</v>
      </c>
      <c r="AL47" s="14" t="s">
        <v>62</v>
      </c>
      <c r="AM47" s="14" t="s">
        <v>62</v>
      </c>
      <c r="AN47" s="14" t="s">
        <v>62</v>
      </c>
      <c r="AO47" s="13">
        <f>2*FM151*AO6*Distances!AO44*1.84</f>
        <v>632.7392000000001</v>
      </c>
      <c r="AP47" s="12">
        <f>2*FN151*AP6*Distances!AP44*1.84</f>
        <v>0</v>
      </c>
      <c r="AQ47" s="13">
        <f>2*FO151*AQ6*Distances!AQ44*1.84</f>
        <v>2895.4240000000004</v>
      </c>
      <c r="AR47" s="14" t="s">
        <v>62</v>
      </c>
      <c r="AS47" s="14" t="s">
        <v>62</v>
      </c>
      <c r="AT47" s="14" t="s">
        <v>62</v>
      </c>
      <c r="AU47" s="14" t="s">
        <v>62</v>
      </c>
      <c r="AV47" s="14" t="s">
        <v>62</v>
      </c>
      <c r="AW47" s="14" t="s">
        <v>62</v>
      </c>
      <c r="AX47" s="14" t="s">
        <v>62</v>
      </c>
      <c r="AY47" s="14" t="s">
        <v>62</v>
      </c>
      <c r="AZ47" s="14" t="s">
        <v>62</v>
      </c>
      <c r="BA47" s="14" t="s">
        <v>62</v>
      </c>
      <c r="BB47" s="14" t="s">
        <v>62</v>
      </c>
      <c r="BC47" s="14" t="s">
        <v>62</v>
      </c>
      <c r="BD47" s="14" t="s">
        <v>62</v>
      </c>
      <c r="BE47" s="14" t="s">
        <v>62</v>
      </c>
      <c r="BF47" s="14" t="s">
        <v>62</v>
      </c>
      <c r="BG47" s="14" t="s">
        <v>62</v>
      </c>
      <c r="BH47" s="14" t="s">
        <v>62</v>
      </c>
      <c r="BI47" s="14" t="s">
        <v>62</v>
      </c>
      <c r="BJ47" s="15" t="s">
        <v>62</v>
      </c>
    </row>
    <row r="48" spans="1:62" x14ac:dyDescent="0.3">
      <c r="A48" s="35" t="s">
        <v>42</v>
      </c>
      <c r="B48" s="16" t="s">
        <v>62</v>
      </c>
      <c r="C48" s="14" t="s">
        <v>62</v>
      </c>
      <c r="D48" s="14" t="s">
        <v>62</v>
      </c>
      <c r="E48" s="14" t="s">
        <v>62</v>
      </c>
      <c r="F48" s="14" t="s">
        <v>62</v>
      </c>
      <c r="G48" s="14" t="s">
        <v>62</v>
      </c>
      <c r="H48" s="14" t="s">
        <v>62</v>
      </c>
      <c r="I48" s="14" t="s">
        <v>62</v>
      </c>
      <c r="J48" s="14" t="s">
        <v>62</v>
      </c>
      <c r="K48" s="14" t="s">
        <v>62</v>
      </c>
      <c r="L48" s="14" t="s">
        <v>62</v>
      </c>
      <c r="M48" s="14" t="s">
        <v>62</v>
      </c>
      <c r="N48" s="14" t="s">
        <v>62</v>
      </c>
      <c r="O48" s="14" t="s">
        <v>62</v>
      </c>
      <c r="P48" s="14" t="s">
        <v>62</v>
      </c>
      <c r="Q48" s="14" t="s">
        <v>62</v>
      </c>
      <c r="R48" s="14" t="s">
        <v>62</v>
      </c>
      <c r="S48" s="14" t="s">
        <v>62</v>
      </c>
      <c r="T48" s="14" t="s">
        <v>62</v>
      </c>
      <c r="U48" s="14" t="s">
        <v>62</v>
      </c>
      <c r="V48" s="14" t="s">
        <v>62</v>
      </c>
      <c r="W48" s="14" t="s">
        <v>62</v>
      </c>
      <c r="X48" s="14" t="s">
        <v>62</v>
      </c>
      <c r="Y48" s="14" t="s">
        <v>62</v>
      </c>
      <c r="Z48" s="14" t="s">
        <v>62</v>
      </c>
      <c r="AA48" s="14" t="s">
        <v>62</v>
      </c>
      <c r="AB48" s="14" t="s">
        <v>62</v>
      </c>
      <c r="AC48" s="14" t="s">
        <v>62</v>
      </c>
      <c r="AD48" s="14" t="s">
        <v>62</v>
      </c>
      <c r="AE48" s="14" t="s">
        <v>62</v>
      </c>
      <c r="AF48" s="14" t="s">
        <v>62</v>
      </c>
      <c r="AG48" s="14" t="s">
        <v>62</v>
      </c>
      <c r="AH48" s="14" t="s">
        <v>62</v>
      </c>
      <c r="AI48" s="14" t="s">
        <v>62</v>
      </c>
      <c r="AJ48" s="14" t="s">
        <v>62</v>
      </c>
      <c r="AK48" s="14" t="s">
        <v>62</v>
      </c>
      <c r="AL48" s="14" t="s">
        <v>62</v>
      </c>
      <c r="AM48" s="14" t="s">
        <v>62</v>
      </c>
      <c r="AN48" s="14" t="s">
        <v>62</v>
      </c>
      <c r="AO48" s="13">
        <f>2*FM152*AO6*Distances!AO45*1.84</f>
        <v>2515.7216000000003</v>
      </c>
      <c r="AP48" s="13">
        <f>2*FN152*AP6*Distances!AP45*1.84</f>
        <v>2895.4240000000004</v>
      </c>
      <c r="AQ48" s="12">
        <f>2*FO152*AQ6*Distances!AQ45*1.84</f>
        <v>0</v>
      </c>
      <c r="AR48" s="14" t="s">
        <v>62</v>
      </c>
      <c r="AS48" s="14" t="s">
        <v>62</v>
      </c>
      <c r="AT48" s="14" t="s">
        <v>62</v>
      </c>
      <c r="AU48" s="14" t="s">
        <v>62</v>
      </c>
      <c r="AV48" s="14" t="s">
        <v>62</v>
      </c>
      <c r="AW48" s="14" t="s">
        <v>62</v>
      </c>
      <c r="AX48" s="14" t="s">
        <v>62</v>
      </c>
      <c r="AY48" s="14" t="s">
        <v>62</v>
      </c>
      <c r="AZ48" s="14" t="s">
        <v>62</v>
      </c>
      <c r="BA48" s="14" t="s">
        <v>62</v>
      </c>
      <c r="BB48" s="14" t="s">
        <v>62</v>
      </c>
      <c r="BC48" s="14" t="s">
        <v>62</v>
      </c>
      <c r="BD48" s="14" t="s">
        <v>62</v>
      </c>
      <c r="BE48" s="14" t="s">
        <v>62</v>
      </c>
      <c r="BF48" s="14" t="s">
        <v>62</v>
      </c>
      <c r="BG48" s="14" t="s">
        <v>62</v>
      </c>
      <c r="BH48" s="14" t="s">
        <v>62</v>
      </c>
      <c r="BI48" s="14" t="s">
        <v>62</v>
      </c>
      <c r="BJ48" s="15" t="s">
        <v>62</v>
      </c>
    </row>
    <row r="49" spans="1:62" x14ac:dyDescent="0.3">
      <c r="A49" s="35" t="s">
        <v>43</v>
      </c>
      <c r="B49" s="16" t="s">
        <v>62</v>
      </c>
      <c r="C49" s="14" t="s">
        <v>62</v>
      </c>
      <c r="D49" s="14" t="s">
        <v>62</v>
      </c>
      <c r="E49" s="14" t="s">
        <v>62</v>
      </c>
      <c r="F49" s="14" t="s">
        <v>62</v>
      </c>
      <c r="G49" s="14" t="s">
        <v>62</v>
      </c>
      <c r="H49" s="14" t="s">
        <v>62</v>
      </c>
      <c r="I49" s="14" t="s">
        <v>62</v>
      </c>
      <c r="J49" s="14" t="s">
        <v>62</v>
      </c>
      <c r="K49" s="14" t="s">
        <v>62</v>
      </c>
      <c r="L49" s="14" t="s">
        <v>62</v>
      </c>
      <c r="M49" s="14" t="s">
        <v>62</v>
      </c>
      <c r="N49" s="14" t="s">
        <v>62</v>
      </c>
      <c r="O49" s="14" t="s">
        <v>62</v>
      </c>
      <c r="P49" s="14" t="s">
        <v>62</v>
      </c>
      <c r="Q49" s="14" t="s">
        <v>62</v>
      </c>
      <c r="R49" s="14" t="s">
        <v>62</v>
      </c>
      <c r="S49" s="14" t="s">
        <v>62</v>
      </c>
      <c r="T49" s="14" t="s">
        <v>62</v>
      </c>
      <c r="U49" s="14" t="s">
        <v>62</v>
      </c>
      <c r="V49" s="14" t="s">
        <v>62</v>
      </c>
      <c r="W49" s="14">
        <f>2*EU153*W6*Distances!W46*1.84</f>
        <v>10003.322971428572</v>
      </c>
      <c r="X49" s="14">
        <f>2*EV153*X6*Distances!X46*1.84</f>
        <v>9558.1481142857156</v>
      </c>
      <c r="Y49" s="14">
        <f>2*EW153*Y6*Distances!Y46*1.84</f>
        <v>9954.9940571428579</v>
      </c>
      <c r="Z49" s="14" t="s">
        <v>62</v>
      </c>
      <c r="AA49" s="14" t="s">
        <v>62</v>
      </c>
      <c r="AB49" s="14" t="s">
        <v>62</v>
      </c>
      <c r="AC49" s="14" t="s">
        <v>62</v>
      </c>
      <c r="AD49" s="14">
        <f>2*FB153*AD6*Distances!AD46*1.84</f>
        <v>337.48228571428575</v>
      </c>
      <c r="AE49" s="14" t="s">
        <v>62</v>
      </c>
      <c r="AF49" s="14" t="s">
        <v>62</v>
      </c>
      <c r="AG49" s="14" t="s">
        <v>62</v>
      </c>
      <c r="AH49" s="13" t="s">
        <v>62</v>
      </c>
      <c r="AI49" s="13" t="s">
        <v>62</v>
      </c>
      <c r="AJ49" s="13">
        <f>2*FH153*AJ6*Distances!AJ46*1.84</f>
        <v>515.10186666666664</v>
      </c>
      <c r="AK49" s="13">
        <f>2*FI153*AK6*Distances!AK46*1.84</f>
        <v>612.68728888888904</v>
      </c>
      <c r="AL49" s="13" t="s">
        <v>62</v>
      </c>
      <c r="AM49" s="13" t="s">
        <v>62</v>
      </c>
      <c r="AN49" s="13" t="s">
        <v>62</v>
      </c>
      <c r="AO49" s="14" t="s">
        <v>62</v>
      </c>
      <c r="AP49" s="14" t="s">
        <v>62</v>
      </c>
      <c r="AQ49" s="14" t="s">
        <v>62</v>
      </c>
      <c r="AR49" s="12">
        <f>2*FP153*AR6*Distances!AR46*1.84</f>
        <v>0</v>
      </c>
      <c r="AS49" s="13">
        <f>2*FQ153*AS6*Distances!AS46*1.84</f>
        <v>302.64320000000004</v>
      </c>
      <c r="AT49" s="13">
        <f>2*FR153*AT6*Distances!AT46*1.84</f>
        <v>161.92000000000002</v>
      </c>
      <c r="AU49" s="13" t="s">
        <v>62</v>
      </c>
      <c r="AV49" s="13">
        <f>2*FT153*AV6*Distances!AV46*1.84</f>
        <v>1909.3680000000002</v>
      </c>
      <c r="AW49" s="13">
        <f>2*FU153*AW6*Distances!AW46*1.84</f>
        <v>3180.4195555555561</v>
      </c>
      <c r="AX49" s="13" t="s">
        <v>62</v>
      </c>
      <c r="AY49" s="14">
        <f>2*FW153*AY6*Distances!AY46*1.84</f>
        <v>470.47796363636377</v>
      </c>
      <c r="AZ49" s="14">
        <f>2*FX153*AZ6*Distances!AZ46*1.84</f>
        <v>508.68305454545464</v>
      </c>
      <c r="BA49" s="13">
        <f>2*FY153*BA6*Distances!BA46*1.84</f>
        <v>3115.5043555555558</v>
      </c>
      <c r="BB49" s="14">
        <f>2*FZ153*BB6*Distances!BB46*1.84</f>
        <v>807.27634285714294</v>
      </c>
      <c r="BC49" s="13" t="s">
        <v>62</v>
      </c>
      <c r="BD49" s="13" t="s">
        <v>62</v>
      </c>
      <c r="BE49" s="13" t="s">
        <v>62</v>
      </c>
      <c r="BF49" s="14">
        <f>2*GD153*BF6*Distances!BF46*1.84</f>
        <v>538.79405714285724</v>
      </c>
      <c r="BG49" s="14" t="s">
        <v>62</v>
      </c>
      <c r="BH49" s="14" t="s">
        <v>62</v>
      </c>
      <c r="BI49" s="14" t="s">
        <v>62</v>
      </c>
      <c r="BJ49" s="15" t="s">
        <v>62</v>
      </c>
    </row>
    <row r="50" spans="1:62" x14ac:dyDescent="0.3">
      <c r="A50" s="35" t="s">
        <v>44</v>
      </c>
      <c r="B50" s="16" t="s">
        <v>62</v>
      </c>
      <c r="C50" s="14" t="s">
        <v>62</v>
      </c>
      <c r="D50" s="14" t="s">
        <v>62</v>
      </c>
      <c r="E50" s="14" t="s">
        <v>62</v>
      </c>
      <c r="F50" s="14" t="s">
        <v>62</v>
      </c>
      <c r="G50" s="14" t="s">
        <v>62</v>
      </c>
      <c r="H50" s="14" t="s">
        <v>62</v>
      </c>
      <c r="I50" s="14" t="s">
        <v>62</v>
      </c>
      <c r="J50" s="14" t="s">
        <v>62</v>
      </c>
      <c r="K50" s="14" t="s">
        <v>62</v>
      </c>
      <c r="L50" s="14" t="s">
        <v>62</v>
      </c>
      <c r="M50" s="14" t="s">
        <v>62</v>
      </c>
      <c r="N50" s="14" t="s">
        <v>62</v>
      </c>
      <c r="O50" s="14" t="s">
        <v>62</v>
      </c>
      <c r="P50" s="14" t="s">
        <v>62</v>
      </c>
      <c r="Q50" s="14" t="s">
        <v>62</v>
      </c>
      <c r="R50" s="14" t="s">
        <v>62</v>
      </c>
      <c r="S50" s="14" t="s">
        <v>62</v>
      </c>
      <c r="T50" s="14">
        <f>2*ER154*T6*Distances!T47*1.84</f>
        <v>1113.0527999999999</v>
      </c>
      <c r="U50" s="14">
        <f>2*ES154*U6*Distances!U47*1.84</f>
        <v>1052.8112000000001</v>
      </c>
      <c r="V50" s="14">
        <f>2*ET154*V6*Distances!V47*1.84</f>
        <v>7940.1204571428589</v>
      </c>
      <c r="W50" s="14">
        <f>2*EU154*W6*Distances!W47*1.84</f>
        <v>8845.2585142857151</v>
      </c>
      <c r="X50" s="14">
        <f>2*EV154*X6*Distances!X47*1.84</f>
        <v>8400.083657142859</v>
      </c>
      <c r="Y50" s="14">
        <f>2*EW154*Y6*Distances!Y47*1.84</f>
        <v>8796.9296000000013</v>
      </c>
      <c r="Z50" s="14">
        <f>2*EX154*Z6*Distances!Z47*1.84</f>
        <v>291.73462857142863</v>
      </c>
      <c r="AA50" s="14">
        <f>2*EY154*AA6*Distances!AA47*1.84</f>
        <v>277.92937142857147</v>
      </c>
      <c r="AB50" s="14">
        <f>2*EZ154*AB6*Distances!AB47*1.84</f>
        <v>359.70948571428573</v>
      </c>
      <c r="AC50" s="14">
        <f>2*FA154*AC6*Distances!AC47*1.84</f>
        <v>328.92365714285717</v>
      </c>
      <c r="AD50" s="14">
        <f>2*FB154*AD6*Distances!AD47*1.84</f>
        <v>297.54902857142861</v>
      </c>
      <c r="AE50" s="14">
        <f>2*FC154*AE6*Distances!AE47*1.84</f>
        <v>264.91794285714286</v>
      </c>
      <c r="AF50" s="14">
        <f>2*FD154*AF6*Distances!AF47*1.84</f>
        <v>543.23108571428577</v>
      </c>
      <c r="AG50" s="14">
        <f>2*FE154*AG6*Distances!AG47*1.84</f>
        <v>508.87040000000013</v>
      </c>
      <c r="AH50" s="13" t="s">
        <v>62</v>
      </c>
      <c r="AI50" s="13" t="s">
        <v>62</v>
      </c>
      <c r="AJ50" s="13">
        <f>2*FH154*AJ6*Distances!AJ47*1.84</f>
        <v>544.7054222222223</v>
      </c>
      <c r="AK50" s="13">
        <f>2*FI154*AK6*Distances!AK47*1.84</f>
        <v>642.28266666666673</v>
      </c>
      <c r="AL50" s="13" t="s">
        <v>62</v>
      </c>
      <c r="AM50" s="13" t="s">
        <v>62</v>
      </c>
      <c r="AN50" s="13" t="s">
        <v>62</v>
      </c>
      <c r="AO50" s="14" t="s">
        <v>62</v>
      </c>
      <c r="AP50" s="14" t="s">
        <v>62</v>
      </c>
      <c r="AQ50" s="14" t="s">
        <v>62</v>
      </c>
      <c r="AR50" s="13">
        <f>2*FP154*AR6*Distances!AR47*1.84</f>
        <v>302.64320000000004</v>
      </c>
      <c r="AS50" s="12">
        <f>2*FQ154*AS6*Distances!AS47*1.84</f>
        <v>0</v>
      </c>
      <c r="AT50" s="13">
        <f>2*FR154*AT6*Distances!AT47*1.84</f>
        <v>141.88444444444445</v>
      </c>
      <c r="AU50" s="13" t="s">
        <v>62</v>
      </c>
      <c r="AV50" s="13" t="s">
        <v>62</v>
      </c>
      <c r="AW50" s="13" t="s">
        <v>62</v>
      </c>
      <c r="AX50" s="13">
        <f>2*FV154*AX6*Distances!AX47*1.84</f>
        <v>4533.0648888888891</v>
      </c>
      <c r="AY50" s="12">
        <f>2*FW154*AY6*Distances!AY47*1.84</f>
        <v>64514.816000000006</v>
      </c>
      <c r="AZ50" s="12">
        <f>2*FX154*AZ6*Distances!AZ47*1.84</f>
        <v>71237.734400000001</v>
      </c>
      <c r="BA50" s="13">
        <f>2*FY154*BA6*Distances!BA47*1.84</f>
        <v>3233.885866666667</v>
      </c>
      <c r="BB50" s="14">
        <f>2*FZ154*BB6*Distances!BB47*1.84</f>
        <v>727.40982857142865</v>
      </c>
      <c r="BC50" s="13" t="s">
        <v>62</v>
      </c>
      <c r="BD50" s="13" t="s">
        <v>62</v>
      </c>
      <c r="BE50" s="13" t="s">
        <v>62</v>
      </c>
      <c r="BF50" s="14" t="s">
        <v>62</v>
      </c>
      <c r="BG50" s="14">
        <f>2*GE154*BG6*Distances!BG47*1.84</f>
        <v>463.92182857142865</v>
      </c>
      <c r="BH50" s="14" t="s">
        <v>62</v>
      </c>
      <c r="BI50" s="14" t="s">
        <v>62</v>
      </c>
      <c r="BJ50" s="15" t="s">
        <v>62</v>
      </c>
    </row>
    <row r="51" spans="1:62" x14ac:dyDescent="0.3">
      <c r="A51" s="36" t="s">
        <v>45</v>
      </c>
      <c r="B51" s="21" t="s">
        <v>62</v>
      </c>
      <c r="C51" s="22" t="s">
        <v>62</v>
      </c>
      <c r="D51" s="22" t="s">
        <v>62</v>
      </c>
      <c r="E51" s="22" t="s">
        <v>62</v>
      </c>
      <c r="F51" s="22" t="s">
        <v>62</v>
      </c>
      <c r="G51" s="22" t="s">
        <v>62</v>
      </c>
      <c r="H51" s="22" t="s">
        <v>62</v>
      </c>
      <c r="I51" s="22" t="s">
        <v>62</v>
      </c>
      <c r="J51" s="22" t="s">
        <v>62</v>
      </c>
      <c r="K51" s="22" t="s">
        <v>62</v>
      </c>
      <c r="L51" s="22" t="s">
        <v>62</v>
      </c>
      <c r="M51" s="22" t="s">
        <v>62</v>
      </c>
      <c r="N51" s="22" t="s">
        <v>62</v>
      </c>
      <c r="O51" s="22" t="s">
        <v>62</v>
      </c>
      <c r="P51" s="22" t="s">
        <v>62</v>
      </c>
      <c r="Q51" s="22" t="s">
        <v>62</v>
      </c>
      <c r="R51" s="22" t="s">
        <v>62</v>
      </c>
      <c r="S51" s="22" t="s">
        <v>62</v>
      </c>
      <c r="T51" s="22">
        <f>2*ER155*T6*Distances!T48*1.84</f>
        <v>1067.0712000000001</v>
      </c>
      <c r="U51" s="22">
        <f>2*ES155*U6*Distances!U48*1.84</f>
        <v>1006.8480000000002</v>
      </c>
      <c r="V51" s="22">
        <f>2*ET155*V6*Distances!V48*1.84</f>
        <v>7559.1300571428565</v>
      </c>
      <c r="W51" s="22">
        <f>2*EU155*W6*Distances!W48*1.84</f>
        <v>8464.2681142857145</v>
      </c>
      <c r="X51" s="22">
        <f>2*EV155*X6*Distances!X48*1.84</f>
        <v>8019.0932571428575</v>
      </c>
      <c r="Y51" s="22">
        <f>2*EW155*Y6*Distances!Y48*1.84</f>
        <v>8415.9392000000007</v>
      </c>
      <c r="Z51" s="22" t="s">
        <v>62</v>
      </c>
      <c r="AA51" s="22">
        <f>2*EY155*AA6*Distances!AA48*1.84</f>
        <v>264.79177142857145</v>
      </c>
      <c r="AB51" s="22">
        <f>2*EZ155*AB6*Distances!AB48*1.84</f>
        <v>346.57188571428571</v>
      </c>
      <c r="AC51" s="22">
        <f>2*FA155*AC6*Distances!AC48*1.84</f>
        <v>315.7860571428572</v>
      </c>
      <c r="AD51" s="22">
        <f>2*FB155*AD6*Distances!AD48*1.84</f>
        <v>284.41142857142859</v>
      </c>
      <c r="AE51" s="22" t="s">
        <v>62</v>
      </c>
      <c r="AF51" s="22" t="s">
        <v>62</v>
      </c>
      <c r="AG51" s="22" t="s">
        <v>62</v>
      </c>
      <c r="AH51" s="23" t="s">
        <v>62</v>
      </c>
      <c r="AI51" s="23" t="s">
        <v>62</v>
      </c>
      <c r="AJ51" s="23">
        <f>2*FH155*AJ6*Distances!AJ48*1.84</f>
        <v>473.81226666666669</v>
      </c>
      <c r="AK51" s="23">
        <f>2*FI155*AK6*Distances!AK48*1.84</f>
        <v>571.39768888888887</v>
      </c>
      <c r="AL51" s="23" t="s">
        <v>62</v>
      </c>
      <c r="AM51" s="23" t="s">
        <v>62</v>
      </c>
      <c r="AN51" s="23" t="s">
        <v>62</v>
      </c>
      <c r="AO51" s="22" t="s">
        <v>62</v>
      </c>
      <c r="AP51" s="22" t="s">
        <v>62</v>
      </c>
      <c r="AQ51" s="22" t="s">
        <v>62</v>
      </c>
      <c r="AR51" s="23">
        <f>2*FP155*AR6*Distances!AR48*1.84</f>
        <v>161.92000000000002</v>
      </c>
      <c r="AS51" s="23">
        <f>2*FQ155*AS6*Distances!AS48*1.84</f>
        <v>141.88444444444445</v>
      </c>
      <c r="AT51" s="24">
        <f>2*FR155*AT6*Distances!AT48*1.84</f>
        <v>0</v>
      </c>
      <c r="AU51" s="23" t="s">
        <v>62</v>
      </c>
      <c r="AV51" s="23" t="s">
        <v>62</v>
      </c>
      <c r="AW51" s="23" t="s">
        <v>62</v>
      </c>
      <c r="AX51" s="23">
        <f>2*FV155*AX6*Distances!AX48*1.84</f>
        <v>4178.6400000000003</v>
      </c>
      <c r="AY51" s="22">
        <f>2*FW155*AY6*Distances!AY48*1.84</f>
        <v>398.29643636363642</v>
      </c>
      <c r="AZ51" s="22">
        <f>2*FX155*AZ6*Distances!AZ48*1.84</f>
        <v>436.49483636363641</v>
      </c>
      <c r="BA51" s="24">
        <f>2*FY155*BA6*Distances!BA48*1.84</f>
        <v>79659.340799999991</v>
      </c>
      <c r="BB51" s="22" t="s">
        <v>62</v>
      </c>
      <c r="BC51" s="23">
        <f>2*GA155*BC6*Distances!BC48*1.84</f>
        <v>26283.246933333336</v>
      </c>
      <c r="BD51" s="23" t="s">
        <v>62</v>
      </c>
      <c r="BE51" s="23">
        <f>2*GC155*BE6*Distances!BE48*1.84</f>
        <v>25223.930311111115</v>
      </c>
      <c r="BF51" s="22" t="s">
        <v>62</v>
      </c>
      <c r="BG51" s="22">
        <f>2*GE155*BG6*Distances!BG48*1.84</f>
        <v>437.64662857142861</v>
      </c>
      <c r="BH51" s="22" t="s">
        <v>62</v>
      </c>
      <c r="BI51" s="22" t="s">
        <v>62</v>
      </c>
      <c r="BJ51" s="25" t="s">
        <v>62</v>
      </c>
    </row>
    <row r="53" spans="1:62" x14ac:dyDescent="0.3">
      <c r="A53" s="43"/>
    </row>
    <row r="54" spans="1:62" ht="21" x14ac:dyDescent="0.3">
      <c r="A54" s="55" t="s">
        <v>122</v>
      </c>
      <c r="B54" s="56"/>
    </row>
    <row r="56" spans="1:62" x14ac:dyDescent="0.3">
      <c r="A56" s="1" t="s">
        <v>0</v>
      </c>
      <c r="B56" s="2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  <c r="L56" s="3" t="s">
        <v>11</v>
      </c>
      <c r="M56" s="3" t="s">
        <v>12</v>
      </c>
      <c r="N56" s="3" t="s">
        <v>13</v>
      </c>
      <c r="O56" s="3" t="s">
        <v>14</v>
      </c>
      <c r="P56" s="3" t="s">
        <v>15</v>
      </c>
      <c r="Q56" s="3" t="s">
        <v>16</v>
      </c>
      <c r="R56" s="3" t="s">
        <v>17</v>
      </c>
      <c r="S56" s="3" t="s">
        <v>18</v>
      </c>
      <c r="T56" s="3" t="s">
        <v>19</v>
      </c>
      <c r="U56" s="3" t="s">
        <v>20</v>
      </c>
      <c r="V56" s="3" t="s">
        <v>21</v>
      </c>
      <c r="W56" s="3" t="s">
        <v>22</v>
      </c>
      <c r="X56" s="3" t="s">
        <v>23</v>
      </c>
      <c r="Y56" s="3" t="s">
        <v>24</v>
      </c>
      <c r="Z56" s="3" t="s">
        <v>25</v>
      </c>
      <c r="AA56" s="3" t="s">
        <v>26</v>
      </c>
      <c r="AB56" s="3" t="s">
        <v>27</v>
      </c>
      <c r="AC56" s="3" t="s">
        <v>28</v>
      </c>
      <c r="AD56" s="3" t="s">
        <v>29</v>
      </c>
      <c r="AE56" s="3" t="s">
        <v>30</v>
      </c>
      <c r="AF56" s="3" t="s">
        <v>31</v>
      </c>
      <c r="AG56" s="3" t="s">
        <v>32</v>
      </c>
      <c r="AH56" s="3" t="s">
        <v>33</v>
      </c>
      <c r="AI56" s="3" t="s">
        <v>34</v>
      </c>
      <c r="AJ56" s="3" t="s">
        <v>35</v>
      </c>
      <c r="AK56" s="3" t="s">
        <v>36</v>
      </c>
      <c r="AL56" s="3" t="s">
        <v>37</v>
      </c>
      <c r="AM56" s="3" t="s">
        <v>38</v>
      </c>
      <c r="AN56" s="3" t="s">
        <v>39</v>
      </c>
      <c r="AO56" s="3" t="s">
        <v>40</v>
      </c>
      <c r="AP56" s="3" t="s">
        <v>41</v>
      </c>
      <c r="AQ56" s="3" t="s">
        <v>42</v>
      </c>
      <c r="AR56" s="3" t="s">
        <v>43</v>
      </c>
      <c r="AS56" s="3" t="s">
        <v>44</v>
      </c>
      <c r="AT56" s="3" t="s">
        <v>45</v>
      </c>
      <c r="AU56" s="3" t="s">
        <v>46</v>
      </c>
      <c r="AV56" s="3" t="s">
        <v>47</v>
      </c>
      <c r="AW56" s="3" t="s">
        <v>117</v>
      </c>
      <c r="AX56" s="3" t="s">
        <v>49</v>
      </c>
      <c r="AY56" s="3" t="s">
        <v>114</v>
      </c>
      <c r="AZ56" s="3" t="s">
        <v>51</v>
      </c>
      <c r="BA56" s="3" t="s">
        <v>52</v>
      </c>
      <c r="BB56" s="3" t="s">
        <v>53</v>
      </c>
      <c r="BC56" s="3" t="s">
        <v>54</v>
      </c>
      <c r="BD56" s="3" t="s">
        <v>71</v>
      </c>
      <c r="BE56" s="3" t="s">
        <v>56</v>
      </c>
      <c r="BF56" s="3" t="s">
        <v>57</v>
      </c>
      <c r="BG56" s="3" t="s">
        <v>58</v>
      </c>
      <c r="BH56" s="3" t="s">
        <v>59</v>
      </c>
      <c r="BI56" s="3" t="s">
        <v>60</v>
      </c>
      <c r="BJ56" s="4" t="s">
        <v>61</v>
      </c>
    </row>
    <row r="57" spans="1:62" x14ac:dyDescent="0.3">
      <c r="A57" s="29" t="s">
        <v>115</v>
      </c>
      <c r="B57" s="37">
        <v>511492.875</v>
      </c>
      <c r="C57" s="38">
        <v>511492.875</v>
      </c>
      <c r="D57" s="38">
        <v>511492.875</v>
      </c>
      <c r="E57" s="38">
        <v>511492.875</v>
      </c>
      <c r="F57" s="38">
        <v>511492.875</v>
      </c>
      <c r="G57" s="38">
        <v>511492.875</v>
      </c>
      <c r="H57" s="38">
        <v>511492.875</v>
      </c>
      <c r="I57" s="38">
        <v>511492.875</v>
      </c>
      <c r="J57" s="38">
        <v>8525</v>
      </c>
      <c r="K57" s="38">
        <v>8525</v>
      </c>
      <c r="L57" s="38">
        <v>8525</v>
      </c>
      <c r="M57" s="38">
        <v>8525</v>
      </c>
      <c r="N57" s="38">
        <v>9207</v>
      </c>
      <c r="O57" s="38">
        <v>17050</v>
      </c>
      <c r="P57" s="38">
        <v>17050</v>
      </c>
      <c r="Q57" s="38">
        <v>125031.66666666667</v>
      </c>
      <c r="R57" s="38">
        <v>125031.66666666667</v>
      </c>
      <c r="S57" s="38">
        <v>125031.66666666667</v>
      </c>
      <c r="T57" s="38">
        <v>17050</v>
      </c>
      <c r="U57" s="38">
        <v>17050</v>
      </c>
      <c r="V57" s="38">
        <v>144923</v>
      </c>
      <c r="W57" s="38">
        <v>144923</v>
      </c>
      <c r="X57" s="38">
        <v>144923</v>
      </c>
      <c r="Y57" s="38">
        <v>144923</v>
      </c>
      <c r="Z57" s="38">
        <v>4603.5</v>
      </c>
      <c r="AA57" s="38">
        <v>4603.5</v>
      </c>
      <c r="AB57" s="38">
        <v>4603.5</v>
      </c>
      <c r="AC57" s="38">
        <v>4603.5</v>
      </c>
      <c r="AD57" s="38">
        <v>4603.5</v>
      </c>
      <c r="AE57" s="38">
        <v>4603.5</v>
      </c>
      <c r="AF57" s="38">
        <v>9207</v>
      </c>
      <c r="AG57" s="38">
        <v>9207</v>
      </c>
      <c r="AH57" s="38">
        <v>2301.75</v>
      </c>
      <c r="AI57" s="38">
        <v>2301.75</v>
      </c>
      <c r="AJ57" s="38">
        <v>2301.75</v>
      </c>
      <c r="AK57" s="38">
        <v>2301.75</v>
      </c>
      <c r="AL57" s="38">
        <v>136398</v>
      </c>
      <c r="AM57" s="38">
        <v>136398</v>
      </c>
      <c r="AN57" s="38">
        <v>136398</v>
      </c>
      <c r="AO57" s="38">
        <v>3069</v>
      </c>
      <c r="AP57" s="38">
        <v>3069</v>
      </c>
      <c r="AQ57" s="38">
        <v>3069</v>
      </c>
      <c r="AR57" s="38">
        <v>3069</v>
      </c>
      <c r="AS57" s="38">
        <v>3069</v>
      </c>
      <c r="AT57" s="38">
        <v>3069</v>
      </c>
      <c r="AU57" s="38">
        <v>34100</v>
      </c>
      <c r="AV57" s="38">
        <v>11366.666666666666</v>
      </c>
      <c r="AW57" s="38">
        <v>11366.666666666666</v>
      </c>
      <c r="AX57" s="38">
        <v>11366.666666666666</v>
      </c>
      <c r="AY57" s="38">
        <v>9207</v>
      </c>
      <c r="AZ57" s="38">
        <v>9207</v>
      </c>
      <c r="BA57" s="38">
        <v>9207</v>
      </c>
      <c r="BB57" s="38">
        <v>9207</v>
      </c>
      <c r="BC57" s="38">
        <v>79565.666666666672</v>
      </c>
      <c r="BD57" s="38">
        <v>79565.666666666672</v>
      </c>
      <c r="BE57" s="38">
        <v>79565.666666666672</v>
      </c>
      <c r="BF57" s="38">
        <v>9207</v>
      </c>
      <c r="BG57" s="38">
        <v>9207</v>
      </c>
      <c r="BH57" s="38">
        <v>9207</v>
      </c>
      <c r="BI57" s="38">
        <v>9207</v>
      </c>
      <c r="BJ57" s="39">
        <v>9207</v>
      </c>
    </row>
    <row r="58" spans="1:62" x14ac:dyDescent="0.3">
      <c r="A58" s="29" t="s">
        <v>116</v>
      </c>
      <c r="B58" s="40">
        <f>ROUNDUP(B57/2542,0)</f>
        <v>202</v>
      </c>
      <c r="C58" s="41">
        <f t="shared" ref="C58:AT58" si="2">ROUNDUP(C57/2542,0)</f>
        <v>202</v>
      </c>
      <c r="D58" s="41">
        <f t="shared" si="2"/>
        <v>202</v>
      </c>
      <c r="E58" s="41">
        <f t="shared" si="2"/>
        <v>202</v>
      </c>
      <c r="F58" s="41">
        <f t="shared" si="2"/>
        <v>202</v>
      </c>
      <c r="G58" s="41">
        <f t="shared" si="2"/>
        <v>202</v>
      </c>
      <c r="H58" s="41">
        <f t="shared" si="2"/>
        <v>202</v>
      </c>
      <c r="I58" s="41">
        <f t="shared" si="2"/>
        <v>202</v>
      </c>
      <c r="J58" s="41">
        <f t="shared" si="2"/>
        <v>4</v>
      </c>
      <c r="K58" s="41">
        <f t="shared" si="2"/>
        <v>4</v>
      </c>
      <c r="L58" s="41">
        <f t="shared" si="2"/>
        <v>4</v>
      </c>
      <c r="M58" s="41">
        <f t="shared" si="2"/>
        <v>4</v>
      </c>
      <c r="N58" s="41">
        <f t="shared" si="2"/>
        <v>4</v>
      </c>
      <c r="O58" s="41">
        <f t="shared" si="2"/>
        <v>7</v>
      </c>
      <c r="P58" s="41">
        <f t="shared" si="2"/>
        <v>7</v>
      </c>
      <c r="Q58" s="41">
        <f t="shared" si="2"/>
        <v>50</v>
      </c>
      <c r="R58" s="41">
        <f t="shared" si="2"/>
        <v>50</v>
      </c>
      <c r="S58" s="41">
        <f t="shared" si="2"/>
        <v>50</v>
      </c>
      <c r="T58" s="41">
        <f t="shared" si="2"/>
        <v>7</v>
      </c>
      <c r="U58" s="41">
        <f t="shared" si="2"/>
        <v>7</v>
      </c>
      <c r="V58" s="41">
        <f t="shared" si="2"/>
        <v>58</v>
      </c>
      <c r="W58" s="41">
        <f t="shared" si="2"/>
        <v>58</v>
      </c>
      <c r="X58" s="41">
        <f t="shared" si="2"/>
        <v>58</v>
      </c>
      <c r="Y58" s="41">
        <f t="shared" si="2"/>
        <v>58</v>
      </c>
      <c r="Z58" s="41">
        <f t="shared" si="2"/>
        <v>2</v>
      </c>
      <c r="AA58" s="41">
        <f t="shared" si="2"/>
        <v>2</v>
      </c>
      <c r="AB58" s="41">
        <f t="shared" si="2"/>
        <v>2</v>
      </c>
      <c r="AC58" s="41">
        <f t="shared" si="2"/>
        <v>2</v>
      </c>
      <c r="AD58" s="41">
        <f t="shared" si="2"/>
        <v>2</v>
      </c>
      <c r="AE58" s="41">
        <f t="shared" si="2"/>
        <v>2</v>
      </c>
      <c r="AF58" s="41">
        <f t="shared" si="2"/>
        <v>4</v>
      </c>
      <c r="AG58" s="41">
        <f t="shared" si="2"/>
        <v>4</v>
      </c>
      <c r="AH58" s="41">
        <f t="shared" si="2"/>
        <v>1</v>
      </c>
      <c r="AI58" s="41">
        <f t="shared" si="2"/>
        <v>1</v>
      </c>
      <c r="AJ58" s="41">
        <f t="shared" si="2"/>
        <v>1</v>
      </c>
      <c r="AK58" s="41">
        <f t="shared" si="2"/>
        <v>1</v>
      </c>
      <c r="AL58" s="41">
        <f t="shared" si="2"/>
        <v>54</v>
      </c>
      <c r="AM58" s="41">
        <f t="shared" si="2"/>
        <v>54</v>
      </c>
      <c r="AN58" s="41">
        <f t="shared" si="2"/>
        <v>54</v>
      </c>
      <c r="AO58" s="41">
        <f t="shared" si="2"/>
        <v>2</v>
      </c>
      <c r="AP58" s="41">
        <f t="shared" si="2"/>
        <v>2</v>
      </c>
      <c r="AQ58" s="41">
        <f t="shared" si="2"/>
        <v>2</v>
      </c>
      <c r="AR58" s="41">
        <f t="shared" si="2"/>
        <v>2</v>
      </c>
      <c r="AS58" s="41">
        <f t="shared" si="2"/>
        <v>2</v>
      </c>
      <c r="AT58" s="41">
        <f t="shared" si="2"/>
        <v>2</v>
      </c>
      <c r="AU58" s="41">
        <f>ROUNDUP(AU57/2542,0)</f>
        <v>14</v>
      </c>
      <c r="AV58" s="41">
        <f t="shared" ref="AV58:BJ58" si="3">ROUNDUP(AV57/2542,0)</f>
        <v>5</v>
      </c>
      <c r="AW58" s="41">
        <f t="shared" si="3"/>
        <v>5</v>
      </c>
      <c r="AX58" s="41">
        <f t="shared" si="3"/>
        <v>5</v>
      </c>
      <c r="AY58" s="41">
        <f t="shared" si="3"/>
        <v>4</v>
      </c>
      <c r="AZ58" s="41">
        <f t="shared" si="3"/>
        <v>4</v>
      </c>
      <c r="BA58" s="41">
        <f t="shared" si="3"/>
        <v>4</v>
      </c>
      <c r="BB58" s="41">
        <f t="shared" si="3"/>
        <v>4</v>
      </c>
      <c r="BC58" s="41">
        <f t="shared" si="3"/>
        <v>32</v>
      </c>
      <c r="BD58" s="41">
        <f t="shared" si="3"/>
        <v>32</v>
      </c>
      <c r="BE58" s="41">
        <f t="shared" si="3"/>
        <v>32</v>
      </c>
      <c r="BF58" s="41">
        <f t="shared" si="3"/>
        <v>4</v>
      </c>
      <c r="BG58" s="41">
        <f t="shared" si="3"/>
        <v>4</v>
      </c>
      <c r="BH58" s="41">
        <f t="shared" si="3"/>
        <v>4</v>
      </c>
      <c r="BI58" s="41">
        <f t="shared" si="3"/>
        <v>4</v>
      </c>
      <c r="BJ58" s="42">
        <f t="shared" si="3"/>
        <v>4</v>
      </c>
    </row>
    <row r="59" spans="1:62" x14ac:dyDescent="0.3">
      <c r="A59" s="34" t="s">
        <v>1</v>
      </c>
      <c r="B59" s="6">
        <f>2*DZ111*B58*Distances!B54*3</f>
        <v>0</v>
      </c>
      <c r="C59" s="7">
        <f>2*EA111*C58*Distances!C54*3</f>
        <v>62133.180000000008</v>
      </c>
      <c r="D59" s="7">
        <f>2*EB111*D58*Distances!D54*3</f>
        <v>80157.64</v>
      </c>
      <c r="E59" s="7">
        <f>2*EC111*E58*Distances!E54*3</f>
        <v>66866.040000000008</v>
      </c>
      <c r="F59" s="7">
        <f>2*ED111*F58*Distances!F54*3</f>
        <v>37699.26</v>
      </c>
      <c r="G59" s="7">
        <f>2*EE111*G58*Distances!G54*3</f>
        <v>100394</v>
      </c>
      <c r="H59" s="7">
        <f>2*EF111*H58*Distances!H54*3</f>
        <v>133964.38</v>
      </c>
      <c r="I59" s="7">
        <f>2*EG111*I58*Distances!I54*3</f>
        <v>139125.47999999998</v>
      </c>
      <c r="J59" s="7">
        <f>2*EH111*J58*Distances!J54*3</f>
        <v>1227.92</v>
      </c>
      <c r="K59" s="7">
        <f>2*EI111*K58*Distances!K54*3</f>
        <v>1135.1999999999998</v>
      </c>
      <c r="L59" s="7">
        <f>2*EJ111*L58*Distances!L54*3</f>
        <v>2185.6799999999998</v>
      </c>
      <c r="M59" s="7">
        <f>2*EK111*M58*Distances!M54*3</f>
        <v>2708.6399999999994</v>
      </c>
      <c r="N59" s="7" t="s">
        <v>62</v>
      </c>
      <c r="O59" s="8" t="s">
        <v>62</v>
      </c>
      <c r="P59" s="8" t="s">
        <v>62</v>
      </c>
      <c r="Q59" s="8" t="s">
        <v>62</v>
      </c>
      <c r="R59" s="8" t="s">
        <v>62</v>
      </c>
      <c r="S59" s="8" t="s">
        <v>62</v>
      </c>
      <c r="T59" s="8" t="s">
        <v>62</v>
      </c>
      <c r="U59" s="8" t="s">
        <v>62</v>
      </c>
      <c r="V59" s="8" t="s">
        <v>62</v>
      </c>
      <c r="W59" s="8" t="s">
        <v>62</v>
      </c>
      <c r="X59" s="8" t="s">
        <v>62</v>
      </c>
      <c r="Y59" s="8" t="s">
        <v>62</v>
      </c>
      <c r="Z59" s="8" t="s">
        <v>62</v>
      </c>
      <c r="AA59" s="8" t="s">
        <v>62</v>
      </c>
      <c r="AB59" s="8" t="s">
        <v>62</v>
      </c>
      <c r="AC59" s="8" t="s">
        <v>62</v>
      </c>
      <c r="AD59" s="8" t="s">
        <v>62</v>
      </c>
      <c r="AE59" s="8" t="s">
        <v>62</v>
      </c>
      <c r="AF59" s="8" t="s">
        <v>62</v>
      </c>
      <c r="AG59" s="8" t="s">
        <v>62</v>
      </c>
      <c r="AH59" s="8" t="s">
        <v>62</v>
      </c>
      <c r="AI59" s="8" t="s">
        <v>62</v>
      </c>
      <c r="AJ59" s="8" t="s">
        <v>62</v>
      </c>
      <c r="AK59" s="8" t="s">
        <v>62</v>
      </c>
      <c r="AL59" s="8" t="s">
        <v>62</v>
      </c>
      <c r="AM59" s="8" t="s">
        <v>62</v>
      </c>
      <c r="AN59" s="8" t="s">
        <v>62</v>
      </c>
      <c r="AO59" s="8" t="s">
        <v>62</v>
      </c>
      <c r="AP59" s="8" t="s">
        <v>62</v>
      </c>
      <c r="AQ59" s="8" t="s">
        <v>62</v>
      </c>
      <c r="AR59" s="8" t="s">
        <v>62</v>
      </c>
      <c r="AS59" s="8" t="s">
        <v>62</v>
      </c>
      <c r="AT59" s="8" t="s">
        <v>62</v>
      </c>
      <c r="AU59" s="8" t="s">
        <v>62</v>
      </c>
      <c r="AV59" s="8" t="s">
        <v>62</v>
      </c>
      <c r="AW59" s="8" t="s">
        <v>62</v>
      </c>
      <c r="AX59" s="8" t="s">
        <v>62</v>
      </c>
      <c r="AY59" s="8" t="s">
        <v>62</v>
      </c>
      <c r="AZ59" s="8" t="s">
        <v>62</v>
      </c>
      <c r="BA59" s="8" t="s">
        <v>62</v>
      </c>
      <c r="BB59" s="8" t="s">
        <v>62</v>
      </c>
      <c r="BC59" s="8" t="s">
        <v>62</v>
      </c>
      <c r="BD59" s="8" t="s">
        <v>62</v>
      </c>
      <c r="BE59" s="8" t="s">
        <v>62</v>
      </c>
      <c r="BF59" s="8" t="s">
        <v>62</v>
      </c>
      <c r="BG59" s="8" t="s">
        <v>62</v>
      </c>
      <c r="BH59" s="8" t="s">
        <v>62</v>
      </c>
      <c r="BI59" s="8" t="s">
        <v>62</v>
      </c>
      <c r="BJ59" s="9" t="s">
        <v>62</v>
      </c>
    </row>
    <row r="60" spans="1:62" x14ac:dyDescent="0.3">
      <c r="A60" s="35" t="s">
        <v>2</v>
      </c>
      <c r="B60" s="11">
        <f>2*DZ112*B58*Distances!B55*3</f>
        <v>62133.180000000008</v>
      </c>
      <c r="C60" s="12">
        <f>2*EA112*C58*Distances!C55*3</f>
        <v>0</v>
      </c>
      <c r="D60" s="13">
        <f>2*EB112*D58*Distances!D55*3</f>
        <v>43579.48</v>
      </c>
      <c r="E60" s="13">
        <f>2*EC112*E58*Distances!E55*3</f>
        <v>30287.880000000005</v>
      </c>
      <c r="F60" s="13">
        <f>2*ED112*F58*Distances!F55*3</f>
        <v>37418.480000000003</v>
      </c>
      <c r="G60" s="13" t="s">
        <v>62</v>
      </c>
      <c r="H60" s="13">
        <f>2*EF112*H58*Distances!H55*3</f>
        <v>101583.77999999998</v>
      </c>
      <c r="I60" s="13">
        <f>2*EG112*I58*Distances!I55*3</f>
        <v>64543.039999999994</v>
      </c>
      <c r="J60" s="13">
        <f>2*EH112*J58*Distances!J55*3</f>
        <v>1236</v>
      </c>
      <c r="K60" s="13">
        <f>2*EI112*K58*Distances!K55*3</f>
        <v>1129.5999999999999</v>
      </c>
      <c r="L60" s="13">
        <f>2*EJ112*L58*Distances!L55*3</f>
        <v>1544.48</v>
      </c>
      <c r="M60" s="13">
        <f>2*EK112*M58*Distances!M55*3</f>
        <v>2067.4400000000005</v>
      </c>
      <c r="N60" s="13" t="s">
        <v>62</v>
      </c>
      <c r="O60" s="14" t="s">
        <v>62</v>
      </c>
      <c r="P60" s="14" t="s">
        <v>62</v>
      </c>
      <c r="Q60" s="14" t="s">
        <v>62</v>
      </c>
      <c r="R60" s="14" t="s">
        <v>62</v>
      </c>
      <c r="S60" s="14" t="s">
        <v>62</v>
      </c>
      <c r="T60" s="14" t="s">
        <v>62</v>
      </c>
      <c r="U60" s="14" t="s">
        <v>62</v>
      </c>
      <c r="V60" s="14" t="s">
        <v>62</v>
      </c>
      <c r="W60" s="14" t="s">
        <v>62</v>
      </c>
      <c r="X60" s="14" t="s">
        <v>62</v>
      </c>
      <c r="Y60" s="14" t="s">
        <v>62</v>
      </c>
      <c r="Z60" s="14" t="s">
        <v>62</v>
      </c>
      <c r="AA60" s="14" t="s">
        <v>62</v>
      </c>
      <c r="AB60" s="14" t="s">
        <v>62</v>
      </c>
      <c r="AC60" s="14" t="s">
        <v>62</v>
      </c>
      <c r="AD60" s="14" t="s">
        <v>62</v>
      </c>
      <c r="AE60" s="14" t="s">
        <v>62</v>
      </c>
      <c r="AF60" s="14" t="s">
        <v>62</v>
      </c>
      <c r="AG60" s="14" t="s">
        <v>62</v>
      </c>
      <c r="AH60" s="14" t="s">
        <v>62</v>
      </c>
      <c r="AI60" s="14" t="s">
        <v>62</v>
      </c>
      <c r="AJ60" s="14" t="s">
        <v>62</v>
      </c>
      <c r="AK60" s="14" t="s">
        <v>62</v>
      </c>
      <c r="AL60" s="14" t="s">
        <v>62</v>
      </c>
      <c r="AM60" s="14" t="s">
        <v>62</v>
      </c>
      <c r="AN60" s="14" t="s">
        <v>62</v>
      </c>
      <c r="AO60" s="14" t="s">
        <v>62</v>
      </c>
      <c r="AP60" s="14" t="s">
        <v>62</v>
      </c>
      <c r="AQ60" s="14" t="s">
        <v>62</v>
      </c>
      <c r="AR60" s="14" t="s">
        <v>62</v>
      </c>
      <c r="AS60" s="14" t="s">
        <v>62</v>
      </c>
      <c r="AT60" s="14" t="s">
        <v>62</v>
      </c>
      <c r="AU60" s="14" t="s">
        <v>62</v>
      </c>
      <c r="AV60" s="14" t="s">
        <v>62</v>
      </c>
      <c r="AW60" s="14" t="s">
        <v>62</v>
      </c>
      <c r="AX60" s="14" t="s">
        <v>62</v>
      </c>
      <c r="AY60" s="14" t="s">
        <v>62</v>
      </c>
      <c r="AZ60" s="14" t="s">
        <v>62</v>
      </c>
      <c r="BA60" s="14" t="s">
        <v>62</v>
      </c>
      <c r="BB60" s="14" t="s">
        <v>62</v>
      </c>
      <c r="BC60" s="14" t="s">
        <v>62</v>
      </c>
      <c r="BD60" s="14" t="s">
        <v>62</v>
      </c>
      <c r="BE60" s="14" t="s">
        <v>62</v>
      </c>
      <c r="BF60" s="14" t="s">
        <v>62</v>
      </c>
      <c r="BG60" s="14" t="s">
        <v>62</v>
      </c>
      <c r="BH60" s="14" t="s">
        <v>62</v>
      </c>
      <c r="BI60" s="14" t="s">
        <v>62</v>
      </c>
      <c r="BJ60" s="15" t="s">
        <v>62</v>
      </c>
    </row>
    <row r="61" spans="1:62" x14ac:dyDescent="0.3">
      <c r="A61" s="35" t="s">
        <v>3</v>
      </c>
      <c r="B61" s="11">
        <f>2*DZ113*B58*Distances!B56*3</f>
        <v>80157.64</v>
      </c>
      <c r="C61" s="13">
        <f>2*EA113*C58*Distances!C56*3</f>
        <v>43579.48</v>
      </c>
      <c r="D61" s="12">
        <f>2*EB113*D58*Distances!D56*3</f>
        <v>0</v>
      </c>
      <c r="E61" s="13">
        <f>2*EC113*E58*Distances!E56*3.53</f>
        <v>15639.782666666668</v>
      </c>
      <c r="F61" s="13">
        <f>2*ED113*F58*Distances!F56*3</f>
        <v>37737.64</v>
      </c>
      <c r="G61" s="13" t="s">
        <v>62</v>
      </c>
      <c r="H61" s="13">
        <f>2*EF113*H58*Distances!H56*3</f>
        <v>58004.3</v>
      </c>
      <c r="I61" s="13" t="s">
        <v>62</v>
      </c>
      <c r="J61" s="13">
        <f>2*EH113*J58*Distances!J56*3</f>
        <v>662.76</v>
      </c>
      <c r="K61" s="13">
        <f>2*EI113*K58*Distances!K56*3</f>
        <v>919.67999999999984</v>
      </c>
      <c r="L61" s="13">
        <f>2*EJ113*L58*Distances!L56*3</f>
        <v>681.12</v>
      </c>
      <c r="M61" s="13">
        <f>2*EK113*M58*Distances!M56*3</f>
        <v>1204.52</v>
      </c>
      <c r="N61" s="13" t="s">
        <v>62</v>
      </c>
      <c r="O61" s="14" t="s">
        <v>62</v>
      </c>
      <c r="P61" s="14" t="s">
        <v>62</v>
      </c>
      <c r="Q61" s="14" t="s">
        <v>62</v>
      </c>
      <c r="R61" s="14" t="s">
        <v>62</v>
      </c>
      <c r="S61" s="14" t="s">
        <v>62</v>
      </c>
      <c r="T61" s="14" t="s">
        <v>62</v>
      </c>
      <c r="U61" s="14" t="s">
        <v>62</v>
      </c>
      <c r="V61" s="14" t="s">
        <v>62</v>
      </c>
      <c r="W61" s="14" t="s">
        <v>62</v>
      </c>
      <c r="X61" s="14" t="s">
        <v>62</v>
      </c>
      <c r="Y61" s="14" t="s">
        <v>62</v>
      </c>
      <c r="Z61" s="14" t="s">
        <v>62</v>
      </c>
      <c r="AA61" s="14" t="s">
        <v>62</v>
      </c>
      <c r="AB61" s="14" t="s">
        <v>62</v>
      </c>
      <c r="AC61" s="14" t="s">
        <v>62</v>
      </c>
      <c r="AD61" s="14" t="s">
        <v>62</v>
      </c>
      <c r="AE61" s="14" t="s">
        <v>62</v>
      </c>
      <c r="AF61" s="14" t="s">
        <v>62</v>
      </c>
      <c r="AG61" s="14" t="s">
        <v>62</v>
      </c>
      <c r="AH61" s="14" t="s">
        <v>62</v>
      </c>
      <c r="AI61" s="14" t="s">
        <v>62</v>
      </c>
      <c r="AJ61" s="14" t="s">
        <v>62</v>
      </c>
      <c r="AK61" s="14" t="s">
        <v>62</v>
      </c>
      <c r="AL61" s="14" t="s">
        <v>62</v>
      </c>
      <c r="AM61" s="14" t="s">
        <v>62</v>
      </c>
      <c r="AN61" s="14" t="s">
        <v>62</v>
      </c>
      <c r="AO61" s="14" t="s">
        <v>62</v>
      </c>
      <c r="AP61" s="14" t="s">
        <v>62</v>
      </c>
      <c r="AQ61" s="14" t="s">
        <v>62</v>
      </c>
      <c r="AR61" s="14" t="s">
        <v>62</v>
      </c>
      <c r="AS61" s="14" t="s">
        <v>62</v>
      </c>
      <c r="AT61" s="14" t="s">
        <v>62</v>
      </c>
      <c r="AU61" s="14" t="s">
        <v>62</v>
      </c>
      <c r="AV61" s="14" t="s">
        <v>62</v>
      </c>
      <c r="AW61" s="14" t="s">
        <v>62</v>
      </c>
      <c r="AX61" s="14" t="s">
        <v>62</v>
      </c>
      <c r="AY61" s="14" t="s">
        <v>62</v>
      </c>
      <c r="AZ61" s="14" t="s">
        <v>62</v>
      </c>
      <c r="BA61" s="14" t="s">
        <v>62</v>
      </c>
      <c r="BB61" s="14" t="s">
        <v>62</v>
      </c>
      <c r="BC61" s="14" t="s">
        <v>62</v>
      </c>
      <c r="BD61" s="14" t="s">
        <v>62</v>
      </c>
      <c r="BE61" s="14" t="s">
        <v>62</v>
      </c>
      <c r="BF61" s="14" t="s">
        <v>62</v>
      </c>
      <c r="BG61" s="14" t="s">
        <v>62</v>
      </c>
      <c r="BH61" s="14" t="s">
        <v>62</v>
      </c>
      <c r="BI61" s="14" t="s">
        <v>62</v>
      </c>
      <c r="BJ61" s="15" t="s">
        <v>62</v>
      </c>
    </row>
    <row r="62" spans="1:62" x14ac:dyDescent="0.3">
      <c r="A62" s="35" t="s">
        <v>4</v>
      </c>
      <c r="B62" s="11">
        <f>2*DZ114*B58*Distances!B57*3</f>
        <v>66866.040000000008</v>
      </c>
      <c r="C62" s="13">
        <f>2*EA114*C58*Distances!C57*3</f>
        <v>30287.880000000005</v>
      </c>
      <c r="D62" s="13">
        <f>2*EB114*D58*Distances!D57*3.53</f>
        <v>15639.782666666668</v>
      </c>
      <c r="E62" s="12">
        <f>2*EC114*E58*Distances!E57*3</f>
        <v>0</v>
      </c>
      <c r="F62" s="13">
        <f>2*ED114*F58*Distances!F57*3.13</f>
        <v>26051.219533333329</v>
      </c>
      <c r="G62" s="13">
        <f>2*EE114*G58*Distances!G57*3</f>
        <v>33527.96</v>
      </c>
      <c r="H62" s="13">
        <f>2*EF114*H58*Distances!H57*3</f>
        <v>71295.899999999994</v>
      </c>
      <c r="I62" s="13">
        <f>2*EG114*I58*Distances!I57*3</f>
        <v>88189.16</v>
      </c>
      <c r="J62" s="13">
        <f>2*EH114*J58*Distances!J57*3.22</f>
        <v>443.5442666666666</v>
      </c>
      <c r="K62" s="13">
        <f>2*EI114*K58*Distances!K57*3</f>
        <v>656.4799999999999</v>
      </c>
      <c r="L62" s="13">
        <f>2*EJ114*L58*Distances!L57*3</f>
        <v>944.72</v>
      </c>
      <c r="M62" s="13">
        <f>2*EK114*M58*Distances!M57*3</f>
        <v>1467.68</v>
      </c>
      <c r="N62" s="13" t="s">
        <v>62</v>
      </c>
      <c r="O62" s="14" t="s">
        <v>62</v>
      </c>
      <c r="P62" s="14" t="s">
        <v>62</v>
      </c>
      <c r="Q62" s="14" t="s">
        <v>62</v>
      </c>
      <c r="R62" s="14" t="s">
        <v>62</v>
      </c>
      <c r="S62" s="14" t="s">
        <v>62</v>
      </c>
      <c r="T62" s="14" t="s">
        <v>62</v>
      </c>
      <c r="U62" s="14" t="s">
        <v>62</v>
      </c>
      <c r="V62" s="14" t="s">
        <v>62</v>
      </c>
      <c r="W62" s="14" t="s">
        <v>62</v>
      </c>
      <c r="X62" s="14" t="s">
        <v>62</v>
      </c>
      <c r="Y62" s="14" t="s">
        <v>62</v>
      </c>
      <c r="Z62" s="14" t="s">
        <v>62</v>
      </c>
      <c r="AA62" s="14" t="s">
        <v>62</v>
      </c>
      <c r="AB62" s="14" t="s">
        <v>62</v>
      </c>
      <c r="AC62" s="14" t="s">
        <v>62</v>
      </c>
      <c r="AD62" s="14" t="s">
        <v>62</v>
      </c>
      <c r="AE62" s="14" t="s">
        <v>62</v>
      </c>
      <c r="AF62" s="14" t="s">
        <v>62</v>
      </c>
      <c r="AG62" s="14" t="s">
        <v>62</v>
      </c>
      <c r="AH62" s="14" t="s">
        <v>62</v>
      </c>
      <c r="AI62" s="14" t="s">
        <v>62</v>
      </c>
      <c r="AJ62" s="14" t="s">
        <v>62</v>
      </c>
      <c r="AK62" s="14" t="s">
        <v>62</v>
      </c>
      <c r="AL62" s="14" t="s">
        <v>62</v>
      </c>
      <c r="AM62" s="14" t="s">
        <v>62</v>
      </c>
      <c r="AN62" s="14" t="s">
        <v>62</v>
      </c>
      <c r="AO62" s="14" t="s">
        <v>62</v>
      </c>
      <c r="AP62" s="14" t="s">
        <v>62</v>
      </c>
      <c r="AQ62" s="14" t="s">
        <v>62</v>
      </c>
      <c r="AR62" s="14" t="s">
        <v>62</v>
      </c>
      <c r="AS62" s="14" t="s">
        <v>62</v>
      </c>
      <c r="AT62" s="14" t="s">
        <v>62</v>
      </c>
      <c r="AU62" s="14" t="s">
        <v>62</v>
      </c>
      <c r="AV62" s="14" t="s">
        <v>62</v>
      </c>
      <c r="AW62" s="14" t="s">
        <v>62</v>
      </c>
      <c r="AX62" s="14" t="s">
        <v>62</v>
      </c>
      <c r="AY62" s="14" t="s">
        <v>62</v>
      </c>
      <c r="AZ62" s="14" t="s">
        <v>62</v>
      </c>
      <c r="BA62" s="14" t="s">
        <v>62</v>
      </c>
      <c r="BB62" s="14" t="s">
        <v>62</v>
      </c>
      <c r="BC62" s="14" t="s">
        <v>62</v>
      </c>
      <c r="BD62" s="14" t="s">
        <v>62</v>
      </c>
      <c r="BE62" s="14" t="s">
        <v>62</v>
      </c>
      <c r="BF62" s="14" t="s">
        <v>62</v>
      </c>
      <c r="BG62" s="14" t="s">
        <v>62</v>
      </c>
      <c r="BH62" s="14" t="s">
        <v>62</v>
      </c>
      <c r="BI62" s="14" t="s">
        <v>62</v>
      </c>
      <c r="BJ62" s="15" t="s">
        <v>62</v>
      </c>
    </row>
    <row r="63" spans="1:62" x14ac:dyDescent="0.3">
      <c r="A63" s="35" t="s">
        <v>5</v>
      </c>
      <c r="B63" s="11">
        <f>2*DZ115*B58*Distances!B58*3</f>
        <v>37699.26</v>
      </c>
      <c r="C63" s="13">
        <f>2*EA115*C58*Distances!C58*3</f>
        <v>37418.480000000003</v>
      </c>
      <c r="D63" s="13">
        <f>2*EB115*D58*Distances!D58*3</f>
        <v>37737.64</v>
      </c>
      <c r="E63" s="13">
        <f>2*EC115*E58*Distances!E58*3.13</f>
        <v>26051.219533333329</v>
      </c>
      <c r="F63" s="12">
        <f>2*ED115*F58*Distances!F58*3</f>
        <v>0</v>
      </c>
      <c r="G63" s="13">
        <f>2*EE115*G58*Distances!G58*3</f>
        <v>58497.179999999993</v>
      </c>
      <c r="H63" s="13">
        <f>2*EF115*H58*Distances!H58*3</f>
        <v>96265.12000000001</v>
      </c>
      <c r="I63" s="13">
        <f>2*EG115*I58*Distances!I58*3</f>
        <v>101961.52000000002</v>
      </c>
      <c r="J63" s="13">
        <f>2*EH115*J58*Distances!J58*3.13</f>
        <v>506.30879999999996</v>
      </c>
      <c r="K63" s="13">
        <f>2*EI115*K58*Distances!K58*3.27</f>
        <v>424.62040000000007</v>
      </c>
      <c r="L63" s="13">
        <f>2*EJ115*L58*Distances!L58*3</f>
        <v>1439.16</v>
      </c>
      <c r="M63" s="13">
        <f>2*EK115*M58*Distances!M58*3</f>
        <v>1962.12</v>
      </c>
      <c r="N63" s="13" t="s">
        <v>62</v>
      </c>
      <c r="O63" s="14" t="s">
        <v>62</v>
      </c>
      <c r="P63" s="14" t="s">
        <v>62</v>
      </c>
      <c r="Q63" s="14" t="s">
        <v>62</v>
      </c>
      <c r="R63" s="14" t="s">
        <v>62</v>
      </c>
      <c r="S63" s="14" t="s">
        <v>62</v>
      </c>
      <c r="T63" s="14" t="s">
        <v>62</v>
      </c>
      <c r="U63" s="14" t="s">
        <v>62</v>
      </c>
      <c r="V63" s="14" t="s">
        <v>62</v>
      </c>
      <c r="W63" s="14" t="s">
        <v>62</v>
      </c>
      <c r="X63" s="14" t="s">
        <v>62</v>
      </c>
      <c r="Y63" s="14" t="s">
        <v>62</v>
      </c>
      <c r="Z63" s="14" t="s">
        <v>62</v>
      </c>
      <c r="AA63" s="14" t="s">
        <v>62</v>
      </c>
      <c r="AB63" s="14" t="s">
        <v>62</v>
      </c>
      <c r="AC63" s="14" t="s">
        <v>62</v>
      </c>
      <c r="AD63" s="14" t="s">
        <v>62</v>
      </c>
      <c r="AE63" s="14" t="s">
        <v>62</v>
      </c>
      <c r="AF63" s="14" t="s">
        <v>62</v>
      </c>
      <c r="AG63" s="14" t="s">
        <v>62</v>
      </c>
      <c r="AH63" s="14" t="s">
        <v>62</v>
      </c>
      <c r="AI63" s="14" t="s">
        <v>62</v>
      </c>
      <c r="AJ63" s="14" t="s">
        <v>62</v>
      </c>
      <c r="AK63" s="14" t="s">
        <v>62</v>
      </c>
      <c r="AL63" s="14" t="s">
        <v>62</v>
      </c>
      <c r="AM63" s="14" t="s">
        <v>62</v>
      </c>
      <c r="AN63" s="14" t="s">
        <v>62</v>
      </c>
      <c r="AO63" s="14" t="s">
        <v>62</v>
      </c>
      <c r="AP63" s="14" t="s">
        <v>62</v>
      </c>
      <c r="AQ63" s="14" t="s">
        <v>62</v>
      </c>
      <c r="AR63" s="14" t="s">
        <v>62</v>
      </c>
      <c r="AS63" s="14" t="s">
        <v>62</v>
      </c>
      <c r="AT63" s="14" t="s">
        <v>62</v>
      </c>
      <c r="AU63" s="14" t="s">
        <v>62</v>
      </c>
      <c r="AV63" s="14" t="s">
        <v>62</v>
      </c>
      <c r="AW63" s="14" t="s">
        <v>62</v>
      </c>
      <c r="AX63" s="14" t="s">
        <v>62</v>
      </c>
      <c r="AY63" s="14" t="s">
        <v>62</v>
      </c>
      <c r="AZ63" s="14" t="s">
        <v>62</v>
      </c>
      <c r="BA63" s="14" t="s">
        <v>62</v>
      </c>
      <c r="BB63" s="14" t="s">
        <v>62</v>
      </c>
      <c r="BC63" s="14" t="s">
        <v>62</v>
      </c>
      <c r="BD63" s="14" t="s">
        <v>62</v>
      </c>
      <c r="BE63" s="14" t="s">
        <v>62</v>
      </c>
      <c r="BF63" s="14" t="s">
        <v>62</v>
      </c>
      <c r="BG63" s="14" t="s">
        <v>62</v>
      </c>
      <c r="BH63" s="14" t="s">
        <v>62</v>
      </c>
      <c r="BI63" s="14" t="s">
        <v>62</v>
      </c>
      <c r="BJ63" s="15" t="s">
        <v>62</v>
      </c>
    </row>
    <row r="64" spans="1:62" x14ac:dyDescent="0.3">
      <c r="A64" s="35" t="s">
        <v>6</v>
      </c>
      <c r="B64" s="11">
        <f>2*DZ116*B58*Distances!B59*3</f>
        <v>100394</v>
      </c>
      <c r="C64" s="13" t="s">
        <v>62</v>
      </c>
      <c r="D64" s="13" t="s">
        <v>62</v>
      </c>
      <c r="E64" s="13">
        <f>2*EC116*E58*Distances!E59*3</f>
        <v>33527.96</v>
      </c>
      <c r="F64" s="13">
        <f>2*ED116*F58*Distances!F59*3</f>
        <v>58497.179999999993</v>
      </c>
      <c r="G64" s="12">
        <f>2*EE116*G58*Distances!G59*3</f>
        <v>0</v>
      </c>
      <c r="H64" s="13">
        <f>2*EF116*H58*Distances!H59*3</f>
        <v>68312.36</v>
      </c>
      <c r="I64" s="13">
        <f>2*EG116*I58*Distances!I59*3</f>
        <v>59755.64</v>
      </c>
      <c r="J64" s="13">
        <f>2*EH116*J58*Distances!J59*3</f>
        <v>1063.48</v>
      </c>
      <c r="K64" s="13">
        <f>2*EI116*K58*Distances!K59*3</f>
        <v>1320.3999999999999</v>
      </c>
      <c r="L64" s="13" t="s">
        <v>62</v>
      </c>
      <c r="M64" s="13">
        <f>2*EK116*M58*Distances!M59*3</f>
        <v>1452.2400000000002</v>
      </c>
      <c r="N64" s="13" t="s">
        <v>62</v>
      </c>
      <c r="O64" s="14" t="s">
        <v>62</v>
      </c>
      <c r="P64" s="14" t="s">
        <v>62</v>
      </c>
      <c r="Q64" s="14" t="s">
        <v>62</v>
      </c>
      <c r="R64" s="14" t="s">
        <v>62</v>
      </c>
      <c r="S64" s="14" t="s">
        <v>62</v>
      </c>
      <c r="T64" s="14" t="s">
        <v>62</v>
      </c>
      <c r="U64" s="14" t="s">
        <v>62</v>
      </c>
      <c r="V64" s="14" t="s">
        <v>62</v>
      </c>
      <c r="W64" s="14" t="s">
        <v>62</v>
      </c>
      <c r="X64" s="14" t="s">
        <v>62</v>
      </c>
      <c r="Y64" s="14" t="s">
        <v>62</v>
      </c>
      <c r="Z64" s="14" t="s">
        <v>62</v>
      </c>
      <c r="AA64" s="14" t="s">
        <v>62</v>
      </c>
      <c r="AB64" s="14" t="s">
        <v>62</v>
      </c>
      <c r="AC64" s="14" t="s">
        <v>62</v>
      </c>
      <c r="AD64" s="14" t="s">
        <v>62</v>
      </c>
      <c r="AE64" s="14" t="s">
        <v>62</v>
      </c>
      <c r="AF64" s="14" t="s">
        <v>62</v>
      </c>
      <c r="AG64" s="14" t="s">
        <v>62</v>
      </c>
      <c r="AH64" s="14" t="s">
        <v>62</v>
      </c>
      <c r="AI64" s="14" t="s">
        <v>62</v>
      </c>
      <c r="AJ64" s="14" t="s">
        <v>62</v>
      </c>
      <c r="AK64" s="14" t="s">
        <v>62</v>
      </c>
      <c r="AL64" s="14" t="s">
        <v>62</v>
      </c>
      <c r="AM64" s="14" t="s">
        <v>62</v>
      </c>
      <c r="AN64" s="14" t="s">
        <v>62</v>
      </c>
      <c r="AO64" s="14" t="s">
        <v>62</v>
      </c>
      <c r="AP64" s="14" t="s">
        <v>62</v>
      </c>
      <c r="AQ64" s="14" t="s">
        <v>62</v>
      </c>
      <c r="AR64" s="14" t="s">
        <v>62</v>
      </c>
      <c r="AS64" s="14" t="s">
        <v>62</v>
      </c>
      <c r="AT64" s="14" t="s">
        <v>62</v>
      </c>
      <c r="AU64" s="14" t="s">
        <v>62</v>
      </c>
      <c r="AV64" s="14" t="s">
        <v>62</v>
      </c>
      <c r="AW64" s="14" t="s">
        <v>62</v>
      </c>
      <c r="AX64" s="14" t="s">
        <v>62</v>
      </c>
      <c r="AY64" s="14" t="s">
        <v>62</v>
      </c>
      <c r="AZ64" s="14" t="s">
        <v>62</v>
      </c>
      <c r="BA64" s="14" t="s">
        <v>62</v>
      </c>
      <c r="BB64" s="14" t="s">
        <v>62</v>
      </c>
      <c r="BC64" s="14" t="s">
        <v>62</v>
      </c>
      <c r="BD64" s="14" t="s">
        <v>62</v>
      </c>
      <c r="BE64" s="14" t="s">
        <v>62</v>
      </c>
      <c r="BF64" s="14" t="s">
        <v>62</v>
      </c>
      <c r="BG64" s="14" t="s">
        <v>62</v>
      </c>
      <c r="BH64" s="14" t="s">
        <v>62</v>
      </c>
      <c r="BI64" s="14" t="s">
        <v>62</v>
      </c>
      <c r="BJ64" s="15" t="s">
        <v>62</v>
      </c>
    </row>
    <row r="65" spans="1:62" x14ac:dyDescent="0.3">
      <c r="A65" s="35" t="s">
        <v>63</v>
      </c>
      <c r="B65" s="11">
        <f>2*DZ117*B58*Distances!B60*3</f>
        <v>133964.38</v>
      </c>
      <c r="C65" s="13">
        <f>2*EA117*C58*Distances!C60*3</f>
        <v>101583.77999999998</v>
      </c>
      <c r="D65" s="13">
        <f>2*EB117*D58*Distances!D60*3</f>
        <v>58004.3</v>
      </c>
      <c r="E65" s="13">
        <f>2*EC117*E58*Distances!E60*3</f>
        <v>71295.899999999994</v>
      </c>
      <c r="F65" s="13">
        <f>2*ED117*F58*Distances!F60*3</f>
        <v>96265.12000000001</v>
      </c>
      <c r="G65" s="13">
        <f>2*EE117*G58*Distances!G60*3</f>
        <v>68312.36</v>
      </c>
      <c r="H65" s="12">
        <f>2*EF117*H58*Distances!H60*3</f>
        <v>0</v>
      </c>
      <c r="I65" s="13">
        <f>2*EG117*I58*Distances!I60*3</f>
        <v>44484.439999999995</v>
      </c>
      <c r="J65" s="13">
        <f>2*EH117*J58*Distances!J60*3</f>
        <v>1811.3600000000001</v>
      </c>
      <c r="K65" s="13">
        <f>2*EI117*K58*Distances!K60*3</f>
        <v>2068.2800000000002</v>
      </c>
      <c r="L65" s="13" t="s">
        <v>62</v>
      </c>
      <c r="M65" s="13">
        <f>2*EK117*M58*Distances!M60*4.97</f>
        <v>164.87146666666666</v>
      </c>
      <c r="N65" s="13" t="s">
        <v>62</v>
      </c>
      <c r="O65" s="14" t="s">
        <v>62</v>
      </c>
      <c r="P65" s="14" t="s">
        <v>62</v>
      </c>
      <c r="Q65" s="14" t="s">
        <v>62</v>
      </c>
      <c r="R65" s="14" t="s">
        <v>62</v>
      </c>
      <c r="S65" s="14" t="s">
        <v>62</v>
      </c>
      <c r="T65" s="14" t="s">
        <v>62</v>
      </c>
      <c r="U65" s="14" t="s">
        <v>62</v>
      </c>
      <c r="V65" s="14" t="s">
        <v>62</v>
      </c>
      <c r="W65" s="14" t="s">
        <v>62</v>
      </c>
      <c r="X65" s="14" t="s">
        <v>62</v>
      </c>
      <c r="Y65" s="14" t="s">
        <v>62</v>
      </c>
      <c r="Z65" s="14" t="s">
        <v>62</v>
      </c>
      <c r="AA65" s="14" t="s">
        <v>62</v>
      </c>
      <c r="AB65" s="14" t="s">
        <v>62</v>
      </c>
      <c r="AC65" s="14" t="s">
        <v>62</v>
      </c>
      <c r="AD65" s="14" t="s">
        <v>62</v>
      </c>
      <c r="AE65" s="14" t="s">
        <v>62</v>
      </c>
      <c r="AF65" s="14" t="s">
        <v>62</v>
      </c>
      <c r="AG65" s="14" t="s">
        <v>62</v>
      </c>
      <c r="AH65" s="14" t="s">
        <v>62</v>
      </c>
      <c r="AI65" s="14" t="s">
        <v>62</v>
      </c>
      <c r="AJ65" s="14" t="s">
        <v>62</v>
      </c>
      <c r="AK65" s="14" t="s">
        <v>62</v>
      </c>
      <c r="AL65" s="14" t="s">
        <v>62</v>
      </c>
      <c r="AM65" s="14" t="s">
        <v>62</v>
      </c>
      <c r="AN65" s="14" t="s">
        <v>62</v>
      </c>
      <c r="AO65" s="14" t="s">
        <v>62</v>
      </c>
      <c r="AP65" s="14" t="s">
        <v>62</v>
      </c>
      <c r="AQ65" s="14" t="s">
        <v>62</v>
      </c>
      <c r="AR65" s="14" t="s">
        <v>62</v>
      </c>
      <c r="AS65" s="14" t="s">
        <v>62</v>
      </c>
      <c r="AT65" s="14" t="s">
        <v>62</v>
      </c>
      <c r="AU65" s="14" t="s">
        <v>62</v>
      </c>
      <c r="AV65" s="14" t="s">
        <v>62</v>
      </c>
      <c r="AW65" s="14" t="s">
        <v>62</v>
      </c>
      <c r="AX65" s="14" t="s">
        <v>62</v>
      </c>
      <c r="AY65" s="14" t="s">
        <v>62</v>
      </c>
      <c r="AZ65" s="14" t="s">
        <v>62</v>
      </c>
      <c r="BA65" s="14" t="s">
        <v>62</v>
      </c>
      <c r="BB65" s="14" t="s">
        <v>62</v>
      </c>
      <c r="BC65" s="14" t="s">
        <v>62</v>
      </c>
      <c r="BD65" s="14" t="s">
        <v>62</v>
      </c>
      <c r="BE65" s="14" t="s">
        <v>62</v>
      </c>
      <c r="BF65" s="14" t="s">
        <v>62</v>
      </c>
      <c r="BG65" s="14" t="s">
        <v>62</v>
      </c>
      <c r="BH65" s="14" t="s">
        <v>62</v>
      </c>
      <c r="BI65" s="14" t="s">
        <v>62</v>
      </c>
      <c r="BJ65" s="15" t="s">
        <v>62</v>
      </c>
    </row>
    <row r="66" spans="1:62" x14ac:dyDescent="0.3">
      <c r="A66" s="35" t="s">
        <v>8</v>
      </c>
      <c r="B66" s="11">
        <f>2*DZ118*B58*Distances!B61*3</f>
        <v>139125.47999999998</v>
      </c>
      <c r="C66" s="13">
        <f>2*EA118*C58*Distances!C61*3</f>
        <v>64543.039999999994</v>
      </c>
      <c r="D66" s="13" t="s">
        <v>62</v>
      </c>
      <c r="E66" s="13">
        <f>2*EC118*E58*Distances!E61*3</f>
        <v>88189.16</v>
      </c>
      <c r="F66" s="13">
        <f>2*ED118*F58*Distances!F61*3</f>
        <v>101961.52000000002</v>
      </c>
      <c r="G66" s="13">
        <f>2*EE118*G58*Distances!G61*3</f>
        <v>59755.64</v>
      </c>
      <c r="H66" s="13">
        <f>2*EF118*H58*Distances!H61*3</f>
        <v>44484.439999999995</v>
      </c>
      <c r="I66" s="12">
        <f>2*EG118*I58*Distances!I61*3</f>
        <v>0</v>
      </c>
      <c r="J66" s="13" t="s">
        <v>62</v>
      </c>
      <c r="K66" s="13">
        <f>2*EI118*K58*Distances!K61*3</f>
        <v>2402.7999999999997</v>
      </c>
      <c r="L66" s="13">
        <f>2*EJ118*L58*Distances!L61*3</f>
        <v>1265.5999999999999</v>
      </c>
      <c r="M66" s="13">
        <f>2*EK118*M58*Distances!M61*3</f>
        <v>880.88</v>
      </c>
      <c r="N66" s="13" t="s">
        <v>62</v>
      </c>
      <c r="O66" s="14" t="s">
        <v>62</v>
      </c>
      <c r="P66" s="14" t="s">
        <v>62</v>
      </c>
      <c r="Q66" s="14" t="s">
        <v>62</v>
      </c>
      <c r="R66" s="14" t="s">
        <v>62</v>
      </c>
      <c r="S66" s="14" t="s">
        <v>62</v>
      </c>
      <c r="T66" s="14" t="s">
        <v>62</v>
      </c>
      <c r="U66" s="14" t="s">
        <v>62</v>
      </c>
      <c r="V66" s="14" t="s">
        <v>62</v>
      </c>
      <c r="W66" s="14" t="s">
        <v>62</v>
      </c>
      <c r="X66" s="14" t="s">
        <v>62</v>
      </c>
      <c r="Y66" s="14" t="s">
        <v>62</v>
      </c>
      <c r="Z66" s="14" t="s">
        <v>62</v>
      </c>
      <c r="AA66" s="14" t="s">
        <v>62</v>
      </c>
      <c r="AB66" s="14" t="s">
        <v>62</v>
      </c>
      <c r="AC66" s="14" t="s">
        <v>62</v>
      </c>
      <c r="AD66" s="14" t="s">
        <v>62</v>
      </c>
      <c r="AE66" s="14" t="s">
        <v>62</v>
      </c>
      <c r="AF66" s="14" t="s">
        <v>62</v>
      </c>
      <c r="AG66" s="14" t="s">
        <v>62</v>
      </c>
      <c r="AH66" s="14" t="s">
        <v>62</v>
      </c>
      <c r="AI66" s="14" t="s">
        <v>62</v>
      </c>
      <c r="AJ66" s="14" t="s">
        <v>62</v>
      </c>
      <c r="AK66" s="14" t="s">
        <v>62</v>
      </c>
      <c r="AL66" s="14" t="s">
        <v>62</v>
      </c>
      <c r="AM66" s="14" t="s">
        <v>62</v>
      </c>
      <c r="AN66" s="14" t="s">
        <v>62</v>
      </c>
      <c r="AO66" s="14" t="s">
        <v>62</v>
      </c>
      <c r="AP66" s="14" t="s">
        <v>62</v>
      </c>
      <c r="AQ66" s="14" t="s">
        <v>62</v>
      </c>
      <c r="AR66" s="14" t="s">
        <v>62</v>
      </c>
      <c r="AS66" s="14" t="s">
        <v>62</v>
      </c>
      <c r="AT66" s="14" t="s">
        <v>62</v>
      </c>
      <c r="AU66" s="14" t="s">
        <v>62</v>
      </c>
      <c r="AV66" s="14" t="s">
        <v>62</v>
      </c>
      <c r="AW66" s="14" t="s">
        <v>62</v>
      </c>
      <c r="AX66" s="14" t="s">
        <v>62</v>
      </c>
      <c r="AY66" s="14" t="s">
        <v>62</v>
      </c>
      <c r="AZ66" s="14" t="s">
        <v>62</v>
      </c>
      <c r="BA66" s="14" t="s">
        <v>62</v>
      </c>
      <c r="BB66" s="14" t="s">
        <v>62</v>
      </c>
      <c r="BC66" s="14" t="s">
        <v>62</v>
      </c>
      <c r="BD66" s="14" t="s">
        <v>62</v>
      </c>
      <c r="BE66" s="14" t="s">
        <v>62</v>
      </c>
      <c r="BF66" s="14" t="s">
        <v>62</v>
      </c>
      <c r="BG66" s="14" t="s">
        <v>62</v>
      </c>
      <c r="BH66" s="14" t="s">
        <v>62</v>
      </c>
      <c r="BI66" s="14" t="s">
        <v>62</v>
      </c>
      <c r="BJ66" s="15" t="s">
        <v>62</v>
      </c>
    </row>
    <row r="67" spans="1:62" x14ac:dyDescent="0.3">
      <c r="A67" s="35" t="s">
        <v>64</v>
      </c>
      <c r="B67" s="11">
        <f>2*DZ119*B58*Distances!B62*3</f>
        <v>62009.960000000006</v>
      </c>
      <c r="C67" s="13">
        <f>2*EA119*C58*Distances!C62*3</f>
        <v>62418</v>
      </c>
      <c r="D67" s="13">
        <f>2*EB119*D58*Distances!D62*3</f>
        <v>33469.379999999997</v>
      </c>
      <c r="E67" s="13">
        <f>2*EC119*E58*Distances!E62*3.22</f>
        <v>22398.985466666665</v>
      </c>
      <c r="F67" s="13">
        <f>2*ED119*F58*Distances!F62*3.13</f>
        <v>25568.594399999998</v>
      </c>
      <c r="G67" s="13">
        <f>2*EE119*G58*Distances!G62*3</f>
        <v>53705.740000000005</v>
      </c>
      <c r="H67" s="13">
        <f>2*EF119*H58*Distances!H62*3</f>
        <v>91473.680000000008</v>
      </c>
      <c r="I67" s="13" t="s">
        <v>62</v>
      </c>
      <c r="J67" s="12">
        <f>2*EH119*J58*Distances!J62*3</f>
        <v>0</v>
      </c>
      <c r="K67" s="13">
        <f>2*EI119*K58*Distances!K62*3.53</f>
        <v>265.87959999999998</v>
      </c>
      <c r="L67" s="13" t="s">
        <v>62</v>
      </c>
      <c r="M67" s="13">
        <f>2*EK119*M58*Distances!M62*3</f>
        <v>1867.2400000000002</v>
      </c>
      <c r="N67" s="13" t="s">
        <v>62</v>
      </c>
      <c r="O67" s="14" t="s">
        <v>62</v>
      </c>
      <c r="P67" s="14" t="s">
        <v>62</v>
      </c>
      <c r="Q67" s="14" t="s">
        <v>62</v>
      </c>
      <c r="R67" s="14" t="s">
        <v>62</v>
      </c>
      <c r="S67" s="14" t="s">
        <v>62</v>
      </c>
      <c r="T67" s="14" t="s">
        <v>62</v>
      </c>
      <c r="U67" s="14" t="s">
        <v>62</v>
      </c>
      <c r="V67" s="14" t="s">
        <v>62</v>
      </c>
      <c r="W67" s="14" t="s">
        <v>62</v>
      </c>
      <c r="X67" s="14" t="s">
        <v>62</v>
      </c>
      <c r="Y67" s="14" t="s">
        <v>62</v>
      </c>
      <c r="Z67" s="14" t="s">
        <v>62</v>
      </c>
      <c r="AA67" s="14" t="s">
        <v>62</v>
      </c>
      <c r="AB67" s="14" t="s">
        <v>62</v>
      </c>
      <c r="AC67" s="14" t="s">
        <v>62</v>
      </c>
      <c r="AD67" s="14" t="s">
        <v>62</v>
      </c>
      <c r="AE67" s="14" t="s">
        <v>62</v>
      </c>
      <c r="AF67" s="14" t="s">
        <v>62</v>
      </c>
      <c r="AG67" s="14" t="s">
        <v>62</v>
      </c>
      <c r="AH67" s="14" t="s">
        <v>62</v>
      </c>
      <c r="AI67" s="14" t="s">
        <v>62</v>
      </c>
      <c r="AJ67" s="14" t="s">
        <v>62</v>
      </c>
      <c r="AK67" s="14" t="s">
        <v>62</v>
      </c>
      <c r="AL67" s="14" t="s">
        <v>62</v>
      </c>
      <c r="AM67" s="14" t="s">
        <v>62</v>
      </c>
      <c r="AN67" s="14" t="s">
        <v>62</v>
      </c>
      <c r="AO67" s="14" t="s">
        <v>62</v>
      </c>
      <c r="AP67" s="14" t="s">
        <v>62</v>
      </c>
      <c r="AQ67" s="14" t="s">
        <v>62</v>
      </c>
      <c r="AR67" s="14" t="s">
        <v>62</v>
      </c>
      <c r="AS67" s="14" t="s">
        <v>62</v>
      </c>
      <c r="AT67" s="14" t="s">
        <v>62</v>
      </c>
      <c r="AU67" s="14" t="s">
        <v>62</v>
      </c>
      <c r="AV67" s="14" t="s">
        <v>62</v>
      </c>
      <c r="AW67" s="14" t="s">
        <v>62</v>
      </c>
      <c r="AX67" s="14" t="s">
        <v>62</v>
      </c>
      <c r="AY67" s="14" t="s">
        <v>62</v>
      </c>
      <c r="AZ67" s="14" t="s">
        <v>62</v>
      </c>
      <c r="BA67" s="14" t="s">
        <v>62</v>
      </c>
      <c r="BB67" s="14" t="s">
        <v>62</v>
      </c>
      <c r="BC67" s="14" t="s">
        <v>62</v>
      </c>
      <c r="BD67" s="14" t="s">
        <v>62</v>
      </c>
      <c r="BE67" s="14" t="s">
        <v>62</v>
      </c>
      <c r="BF67" s="14" t="s">
        <v>62</v>
      </c>
      <c r="BG67" s="14" t="s">
        <v>62</v>
      </c>
      <c r="BH67" s="14" t="s">
        <v>62</v>
      </c>
      <c r="BI67" s="14" t="s">
        <v>62</v>
      </c>
      <c r="BJ67" s="15" t="s">
        <v>62</v>
      </c>
    </row>
    <row r="68" spans="1:62" x14ac:dyDescent="0.3">
      <c r="A68" s="35" t="s">
        <v>10</v>
      </c>
      <c r="B68" s="11">
        <f>2*DZ120*B58*Distances!B63*3</f>
        <v>57327.600000000006</v>
      </c>
      <c r="C68" s="13">
        <f>2*EA120*C58*Distances!C63*3</f>
        <v>57044.800000000003</v>
      </c>
      <c r="D68" s="13">
        <f>2*EB120*D58*Distances!D63*3</f>
        <v>46443.839999999997</v>
      </c>
      <c r="E68" s="13">
        <f>2*EC120*E58*Distances!E63*3</f>
        <v>33152.239999999998</v>
      </c>
      <c r="F68" s="13">
        <f>2*ED120*F58*Distances!F63*3.27</f>
        <v>21443.330200000004</v>
      </c>
      <c r="G68" s="13">
        <f>2*EE120*G58*Distances!G63*3</f>
        <v>66680.199999999983</v>
      </c>
      <c r="H68" s="13">
        <f>2*EF120*H58*Distances!H63*3</f>
        <v>104448.14000000001</v>
      </c>
      <c r="I68" s="13">
        <f>2*EG120*I58*Distances!I63*3</f>
        <v>121341.4</v>
      </c>
      <c r="J68" s="13">
        <f>2*EH120*J58*Distances!J63*3.53</f>
        <v>265.87959999999998</v>
      </c>
      <c r="K68" s="12">
        <f>2*EI120*K58*Distances!K63*3</f>
        <v>0</v>
      </c>
      <c r="L68" s="13" t="s">
        <v>62</v>
      </c>
      <c r="M68" s="13">
        <f>2*EK120*M58*Distances!M63*3</f>
        <v>2124.1600000000003</v>
      </c>
      <c r="N68" s="13" t="s">
        <v>62</v>
      </c>
      <c r="O68" s="14" t="s">
        <v>62</v>
      </c>
      <c r="P68" s="14" t="s">
        <v>62</v>
      </c>
      <c r="Q68" s="14" t="s">
        <v>62</v>
      </c>
      <c r="R68" s="14" t="s">
        <v>62</v>
      </c>
      <c r="S68" s="14" t="s">
        <v>62</v>
      </c>
      <c r="T68" s="14" t="s">
        <v>62</v>
      </c>
      <c r="U68" s="14" t="s">
        <v>62</v>
      </c>
      <c r="V68" s="14" t="s">
        <v>62</v>
      </c>
      <c r="W68" s="14" t="s">
        <v>62</v>
      </c>
      <c r="X68" s="14" t="s">
        <v>62</v>
      </c>
      <c r="Y68" s="14" t="s">
        <v>62</v>
      </c>
      <c r="Z68" s="14" t="s">
        <v>62</v>
      </c>
      <c r="AA68" s="14" t="s">
        <v>62</v>
      </c>
      <c r="AB68" s="14" t="s">
        <v>62</v>
      </c>
      <c r="AC68" s="14" t="s">
        <v>62</v>
      </c>
      <c r="AD68" s="14" t="s">
        <v>62</v>
      </c>
      <c r="AE68" s="14" t="s">
        <v>62</v>
      </c>
      <c r="AF68" s="14" t="s">
        <v>62</v>
      </c>
      <c r="AG68" s="14" t="s">
        <v>62</v>
      </c>
      <c r="AH68" s="14" t="s">
        <v>62</v>
      </c>
      <c r="AI68" s="14" t="s">
        <v>62</v>
      </c>
      <c r="AJ68" s="14" t="s">
        <v>62</v>
      </c>
      <c r="AK68" s="14" t="s">
        <v>62</v>
      </c>
      <c r="AL68" s="14" t="s">
        <v>62</v>
      </c>
      <c r="AM68" s="14" t="s">
        <v>62</v>
      </c>
      <c r="AN68" s="14" t="s">
        <v>62</v>
      </c>
      <c r="AO68" s="14" t="s">
        <v>62</v>
      </c>
      <c r="AP68" s="14" t="s">
        <v>62</v>
      </c>
      <c r="AQ68" s="14" t="s">
        <v>62</v>
      </c>
      <c r="AR68" s="14" t="s">
        <v>62</v>
      </c>
      <c r="AS68" s="14" t="s">
        <v>62</v>
      </c>
      <c r="AT68" s="14" t="s">
        <v>62</v>
      </c>
      <c r="AU68" s="14" t="s">
        <v>62</v>
      </c>
      <c r="AV68" s="14" t="s">
        <v>62</v>
      </c>
      <c r="AW68" s="14" t="s">
        <v>62</v>
      </c>
      <c r="AX68" s="14" t="s">
        <v>62</v>
      </c>
      <c r="AY68" s="14" t="s">
        <v>62</v>
      </c>
      <c r="AZ68" s="14" t="s">
        <v>62</v>
      </c>
      <c r="BA68" s="14" t="s">
        <v>62</v>
      </c>
      <c r="BB68" s="14" t="s">
        <v>62</v>
      </c>
      <c r="BC68" s="14" t="s">
        <v>62</v>
      </c>
      <c r="BD68" s="14" t="s">
        <v>62</v>
      </c>
      <c r="BE68" s="14" t="s">
        <v>62</v>
      </c>
      <c r="BF68" s="14" t="s">
        <v>62</v>
      </c>
      <c r="BG68" s="14" t="s">
        <v>62</v>
      </c>
      <c r="BH68" s="14" t="s">
        <v>62</v>
      </c>
      <c r="BI68" s="14" t="s">
        <v>62</v>
      </c>
      <c r="BJ68" s="15" t="s">
        <v>62</v>
      </c>
    </row>
    <row r="69" spans="1:62" x14ac:dyDescent="0.3">
      <c r="A69" s="35" t="s">
        <v>11</v>
      </c>
      <c r="B69" s="11">
        <f>2*DZ121*B58*Distances!B64*3</f>
        <v>110376.84</v>
      </c>
      <c r="C69" s="13">
        <f>2*EA121*C58*Distances!C64*3</f>
        <v>77996.240000000005</v>
      </c>
      <c r="D69" s="13">
        <f>2*EB121*D58*Distances!D64*3</f>
        <v>34396.559999999998</v>
      </c>
      <c r="E69" s="13">
        <f>2*EC121*E58*Distances!E64*3</f>
        <v>47708.360000000008</v>
      </c>
      <c r="F69" s="13">
        <f>2*ED121*F58*Distances!F64*3</f>
        <v>72677.58</v>
      </c>
      <c r="G69" s="13" t="s">
        <v>62</v>
      </c>
      <c r="H69" s="13" t="s">
        <v>62</v>
      </c>
      <c r="I69" s="13">
        <f>2*EG121*I58*Distances!I64*3</f>
        <v>63912.800000000003</v>
      </c>
      <c r="J69" s="13" t="s">
        <v>62</v>
      </c>
      <c r="K69" s="13" t="s">
        <v>62</v>
      </c>
      <c r="L69" s="12">
        <f>2*EJ121*L58*Distances!L64*3</f>
        <v>0</v>
      </c>
      <c r="M69" s="13" t="s">
        <v>62</v>
      </c>
      <c r="N69" s="13" t="s">
        <v>62</v>
      </c>
      <c r="O69" s="14" t="s">
        <v>62</v>
      </c>
      <c r="P69" s="14" t="s">
        <v>62</v>
      </c>
      <c r="Q69" s="14" t="s">
        <v>62</v>
      </c>
      <c r="R69" s="14" t="s">
        <v>62</v>
      </c>
      <c r="S69" s="14" t="s">
        <v>62</v>
      </c>
      <c r="T69" s="14" t="s">
        <v>62</v>
      </c>
      <c r="U69" s="14" t="s">
        <v>62</v>
      </c>
      <c r="V69" s="14" t="s">
        <v>62</v>
      </c>
      <c r="W69" s="14" t="s">
        <v>62</v>
      </c>
      <c r="X69" s="14" t="s">
        <v>62</v>
      </c>
      <c r="Y69" s="14" t="s">
        <v>62</v>
      </c>
      <c r="Z69" s="14" t="s">
        <v>62</v>
      </c>
      <c r="AA69" s="14" t="s">
        <v>62</v>
      </c>
      <c r="AB69" s="14" t="s">
        <v>62</v>
      </c>
      <c r="AC69" s="14" t="s">
        <v>62</v>
      </c>
      <c r="AD69" s="14" t="s">
        <v>62</v>
      </c>
      <c r="AE69" s="14" t="s">
        <v>62</v>
      </c>
      <c r="AF69" s="14" t="s">
        <v>62</v>
      </c>
      <c r="AG69" s="14" t="s">
        <v>62</v>
      </c>
      <c r="AH69" s="14" t="s">
        <v>62</v>
      </c>
      <c r="AI69" s="14" t="s">
        <v>62</v>
      </c>
      <c r="AJ69" s="14" t="s">
        <v>62</v>
      </c>
      <c r="AK69" s="14" t="s">
        <v>62</v>
      </c>
      <c r="AL69" s="14" t="s">
        <v>62</v>
      </c>
      <c r="AM69" s="14" t="s">
        <v>62</v>
      </c>
      <c r="AN69" s="14" t="s">
        <v>62</v>
      </c>
      <c r="AO69" s="14" t="s">
        <v>62</v>
      </c>
      <c r="AP69" s="14" t="s">
        <v>62</v>
      </c>
      <c r="AQ69" s="14" t="s">
        <v>62</v>
      </c>
      <c r="AR69" s="14" t="s">
        <v>62</v>
      </c>
      <c r="AS69" s="14" t="s">
        <v>62</v>
      </c>
      <c r="AT69" s="14" t="s">
        <v>62</v>
      </c>
      <c r="AU69" s="14" t="s">
        <v>62</v>
      </c>
      <c r="AV69" s="14" t="s">
        <v>62</v>
      </c>
      <c r="AW69" s="14" t="s">
        <v>62</v>
      </c>
      <c r="AX69" s="14" t="s">
        <v>62</v>
      </c>
      <c r="AY69" s="14" t="s">
        <v>62</v>
      </c>
      <c r="AZ69" s="14" t="s">
        <v>62</v>
      </c>
      <c r="BA69" s="14" t="s">
        <v>62</v>
      </c>
      <c r="BB69" s="14" t="s">
        <v>62</v>
      </c>
      <c r="BC69" s="14" t="s">
        <v>62</v>
      </c>
      <c r="BD69" s="14" t="s">
        <v>62</v>
      </c>
      <c r="BE69" s="14" t="s">
        <v>62</v>
      </c>
      <c r="BF69" s="14" t="s">
        <v>62</v>
      </c>
      <c r="BG69" s="14" t="s">
        <v>62</v>
      </c>
      <c r="BH69" s="14" t="s">
        <v>62</v>
      </c>
      <c r="BI69" s="14" t="s">
        <v>62</v>
      </c>
      <c r="BJ69" s="15" t="s">
        <v>62</v>
      </c>
    </row>
    <row r="70" spans="1:62" x14ac:dyDescent="0.3">
      <c r="A70" s="35" t="s">
        <v>12</v>
      </c>
      <c r="B70" s="11">
        <f>2*DZ122*B58*Distances!B65*3</f>
        <v>136786.31999999998</v>
      </c>
      <c r="C70" s="13">
        <f>2*EA122*C58*Distances!C65*3</f>
        <v>104405.72</v>
      </c>
      <c r="D70" s="13">
        <f>2*EB122*D58*Distances!D65*3</f>
        <v>60828.260000000009</v>
      </c>
      <c r="E70" s="13">
        <f>2*EC122*E58*Distances!E65*3</f>
        <v>74117.840000000011</v>
      </c>
      <c r="F70" s="13">
        <f>2*ED122*F58*Distances!F65*3</f>
        <v>99087.060000000012</v>
      </c>
      <c r="G70" s="13">
        <f>2*EE122*G58*Distances!G65*3</f>
        <v>73338.12</v>
      </c>
      <c r="H70" s="13">
        <f>2*EF122*H58*Distances!H65*4.97</f>
        <v>8326.0090666666656</v>
      </c>
      <c r="I70" s="13">
        <f>2*EG122*I58*Distances!I65*3</f>
        <v>44484.439999999995</v>
      </c>
      <c r="J70" s="13">
        <f>2*EH122*J58*Distances!J65*3</f>
        <v>1867.2400000000002</v>
      </c>
      <c r="K70" s="13">
        <f>2*EI122*K58*Distances!K65*3</f>
        <v>2124.1600000000003</v>
      </c>
      <c r="L70" s="13" t="s">
        <v>62</v>
      </c>
      <c r="M70" s="12">
        <f>2*EK122*M58*Distances!M65*3</f>
        <v>0</v>
      </c>
      <c r="N70" s="13" t="s">
        <v>62</v>
      </c>
      <c r="O70" s="14" t="s">
        <v>62</v>
      </c>
      <c r="P70" s="14" t="s">
        <v>62</v>
      </c>
      <c r="Q70" s="14" t="s">
        <v>62</v>
      </c>
      <c r="R70" s="14" t="s">
        <v>62</v>
      </c>
      <c r="S70" s="14" t="s">
        <v>62</v>
      </c>
      <c r="T70" s="14" t="s">
        <v>62</v>
      </c>
      <c r="U70" s="14" t="s">
        <v>62</v>
      </c>
      <c r="V70" s="14" t="s">
        <v>62</v>
      </c>
      <c r="W70" s="14" t="s">
        <v>62</v>
      </c>
      <c r="X70" s="14" t="s">
        <v>62</v>
      </c>
      <c r="Y70" s="14" t="s">
        <v>62</v>
      </c>
      <c r="Z70" s="14" t="s">
        <v>62</v>
      </c>
      <c r="AA70" s="14" t="s">
        <v>62</v>
      </c>
      <c r="AB70" s="14" t="s">
        <v>62</v>
      </c>
      <c r="AC70" s="14" t="s">
        <v>62</v>
      </c>
      <c r="AD70" s="14" t="s">
        <v>62</v>
      </c>
      <c r="AE70" s="14" t="s">
        <v>62</v>
      </c>
      <c r="AF70" s="14" t="s">
        <v>62</v>
      </c>
      <c r="AG70" s="14" t="s">
        <v>62</v>
      </c>
      <c r="AH70" s="14" t="s">
        <v>62</v>
      </c>
      <c r="AI70" s="14" t="s">
        <v>62</v>
      </c>
      <c r="AJ70" s="14" t="s">
        <v>62</v>
      </c>
      <c r="AK70" s="14" t="s">
        <v>62</v>
      </c>
      <c r="AL70" s="14" t="s">
        <v>62</v>
      </c>
      <c r="AM70" s="14" t="s">
        <v>62</v>
      </c>
      <c r="AN70" s="14" t="s">
        <v>62</v>
      </c>
      <c r="AO70" s="14" t="s">
        <v>62</v>
      </c>
      <c r="AP70" s="14" t="s">
        <v>62</v>
      </c>
      <c r="AQ70" s="14" t="s">
        <v>62</v>
      </c>
      <c r="AR70" s="14" t="s">
        <v>62</v>
      </c>
      <c r="AS70" s="14" t="s">
        <v>62</v>
      </c>
      <c r="AT70" s="14" t="s">
        <v>62</v>
      </c>
      <c r="AU70" s="14" t="s">
        <v>62</v>
      </c>
      <c r="AV70" s="14" t="s">
        <v>62</v>
      </c>
      <c r="AW70" s="14" t="s">
        <v>62</v>
      </c>
      <c r="AX70" s="14" t="s">
        <v>62</v>
      </c>
      <c r="AY70" s="14" t="s">
        <v>62</v>
      </c>
      <c r="AZ70" s="14" t="s">
        <v>62</v>
      </c>
      <c r="BA70" s="14" t="s">
        <v>62</v>
      </c>
      <c r="BB70" s="14" t="s">
        <v>62</v>
      </c>
      <c r="BC70" s="14" t="s">
        <v>62</v>
      </c>
      <c r="BD70" s="14" t="s">
        <v>62</v>
      </c>
      <c r="BE70" s="14" t="s">
        <v>62</v>
      </c>
      <c r="BF70" s="14" t="s">
        <v>62</v>
      </c>
      <c r="BG70" s="14" t="s">
        <v>62</v>
      </c>
      <c r="BH70" s="14" t="s">
        <v>62</v>
      </c>
      <c r="BI70" s="14" t="s">
        <v>62</v>
      </c>
      <c r="BJ70" s="15" t="s">
        <v>62</v>
      </c>
    </row>
    <row r="71" spans="1:62" x14ac:dyDescent="0.3">
      <c r="A71" s="35" t="s">
        <v>13</v>
      </c>
      <c r="B71" s="11" t="s">
        <v>62</v>
      </c>
      <c r="C71" s="13" t="s">
        <v>62</v>
      </c>
      <c r="D71" s="13" t="s">
        <v>62</v>
      </c>
      <c r="E71" s="13" t="s">
        <v>62</v>
      </c>
      <c r="F71" s="13" t="s">
        <v>62</v>
      </c>
      <c r="G71" s="13" t="s">
        <v>62</v>
      </c>
      <c r="H71" s="13" t="s">
        <v>62</v>
      </c>
      <c r="I71" s="13" t="s">
        <v>62</v>
      </c>
      <c r="J71" s="13" t="s">
        <v>62</v>
      </c>
      <c r="K71" s="13" t="s">
        <v>62</v>
      </c>
      <c r="L71" s="13" t="s">
        <v>62</v>
      </c>
      <c r="M71" s="13" t="s">
        <v>62</v>
      </c>
      <c r="N71" s="12">
        <f>2*EL123*N58*Distances!N66*3</f>
        <v>0</v>
      </c>
      <c r="O71" s="14" t="s">
        <v>62</v>
      </c>
      <c r="P71" s="14" t="s">
        <v>62</v>
      </c>
      <c r="Q71" s="14" t="s">
        <v>62</v>
      </c>
      <c r="R71" s="14" t="s">
        <v>62</v>
      </c>
      <c r="S71" s="14" t="s">
        <v>62</v>
      </c>
      <c r="T71" s="14" t="s">
        <v>62</v>
      </c>
      <c r="U71" s="14" t="s">
        <v>62</v>
      </c>
      <c r="V71" s="14" t="s">
        <v>62</v>
      </c>
      <c r="W71" s="14" t="s">
        <v>62</v>
      </c>
      <c r="X71" s="14" t="s">
        <v>62</v>
      </c>
      <c r="Y71" s="14" t="s">
        <v>62</v>
      </c>
      <c r="Z71" s="14" t="s">
        <v>62</v>
      </c>
      <c r="AA71" s="14" t="s">
        <v>62</v>
      </c>
      <c r="AB71" s="14" t="s">
        <v>62</v>
      </c>
      <c r="AC71" s="14" t="s">
        <v>62</v>
      </c>
      <c r="AD71" s="14" t="s">
        <v>62</v>
      </c>
      <c r="AE71" s="14" t="s">
        <v>62</v>
      </c>
      <c r="AF71" s="14" t="s">
        <v>62</v>
      </c>
      <c r="AG71" s="14" t="s">
        <v>62</v>
      </c>
      <c r="AH71" s="14" t="s">
        <v>62</v>
      </c>
      <c r="AI71" s="14" t="s">
        <v>62</v>
      </c>
      <c r="AJ71" s="14" t="s">
        <v>62</v>
      </c>
      <c r="AK71" s="14" t="s">
        <v>62</v>
      </c>
      <c r="AL71" s="14" t="s">
        <v>62</v>
      </c>
      <c r="AM71" s="14" t="s">
        <v>62</v>
      </c>
      <c r="AN71" s="14" t="s">
        <v>62</v>
      </c>
      <c r="AO71" s="14" t="s">
        <v>62</v>
      </c>
      <c r="AP71" s="14" t="s">
        <v>62</v>
      </c>
      <c r="AQ71" s="14" t="s">
        <v>62</v>
      </c>
      <c r="AR71" s="14" t="s">
        <v>62</v>
      </c>
      <c r="AS71" s="14" t="s">
        <v>62</v>
      </c>
      <c r="AT71" s="14" t="s">
        <v>62</v>
      </c>
      <c r="AU71" s="14" t="s">
        <v>62</v>
      </c>
      <c r="AV71" s="14" t="s">
        <v>62</v>
      </c>
      <c r="AW71" s="14" t="s">
        <v>62</v>
      </c>
      <c r="AX71" s="14" t="s">
        <v>62</v>
      </c>
      <c r="AY71" s="14" t="s">
        <v>62</v>
      </c>
      <c r="AZ71" s="14" t="s">
        <v>62</v>
      </c>
      <c r="BA71" s="14" t="s">
        <v>62</v>
      </c>
      <c r="BB71" s="14" t="s">
        <v>62</v>
      </c>
      <c r="BC71" s="14" t="s">
        <v>62</v>
      </c>
      <c r="BD71" s="14" t="s">
        <v>62</v>
      </c>
      <c r="BE71" s="14" t="s">
        <v>62</v>
      </c>
      <c r="BF71" s="14" t="s">
        <v>62</v>
      </c>
      <c r="BG71" s="14" t="s">
        <v>62</v>
      </c>
      <c r="BH71" s="14" t="s">
        <v>62</v>
      </c>
      <c r="BI71" s="14" t="s">
        <v>62</v>
      </c>
      <c r="BJ71" s="15" t="s">
        <v>62</v>
      </c>
    </row>
    <row r="72" spans="1:62" x14ac:dyDescent="0.3">
      <c r="A72" s="35" t="s">
        <v>14</v>
      </c>
      <c r="B72" s="16" t="s">
        <v>62</v>
      </c>
      <c r="C72" s="14" t="s">
        <v>62</v>
      </c>
      <c r="D72" s="14" t="s">
        <v>62</v>
      </c>
      <c r="E72" s="14" t="s">
        <v>62</v>
      </c>
      <c r="F72" s="14" t="s">
        <v>62</v>
      </c>
      <c r="G72" s="14" t="s">
        <v>62</v>
      </c>
      <c r="H72" s="14" t="s">
        <v>62</v>
      </c>
      <c r="I72" s="14" t="s">
        <v>62</v>
      </c>
      <c r="J72" s="14" t="s">
        <v>62</v>
      </c>
      <c r="K72" s="14" t="s">
        <v>62</v>
      </c>
      <c r="L72" s="14" t="s">
        <v>62</v>
      </c>
      <c r="M72" s="14" t="s">
        <v>62</v>
      </c>
      <c r="N72" s="14" t="s">
        <v>62</v>
      </c>
      <c r="O72" s="12">
        <f>2*EM124*O58*Distances!O67*3</f>
        <v>0</v>
      </c>
      <c r="P72" s="13" t="s">
        <v>62</v>
      </c>
      <c r="Q72" s="14" t="s">
        <v>62</v>
      </c>
      <c r="R72" s="14" t="s">
        <v>62</v>
      </c>
      <c r="S72" s="14" t="s">
        <v>62</v>
      </c>
      <c r="T72" s="14" t="s">
        <v>62</v>
      </c>
      <c r="U72" s="14" t="s">
        <v>62</v>
      </c>
      <c r="V72" s="14" t="s">
        <v>62</v>
      </c>
      <c r="W72" s="14" t="s">
        <v>62</v>
      </c>
      <c r="X72" s="14" t="s">
        <v>62</v>
      </c>
      <c r="Y72" s="14" t="s">
        <v>62</v>
      </c>
      <c r="Z72" s="14" t="s">
        <v>62</v>
      </c>
      <c r="AA72" s="14" t="s">
        <v>62</v>
      </c>
      <c r="AB72" s="14" t="s">
        <v>62</v>
      </c>
      <c r="AC72" s="14" t="s">
        <v>62</v>
      </c>
      <c r="AD72" s="14" t="s">
        <v>62</v>
      </c>
      <c r="AE72" s="14" t="s">
        <v>62</v>
      </c>
      <c r="AF72" s="14" t="s">
        <v>62</v>
      </c>
      <c r="AG72" s="14" t="s">
        <v>62</v>
      </c>
      <c r="AH72" s="14" t="s">
        <v>62</v>
      </c>
      <c r="AI72" s="14" t="s">
        <v>62</v>
      </c>
      <c r="AJ72" s="14" t="s">
        <v>62</v>
      </c>
      <c r="AK72" s="14" t="s">
        <v>62</v>
      </c>
      <c r="AL72" s="14" t="s">
        <v>62</v>
      </c>
      <c r="AM72" s="14" t="s">
        <v>62</v>
      </c>
      <c r="AN72" s="14" t="s">
        <v>62</v>
      </c>
      <c r="AO72" s="14" t="s">
        <v>62</v>
      </c>
      <c r="AP72" s="14" t="s">
        <v>62</v>
      </c>
      <c r="AQ72" s="14" t="s">
        <v>62</v>
      </c>
      <c r="AR72" s="14" t="s">
        <v>62</v>
      </c>
      <c r="AS72" s="14" t="s">
        <v>62</v>
      </c>
      <c r="AT72" s="14" t="s">
        <v>62</v>
      </c>
      <c r="AU72" s="14" t="s">
        <v>62</v>
      </c>
      <c r="AV72" s="14" t="s">
        <v>62</v>
      </c>
      <c r="AW72" s="14" t="s">
        <v>62</v>
      </c>
      <c r="AX72" s="14" t="s">
        <v>62</v>
      </c>
      <c r="AY72" s="14" t="s">
        <v>62</v>
      </c>
      <c r="AZ72" s="14" t="s">
        <v>62</v>
      </c>
      <c r="BA72" s="14" t="s">
        <v>62</v>
      </c>
      <c r="BB72" s="14" t="s">
        <v>62</v>
      </c>
      <c r="BC72" s="14" t="s">
        <v>62</v>
      </c>
      <c r="BD72" s="14" t="s">
        <v>62</v>
      </c>
      <c r="BE72" s="14" t="s">
        <v>62</v>
      </c>
      <c r="BF72" s="14" t="s">
        <v>62</v>
      </c>
      <c r="BG72" s="14" t="s">
        <v>62</v>
      </c>
      <c r="BH72" s="12" t="s">
        <v>62</v>
      </c>
      <c r="BI72" s="12" t="s">
        <v>62</v>
      </c>
      <c r="BJ72" s="17" t="s">
        <v>62</v>
      </c>
    </row>
    <row r="73" spans="1:62" x14ac:dyDescent="0.3">
      <c r="A73" s="35" t="s">
        <v>15</v>
      </c>
      <c r="B73" s="16" t="s">
        <v>62</v>
      </c>
      <c r="C73" s="14" t="s">
        <v>62</v>
      </c>
      <c r="D73" s="14" t="s">
        <v>62</v>
      </c>
      <c r="E73" s="14" t="s">
        <v>62</v>
      </c>
      <c r="F73" s="14" t="s">
        <v>62</v>
      </c>
      <c r="G73" s="14" t="s">
        <v>62</v>
      </c>
      <c r="H73" s="14" t="s">
        <v>62</v>
      </c>
      <c r="I73" s="14" t="s">
        <v>62</v>
      </c>
      <c r="J73" s="14" t="s">
        <v>62</v>
      </c>
      <c r="K73" s="14" t="s">
        <v>62</v>
      </c>
      <c r="L73" s="14" t="s">
        <v>62</v>
      </c>
      <c r="M73" s="14" t="s">
        <v>62</v>
      </c>
      <c r="N73" s="14" t="s">
        <v>62</v>
      </c>
      <c r="O73" s="13" t="s">
        <v>62</v>
      </c>
      <c r="P73" s="12">
        <f>2*EN125*P58*Distances!P68*3</f>
        <v>0</v>
      </c>
      <c r="Q73" s="14" t="s">
        <v>62</v>
      </c>
      <c r="R73" s="14" t="s">
        <v>62</v>
      </c>
      <c r="S73" s="14" t="s">
        <v>62</v>
      </c>
      <c r="T73" s="14" t="s">
        <v>62</v>
      </c>
      <c r="U73" s="14" t="s">
        <v>62</v>
      </c>
      <c r="V73" s="14" t="s">
        <v>62</v>
      </c>
      <c r="W73" s="14" t="s">
        <v>62</v>
      </c>
      <c r="X73" s="14" t="s">
        <v>62</v>
      </c>
      <c r="Y73" s="14" t="s">
        <v>62</v>
      </c>
      <c r="Z73" s="14" t="s">
        <v>62</v>
      </c>
      <c r="AA73" s="14" t="s">
        <v>62</v>
      </c>
      <c r="AB73" s="14" t="s">
        <v>62</v>
      </c>
      <c r="AC73" s="14" t="s">
        <v>62</v>
      </c>
      <c r="AD73" s="14" t="s">
        <v>62</v>
      </c>
      <c r="AE73" s="14" t="s">
        <v>62</v>
      </c>
      <c r="AF73" s="14" t="s">
        <v>62</v>
      </c>
      <c r="AG73" s="14" t="s">
        <v>62</v>
      </c>
      <c r="AH73" s="14" t="s">
        <v>62</v>
      </c>
      <c r="AI73" s="14" t="s">
        <v>62</v>
      </c>
      <c r="AJ73" s="14" t="s">
        <v>62</v>
      </c>
      <c r="AK73" s="14" t="s">
        <v>62</v>
      </c>
      <c r="AL73" s="14" t="s">
        <v>62</v>
      </c>
      <c r="AM73" s="14" t="s">
        <v>62</v>
      </c>
      <c r="AN73" s="14" t="s">
        <v>62</v>
      </c>
      <c r="AO73" s="14" t="s">
        <v>62</v>
      </c>
      <c r="AP73" s="14" t="s">
        <v>62</v>
      </c>
      <c r="AQ73" s="14" t="s">
        <v>62</v>
      </c>
      <c r="AR73" s="14" t="s">
        <v>62</v>
      </c>
      <c r="AS73" s="14" t="s">
        <v>62</v>
      </c>
      <c r="AT73" s="14" t="s">
        <v>62</v>
      </c>
      <c r="AU73" s="14" t="s">
        <v>62</v>
      </c>
      <c r="AV73" s="14" t="s">
        <v>62</v>
      </c>
      <c r="AW73" s="14" t="s">
        <v>62</v>
      </c>
      <c r="AX73" s="14" t="s">
        <v>62</v>
      </c>
      <c r="AY73" s="14" t="s">
        <v>62</v>
      </c>
      <c r="AZ73" s="14" t="s">
        <v>62</v>
      </c>
      <c r="BA73" s="14" t="s">
        <v>62</v>
      </c>
      <c r="BB73" s="14" t="s">
        <v>62</v>
      </c>
      <c r="BC73" s="14" t="s">
        <v>62</v>
      </c>
      <c r="BD73" s="14" t="s">
        <v>62</v>
      </c>
      <c r="BE73" s="14" t="s">
        <v>62</v>
      </c>
      <c r="BF73" s="14" t="s">
        <v>62</v>
      </c>
      <c r="BG73" s="14" t="s">
        <v>62</v>
      </c>
      <c r="BH73" s="13" t="s">
        <v>62</v>
      </c>
      <c r="BI73" s="13" t="s">
        <v>62</v>
      </c>
      <c r="BJ73" s="18" t="s">
        <v>62</v>
      </c>
    </row>
    <row r="74" spans="1:62" x14ac:dyDescent="0.3">
      <c r="A74" s="35" t="s">
        <v>16</v>
      </c>
      <c r="B74" s="16" t="s">
        <v>62</v>
      </c>
      <c r="C74" s="14" t="s">
        <v>62</v>
      </c>
      <c r="D74" s="14" t="s">
        <v>62</v>
      </c>
      <c r="E74" s="14" t="s">
        <v>62</v>
      </c>
      <c r="F74" s="14" t="s">
        <v>62</v>
      </c>
      <c r="G74" s="14" t="s">
        <v>62</v>
      </c>
      <c r="H74" s="14" t="s">
        <v>62</v>
      </c>
      <c r="I74" s="14" t="s">
        <v>62</v>
      </c>
      <c r="J74" s="14" t="s">
        <v>62</v>
      </c>
      <c r="K74" s="14" t="s">
        <v>62</v>
      </c>
      <c r="L74" s="14" t="s">
        <v>62</v>
      </c>
      <c r="M74" s="14" t="s">
        <v>62</v>
      </c>
      <c r="N74" s="14" t="s">
        <v>62</v>
      </c>
      <c r="O74" s="14" t="s">
        <v>62</v>
      </c>
      <c r="P74" s="14" t="s">
        <v>62</v>
      </c>
      <c r="Q74" s="12">
        <f>2*EO126*Q58*Distances!Q69*3</f>
        <v>0</v>
      </c>
      <c r="R74" s="13">
        <f>2*EP126*R58*Distances!R69*4.24</f>
        <v>1920.72</v>
      </c>
      <c r="S74" s="13">
        <f>2*EQ126*S58*Distances!S69*3.59</f>
        <v>2817.7012500000001</v>
      </c>
      <c r="T74" s="13">
        <f>2*ER126*T58*Distances!T69*3.22</f>
        <v>607.73475000000008</v>
      </c>
      <c r="U74" s="13">
        <f>2*ES126*U58*Distances!U69*3</f>
        <v>807.29250000000002</v>
      </c>
      <c r="V74" s="13">
        <f>2*ET126*V58*Distances!V69*3</f>
        <v>7848.2700000000023</v>
      </c>
      <c r="W74" s="13">
        <f>2*EU126*W58*Distances!W69*3</f>
        <v>7190.1149999999998</v>
      </c>
      <c r="X74" s="13">
        <f>2*EV126*X58*Distances!X69*3</f>
        <v>8016.6149999999998</v>
      </c>
      <c r="Y74" s="13">
        <f>2*EW126*Y58*Distances!Y69*3.1</f>
        <v>5998.5775000000012</v>
      </c>
      <c r="Z74" s="13">
        <f>2*EX126*Z58*Distances!Z69*3</f>
        <v>384.32999999999993</v>
      </c>
      <c r="AA74" s="13">
        <f>2*EY126*AA58*Distances!AA69*3</f>
        <v>299.61</v>
      </c>
      <c r="AB74" s="13">
        <f>2*EZ126*AB58*Distances!AB69*3</f>
        <v>422.29500000000007</v>
      </c>
      <c r="AC74" s="13">
        <f>2*FA126*AC58*Distances!AC69*3</f>
        <v>324.48</v>
      </c>
      <c r="AD74" s="13">
        <f>2*FB126*AD58*Distances!AD69*3</f>
        <v>285.48</v>
      </c>
      <c r="AE74" s="13">
        <f>2*FC126*AE58*Distances!AE69*3</f>
        <v>356.68499999999995</v>
      </c>
      <c r="AF74" s="13">
        <f>2*FD126*AF58*Distances!AF69*3</f>
        <v>566.37000000000012</v>
      </c>
      <c r="AG74" s="13">
        <f>2*FE126*AG58*Distances!AG69*3</f>
        <v>658.2600000000001</v>
      </c>
      <c r="AH74" s="14" t="s">
        <v>62</v>
      </c>
      <c r="AI74" s="14" t="s">
        <v>62</v>
      </c>
      <c r="AJ74" s="14" t="s">
        <v>62</v>
      </c>
      <c r="AK74" s="14" t="s">
        <v>62</v>
      </c>
      <c r="AL74" s="14" t="s">
        <v>62</v>
      </c>
      <c r="AM74" s="14" t="s">
        <v>62</v>
      </c>
      <c r="AN74" s="14" t="s">
        <v>62</v>
      </c>
      <c r="AO74" s="14" t="s">
        <v>62</v>
      </c>
      <c r="AP74" s="14" t="s">
        <v>62</v>
      </c>
      <c r="AQ74" s="14" t="s">
        <v>62</v>
      </c>
      <c r="AR74" s="14" t="s">
        <v>62</v>
      </c>
      <c r="AS74" s="14" t="s">
        <v>62</v>
      </c>
      <c r="AT74" s="14" t="s">
        <v>62</v>
      </c>
      <c r="AU74" s="14" t="s">
        <v>62</v>
      </c>
      <c r="AV74" s="14">
        <f>2*FT126*AV58*Distances!AV69*3</f>
        <v>565.60588235294131</v>
      </c>
      <c r="AW74" s="14" t="s">
        <v>62</v>
      </c>
      <c r="AX74" s="14" t="s">
        <v>62</v>
      </c>
      <c r="AY74" s="14" t="s">
        <v>62</v>
      </c>
      <c r="AZ74" s="14" t="s">
        <v>62</v>
      </c>
      <c r="BA74" s="14" t="s">
        <v>62</v>
      </c>
      <c r="BB74" s="13">
        <f>2*FZ126*BB58*Distances!BB69*3</f>
        <v>830.6400000000001</v>
      </c>
      <c r="BC74" s="14" t="s">
        <v>62</v>
      </c>
      <c r="BD74" s="14" t="s">
        <v>62</v>
      </c>
      <c r="BE74" s="14" t="s">
        <v>62</v>
      </c>
      <c r="BF74" s="13">
        <f>2*GD126*BF58*Distances!BF69*3</f>
        <v>933.75</v>
      </c>
      <c r="BG74" s="13">
        <f>2*GE126*BG58*Distances!BG69*3</f>
        <v>899.79</v>
      </c>
      <c r="BH74" s="14" t="s">
        <v>62</v>
      </c>
      <c r="BI74" s="14" t="s">
        <v>62</v>
      </c>
      <c r="BJ74" s="15" t="s">
        <v>62</v>
      </c>
    </row>
    <row r="75" spans="1:62" x14ac:dyDescent="0.3">
      <c r="A75" s="35" t="s">
        <v>17</v>
      </c>
      <c r="B75" s="16" t="s">
        <v>62</v>
      </c>
      <c r="C75" s="14" t="s">
        <v>62</v>
      </c>
      <c r="D75" s="14" t="s">
        <v>62</v>
      </c>
      <c r="E75" s="14" t="s">
        <v>62</v>
      </c>
      <c r="F75" s="14" t="s">
        <v>62</v>
      </c>
      <c r="G75" s="14" t="s">
        <v>62</v>
      </c>
      <c r="H75" s="14" t="s">
        <v>62</v>
      </c>
      <c r="I75" s="14" t="s">
        <v>62</v>
      </c>
      <c r="J75" s="14" t="s">
        <v>62</v>
      </c>
      <c r="K75" s="14" t="s">
        <v>62</v>
      </c>
      <c r="L75" s="14" t="s">
        <v>62</v>
      </c>
      <c r="M75" s="14" t="s">
        <v>62</v>
      </c>
      <c r="N75" s="14" t="s">
        <v>62</v>
      </c>
      <c r="O75" s="14" t="s">
        <v>62</v>
      </c>
      <c r="P75" s="14" t="s">
        <v>62</v>
      </c>
      <c r="Q75" s="13">
        <f>2*EO127*Q58*Distances!Q70*4.24</f>
        <v>1920.72</v>
      </c>
      <c r="R75" s="12">
        <f>2*EP127*R58*Distances!R70*3</f>
        <v>0</v>
      </c>
      <c r="S75" s="13">
        <f>2*EQ127*S58*Distances!S70*4.54</f>
        <v>1756.98</v>
      </c>
      <c r="T75" s="13" t="s">
        <v>62</v>
      </c>
      <c r="U75" s="13" t="s">
        <v>62</v>
      </c>
      <c r="V75" s="13" t="s">
        <v>62</v>
      </c>
      <c r="W75" s="13" t="s">
        <v>62</v>
      </c>
      <c r="X75" s="13" t="s">
        <v>62</v>
      </c>
      <c r="Y75" s="13" t="s">
        <v>62</v>
      </c>
      <c r="Z75" s="13" t="s">
        <v>62</v>
      </c>
      <c r="AA75" s="13" t="s">
        <v>62</v>
      </c>
      <c r="AB75" s="13" t="s">
        <v>62</v>
      </c>
      <c r="AC75" s="13" t="s">
        <v>62</v>
      </c>
      <c r="AD75" s="13" t="s">
        <v>62</v>
      </c>
      <c r="AE75" s="13" t="s">
        <v>62</v>
      </c>
      <c r="AF75" s="13" t="s">
        <v>62</v>
      </c>
      <c r="AG75" s="13" t="s">
        <v>62</v>
      </c>
      <c r="AH75" s="14" t="s">
        <v>62</v>
      </c>
      <c r="AI75" s="14" t="s">
        <v>62</v>
      </c>
      <c r="AJ75" s="14" t="s">
        <v>62</v>
      </c>
      <c r="AK75" s="14" t="s">
        <v>62</v>
      </c>
      <c r="AL75" s="14" t="s">
        <v>62</v>
      </c>
      <c r="AM75" s="14" t="s">
        <v>62</v>
      </c>
      <c r="AN75" s="14" t="s">
        <v>62</v>
      </c>
      <c r="AO75" s="14" t="s">
        <v>62</v>
      </c>
      <c r="AP75" s="14" t="s">
        <v>62</v>
      </c>
      <c r="AQ75" s="14" t="s">
        <v>62</v>
      </c>
      <c r="AR75" s="14" t="s">
        <v>62</v>
      </c>
      <c r="AS75" s="14" t="s">
        <v>62</v>
      </c>
      <c r="AT75" s="14" t="s">
        <v>62</v>
      </c>
      <c r="AU75" s="14" t="s">
        <v>62</v>
      </c>
      <c r="AV75" s="14" t="s">
        <v>62</v>
      </c>
      <c r="AW75" s="14" t="s">
        <v>62</v>
      </c>
      <c r="AX75" s="14" t="s">
        <v>62</v>
      </c>
      <c r="AY75" s="14" t="s">
        <v>62</v>
      </c>
      <c r="AZ75" s="14" t="s">
        <v>62</v>
      </c>
      <c r="BA75" s="14" t="s">
        <v>62</v>
      </c>
      <c r="BB75" s="13" t="s">
        <v>62</v>
      </c>
      <c r="BC75" s="14" t="s">
        <v>62</v>
      </c>
      <c r="BD75" s="14" t="s">
        <v>62</v>
      </c>
      <c r="BE75" s="14" t="s">
        <v>62</v>
      </c>
      <c r="BF75" s="13" t="s">
        <v>62</v>
      </c>
      <c r="BG75" s="13" t="s">
        <v>62</v>
      </c>
      <c r="BH75" s="14" t="s">
        <v>62</v>
      </c>
      <c r="BI75" s="14" t="s">
        <v>62</v>
      </c>
      <c r="BJ75" s="15" t="s">
        <v>62</v>
      </c>
    </row>
    <row r="76" spans="1:62" x14ac:dyDescent="0.3">
      <c r="A76" s="35" t="s">
        <v>18</v>
      </c>
      <c r="B76" s="16" t="s">
        <v>62</v>
      </c>
      <c r="C76" s="14" t="s">
        <v>62</v>
      </c>
      <c r="D76" s="14" t="s">
        <v>62</v>
      </c>
      <c r="E76" s="14" t="s">
        <v>62</v>
      </c>
      <c r="F76" s="14" t="s">
        <v>62</v>
      </c>
      <c r="G76" s="14" t="s">
        <v>62</v>
      </c>
      <c r="H76" s="14" t="s">
        <v>62</v>
      </c>
      <c r="I76" s="14" t="s">
        <v>62</v>
      </c>
      <c r="J76" s="14" t="s">
        <v>62</v>
      </c>
      <c r="K76" s="14" t="s">
        <v>62</v>
      </c>
      <c r="L76" s="14" t="s">
        <v>62</v>
      </c>
      <c r="M76" s="14" t="s">
        <v>62</v>
      </c>
      <c r="N76" s="14" t="s">
        <v>62</v>
      </c>
      <c r="O76" s="14" t="s">
        <v>62</v>
      </c>
      <c r="P76" s="14" t="s">
        <v>62</v>
      </c>
      <c r="Q76" s="13">
        <f>2*EO128*Q58*Distances!Q71*3.59</f>
        <v>2817.7012500000001</v>
      </c>
      <c r="R76" s="13">
        <f>2*EP128*R58*Distances!R71*4.54</f>
        <v>1756.98</v>
      </c>
      <c r="S76" s="12">
        <f>2*EQ128*S58*Distances!S71*3</f>
        <v>0</v>
      </c>
      <c r="T76" s="13">
        <f>2*ER128*T58*Distances!T71*3.97</f>
        <v>313.05435000000011</v>
      </c>
      <c r="U76" s="13">
        <f>2*ES128*U58*Distances!U71*3.1</f>
        <v>493.56650000000002</v>
      </c>
      <c r="V76" s="13">
        <f>2*ET128*V58*Distances!V71*3.17</f>
        <v>5406.8629500000006</v>
      </c>
      <c r="W76" s="13">
        <f>2*EU128*W58*Distances!W71*3.22</f>
        <v>4785.7250000000013</v>
      </c>
      <c r="X76" s="13">
        <f>2*EV128*X58*Distances!X71*3.17</f>
        <v>5236.332800000001</v>
      </c>
      <c r="Y76" s="13">
        <f>2*EW128*Y58*Distances!Y71*3.47</f>
        <v>3555.257900000001</v>
      </c>
      <c r="Z76" s="13">
        <f>2*EX128*Z58*Distances!Z71*3</f>
        <v>281.94</v>
      </c>
      <c r="AA76" s="13">
        <f>2*EY128*AA58*Distances!AA71*3.1</f>
        <v>211.637</v>
      </c>
      <c r="AB76" s="13">
        <f>2*EZ128*AB58*Distances!AB71*3</f>
        <v>323.32500000000005</v>
      </c>
      <c r="AC76" s="13">
        <f>2*FA128*AC58*Distances!AC71*3</f>
        <v>230.29500000000004</v>
      </c>
      <c r="AD76" s="13">
        <f>2*FB128*AD58*Distances!AD71*3</f>
        <v>228.78000000000003</v>
      </c>
      <c r="AE76" s="13">
        <f>2*FC128*AE58*Distances!AE71*3</f>
        <v>274.45500000000004</v>
      </c>
      <c r="AF76" s="13">
        <f>2*FD128*AF58*Distances!AF71*3.1</f>
        <v>415.30700000000002</v>
      </c>
      <c r="AG76" s="13">
        <f>2*FE128*AG58*Distances!AG71*3</f>
        <v>493.80000000000007</v>
      </c>
      <c r="AH76" s="14" t="s">
        <v>62</v>
      </c>
      <c r="AI76" s="14" t="s">
        <v>62</v>
      </c>
      <c r="AJ76" s="14" t="s">
        <v>62</v>
      </c>
      <c r="AK76" s="14" t="s">
        <v>62</v>
      </c>
      <c r="AL76" s="14" t="s">
        <v>62</v>
      </c>
      <c r="AM76" s="14" t="s">
        <v>62</v>
      </c>
      <c r="AN76" s="14" t="s">
        <v>62</v>
      </c>
      <c r="AO76" s="14" t="s">
        <v>62</v>
      </c>
      <c r="AP76" s="14" t="s">
        <v>62</v>
      </c>
      <c r="AQ76" s="14" t="s">
        <v>62</v>
      </c>
      <c r="AR76" s="14" t="s">
        <v>62</v>
      </c>
      <c r="AS76" s="14" t="s">
        <v>62</v>
      </c>
      <c r="AT76" s="14" t="s">
        <v>62</v>
      </c>
      <c r="AU76" s="14" t="s">
        <v>62</v>
      </c>
      <c r="AV76" s="14">
        <f>2*FT128*AV58*Distances!AV71*3</f>
        <v>604.32352941176464</v>
      </c>
      <c r="AW76" s="14" t="s">
        <v>62</v>
      </c>
      <c r="AX76" s="14">
        <f>2*FV128*AX58*Distances!AX71*3</f>
        <v>1594.1142857142854</v>
      </c>
      <c r="AY76" s="14" t="s">
        <v>62</v>
      </c>
      <c r="AZ76" s="14" t="s">
        <v>62</v>
      </c>
      <c r="BA76" s="14" t="s">
        <v>62</v>
      </c>
      <c r="BB76" s="13">
        <f>2*FZ128*BB58*Distances!BB71*3</f>
        <v>642.24000000000012</v>
      </c>
      <c r="BC76" s="14" t="s">
        <v>62</v>
      </c>
      <c r="BD76" s="14" t="s">
        <v>62</v>
      </c>
      <c r="BE76" s="14" t="s">
        <v>62</v>
      </c>
      <c r="BF76" s="13">
        <f>2*GD128*BF58*Distances!BF71*3</f>
        <v>745.35</v>
      </c>
      <c r="BG76" s="13">
        <f>2*GE128*BG58*Distances!BG71*3</f>
        <v>628.95000000000005</v>
      </c>
      <c r="BH76" s="14" t="s">
        <v>62</v>
      </c>
      <c r="BI76" s="14" t="s">
        <v>62</v>
      </c>
      <c r="BJ76" s="15" t="s">
        <v>62</v>
      </c>
    </row>
    <row r="77" spans="1:62" x14ac:dyDescent="0.3">
      <c r="A77" s="35" t="s">
        <v>19</v>
      </c>
      <c r="B77" s="16" t="s">
        <v>62</v>
      </c>
      <c r="C77" s="14" t="s">
        <v>62</v>
      </c>
      <c r="D77" s="14" t="s">
        <v>62</v>
      </c>
      <c r="E77" s="14" t="s">
        <v>62</v>
      </c>
      <c r="F77" s="14" t="s">
        <v>62</v>
      </c>
      <c r="G77" s="14" t="s">
        <v>62</v>
      </c>
      <c r="H77" s="14" t="s">
        <v>62</v>
      </c>
      <c r="I77" s="14" t="s">
        <v>62</v>
      </c>
      <c r="J77" s="14" t="s">
        <v>62</v>
      </c>
      <c r="K77" s="14" t="s">
        <v>62</v>
      </c>
      <c r="L77" s="14" t="s">
        <v>62</v>
      </c>
      <c r="M77" s="14" t="s">
        <v>62</v>
      </c>
      <c r="N77" s="14" t="s">
        <v>62</v>
      </c>
      <c r="O77" s="14" t="s">
        <v>62</v>
      </c>
      <c r="P77" s="14" t="s">
        <v>62</v>
      </c>
      <c r="Q77" s="13">
        <f>2*EO129*Q58*Distances!Q72*3.22</f>
        <v>4340.9625000000005</v>
      </c>
      <c r="R77" s="13" t="s">
        <v>62</v>
      </c>
      <c r="S77" s="13">
        <f>2*EQ129*S58*Distances!S72*3.97</f>
        <v>2236.1025</v>
      </c>
      <c r="T77" s="12">
        <f>2*ER129*T58*Distances!T72*3</f>
        <v>0</v>
      </c>
      <c r="U77" s="13">
        <f>2*ES129*U58*Distances!U72*4.03</f>
        <v>300.93017500000002</v>
      </c>
      <c r="V77" s="13">
        <f>2*ET129*V58*Distances!V72*3.38</f>
        <v>4089.8845000000001</v>
      </c>
      <c r="W77" s="13">
        <f>2*EU129*W58*Distances!W72*3.27</f>
        <v>4558.9522500000003</v>
      </c>
      <c r="X77" s="13">
        <f>2*EV129*X58*Distances!X72*3.22</f>
        <v>5022.4433000000017</v>
      </c>
      <c r="Y77" s="13">
        <f>2*EW129*Y58*Distances!Y72*3.59</f>
        <v>3347.6570500000003</v>
      </c>
      <c r="Z77" s="13">
        <f>2*EX129*Z58*Distances!Z72*3</f>
        <v>214.71000000000004</v>
      </c>
      <c r="AA77" s="13">
        <f>2*EY129*AA58*Distances!AA72*3.34</f>
        <v>144.73890000000003</v>
      </c>
      <c r="AB77" s="13">
        <f>2*EZ129*AB58*Distances!AB72*3</f>
        <v>254.98500000000001</v>
      </c>
      <c r="AC77" s="13">
        <f>2*FA129*AC58*Distances!AC72*3.22</f>
        <v>173.83170000000004</v>
      </c>
      <c r="AD77" s="13">
        <f>2*FB129*AD58*Distances!AD72*3.13</f>
        <v>189.64670000000004</v>
      </c>
      <c r="AE77" s="13">
        <f>2*FC129*AE58*Distances!AE72*3</f>
        <v>270.63</v>
      </c>
      <c r="AF77" s="13">
        <f>2*FD129*AF58*Distances!AF72*3.17</f>
        <v>362.67969999999997</v>
      </c>
      <c r="AG77" s="13">
        <f>2*FE129*AG58*Distances!AG72*3.1</f>
        <v>420.11200000000002</v>
      </c>
      <c r="AH77" s="14" t="s">
        <v>62</v>
      </c>
      <c r="AI77" s="14" t="s">
        <v>62</v>
      </c>
      <c r="AJ77" s="14" t="s">
        <v>62</v>
      </c>
      <c r="AK77" s="14" t="s">
        <v>62</v>
      </c>
      <c r="AL77" s="14" t="s">
        <v>62</v>
      </c>
      <c r="AM77" s="14" t="s">
        <v>62</v>
      </c>
      <c r="AN77" s="14" t="s">
        <v>62</v>
      </c>
      <c r="AO77" s="14" t="s">
        <v>62</v>
      </c>
      <c r="AP77" s="14" t="s">
        <v>62</v>
      </c>
      <c r="AQ77" s="14" t="s">
        <v>62</v>
      </c>
      <c r="AR77" s="14" t="s">
        <v>62</v>
      </c>
      <c r="AS77" s="14" t="s">
        <v>62</v>
      </c>
      <c r="AT77" s="14" t="s">
        <v>62</v>
      </c>
      <c r="AU77" s="14" t="s">
        <v>62</v>
      </c>
      <c r="AV77" s="14">
        <f>2*FT129*AV58*Distances!AV72*3</f>
        <v>599.7705882352941</v>
      </c>
      <c r="AW77" s="14" t="s">
        <v>62</v>
      </c>
      <c r="AX77" s="14">
        <f>2*FV129*AX58*Distances!AX72*3</f>
        <v>1634.1942857142858</v>
      </c>
      <c r="AY77" s="14" t="s">
        <v>62</v>
      </c>
      <c r="AZ77" s="14" t="s">
        <v>62</v>
      </c>
      <c r="BA77" s="14" t="s">
        <v>62</v>
      </c>
      <c r="BB77" s="13">
        <f>2*FZ129*BB58*Distances!BB72*3</f>
        <v>623.22</v>
      </c>
      <c r="BC77" s="14" t="s">
        <v>62</v>
      </c>
      <c r="BD77" s="14">
        <f>2*GB129*BD58*Distances!BD72*3</f>
        <v>10662.034285714284</v>
      </c>
      <c r="BE77" s="14" t="s">
        <v>62</v>
      </c>
      <c r="BF77" s="13">
        <f>2*GD129*BF58*Distances!BF72*3</f>
        <v>770.34000000000015</v>
      </c>
      <c r="BG77" s="13">
        <f>2*GE129*BG58*Distances!BG72*3</f>
        <v>554.01</v>
      </c>
      <c r="BH77" s="14" t="s">
        <v>62</v>
      </c>
      <c r="BI77" s="14" t="s">
        <v>62</v>
      </c>
      <c r="BJ77" s="15" t="s">
        <v>62</v>
      </c>
    </row>
    <row r="78" spans="1:62" x14ac:dyDescent="0.3">
      <c r="A78" s="35" t="s">
        <v>20</v>
      </c>
      <c r="B78" s="16" t="s">
        <v>62</v>
      </c>
      <c r="C78" s="14" t="s">
        <v>62</v>
      </c>
      <c r="D78" s="14" t="s">
        <v>62</v>
      </c>
      <c r="E78" s="14" t="s">
        <v>62</v>
      </c>
      <c r="F78" s="14" t="s">
        <v>62</v>
      </c>
      <c r="G78" s="14" t="s">
        <v>62</v>
      </c>
      <c r="H78" s="14" t="s">
        <v>62</v>
      </c>
      <c r="I78" s="14" t="s">
        <v>62</v>
      </c>
      <c r="J78" s="14" t="s">
        <v>62</v>
      </c>
      <c r="K78" s="14" t="s">
        <v>62</v>
      </c>
      <c r="L78" s="14" t="s">
        <v>62</v>
      </c>
      <c r="M78" s="14" t="s">
        <v>62</v>
      </c>
      <c r="N78" s="14" t="s">
        <v>62</v>
      </c>
      <c r="O78" s="14" t="s">
        <v>62</v>
      </c>
      <c r="P78" s="14" t="s">
        <v>62</v>
      </c>
      <c r="Q78" s="13">
        <f>2*EO130*Q58*Distances!Q73*3</f>
        <v>5766.375</v>
      </c>
      <c r="R78" s="13" t="s">
        <v>62</v>
      </c>
      <c r="S78" s="13">
        <f>2*EQ130*S58*Distances!S73*3.3</f>
        <v>3752.9249999999997</v>
      </c>
      <c r="T78" s="13">
        <f>2*ER130*T58*Distances!T73*4.03</f>
        <v>300.93017500000002</v>
      </c>
      <c r="U78" s="12">
        <f>2*ES130*U58*Distances!U73*3</f>
        <v>0</v>
      </c>
      <c r="V78" s="13">
        <f>2*ET130*V58*Distances!V73*3.3</f>
        <v>4308.8924999999999</v>
      </c>
      <c r="W78" s="13">
        <f>2*EU130*W58*Distances!W73*3</f>
        <v>6108.2700000000013</v>
      </c>
      <c r="X78" s="13">
        <f>2*EV130*X58*Distances!X73*3.13</f>
        <v>5726.6792999999998</v>
      </c>
      <c r="Y78" s="13">
        <f>2*EW130*Y58*Distances!Y73*3.27</f>
        <v>5095.6900500000011</v>
      </c>
      <c r="Z78" s="13">
        <f>2*EX130*Z58*Distances!Z73*3.27</f>
        <v>178.869</v>
      </c>
      <c r="AA78" s="13">
        <f>2*EY130*AA58*Distances!AA73*3.76</f>
        <v>99.48960000000001</v>
      </c>
      <c r="AB78" s="13">
        <f>2*EZ130*AB58*Distances!AB73*3.13</f>
        <v>199.96005</v>
      </c>
      <c r="AC78" s="13">
        <f>2*FA130*AC58*Distances!AC73*3.53</f>
        <v>116.04875</v>
      </c>
      <c r="AD78" s="13">
        <f>2*FB130*AD58*Distances!AD73*3.1</f>
        <v>216.67450000000005</v>
      </c>
      <c r="AE78" s="13">
        <f>2*FC130*AE58*Distances!AE73*3</f>
        <v>280.875</v>
      </c>
      <c r="AF78" s="13">
        <f>2*FD130*AF58*Distances!AF73*3.1</f>
        <v>408.76599999999996</v>
      </c>
      <c r="AG78" s="13">
        <f>2*FE130*AG58*Distances!AG73*3.1</f>
        <v>407.40200000000004</v>
      </c>
      <c r="AH78" s="14" t="s">
        <v>62</v>
      </c>
      <c r="AI78" s="14" t="s">
        <v>62</v>
      </c>
      <c r="AJ78" s="14" t="s">
        <v>62</v>
      </c>
      <c r="AK78" s="14" t="s">
        <v>62</v>
      </c>
      <c r="AL78" s="14" t="s">
        <v>62</v>
      </c>
      <c r="AM78" s="14" t="s">
        <v>62</v>
      </c>
      <c r="AN78" s="14" t="s">
        <v>62</v>
      </c>
      <c r="AO78" s="14" t="s">
        <v>62</v>
      </c>
      <c r="AP78" s="14" t="s">
        <v>62</v>
      </c>
      <c r="AQ78" s="14" t="s">
        <v>62</v>
      </c>
      <c r="AR78" s="14" t="s">
        <v>62</v>
      </c>
      <c r="AS78" s="14" t="s">
        <v>62</v>
      </c>
      <c r="AT78" s="14" t="s">
        <v>62</v>
      </c>
      <c r="AU78" s="14" t="s">
        <v>62</v>
      </c>
      <c r="AV78" s="14">
        <f>2*FT130*AV58*Distances!AV73*3</f>
        <v>630.30000000000007</v>
      </c>
      <c r="AW78" s="14">
        <f>2*FU130*AW58*Distances!AW73*3</f>
        <v>864.6514285714286</v>
      </c>
      <c r="AX78" s="14">
        <f>2*FV130*AX58*Distances!AX73*3</f>
        <v>1621.8685714285714</v>
      </c>
      <c r="AY78" s="14" t="s">
        <v>62</v>
      </c>
      <c r="AZ78" s="14" t="s">
        <v>62</v>
      </c>
      <c r="BA78" s="14" t="s">
        <v>62</v>
      </c>
      <c r="BB78" s="13">
        <f>2*FZ130*BB58*Distances!BB73*3</f>
        <v>755.97</v>
      </c>
      <c r="BC78" s="14" t="s">
        <v>62</v>
      </c>
      <c r="BD78" s="14">
        <f>2*GB130*BD58*Distances!BD73*3</f>
        <v>10625.170285714283</v>
      </c>
      <c r="BE78" s="14" t="s">
        <v>62</v>
      </c>
      <c r="BF78" s="13">
        <f>2*GD130*BF58*Distances!BF73*3</f>
        <v>789.51</v>
      </c>
      <c r="BG78" s="13">
        <f>2*GE130*BG58*Distances!BG73*3</f>
        <v>531.06000000000017</v>
      </c>
      <c r="BH78" s="14" t="s">
        <v>62</v>
      </c>
      <c r="BI78" s="14" t="s">
        <v>62</v>
      </c>
      <c r="BJ78" s="15" t="s">
        <v>62</v>
      </c>
    </row>
    <row r="79" spans="1:62" x14ac:dyDescent="0.3">
      <c r="A79" s="35" t="s">
        <v>21</v>
      </c>
      <c r="B79" s="16" t="s">
        <v>62</v>
      </c>
      <c r="C79" s="14" t="s">
        <v>62</v>
      </c>
      <c r="D79" s="14" t="s">
        <v>62</v>
      </c>
      <c r="E79" s="14" t="s">
        <v>62</v>
      </c>
      <c r="F79" s="14" t="s">
        <v>62</v>
      </c>
      <c r="G79" s="14" t="s">
        <v>62</v>
      </c>
      <c r="H79" s="14" t="s">
        <v>62</v>
      </c>
      <c r="I79" s="14" t="s">
        <v>62</v>
      </c>
      <c r="J79" s="14" t="s">
        <v>62</v>
      </c>
      <c r="K79" s="14" t="s">
        <v>62</v>
      </c>
      <c r="L79" s="14" t="s">
        <v>62</v>
      </c>
      <c r="M79" s="14" t="s">
        <v>62</v>
      </c>
      <c r="N79" s="14" t="s">
        <v>62</v>
      </c>
      <c r="O79" s="14" t="s">
        <v>62</v>
      </c>
      <c r="P79" s="14" t="s">
        <v>62</v>
      </c>
      <c r="Q79" s="13">
        <f>2*EO131*Q58*Distances!Q74*3</f>
        <v>6765.75</v>
      </c>
      <c r="R79" s="13" t="s">
        <v>62</v>
      </c>
      <c r="S79" s="13">
        <f>2*EQ131*S58*Distances!S74*3.17</f>
        <v>4661.0887499999999</v>
      </c>
      <c r="T79" s="13">
        <f>2*ER131*T58*Distances!T74*3.38</f>
        <v>493.60675000000003</v>
      </c>
      <c r="U79" s="13">
        <f>2*ES131*U58*Distances!U74*3.3</f>
        <v>520.03874999999994</v>
      </c>
      <c r="V79" s="12">
        <f>2*ET131*V58*Distances!V74*3</f>
        <v>0</v>
      </c>
      <c r="W79" s="13">
        <f>2*EU131*W58*Distances!W74*3.42</f>
        <v>3778.7580000000003</v>
      </c>
      <c r="X79" s="13">
        <f>2*EV131*X58*Distances!X74*3.59</f>
        <v>3355.9858500000005</v>
      </c>
      <c r="Y79" s="13">
        <f>2*EW131*Y58*Distances!Y74*3.47</f>
        <v>3529.5972500000003</v>
      </c>
      <c r="Z79" s="13">
        <f>2*EX131*Z58*Distances!Z74*3.34</f>
        <v>149.89919999999998</v>
      </c>
      <c r="AA79" s="13">
        <f>2*EY131*AA58*Distances!AA74*3.84</f>
        <v>110.88</v>
      </c>
      <c r="AB79" s="13" t="s">
        <v>62</v>
      </c>
      <c r="AC79" s="13" t="s">
        <v>62</v>
      </c>
      <c r="AD79" s="13">
        <f>2*FB131*AD58*Distances!AD74*3.42</f>
        <v>133.51679999999999</v>
      </c>
      <c r="AE79" s="13">
        <f>2*FC131*AE58*Distances!AE74*3.34</f>
        <v>148.81370000000001</v>
      </c>
      <c r="AF79" s="13">
        <f>2*FD131*AF58*Distances!AF74*4.17</f>
        <v>165.92429999999999</v>
      </c>
      <c r="AG79" s="13">
        <f>2*FE131*AG58*Distances!AG74*3.76</f>
        <v>195.78320000000002</v>
      </c>
      <c r="AH79" s="14" t="s">
        <v>62</v>
      </c>
      <c r="AI79" s="14" t="s">
        <v>62</v>
      </c>
      <c r="AJ79" s="14" t="s">
        <v>62</v>
      </c>
      <c r="AK79" s="14" t="s">
        <v>62</v>
      </c>
      <c r="AL79" s="14" t="s">
        <v>62</v>
      </c>
      <c r="AM79" s="14" t="s">
        <v>62</v>
      </c>
      <c r="AN79" s="14" t="s">
        <v>62</v>
      </c>
      <c r="AO79" s="14" t="s">
        <v>62</v>
      </c>
      <c r="AP79" s="14" t="s">
        <v>62</v>
      </c>
      <c r="AQ79" s="14" t="s">
        <v>62</v>
      </c>
      <c r="AR79" s="14" t="s">
        <v>62</v>
      </c>
      <c r="AS79" s="14" t="s">
        <v>62</v>
      </c>
      <c r="AT79" s="14" t="s">
        <v>62</v>
      </c>
      <c r="AU79" s="14" t="s">
        <v>62</v>
      </c>
      <c r="AV79" s="14">
        <f>2*FT131*AV58*Distances!AV74*3</f>
        <v>408.31764705882358</v>
      </c>
      <c r="AW79" s="14">
        <f>2*FU131*AW58*Distances!AW74*3</f>
        <v>1032.8571428571427</v>
      </c>
      <c r="AX79" s="14">
        <f>2*FV131*AX58*Distances!AX74*3</f>
        <v>1334.2285714285713</v>
      </c>
      <c r="AY79" s="14" t="s">
        <v>62</v>
      </c>
      <c r="AZ79" s="14" t="s">
        <v>62</v>
      </c>
      <c r="BA79" s="14" t="s">
        <v>62</v>
      </c>
      <c r="BB79" s="13">
        <f>2*FZ131*BB58*Distances!BB74*3</f>
        <v>564.72</v>
      </c>
      <c r="BC79" s="14" t="s">
        <v>62</v>
      </c>
      <c r="BD79" s="14" t="s">
        <v>62</v>
      </c>
      <c r="BE79" s="14" t="s">
        <v>62</v>
      </c>
      <c r="BF79" s="13" t="s">
        <v>62</v>
      </c>
      <c r="BG79" s="13" t="s">
        <v>62</v>
      </c>
      <c r="BH79" s="14" t="s">
        <v>62</v>
      </c>
      <c r="BI79" s="14" t="s">
        <v>62</v>
      </c>
      <c r="BJ79" s="15" t="s">
        <v>62</v>
      </c>
    </row>
    <row r="80" spans="1:62" x14ac:dyDescent="0.3">
      <c r="A80" s="35" t="s">
        <v>22</v>
      </c>
      <c r="B80" s="16" t="s">
        <v>62</v>
      </c>
      <c r="C80" s="14" t="s">
        <v>62</v>
      </c>
      <c r="D80" s="14" t="s">
        <v>62</v>
      </c>
      <c r="E80" s="14" t="s">
        <v>62</v>
      </c>
      <c r="F80" s="14" t="s">
        <v>62</v>
      </c>
      <c r="G80" s="14" t="s">
        <v>62</v>
      </c>
      <c r="H80" s="14" t="s">
        <v>62</v>
      </c>
      <c r="I80" s="14" t="s">
        <v>62</v>
      </c>
      <c r="J80" s="14" t="s">
        <v>62</v>
      </c>
      <c r="K80" s="14" t="s">
        <v>62</v>
      </c>
      <c r="L80" s="14" t="s">
        <v>62</v>
      </c>
      <c r="M80" s="14" t="s">
        <v>62</v>
      </c>
      <c r="N80" s="14" t="s">
        <v>62</v>
      </c>
      <c r="O80" s="14" t="s">
        <v>62</v>
      </c>
      <c r="P80" s="14" t="s">
        <v>62</v>
      </c>
      <c r="Q80" s="13">
        <f>2*EO132*Q58*Distances!Q75*3</f>
        <v>6198.375</v>
      </c>
      <c r="R80" s="13" t="s">
        <v>62</v>
      </c>
      <c r="S80" s="13">
        <f>2*EQ132*S58*Distances!S75*3.22</f>
        <v>4125.625</v>
      </c>
      <c r="T80" s="13">
        <f>2*ER132*T58*Distances!T75*3.27</f>
        <v>550.21837500000004</v>
      </c>
      <c r="U80" s="13">
        <f>2*ES132*U58*Distances!U75*3</f>
        <v>737.20500000000015</v>
      </c>
      <c r="V80" s="13">
        <f>2*ET132*V58*Distances!V75*3.42</f>
        <v>3778.7580000000003</v>
      </c>
      <c r="W80" s="12">
        <f>2*EU132*W58*Distances!W75*3</f>
        <v>0</v>
      </c>
      <c r="X80" s="13">
        <f>2*EV132*X58*Distances!X75*4.66</f>
        <v>1925.7450000000003</v>
      </c>
      <c r="Y80" s="13">
        <f>2*EW132*Y58*Distances!Y75*4.33</f>
        <v>2140.3406500000001</v>
      </c>
      <c r="Z80" s="13">
        <f>2*EX132*Z58*Distances!Z75*3</f>
        <v>262.33499999999998</v>
      </c>
      <c r="AA80" s="13">
        <f>2*EY132*AA58*Distances!AA75*3.17</f>
        <v>187.67985000000004</v>
      </c>
      <c r="AB80" s="13">
        <f>2*EZ132*AB58*Distances!AB75*3</f>
        <v>399.96000000000004</v>
      </c>
      <c r="AC80" s="13">
        <f>2*FA132*AC58*Distances!AC75*3</f>
        <v>306.93</v>
      </c>
      <c r="AD80" s="13">
        <f>2*FB132*AD58*Distances!AD75*4.03</f>
        <v>84.851650000000006</v>
      </c>
      <c r="AE80" s="13">
        <f>2*FC132*AE58*Distances!AE75*3.34</f>
        <v>149.58190000000002</v>
      </c>
      <c r="AF80" s="13">
        <f>2*FD132*AF58*Distances!AF75*3.53</f>
        <v>231.00319999999999</v>
      </c>
      <c r="AG80" s="13">
        <f>2*FE132*AG58*Distances!AG75*3.22</f>
        <v>336.2002</v>
      </c>
      <c r="AH80" s="14" t="s">
        <v>62</v>
      </c>
      <c r="AI80" s="14" t="s">
        <v>62</v>
      </c>
      <c r="AJ80" s="14" t="s">
        <v>62</v>
      </c>
      <c r="AK80" s="14" t="s">
        <v>62</v>
      </c>
      <c r="AL80" s="14" t="s">
        <v>62</v>
      </c>
      <c r="AM80" s="14" t="s">
        <v>62</v>
      </c>
      <c r="AN80" s="14" t="s">
        <v>62</v>
      </c>
      <c r="AO80" s="14" t="s">
        <v>62</v>
      </c>
      <c r="AP80" s="14" t="s">
        <v>62</v>
      </c>
      <c r="AQ80" s="14" t="s">
        <v>62</v>
      </c>
      <c r="AR80" s="14" t="s">
        <v>62</v>
      </c>
      <c r="AS80" s="14" t="s">
        <v>62</v>
      </c>
      <c r="AT80" s="14" t="s">
        <v>62</v>
      </c>
      <c r="AU80" s="14" t="s">
        <v>62</v>
      </c>
      <c r="AV80" s="14">
        <f>2*FT132*AV58*Distances!AV75*3</f>
        <v>453.6</v>
      </c>
      <c r="AW80" s="14">
        <f>2*FU132*AW58*Distances!AW75*3</f>
        <v>971.19428571428557</v>
      </c>
      <c r="AX80" s="14">
        <f>2*FV132*AX58*Distances!AX75*3</f>
        <v>1376.982857142857</v>
      </c>
      <c r="AY80" s="14" t="s">
        <v>62</v>
      </c>
      <c r="AZ80" s="14" t="s">
        <v>62</v>
      </c>
      <c r="BA80" s="14" t="s">
        <v>62</v>
      </c>
      <c r="BB80" s="12">
        <f>2*FZ132*BB58*Distances!BB75*3.17</f>
        <v>17136.2592</v>
      </c>
      <c r="BC80" s="14" t="s">
        <v>62</v>
      </c>
      <c r="BD80" s="14" t="s">
        <v>62</v>
      </c>
      <c r="BE80" s="14" t="s">
        <v>62</v>
      </c>
      <c r="BF80" s="13">
        <f>2*GD132*BF58*Distances!BF75*3</f>
        <v>489.12000000000006</v>
      </c>
      <c r="BG80" s="13">
        <f>2*GE132*BG58*Distances!BG75*3</f>
        <v>458.04</v>
      </c>
      <c r="BH80" s="14" t="s">
        <v>62</v>
      </c>
      <c r="BI80" s="14" t="s">
        <v>62</v>
      </c>
      <c r="BJ80" s="15" t="s">
        <v>62</v>
      </c>
    </row>
    <row r="81" spans="1:62" x14ac:dyDescent="0.3">
      <c r="A81" s="35" t="s">
        <v>23</v>
      </c>
      <c r="B81" s="16" t="s">
        <v>62</v>
      </c>
      <c r="C81" s="14" t="s">
        <v>62</v>
      </c>
      <c r="D81" s="14" t="s">
        <v>62</v>
      </c>
      <c r="E81" s="14" t="s">
        <v>62</v>
      </c>
      <c r="F81" s="14" t="s">
        <v>62</v>
      </c>
      <c r="G81" s="14" t="s">
        <v>62</v>
      </c>
      <c r="H81" s="14" t="s">
        <v>62</v>
      </c>
      <c r="I81" s="14" t="s">
        <v>62</v>
      </c>
      <c r="J81" s="14" t="s">
        <v>62</v>
      </c>
      <c r="K81" s="14" t="s">
        <v>62</v>
      </c>
      <c r="L81" s="14" t="s">
        <v>62</v>
      </c>
      <c r="M81" s="14" t="s">
        <v>62</v>
      </c>
      <c r="N81" s="14" t="s">
        <v>62</v>
      </c>
      <c r="O81" s="14" t="s">
        <v>62</v>
      </c>
      <c r="P81" s="14" t="s">
        <v>62</v>
      </c>
      <c r="Q81" s="13">
        <f>2*EO133*Q58*Distances!Q76*3</f>
        <v>6910.875</v>
      </c>
      <c r="R81" s="13" t="s">
        <v>62</v>
      </c>
      <c r="S81" s="13">
        <f>2*EQ133*S58*Distances!S76*3.17</f>
        <v>4514.08</v>
      </c>
      <c r="T81" s="13">
        <f>2*ER133*T58*Distances!T76*3.22</f>
        <v>606.15695000000017</v>
      </c>
      <c r="U81" s="13">
        <f>2*ES133*U58*Distances!U76*3.13</f>
        <v>691.15095000000008</v>
      </c>
      <c r="V81" s="13">
        <f>2*ET133*V58*Distances!V76*3.59</f>
        <v>3355.9858500000005</v>
      </c>
      <c r="W81" s="13">
        <f>2*EU133*W58*Distances!W76*4.66</f>
        <v>1925.7450000000003</v>
      </c>
      <c r="X81" s="12">
        <f>2*EV133*X58*Distances!X76*3</f>
        <v>0</v>
      </c>
      <c r="Y81" s="13">
        <f>2*EW133*Y58*Distances!Y76*3.97</f>
        <v>2647.41435</v>
      </c>
      <c r="Z81" s="13">
        <f>2*EX133*Z58*Distances!Z76*3</f>
        <v>231.91500000000002</v>
      </c>
      <c r="AA81" s="13">
        <f>2*EY133*AA58*Distances!AA76*3.13</f>
        <v>196.39184999999998</v>
      </c>
      <c r="AB81" s="13">
        <f>2*EZ133*AB58*Distances!AB76*3</f>
        <v>384.6</v>
      </c>
      <c r="AC81" s="13">
        <f>2*FA133*AC58*Distances!AC76*3</f>
        <v>291.57</v>
      </c>
      <c r="AD81" s="13">
        <f>2*FB133*AD58*Distances!AD76*6.94</f>
        <v>47.018500000000003</v>
      </c>
      <c r="AE81" s="13">
        <f>2*FC133*AE58*Distances!AE76*3.59</f>
        <v>109.62065000000001</v>
      </c>
      <c r="AF81" s="13">
        <f>2*FD133*AF58*Distances!AF76*4.24</f>
        <v>155.05680000000001</v>
      </c>
      <c r="AG81" s="13">
        <f>2*FE133*AG58*Distances!AG76*3.42</f>
        <v>259.64640000000003</v>
      </c>
      <c r="AH81" s="14" t="s">
        <v>62</v>
      </c>
      <c r="AI81" s="14" t="s">
        <v>62</v>
      </c>
      <c r="AJ81" s="14" t="s">
        <v>62</v>
      </c>
      <c r="AK81" s="14" t="s">
        <v>62</v>
      </c>
      <c r="AL81" s="14" t="s">
        <v>62</v>
      </c>
      <c r="AM81" s="14" t="s">
        <v>62</v>
      </c>
      <c r="AN81" s="14" t="s">
        <v>62</v>
      </c>
      <c r="AO81" s="14" t="s">
        <v>62</v>
      </c>
      <c r="AP81" s="14" t="s">
        <v>62</v>
      </c>
      <c r="AQ81" s="14" t="s">
        <v>62</v>
      </c>
      <c r="AR81" s="14" t="s">
        <v>62</v>
      </c>
      <c r="AS81" s="14" t="s">
        <v>62</v>
      </c>
      <c r="AT81" s="14" t="s">
        <v>62</v>
      </c>
      <c r="AU81" s="14" t="s">
        <v>62</v>
      </c>
      <c r="AV81" s="14">
        <f>2*FT133*AV58*Distances!AV76*3</f>
        <v>403.30588235294118</v>
      </c>
      <c r="AW81" s="14">
        <f>2*FU133*AW58*Distances!AW76*3</f>
        <v>922.33714285714268</v>
      </c>
      <c r="AX81" s="14">
        <f>2*FV133*AX58*Distances!AX76*3</f>
        <v>1334.2285714285713</v>
      </c>
      <c r="AY81" s="14" t="s">
        <v>62</v>
      </c>
      <c r="AZ81" s="14" t="s">
        <v>62</v>
      </c>
      <c r="BA81" s="14" t="s">
        <v>62</v>
      </c>
      <c r="BB81" s="13">
        <f>2*FZ133*BB58*Distances!BB76*3</f>
        <v>420.27</v>
      </c>
      <c r="BC81" s="14" t="s">
        <v>62</v>
      </c>
      <c r="BD81" s="14" t="s">
        <v>62</v>
      </c>
      <c r="BE81" s="14" t="s">
        <v>62</v>
      </c>
      <c r="BF81" s="13">
        <f>2*GD133*BF58*Distances!BF76*3.1</f>
        <v>417.07400000000007</v>
      </c>
      <c r="BG81" s="13">
        <f>2*GE133*BG58*Distances!BG76*3.13</f>
        <v>388.68340000000001</v>
      </c>
      <c r="BH81" s="14" t="s">
        <v>62</v>
      </c>
      <c r="BI81" s="14" t="s">
        <v>62</v>
      </c>
      <c r="BJ81" s="15" t="s">
        <v>62</v>
      </c>
    </row>
    <row r="82" spans="1:62" x14ac:dyDescent="0.3">
      <c r="A82" s="35" t="s">
        <v>24</v>
      </c>
      <c r="B82" s="16" t="s">
        <v>62</v>
      </c>
      <c r="C82" s="14" t="s">
        <v>62</v>
      </c>
      <c r="D82" s="14" t="s">
        <v>62</v>
      </c>
      <c r="E82" s="14" t="s">
        <v>62</v>
      </c>
      <c r="F82" s="14" t="s">
        <v>62</v>
      </c>
      <c r="G82" s="14" t="s">
        <v>62</v>
      </c>
      <c r="H82" s="14" t="s">
        <v>62</v>
      </c>
      <c r="I82" s="14" t="s">
        <v>62</v>
      </c>
      <c r="J82" s="14" t="s">
        <v>62</v>
      </c>
      <c r="K82" s="14" t="s">
        <v>62</v>
      </c>
      <c r="L82" s="14" t="s">
        <v>62</v>
      </c>
      <c r="M82" s="14" t="s">
        <v>62</v>
      </c>
      <c r="N82" s="14" t="s">
        <v>62</v>
      </c>
      <c r="O82" s="14" t="s">
        <v>62</v>
      </c>
      <c r="P82" s="14" t="s">
        <v>62</v>
      </c>
      <c r="Q82" s="13">
        <f>2*EO134*Q58*Distances!Q77*3.1</f>
        <v>5171.1875</v>
      </c>
      <c r="R82" s="13" t="s">
        <v>62</v>
      </c>
      <c r="S82" s="13">
        <f>2*EQ134*S58*Distances!S77*3.47</f>
        <v>3064.8775000000001</v>
      </c>
      <c r="T82" s="13">
        <f>2*ER134*T58*Distances!T77*3.59</f>
        <v>404.02757500000007</v>
      </c>
      <c r="U82" s="13">
        <f>2*ES134*U58*Distances!U77*3.27</f>
        <v>614.99707500000011</v>
      </c>
      <c r="V82" s="13">
        <f>2*ET134*V58*Distances!V77*3.47</f>
        <v>3529.5972500000003</v>
      </c>
      <c r="W82" s="13">
        <f>2*EU134*W58*Distances!W77*4.33</f>
        <v>2140.3406500000001</v>
      </c>
      <c r="X82" s="13">
        <f>2*EV134*X58*Distances!X77*3.97</f>
        <v>2647.41435</v>
      </c>
      <c r="Y82" s="12">
        <f>2*EW134*Y58*Distances!Y77*3</f>
        <v>0</v>
      </c>
      <c r="Z82" s="13">
        <f>2*EX134*Z58*Distances!Z77*3</f>
        <v>230.89500000000001</v>
      </c>
      <c r="AA82" s="13">
        <f>2*EY134*AA58*Distances!AA77*3.3</f>
        <v>154.52250000000001</v>
      </c>
      <c r="AB82" s="13">
        <f>2*EZ134*AB58*Distances!AB77*3</f>
        <v>352.20000000000005</v>
      </c>
      <c r="AC82" s="13">
        <f>2*FA134*AC58*Distances!AC77*3</f>
        <v>259.17000000000007</v>
      </c>
      <c r="AD82" s="13">
        <f>2*FB134*AD58*Distances!AD77*3.84</f>
        <v>114.432</v>
      </c>
      <c r="AE82" s="13">
        <f>2*FC134*AE58*Distances!AE77*3.22</f>
        <v>172.38270000000003</v>
      </c>
      <c r="AF82" s="13">
        <f>2*FD134*AF58*Distances!AF77*3.38</f>
        <v>279.05279999999999</v>
      </c>
      <c r="AG82" s="13">
        <f>2*FE134*AG58*Distances!AG77*3.17</f>
        <v>358.24170000000004</v>
      </c>
      <c r="AH82" s="14" t="s">
        <v>62</v>
      </c>
      <c r="AI82" s="14" t="s">
        <v>62</v>
      </c>
      <c r="AJ82" s="14" t="s">
        <v>62</v>
      </c>
      <c r="AK82" s="14" t="s">
        <v>62</v>
      </c>
      <c r="AL82" s="14" t="s">
        <v>62</v>
      </c>
      <c r="AM82" s="14" t="s">
        <v>62</v>
      </c>
      <c r="AN82" s="14" t="s">
        <v>62</v>
      </c>
      <c r="AO82" s="14" t="s">
        <v>62</v>
      </c>
      <c r="AP82" s="14" t="s">
        <v>62</v>
      </c>
      <c r="AQ82" s="14" t="s">
        <v>62</v>
      </c>
      <c r="AR82" s="14" t="s">
        <v>62</v>
      </c>
      <c r="AS82" s="14" t="s">
        <v>62</v>
      </c>
      <c r="AT82" s="14" t="s">
        <v>62</v>
      </c>
      <c r="AU82" s="14" t="s">
        <v>62</v>
      </c>
      <c r="AV82" s="14">
        <f>2*FT134*AV58*Distances!AV77*3</f>
        <v>484.46470588235297</v>
      </c>
      <c r="AW82" s="14">
        <f>2*FU134*AW58*Distances!AW77*3</f>
        <v>1002.0514285714285</v>
      </c>
      <c r="AX82" s="14">
        <f>2*FV134*AX58*Distances!AX77*3</f>
        <v>1369.525714285714</v>
      </c>
      <c r="AY82" s="14" t="s">
        <v>62</v>
      </c>
      <c r="AZ82" s="14" t="s">
        <v>62</v>
      </c>
      <c r="BA82" s="14" t="s">
        <v>62</v>
      </c>
      <c r="BB82" s="13">
        <f>2*FZ134*BB58*Distances!BB77*3</f>
        <v>437.04000000000008</v>
      </c>
      <c r="BC82" s="14" t="s">
        <v>62</v>
      </c>
      <c r="BD82" s="14" t="s">
        <v>62</v>
      </c>
      <c r="BE82" s="14" t="s">
        <v>62</v>
      </c>
      <c r="BF82" s="13">
        <f>2*GD134*BF58*Distances!BF77*3</f>
        <v>541.59</v>
      </c>
      <c r="BG82" s="13">
        <f>2*GE134*BG58*Distances!BG77*3</f>
        <v>480.21</v>
      </c>
      <c r="BH82" s="14" t="s">
        <v>62</v>
      </c>
      <c r="BI82" s="14" t="s">
        <v>62</v>
      </c>
      <c r="BJ82" s="15" t="s">
        <v>62</v>
      </c>
    </row>
    <row r="83" spans="1:62" x14ac:dyDescent="0.3">
      <c r="A83" s="35" t="s">
        <v>25</v>
      </c>
      <c r="B83" s="16" t="s">
        <v>62</v>
      </c>
      <c r="C83" s="14" t="s">
        <v>62</v>
      </c>
      <c r="D83" s="14" t="s">
        <v>62</v>
      </c>
      <c r="E83" s="14" t="s">
        <v>62</v>
      </c>
      <c r="F83" s="14" t="s">
        <v>62</v>
      </c>
      <c r="G83" s="14" t="s">
        <v>62</v>
      </c>
      <c r="H83" s="14" t="s">
        <v>62</v>
      </c>
      <c r="I83" s="14" t="s">
        <v>62</v>
      </c>
      <c r="J83" s="14" t="s">
        <v>62</v>
      </c>
      <c r="K83" s="14" t="s">
        <v>62</v>
      </c>
      <c r="L83" s="14" t="s">
        <v>62</v>
      </c>
      <c r="M83" s="14" t="s">
        <v>62</v>
      </c>
      <c r="N83" s="14" t="s">
        <v>62</v>
      </c>
      <c r="O83" s="14" t="s">
        <v>62</v>
      </c>
      <c r="P83" s="14" t="s">
        <v>62</v>
      </c>
      <c r="Q83" s="13">
        <f>2*EO135*Q58*Distances!Q78*3</f>
        <v>9608.25</v>
      </c>
      <c r="R83" s="13" t="s">
        <v>62</v>
      </c>
      <c r="S83" s="13">
        <f>2*EQ135*S58*Distances!S78*3</f>
        <v>7048.5</v>
      </c>
      <c r="T83" s="13">
        <f>2*ER135*T58*Distances!T78*3</f>
        <v>751.48500000000013</v>
      </c>
      <c r="U83" s="13">
        <f>2*ES135*U58*Distances!U78*3.27</f>
        <v>626.04150000000004</v>
      </c>
      <c r="V83" s="13">
        <f>2*ET135*V58*Distances!V78*3.34</f>
        <v>4347.0767999999998</v>
      </c>
      <c r="W83" s="13">
        <f>2*EU135*W58*Distances!W78*3</f>
        <v>7607.7150000000001</v>
      </c>
      <c r="X83" s="13">
        <f>2*EV135*X58*Distances!X78*3</f>
        <v>6725.5350000000008</v>
      </c>
      <c r="Y83" s="13">
        <f>2*EW135*Y58*Distances!Y78*3</f>
        <v>6695.9549999999999</v>
      </c>
      <c r="Z83" s="12">
        <f>2*EX135*Z58*Distances!Z78*3</f>
        <v>0</v>
      </c>
      <c r="AA83" s="13">
        <f>2*EY135*AA58*Distances!AA78*3.59</f>
        <v>113.33629999999999</v>
      </c>
      <c r="AB83" s="13">
        <f>2*EZ135*AB58*Distances!AB78*3</f>
        <v>355.755</v>
      </c>
      <c r="AC83" s="13">
        <f>2*FA135*AC58*Distances!AC78*3</f>
        <v>262.72500000000002</v>
      </c>
      <c r="AD83" s="13">
        <f>2*FB135*AD58*Distances!AD78*3</f>
        <v>252.34500000000003</v>
      </c>
      <c r="AE83" s="13">
        <f>2*FC135*AE58*Distances!AE78*3</f>
        <v>230.38499999999999</v>
      </c>
      <c r="AF83" s="13">
        <f>2*FD135*AF58*Distances!AF78*3</f>
        <v>447.45000000000005</v>
      </c>
      <c r="AG83" s="13">
        <f>2*FE135*AG58*Distances!AG78*3.17</f>
        <v>369.46350000000001</v>
      </c>
      <c r="AH83" s="14" t="s">
        <v>62</v>
      </c>
      <c r="AI83" s="14" t="s">
        <v>62</v>
      </c>
      <c r="AJ83" s="14" t="s">
        <v>62</v>
      </c>
      <c r="AK83" s="14" t="s">
        <v>62</v>
      </c>
      <c r="AL83" s="14" t="s">
        <v>62</v>
      </c>
      <c r="AM83" s="14" t="s">
        <v>62</v>
      </c>
      <c r="AN83" s="14" t="s">
        <v>62</v>
      </c>
      <c r="AO83" s="14" t="s">
        <v>62</v>
      </c>
      <c r="AP83" s="14" t="s">
        <v>62</v>
      </c>
      <c r="AQ83" s="14" t="s">
        <v>62</v>
      </c>
      <c r="AR83" s="14" t="s">
        <v>62</v>
      </c>
      <c r="AS83" s="14" t="s">
        <v>62</v>
      </c>
      <c r="AT83" s="14" t="s">
        <v>62</v>
      </c>
      <c r="AU83" s="14" t="s">
        <v>62</v>
      </c>
      <c r="AV83" s="14">
        <f>2*FT135*AV58*Distances!AV78*3</f>
        <v>603.14117647058833</v>
      </c>
      <c r="AW83" s="14">
        <f>2*FU135*AW58*Distances!AW78*3</f>
        <v>934.42285714285697</v>
      </c>
      <c r="AX83" s="14">
        <f>2*FV135*AX58*Distances!AX78*3</f>
        <v>1504.4057142857143</v>
      </c>
      <c r="AY83" s="14" t="s">
        <v>62</v>
      </c>
      <c r="AZ83" s="14" t="s">
        <v>62</v>
      </c>
      <c r="BA83" s="14" t="s">
        <v>62</v>
      </c>
      <c r="BB83" s="13">
        <f>2*FZ135*BB58*Distances!BB78*3</f>
        <v>844.26</v>
      </c>
      <c r="BC83" s="14" t="s">
        <v>62</v>
      </c>
      <c r="BD83" s="14">
        <f>2*GB135*BD58*Distances!BD78*3</f>
        <v>9785.4171428571426</v>
      </c>
      <c r="BE83" s="14" t="s">
        <v>62</v>
      </c>
      <c r="BF83" s="13" t="s">
        <v>62</v>
      </c>
      <c r="BG83" s="13" t="s">
        <v>62</v>
      </c>
      <c r="BH83" s="14" t="s">
        <v>62</v>
      </c>
      <c r="BI83" s="14" t="s">
        <v>62</v>
      </c>
      <c r="BJ83" s="15" t="s">
        <v>62</v>
      </c>
    </row>
    <row r="84" spans="1:62" x14ac:dyDescent="0.3">
      <c r="A84" s="35" t="s">
        <v>26</v>
      </c>
      <c r="B84" s="16" t="s">
        <v>62</v>
      </c>
      <c r="C84" s="14" t="s">
        <v>62</v>
      </c>
      <c r="D84" s="14" t="s">
        <v>62</v>
      </c>
      <c r="E84" s="14" t="s">
        <v>62</v>
      </c>
      <c r="F84" s="14" t="s">
        <v>62</v>
      </c>
      <c r="G84" s="14" t="s">
        <v>62</v>
      </c>
      <c r="H84" s="14" t="s">
        <v>62</v>
      </c>
      <c r="I84" s="14" t="s">
        <v>62</v>
      </c>
      <c r="J84" s="14" t="s">
        <v>62</v>
      </c>
      <c r="K84" s="14" t="s">
        <v>62</v>
      </c>
      <c r="L84" s="14" t="s">
        <v>62</v>
      </c>
      <c r="M84" s="14" t="s">
        <v>62</v>
      </c>
      <c r="N84" s="14" t="s">
        <v>62</v>
      </c>
      <c r="O84" s="14" t="s">
        <v>62</v>
      </c>
      <c r="P84" s="14" t="s">
        <v>62</v>
      </c>
      <c r="Q84" s="13">
        <f>2*EO136*Q58*Distances!Q79*3</f>
        <v>7490.25</v>
      </c>
      <c r="R84" s="13" t="s">
        <v>62</v>
      </c>
      <c r="S84" s="13">
        <f>2*EQ136*S58*Distances!S79*3.1</f>
        <v>5290.9249999999993</v>
      </c>
      <c r="T84" s="13">
        <f>2*ER136*T58*Distances!T79*3.34</f>
        <v>506.58615000000003</v>
      </c>
      <c r="U84" s="13">
        <f>2*ES136*U58*Distances!U79*3.76</f>
        <v>348.21360000000004</v>
      </c>
      <c r="V84" s="13">
        <f>2*ET136*V58*Distances!V79*3.84</f>
        <v>3215.5200000000004</v>
      </c>
      <c r="W84" s="13">
        <f>2*EU136*W58*Distances!W79*3.17</f>
        <v>5442.715650000001</v>
      </c>
      <c r="X84" s="13">
        <f>2*EV136*X58*Distances!X79*3.13</f>
        <v>5695.3636500000002</v>
      </c>
      <c r="Y84" s="13">
        <f>2*EW136*Y58*Distances!Y79*3.3</f>
        <v>4481.1525000000001</v>
      </c>
      <c r="Z84" s="13">
        <f>2*EX136*Z58*Distances!Z79*3.59</f>
        <v>113.33629999999999</v>
      </c>
      <c r="AA84" s="12">
        <f>2*EY136*AA58*Distances!AA79*3</f>
        <v>0</v>
      </c>
      <c r="AB84" s="13">
        <f>2*EZ136*AB58*Distances!AB79*3</f>
        <v>271.03500000000003</v>
      </c>
      <c r="AC84" s="13">
        <f>2*FA136*AC58*Distances!AC79*3.17</f>
        <v>188.09195000000003</v>
      </c>
      <c r="AD84" s="13">
        <f>2*FB136*AD58*Distances!AD79*3</f>
        <v>210.16500000000002</v>
      </c>
      <c r="AE84" s="13">
        <f>2*FC136*AE58*Distances!AE79*3.1</f>
        <v>209.62200000000001</v>
      </c>
      <c r="AF84" s="13">
        <f>2*FD136*AF58*Distances!AF79*3.22</f>
        <v>329.11619999999999</v>
      </c>
      <c r="AG84" s="13">
        <f>2*FE136*AG58*Distances!AG79*3.27</f>
        <v>321.11400000000003</v>
      </c>
      <c r="AH84" s="14" t="s">
        <v>62</v>
      </c>
      <c r="AI84" s="14" t="s">
        <v>62</v>
      </c>
      <c r="AJ84" s="14" t="s">
        <v>62</v>
      </c>
      <c r="AK84" s="14" t="s">
        <v>62</v>
      </c>
      <c r="AL84" s="14" t="s">
        <v>62</v>
      </c>
      <c r="AM84" s="14" t="s">
        <v>62</v>
      </c>
      <c r="AN84" s="14" t="s">
        <v>62</v>
      </c>
      <c r="AO84" s="14" t="s">
        <v>62</v>
      </c>
      <c r="AP84" s="14" t="s">
        <v>62</v>
      </c>
      <c r="AQ84" s="14" t="s">
        <v>62</v>
      </c>
      <c r="AR84" s="14" t="s">
        <v>62</v>
      </c>
      <c r="AS84" s="14" t="s">
        <v>62</v>
      </c>
      <c r="AT84" s="14" t="s">
        <v>62</v>
      </c>
      <c r="AU84" s="14" t="s">
        <v>62</v>
      </c>
      <c r="AV84" s="14">
        <f>2*FT136*AV58*Distances!AV79*3</f>
        <v>561.14117647058833</v>
      </c>
      <c r="AW84" s="14">
        <f>2*FU136*AW58*Distances!AW79*3</f>
        <v>892.26857142857148</v>
      </c>
      <c r="AX84" s="14" t="s">
        <v>62</v>
      </c>
      <c r="AY84" s="14" t="s">
        <v>62</v>
      </c>
      <c r="AZ84" s="14" t="s">
        <v>62</v>
      </c>
      <c r="BA84" s="14" t="s">
        <v>62</v>
      </c>
      <c r="BB84" s="13">
        <f>2*FZ136*BB58*Distances!BB79*3</f>
        <v>674.82</v>
      </c>
      <c r="BC84" s="14" t="s">
        <v>62</v>
      </c>
      <c r="BD84" s="14">
        <f>2*GB136*BD58*Distances!BD79*3</f>
        <v>9524.1874285714275</v>
      </c>
      <c r="BE84" s="14" t="s">
        <v>62</v>
      </c>
      <c r="BF84" s="13" t="s">
        <v>62</v>
      </c>
      <c r="BG84" s="13" t="s">
        <v>62</v>
      </c>
      <c r="BH84" s="14" t="s">
        <v>62</v>
      </c>
      <c r="BI84" s="14" t="s">
        <v>62</v>
      </c>
      <c r="BJ84" s="15" t="s">
        <v>62</v>
      </c>
    </row>
    <row r="85" spans="1:62" x14ac:dyDescent="0.3">
      <c r="A85" s="35" t="s">
        <v>27</v>
      </c>
      <c r="B85" s="16" t="s">
        <v>62</v>
      </c>
      <c r="C85" s="14" t="s">
        <v>62</v>
      </c>
      <c r="D85" s="14" t="s">
        <v>62</v>
      </c>
      <c r="E85" s="14" t="s">
        <v>62</v>
      </c>
      <c r="F85" s="14" t="s">
        <v>62</v>
      </c>
      <c r="G85" s="14" t="s">
        <v>62</v>
      </c>
      <c r="H85" s="14" t="s">
        <v>62</v>
      </c>
      <c r="I85" s="14" t="s">
        <v>62</v>
      </c>
      <c r="J85" s="14" t="s">
        <v>62</v>
      </c>
      <c r="K85" s="14" t="s">
        <v>62</v>
      </c>
      <c r="L85" s="14" t="s">
        <v>62</v>
      </c>
      <c r="M85" s="14" t="s">
        <v>62</v>
      </c>
      <c r="N85" s="14" t="s">
        <v>62</v>
      </c>
      <c r="O85" s="14" t="s">
        <v>62</v>
      </c>
      <c r="P85" s="14" t="s">
        <v>62</v>
      </c>
      <c r="Q85" s="13">
        <f>2*EO137*Q58*Distances!Q80*3</f>
        <v>10557.375</v>
      </c>
      <c r="R85" s="13" t="s">
        <v>62</v>
      </c>
      <c r="S85" s="13">
        <f>2*EQ137*S58*Distances!S80*3</f>
        <v>8083.125</v>
      </c>
      <c r="T85" s="13">
        <f>2*ER137*T58*Distances!T80*3</f>
        <v>892.44749999999999</v>
      </c>
      <c r="U85" s="13">
        <f>2*ES137*U58*Distances!U80*3.13</f>
        <v>699.86017500000003</v>
      </c>
      <c r="V85" s="13" t="s">
        <v>62</v>
      </c>
      <c r="W85" s="13">
        <f>2*EU137*W58*Distances!W80*3</f>
        <v>11598.840000000002</v>
      </c>
      <c r="X85" s="13">
        <f>2*EV137*X58*Distances!X80*3</f>
        <v>11153.400000000001</v>
      </c>
      <c r="Y85" s="13">
        <f>2*EW137*Y58*Distances!Y80*3</f>
        <v>10213.800000000001</v>
      </c>
      <c r="Z85" s="13">
        <f>2*EX137*Z58*Distances!Z80*3</f>
        <v>355.755</v>
      </c>
      <c r="AA85" s="13">
        <f>2*EY137*AA58*Distances!AA80*3</f>
        <v>271.03500000000003</v>
      </c>
      <c r="AB85" s="12">
        <f>2*EZ137*AB58*Distances!AB80*3</f>
        <v>0</v>
      </c>
      <c r="AC85" s="13">
        <f>2*FA137*AC58*Distances!AC80*3.59</f>
        <v>108.72315</v>
      </c>
      <c r="AD85" s="13">
        <f>2*FB137*AD58*Distances!AD80*3</f>
        <v>441.72</v>
      </c>
      <c r="AE85" s="13" t="s">
        <v>62</v>
      </c>
      <c r="AF85" s="13">
        <f>2*FD137*AF58*Distances!AF80*3</f>
        <v>741.33</v>
      </c>
      <c r="AG85" s="13" t="s">
        <v>62</v>
      </c>
      <c r="AH85" s="14" t="s">
        <v>62</v>
      </c>
      <c r="AI85" s="14" t="s">
        <v>62</v>
      </c>
      <c r="AJ85" s="14" t="s">
        <v>62</v>
      </c>
      <c r="AK85" s="14" t="s">
        <v>62</v>
      </c>
      <c r="AL85" s="14" t="s">
        <v>62</v>
      </c>
      <c r="AM85" s="14" t="s">
        <v>62</v>
      </c>
      <c r="AN85" s="14" t="s">
        <v>62</v>
      </c>
      <c r="AO85" s="14" t="s">
        <v>62</v>
      </c>
      <c r="AP85" s="14" t="s">
        <v>62</v>
      </c>
      <c r="AQ85" s="14" t="s">
        <v>62</v>
      </c>
      <c r="AR85" s="14" t="s">
        <v>62</v>
      </c>
      <c r="AS85" s="14" t="s">
        <v>62</v>
      </c>
      <c r="AT85" s="14" t="s">
        <v>62</v>
      </c>
      <c r="AU85" s="14" t="s">
        <v>62</v>
      </c>
      <c r="AV85" s="14" t="s">
        <v>62</v>
      </c>
      <c r="AW85" s="14" t="s">
        <v>62</v>
      </c>
      <c r="AX85" s="14" t="s">
        <v>62</v>
      </c>
      <c r="AY85" s="14" t="s">
        <v>62</v>
      </c>
      <c r="AZ85" s="14" t="s">
        <v>62</v>
      </c>
      <c r="BA85" s="14" t="s">
        <v>62</v>
      </c>
      <c r="BB85" s="13">
        <f>2*FZ137*BB58*Distances!BB80*3</f>
        <v>1139.2800000000002</v>
      </c>
      <c r="BC85" s="14" t="s">
        <v>62</v>
      </c>
      <c r="BD85" s="14" t="s">
        <v>62</v>
      </c>
      <c r="BE85" s="14" t="s">
        <v>62</v>
      </c>
      <c r="BF85" s="13">
        <f>2*GD137*BF58*Distances!BF80*3</f>
        <v>1172.82</v>
      </c>
      <c r="BG85" s="13" t="s">
        <v>62</v>
      </c>
      <c r="BH85" s="14" t="s">
        <v>62</v>
      </c>
      <c r="BI85" s="14" t="s">
        <v>62</v>
      </c>
      <c r="BJ85" s="15" t="s">
        <v>62</v>
      </c>
    </row>
    <row r="86" spans="1:62" x14ac:dyDescent="0.3">
      <c r="A86" s="35" t="s">
        <v>65</v>
      </c>
      <c r="B86" s="16" t="s">
        <v>62</v>
      </c>
      <c r="C86" s="14" t="s">
        <v>62</v>
      </c>
      <c r="D86" s="14" t="s">
        <v>62</v>
      </c>
      <c r="E86" s="14" t="s">
        <v>62</v>
      </c>
      <c r="F86" s="14" t="s">
        <v>62</v>
      </c>
      <c r="G86" s="14" t="s">
        <v>62</v>
      </c>
      <c r="H86" s="14" t="s">
        <v>62</v>
      </c>
      <c r="I86" s="14" t="s">
        <v>62</v>
      </c>
      <c r="J86" s="14" t="s">
        <v>62</v>
      </c>
      <c r="K86" s="14" t="s">
        <v>62</v>
      </c>
      <c r="L86" s="14" t="s">
        <v>62</v>
      </c>
      <c r="M86" s="14" t="s">
        <v>62</v>
      </c>
      <c r="N86" s="14" t="s">
        <v>62</v>
      </c>
      <c r="O86" s="14" t="s">
        <v>62</v>
      </c>
      <c r="P86" s="14" t="s">
        <v>62</v>
      </c>
      <c r="Q86" s="13">
        <f>2*EO138*Q58*Distances!Q81*3</f>
        <v>8112</v>
      </c>
      <c r="R86" s="13" t="s">
        <v>62</v>
      </c>
      <c r="S86" s="13">
        <f>2*EQ138*S58*Distances!S81*3</f>
        <v>5757.3750000000009</v>
      </c>
      <c r="T86" s="13">
        <f>2*ER138*T58*Distances!T81*3.22</f>
        <v>608.41095000000007</v>
      </c>
      <c r="U86" s="13">
        <f>2*ES138*U58*Distances!U81*3.53</f>
        <v>406.17062500000003</v>
      </c>
      <c r="V86" s="13" t="s">
        <v>62</v>
      </c>
      <c r="W86" s="13">
        <f>2*EU138*W58*Distances!W81*3</f>
        <v>8900.9700000000012</v>
      </c>
      <c r="X86" s="13">
        <f>2*EV138*X58*Distances!X81*3</f>
        <v>8455.5300000000007</v>
      </c>
      <c r="Y86" s="13">
        <f>2*EW138*Y58*Distances!Y81*3</f>
        <v>7515.9300000000012</v>
      </c>
      <c r="Z86" s="13">
        <f>2*EX138*Z58*Distances!Z81*3</f>
        <v>262.72500000000002</v>
      </c>
      <c r="AA86" s="13">
        <f>2*EY138*AA58*Distances!AA81*3.17</f>
        <v>188.09195000000003</v>
      </c>
      <c r="AB86" s="13">
        <f>2*EZ138*AB58*Distances!AB81*3.59</f>
        <v>108.72315</v>
      </c>
      <c r="AC86" s="12">
        <f>2*FA138*AC58*Distances!AC81*3</f>
        <v>0</v>
      </c>
      <c r="AD86" s="13">
        <f>2*FB138*AD58*Distances!AD81*3</f>
        <v>354.42000000000013</v>
      </c>
      <c r="AE86" s="13">
        <f>2*FC138*AE58*Distances!AE81*3</f>
        <v>378.82500000000005</v>
      </c>
      <c r="AF86" s="13">
        <f>2*FD138*AF58*Distances!AF81*3</f>
        <v>592.83000000000004</v>
      </c>
      <c r="AG86" s="13">
        <f>2*FE138*AG58*Distances!AG81*3</f>
        <v>588.81000000000006</v>
      </c>
      <c r="AH86" s="14" t="s">
        <v>62</v>
      </c>
      <c r="AI86" s="14" t="s">
        <v>62</v>
      </c>
      <c r="AJ86" s="14" t="s">
        <v>62</v>
      </c>
      <c r="AK86" s="14" t="s">
        <v>62</v>
      </c>
      <c r="AL86" s="14" t="s">
        <v>62</v>
      </c>
      <c r="AM86" s="14" t="s">
        <v>62</v>
      </c>
      <c r="AN86" s="14" t="s">
        <v>62</v>
      </c>
      <c r="AO86" s="14" t="s">
        <v>62</v>
      </c>
      <c r="AP86" s="14" t="s">
        <v>62</v>
      </c>
      <c r="AQ86" s="14" t="s">
        <v>62</v>
      </c>
      <c r="AR86" s="14" t="s">
        <v>62</v>
      </c>
      <c r="AS86" s="14" t="s">
        <v>62</v>
      </c>
      <c r="AT86" s="14" t="s">
        <v>62</v>
      </c>
      <c r="AU86" s="14" t="s">
        <v>62</v>
      </c>
      <c r="AV86" s="14" t="s">
        <v>62</v>
      </c>
      <c r="AW86" s="14" t="s">
        <v>62</v>
      </c>
      <c r="AX86" s="14" t="s">
        <v>62</v>
      </c>
      <c r="AY86" s="14" t="s">
        <v>62</v>
      </c>
      <c r="AZ86" s="14" t="s">
        <v>62</v>
      </c>
      <c r="BA86" s="14" t="s">
        <v>62</v>
      </c>
      <c r="BB86" s="13">
        <f>2*FZ138*BB58*Distances!BB81*3</f>
        <v>953.22</v>
      </c>
      <c r="BC86" s="14" t="s">
        <v>62</v>
      </c>
      <c r="BD86" s="14" t="s">
        <v>62</v>
      </c>
      <c r="BE86" s="14" t="s">
        <v>62</v>
      </c>
      <c r="BF86" s="13">
        <f>2*GD138*BF58*Distances!BF81*3</f>
        <v>986.76</v>
      </c>
      <c r="BG86" s="13">
        <f>2*GE138*BG58*Distances!BG81*3</f>
        <v>851.7</v>
      </c>
      <c r="BH86" s="14" t="s">
        <v>62</v>
      </c>
      <c r="BI86" s="14" t="s">
        <v>62</v>
      </c>
      <c r="BJ86" s="15" t="s">
        <v>62</v>
      </c>
    </row>
    <row r="87" spans="1:62" x14ac:dyDescent="0.3">
      <c r="A87" s="35" t="s">
        <v>29</v>
      </c>
      <c r="B87" s="16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14" t="s">
        <v>62</v>
      </c>
      <c r="I87" s="14" t="s">
        <v>62</v>
      </c>
      <c r="J87" s="14" t="s">
        <v>62</v>
      </c>
      <c r="K87" s="14" t="s">
        <v>62</v>
      </c>
      <c r="L87" s="14" t="s">
        <v>62</v>
      </c>
      <c r="M87" s="14" t="s">
        <v>62</v>
      </c>
      <c r="N87" s="14" t="s">
        <v>62</v>
      </c>
      <c r="O87" s="14" t="s">
        <v>62</v>
      </c>
      <c r="P87" s="14" t="s">
        <v>62</v>
      </c>
      <c r="Q87" s="13">
        <f>2*EO139*Q58*Distances!Q82*3</f>
        <v>7137</v>
      </c>
      <c r="R87" s="13" t="s">
        <v>62</v>
      </c>
      <c r="S87" s="13">
        <f>2*EQ139*S58*Distances!S82*3</f>
        <v>5719.5</v>
      </c>
      <c r="T87" s="13">
        <f>2*ER139*T58*Distances!T82*3.13</f>
        <v>663.76345000000015</v>
      </c>
      <c r="U87" s="13">
        <f>2*ES139*U58*Distances!U82*3.1</f>
        <v>758.36075000000017</v>
      </c>
      <c r="V87" s="13">
        <f>2*ET139*V58*Distances!V82*3.42</f>
        <v>3871.9872</v>
      </c>
      <c r="W87" s="13">
        <f>2*EU139*W58*Distances!W82*4.03</f>
        <v>2460.6978500000005</v>
      </c>
      <c r="X87" s="13">
        <f>2*EV139*X58*Distances!X82*6.94</f>
        <v>1363.5365000000002</v>
      </c>
      <c r="Y87" s="13">
        <f>2*EW139*Y58*Distances!Y82*3.84</f>
        <v>3318.5280000000007</v>
      </c>
      <c r="Z87" s="13">
        <f>2*EX139*Z58*Distances!Z82*3</f>
        <v>252.34500000000003</v>
      </c>
      <c r="AA87" s="13">
        <f>2*EY139*AA58*Distances!AA82*3</f>
        <v>210.16500000000002</v>
      </c>
      <c r="AB87" s="13">
        <f>2*EZ139*AB58*Distances!AB82*3</f>
        <v>441.72</v>
      </c>
      <c r="AC87" s="13">
        <f>2*FA139*AC58*Distances!AC82*3</f>
        <v>354.42000000000013</v>
      </c>
      <c r="AD87" s="12">
        <f>2*FB139*AD58*Distances!AD82*3</f>
        <v>0</v>
      </c>
      <c r="AE87" s="13">
        <f>2*FC139*AE58*Distances!AE82*3.59</f>
        <v>114.14405000000001</v>
      </c>
      <c r="AF87" s="13">
        <f>2*FD139*AF58*Distances!AF82*3.76</f>
        <v>188.67679999999999</v>
      </c>
      <c r="AG87" s="13">
        <f>2*FE139*AG58*Distances!AG82*3.34</f>
        <v>299.03020000000004</v>
      </c>
      <c r="AH87" s="14" t="s">
        <v>62</v>
      </c>
      <c r="AI87" s="14" t="s">
        <v>62</v>
      </c>
      <c r="AJ87" s="14" t="s">
        <v>62</v>
      </c>
      <c r="AK87" s="14" t="s">
        <v>62</v>
      </c>
      <c r="AL87" s="14" t="s">
        <v>62</v>
      </c>
      <c r="AM87" s="14" t="s">
        <v>62</v>
      </c>
      <c r="AN87" s="14" t="s">
        <v>62</v>
      </c>
      <c r="AO87" s="14" t="s">
        <v>62</v>
      </c>
      <c r="AP87" s="14" t="s">
        <v>62</v>
      </c>
      <c r="AQ87" s="14" t="s">
        <v>62</v>
      </c>
      <c r="AR87" s="14" t="s">
        <v>62</v>
      </c>
      <c r="AS87" s="14" t="s">
        <v>62</v>
      </c>
      <c r="AT87" s="14" t="s">
        <v>62</v>
      </c>
      <c r="AU87" s="14" t="s">
        <v>62</v>
      </c>
      <c r="AV87" s="14">
        <f>2*FT139*AV58*Distances!AV82*3</f>
        <v>427.3235294117647</v>
      </c>
      <c r="AW87" s="14">
        <f>2*FU139*AW58*Distances!AW82*3</f>
        <v>934.86857142857139</v>
      </c>
      <c r="AX87" s="14">
        <f>2*FV139*AX58*Distances!AX82*3</f>
        <v>1436.6228571428569</v>
      </c>
      <c r="AY87" s="14" t="s">
        <v>62</v>
      </c>
      <c r="AZ87" s="14" t="s">
        <v>62</v>
      </c>
      <c r="BA87" s="14" t="s">
        <v>62</v>
      </c>
      <c r="BB87" s="13" t="s">
        <v>62</v>
      </c>
      <c r="BC87" s="14" t="s">
        <v>62</v>
      </c>
      <c r="BD87" s="14" t="s">
        <v>62</v>
      </c>
      <c r="BE87" s="14" t="s">
        <v>62</v>
      </c>
      <c r="BF87" s="13">
        <f>2*GD139*BF58*Distances!BF82*3.1</f>
        <v>428.11</v>
      </c>
      <c r="BG87" s="13" t="s">
        <v>62</v>
      </c>
      <c r="BH87" s="14" t="s">
        <v>62</v>
      </c>
      <c r="BI87" s="14" t="s">
        <v>62</v>
      </c>
      <c r="BJ87" s="15" t="s">
        <v>62</v>
      </c>
    </row>
    <row r="88" spans="1:62" x14ac:dyDescent="0.3">
      <c r="A88" s="35" t="s">
        <v>30</v>
      </c>
      <c r="B88" s="16" t="s">
        <v>62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14" t="s">
        <v>62</v>
      </c>
      <c r="I88" s="14" t="s">
        <v>62</v>
      </c>
      <c r="J88" s="14" t="s">
        <v>62</v>
      </c>
      <c r="K88" s="14" t="s">
        <v>62</v>
      </c>
      <c r="L88" s="14" t="s">
        <v>62</v>
      </c>
      <c r="M88" s="14" t="s">
        <v>62</v>
      </c>
      <c r="N88" s="14" t="s">
        <v>62</v>
      </c>
      <c r="O88" s="14" t="s">
        <v>62</v>
      </c>
      <c r="P88" s="14" t="s">
        <v>62</v>
      </c>
      <c r="Q88" s="13">
        <f>2*EO140*Q58*Distances!Q83*3</f>
        <v>8917.1249999999982</v>
      </c>
      <c r="R88" s="13" t="s">
        <v>62</v>
      </c>
      <c r="S88" s="13">
        <f>2*EQ140*S58*Distances!S83*3</f>
        <v>6861.375</v>
      </c>
      <c r="T88" s="13">
        <f>2*ER140*T58*Distances!T83*3</f>
        <v>947.20500000000004</v>
      </c>
      <c r="U88" s="13">
        <f>2*ES140*U58*Distances!U83*3</f>
        <v>983.06250000000023</v>
      </c>
      <c r="V88" s="13">
        <f>2*ET140*V58*Distances!V83*3.34</f>
        <v>4315.5973000000004</v>
      </c>
      <c r="W88" s="13">
        <f>2*EU140*W58*Distances!W83*3.34</f>
        <v>4337.8751000000011</v>
      </c>
      <c r="X88" s="13">
        <f>2*EV140*X58*Distances!X83*3.59</f>
        <v>3178.9988500000009</v>
      </c>
      <c r="Y88" s="13">
        <f>2*EW140*Y58*Distances!Y83*3.22</f>
        <v>4999.0983000000015</v>
      </c>
      <c r="Z88" s="13">
        <f>2*EX140*Z58*Distances!Z83*3</f>
        <v>230.38499999999999</v>
      </c>
      <c r="AA88" s="13">
        <f>2*EY140*AA58*Distances!AA83*3.1</f>
        <v>209.62200000000001</v>
      </c>
      <c r="AB88" s="13" t="s">
        <v>62</v>
      </c>
      <c r="AC88" s="13">
        <f>2*FA140*AC58*Distances!AC83*3</f>
        <v>378.82500000000005</v>
      </c>
      <c r="AD88" s="13">
        <f>2*FB140*AD58*Distances!AD83*3.59</f>
        <v>114.14405000000001</v>
      </c>
      <c r="AE88" s="12">
        <f>2*FC140*AE58*Distances!AE83*3</f>
        <v>0</v>
      </c>
      <c r="AF88" s="13">
        <f>2*FD140*AF58*Distances!AF83*3.76</f>
        <v>194.54239999999999</v>
      </c>
      <c r="AG88" s="13">
        <f>2*FE140*AG58*Distances!AG83*4.03</f>
        <v>172.92730000000003</v>
      </c>
      <c r="AH88" s="14" t="s">
        <v>62</v>
      </c>
      <c r="AI88" s="14" t="s">
        <v>62</v>
      </c>
      <c r="AJ88" s="14" t="s">
        <v>62</v>
      </c>
      <c r="AK88" s="14" t="s">
        <v>62</v>
      </c>
      <c r="AL88" s="14" t="s">
        <v>62</v>
      </c>
      <c r="AM88" s="14" t="s">
        <v>62</v>
      </c>
      <c r="AN88" s="14" t="s">
        <v>62</v>
      </c>
      <c r="AO88" s="14" t="s">
        <v>62</v>
      </c>
      <c r="AP88" s="14" t="s">
        <v>62</v>
      </c>
      <c r="AQ88" s="14" t="s">
        <v>62</v>
      </c>
      <c r="AR88" s="14" t="s">
        <v>62</v>
      </c>
      <c r="AS88" s="14" t="s">
        <v>62</v>
      </c>
      <c r="AT88" s="14" t="s">
        <v>62</v>
      </c>
      <c r="AU88" s="14" t="s">
        <v>62</v>
      </c>
      <c r="AV88" s="12">
        <f>2*FT140*AV58*Distances!AV83*3</f>
        <v>40611.600000000006</v>
      </c>
      <c r="AW88" s="14">
        <f>2*FU140*AW58*Distances!AW83*3</f>
        <v>1084.4571428571428</v>
      </c>
      <c r="AX88" s="14">
        <f>2*FV140*AX58*Distances!AX83*3</f>
        <v>1852.0457142857142</v>
      </c>
      <c r="AY88" s="14" t="s">
        <v>62</v>
      </c>
      <c r="AZ88" s="14" t="s">
        <v>62</v>
      </c>
      <c r="BA88" s="14" t="s">
        <v>62</v>
      </c>
      <c r="BB88" s="13">
        <f>2*FZ140*BB58*Distances!BB83*3</f>
        <v>517.98</v>
      </c>
      <c r="BC88" s="14" t="s">
        <v>62</v>
      </c>
      <c r="BD88" s="14" t="s">
        <v>62</v>
      </c>
      <c r="BE88" s="14" t="s">
        <v>62</v>
      </c>
      <c r="BF88" s="12">
        <f>2*GD140*BF58*Distances!BF83*3.3</f>
        <v>14382.719999999998</v>
      </c>
      <c r="BG88" s="13" t="s">
        <v>62</v>
      </c>
      <c r="BH88" s="14" t="s">
        <v>62</v>
      </c>
      <c r="BI88" s="14" t="s">
        <v>62</v>
      </c>
      <c r="BJ88" s="15" t="s">
        <v>62</v>
      </c>
    </row>
    <row r="89" spans="1:62" x14ac:dyDescent="0.3">
      <c r="A89" s="35" t="s">
        <v>31</v>
      </c>
      <c r="B89" s="16" t="s">
        <v>62</v>
      </c>
      <c r="C89" s="14" t="s">
        <v>62</v>
      </c>
      <c r="D89" s="14" t="s">
        <v>62</v>
      </c>
      <c r="E89" s="14" t="s">
        <v>62</v>
      </c>
      <c r="F89" s="14" t="s">
        <v>62</v>
      </c>
      <c r="G89" s="14" t="s">
        <v>62</v>
      </c>
      <c r="H89" s="14" t="s">
        <v>62</v>
      </c>
      <c r="I89" s="14" t="s">
        <v>62</v>
      </c>
      <c r="J89" s="14" t="s">
        <v>62</v>
      </c>
      <c r="K89" s="14" t="s">
        <v>62</v>
      </c>
      <c r="L89" s="14" t="s">
        <v>62</v>
      </c>
      <c r="M89" s="14" t="s">
        <v>62</v>
      </c>
      <c r="N89" s="14" t="s">
        <v>62</v>
      </c>
      <c r="O89" s="14" t="s">
        <v>62</v>
      </c>
      <c r="P89" s="14" t="s">
        <v>62</v>
      </c>
      <c r="Q89" s="13">
        <f>2*EO141*Q58*Distances!Q84*3</f>
        <v>7079.625</v>
      </c>
      <c r="R89" s="13" t="s">
        <v>62</v>
      </c>
      <c r="S89" s="13">
        <f>2*EQ141*S58*Distances!S84*3.1</f>
        <v>5191.3375000000005</v>
      </c>
      <c r="T89" s="13">
        <f>2*ER141*T58*Distances!T84*3.17</f>
        <v>634.68947500000002</v>
      </c>
      <c r="U89" s="13">
        <f>2*ES141*U58*Distances!U84*3.1</f>
        <v>715.34050000000002</v>
      </c>
      <c r="V89" s="13">
        <f>2*ET141*V58*Distances!V84*4.17</f>
        <v>2405.9023500000003</v>
      </c>
      <c r="W89" s="13">
        <f>2*EU141*W58*Distances!W84*3.53</f>
        <v>3349.5464000000002</v>
      </c>
      <c r="X89" s="13">
        <f>2*EV141*X58*Distances!X84*4.24</f>
        <v>2248.3236000000006</v>
      </c>
      <c r="Y89" s="13">
        <f>2*EW141*Y58*Distances!Y84*3.38</f>
        <v>4046.2656000000002</v>
      </c>
      <c r="Z89" s="13">
        <f>2*EX141*Z58*Distances!Z84*3</f>
        <v>223.72500000000002</v>
      </c>
      <c r="AA89" s="13">
        <f>2*EY141*AA58*Distances!AA84*3.22</f>
        <v>164.5581</v>
      </c>
      <c r="AB89" s="13">
        <f>2*EZ141*AB58*Distances!AB84*3</f>
        <v>370.66500000000002</v>
      </c>
      <c r="AC89" s="13">
        <f>2*FA141*AC58*Distances!AC84*3</f>
        <v>296.41500000000002</v>
      </c>
      <c r="AD89" s="13">
        <f>2*FB141*AD58*Distances!AD84*3.76</f>
        <v>94.338399999999993</v>
      </c>
      <c r="AE89" s="13">
        <f>2*FC141*AE58*Distances!AE84*3.76</f>
        <v>97.271199999999993</v>
      </c>
      <c r="AF89" s="12">
        <f>2*FD141*AF58*Distances!AF84*3</f>
        <v>0</v>
      </c>
      <c r="AG89" s="13">
        <f>2*FE141*AG58*Distances!AG84*4.17</f>
        <v>164.29800000000003</v>
      </c>
      <c r="AH89" s="14" t="s">
        <v>62</v>
      </c>
      <c r="AI89" s="14" t="s">
        <v>62</v>
      </c>
      <c r="AJ89" s="14" t="s">
        <v>62</v>
      </c>
      <c r="AK89" s="14" t="s">
        <v>62</v>
      </c>
      <c r="AL89" s="14" t="s">
        <v>62</v>
      </c>
      <c r="AM89" s="14" t="s">
        <v>62</v>
      </c>
      <c r="AN89" s="14" t="s">
        <v>62</v>
      </c>
      <c r="AO89" s="14" t="s">
        <v>62</v>
      </c>
      <c r="AP89" s="14" t="s">
        <v>62</v>
      </c>
      <c r="AQ89" s="14" t="s">
        <v>62</v>
      </c>
      <c r="AR89" s="14" t="s">
        <v>62</v>
      </c>
      <c r="AS89" s="14" t="s">
        <v>62</v>
      </c>
      <c r="AT89" s="14" t="s">
        <v>62</v>
      </c>
      <c r="AU89" s="14" t="s">
        <v>62</v>
      </c>
      <c r="AV89" s="14">
        <f>2*FT141*AV58*Distances!AV84*3</f>
        <v>338.1</v>
      </c>
      <c r="AW89" s="14">
        <f>2*FU141*AW58*Distances!AW84*3</f>
        <v>971.72571428571439</v>
      </c>
      <c r="AX89" s="14">
        <f>2*FV141*AX58*Distances!AX84*3</f>
        <v>1739.3142857142855</v>
      </c>
      <c r="AY89" s="14" t="s">
        <v>62</v>
      </c>
      <c r="AZ89" s="14" t="s">
        <v>62</v>
      </c>
      <c r="BA89" s="14" t="s">
        <v>62</v>
      </c>
      <c r="BB89" s="13">
        <f>2*FZ141*BB58*Distances!BB84*3</f>
        <v>444.48000000000008</v>
      </c>
      <c r="BC89" s="14" t="s">
        <v>62</v>
      </c>
      <c r="BD89" s="14" t="s">
        <v>62</v>
      </c>
      <c r="BE89" s="14" t="s">
        <v>62</v>
      </c>
      <c r="BF89" s="13">
        <f>2*GD141*BF58*Distances!BF84*3</f>
        <v>461.82000000000005</v>
      </c>
      <c r="BG89" s="13" t="s">
        <v>62</v>
      </c>
      <c r="BH89" s="14" t="s">
        <v>62</v>
      </c>
      <c r="BI89" s="14" t="s">
        <v>62</v>
      </c>
      <c r="BJ89" s="15" t="s">
        <v>62</v>
      </c>
    </row>
    <row r="90" spans="1:62" x14ac:dyDescent="0.3">
      <c r="A90" s="35" t="s">
        <v>32</v>
      </c>
      <c r="B90" s="16" t="s">
        <v>62</v>
      </c>
      <c r="C90" s="14" t="s">
        <v>62</v>
      </c>
      <c r="D90" s="14" t="s">
        <v>62</v>
      </c>
      <c r="E90" s="14" t="s">
        <v>62</v>
      </c>
      <c r="F90" s="14" t="s">
        <v>62</v>
      </c>
      <c r="G90" s="14" t="s">
        <v>62</v>
      </c>
      <c r="H90" s="14" t="s">
        <v>62</v>
      </c>
      <c r="I90" s="14" t="s">
        <v>62</v>
      </c>
      <c r="J90" s="14" t="s">
        <v>62</v>
      </c>
      <c r="K90" s="14" t="s">
        <v>62</v>
      </c>
      <c r="L90" s="14" t="s">
        <v>62</v>
      </c>
      <c r="M90" s="14" t="s">
        <v>62</v>
      </c>
      <c r="N90" s="14" t="s">
        <v>62</v>
      </c>
      <c r="O90" s="14" t="s">
        <v>62</v>
      </c>
      <c r="P90" s="14" t="s">
        <v>62</v>
      </c>
      <c r="Q90" s="13">
        <f>2*EO142*Q58*Distances!Q85*3</f>
        <v>8228.2500000000018</v>
      </c>
      <c r="R90" s="13" t="s">
        <v>62</v>
      </c>
      <c r="S90" s="13">
        <f>2*EQ142*S58*Distances!S85*3</f>
        <v>6172.5</v>
      </c>
      <c r="T90" s="13">
        <f>2*ER142*T58*Distances!T85*3.1</f>
        <v>735.19600000000014</v>
      </c>
      <c r="U90" s="13">
        <f>2*ES142*U58*Distances!U85*3.1</f>
        <v>712.95350000000019</v>
      </c>
      <c r="V90" s="13">
        <f>2*ET142*V58*Distances!V85*3.76</f>
        <v>2838.8564000000006</v>
      </c>
      <c r="W90" s="13">
        <f>2*EU142*W58*Distances!W85*3.22</f>
        <v>4874.902900000001</v>
      </c>
      <c r="X90" s="13">
        <f>2*EV142*X58*Distances!X85*3.42</f>
        <v>3764.8728000000006</v>
      </c>
      <c r="Y90" s="13">
        <f>2*EW142*Y58*Distances!Y85*3.17</f>
        <v>5194.5046500000017</v>
      </c>
      <c r="Z90" s="13">
        <f>2*EX142*Z58*Distances!Z85*3.17</f>
        <v>184.73175000000001</v>
      </c>
      <c r="AA90" s="13">
        <f>2*EY142*AA58*Distances!AA85*3.27</f>
        <v>160.55700000000002</v>
      </c>
      <c r="AB90" s="13" t="s">
        <v>62</v>
      </c>
      <c r="AC90" s="13">
        <f>2*FA142*AC58*Distances!AC85*3</f>
        <v>294.40500000000003</v>
      </c>
      <c r="AD90" s="13">
        <f>2*FB142*AD58*Distances!AD85*3.34</f>
        <v>149.51510000000002</v>
      </c>
      <c r="AE90" s="13">
        <f>2*FC142*AE58*Distances!AE85*4.03</f>
        <v>86.463650000000015</v>
      </c>
      <c r="AF90" s="13">
        <f>2*FD142*AF58*Distances!AF85*4.17</f>
        <v>164.29800000000003</v>
      </c>
      <c r="AG90" s="12">
        <f>2*FE142*AG58*Distances!AG85*3</f>
        <v>0</v>
      </c>
      <c r="AH90" s="14" t="s">
        <v>62</v>
      </c>
      <c r="AI90" s="14" t="s">
        <v>62</v>
      </c>
      <c r="AJ90" s="14" t="s">
        <v>62</v>
      </c>
      <c r="AK90" s="14" t="s">
        <v>62</v>
      </c>
      <c r="AL90" s="14" t="s">
        <v>62</v>
      </c>
      <c r="AM90" s="14" t="s">
        <v>62</v>
      </c>
      <c r="AN90" s="14" t="s">
        <v>62</v>
      </c>
      <c r="AO90" s="14" t="s">
        <v>62</v>
      </c>
      <c r="AP90" s="14" t="s">
        <v>62</v>
      </c>
      <c r="AQ90" s="14" t="s">
        <v>62</v>
      </c>
      <c r="AR90" s="14" t="s">
        <v>62</v>
      </c>
      <c r="AS90" s="14" t="s">
        <v>62</v>
      </c>
      <c r="AT90" s="14" t="s">
        <v>62</v>
      </c>
      <c r="AU90" s="14" t="s">
        <v>62</v>
      </c>
      <c r="AV90" s="14">
        <f>2*FT142*AV58*Distances!AV85*3</f>
        <v>407.62941176470588</v>
      </c>
      <c r="AW90" s="14">
        <f>2*FU142*AW58*Distances!AW85*3</f>
        <v>938.33142857142843</v>
      </c>
      <c r="AX90" s="14">
        <f>2*FV142*AX58*Distances!AX85*3</f>
        <v>1358.4685714285713</v>
      </c>
      <c r="AY90" s="14" t="s">
        <v>62</v>
      </c>
      <c r="AZ90" s="14" t="s">
        <v>62</v>
      </c>
      <c r="BA90" s="14" t="s">
        <v>62</v>
      </c>
      <c r="BB90" s="13">
        <f>2*FZ142*BB58*Distances!BB85*3</f>
        <v>652.8900000000001</v>
      </c>
      <c r="BC90" s="14" t="s">
        <v>62</v>
      </c>
      <c r="BD90" s="14" t="s">
        <v>62</v>
      </c>
      <c r="BE90" s="14" t="s">
        <v>62</v>
      </c>
      <c r="BF90" s="13">
        <f>2*GD142*BF58*Distances!BF85*3</f>
        <v>428.90999999999997</v>
      </c>
      <c r="BG90" s="12" t="s">
        <v>62</v>
      </c>
      <c r="BH90" s="14" t="s">
        <v>62</v>
      </c>
      <c r="BI90" s="14" t="s">
        <v>62</v>
      </c>
      <c r="BJ90" s="15" t="s">
        <v>62</v>
      </c>
    </row>
    <row r="91" spans="1:62" x14ac:dyDescent="0.3">
      <c r="A91" s="35" t="s">
        <v>33</v>
      </c>
      <c r="B91" s="16" t="s">
        <v>62</v>
      </c>
      <c r="C91" s="14" t="s">
        <v>62</v>
      </c>
      <c r="D91" s="14" t="s">
        <v>62</v>
      </c>
      <c r="E91" s="14" t="s">
        <v>62</v>
      </c>
      <c r="F91" s="14" t="s">
        <v>62</v>
      </c>
      <c r="G91" s="14" t="s">
        <v>62</v>
      </c>
      <c r="H91" s="14" t="s">
        <v>62</v>
      </c>
      <c r="I91" s="14" t="s">
        <v>62</v>
      </c>
      <c r="J91" s="14" t="s">
        <v>62</v>
      </c>
      <c r="K91" s="14" t="s">
        <v>62</v>
      </c>
      <c r="L91" s="14" t="s">
        <v>62</v>
      </c>
      <c r="M91" s="14" t="s">
        <v>62</v>
      </c>
      <c r="N91" s="14" t="s">
        <v>62</v>
      </c>
      <c r="O91" s="14" t="s">
        <v>62</v>
      </c>
      <c r="P91" s="14" t="s">
        <v>62</v>
      </c>
      <c r="Q91" s="14" t="s">
        <v>62</v>
      </c>
      <c r="R91" s="14" t="s">
        <v>62</v>
      </c>
      <c r="S91" s="14" t="s">
        <v>62</v>
      </c>
      <c r="T91" s="14" t="s">
        <v>62</v>
      </c>
      <c r="U91" s="14" t="s">
        <v>62</v>
      </c>
      <c r="V91" s="14" t="s">
        <v>62</v>
      </c>
      <c r="W91" s="14" t="s">
        <v>62</v>
      </c>
      <c r="X91" s="14" t="s">
        <v>62</v>
      </c>
      <c r="Y91" s="14" t="s">
        <v>62</v>
      </c>
      <c r="Z91" s="14" t="s">
        <v>62</v>
      </c>
      <c r="AA91" s="14" t="s">
        <v>62</v>
      </c>
      <c r="AB91" s="14" t="s">
        <v>62</v>
      </c>
      <c r="AC91" s="14" t="s">
        <v>62</v>
      </c>
      <c r="AD91" s="14" t="s">
        <v>62</v>
      </c>
      <c r="AE91" s="14" t="s">
        <v>62</v>
      </c>
      <c r="AF91" s="14" t="s">
        <v>62</v>
      </c>
      <c r="AG91" s="14" t="s">
        <v>62</v>
      </c>
      <c r="AH91" s="12">
        <f>2*FF143*AH58*Distances!AH86*3</f>
        <v>0</v>
      </c>
      <c r="AI91" s="13">
        <f>2*FG143*AI58*Distances!AI86*3</f>
        <v>192.64000000000001</v>
      </c>
      <c r="AJ91" s="13">
        <f>2*FH143*AJ58*Distances!AJ86*3.22</f>
        <v>150.5528888888889</v>
      </c>
      <c r="AK91" s="13">
        <f>2*FI143*AK58*Distances!AK86*3</f>
        <v>290.97333333333336</v>
      </c>
      <c r="AL91" s="13" t="s">
        <v>62</v>
      </c>
      <c r="AM91" s="13" t="s">
        <v>62</v>
      </c>
      <c r="AN91" s="13" t="s">
        <v>62</v>
      </c>
      <c r="AO91" s="14" t="s">
        <v>62</v>
      </c>
      <c r="AP91" s="14" t="s">
        <v>62</v>
      </c>
      <c r="AQ91" s="14" t="s">
        <v>62</v>
      </c>
      <c r="AR91" s="13" t="s">
        <v>62</v>
      </c>
      <c r="AS91" s="13" t="s">
        <v>62</v>
      </c>
      <c r="AT91" s="13" t="s">
        <v>62</v>
      </c>
      <c r="AU91" s="13" t="s">
        <v>62</v>
      </c>
      <c r="AV91" s="13" t="s">
        <v>62</v>
      </c>
      <c r="AW91" s="12">
        <f>2*FU143*AW58*Distances!AW86*3</f>
        <v>104661</v>
      </c>
      <c r="AX91" s="13" t="s">
        <v>62</v>
      </c>
      <c r="AY91" s="14" t="s">
        <v>62</v>
      </c>
      <c r="AZ91" s="14" t="s">
        <v>62</v>
      </c>
      <c r="BA91" s="13" t="s">
        <v>62</v>
      </c>
      <c r="BB91" s="14" t="s">
        <v>62</v>
      </c>
      <c r="BC91" s="13" t="s">
        <v>62</v>
      </c>
      <c r="BD91" s="13">
        <f>2*GB143*BD58*Distances!BD86*3</f>
        <v>19253.760000000002</v>
      </c>
      <c r="BE91" s="13">
        <f>2*GC143*BE58*Distances!BE86*3</f>
        <v>21434.026666666665</v>
      </c>
      <c r="BF91" s="14" t="s">
        <v>62</v>
      </c>
      <c r="BG91" s="14" t="s">
        <v>62</v>
      </c>
      <c r="BH91" s="14" t="s">
        <v>62</v>
      </c>
      <c r="BI91" s="14" t="s">
        <v>62</v>
      </c>
      <c r="BJ91" s="15" t="s">
        <v>62</v>
      </c>
    </row>
    <row r="92" spans="1:62" x14ac:dyDescent="0.3">
      <c r="A92" s="35" t="s">
        <v>34</v>
      </c>
      <c r="B92" s="16" t="s">
        <v>62</v>
      </c>
      <c r="C92" s="14" t="s">
        <v>62</v>
      </c>
      <c r="D92" s="14" t="s">
        <v>62</v>
      </c>
      <c r="E92" s="14" t="s">
        <v>62</v>
      </c>
      <c r="F92" s="14" t="s">
        <v>62</v>
      </c>
      <c r="G92" s="14" t="s">
        <v>62</v>
      </c>
      <c r="H92" s="14" t="s">
        <v>62</v>
      </c>
      <c r="I92" s="14" t="s">
        <v>62</v>
      </c>
      <c r="J92" s="14" t="s">
        <v>62</v>
      </c>
      <c r="K92" s="14" t="s">
        <v>62</v>
      </c>
      <c r="L92" s="14" t="s">
        <v>62</v>
      </c>
      <c r="M92" s="14" t="s">
        <v>62</v>
      </c>
      <c r="N92" s="14" t="s">
        <v>62</v>
      </c>
      <c r="O92" s="14" t="s">
        <v>62</v>
      </c>
      <c r="P92" s="14" t="s">
        <v>62</v>
      </c>
      <c r="Q92" s="14" t="s">
        <v>62</v>
      </c>
      <c r="R92" s="14" t="s">
        <v>62</v>
      </c>
      <c r="S92" s="14" t="s">
        <v>62</v>
      </c>
      <c r="T92" s="14" t="s">
        <v>62</v>
      </c>
      <c r="U92" s="14" t="s">
        <v>62</v>
      </c>
      <c r="V92" s="14" t="s">
        <v>62</v>
      </c>
      <c r="W92" s="14" t="s">
        <v>62</v>
      </c>
      <c r="X92" s="14" t="s">
        <v>62</v>
      </c>
      <c r="Y92" s="14" t="s">
        <v>62</v>
      </c>
      <c r="Z92" s="14" t="s">
        <v>62</v>
      </c>
      <c r="AA92" s="14" t="s">
        <v>62</v>
      </c>
      <c r="AB92" s="14" t="s">
        <v>62</v>
      </c>
      <c r="AC92" s="14" t="s">
        <v>62</v>
      </c>
      <c r="AD92" s="14" t="s">
        <v>62</v>
      </c>
      <c r="AE92" s="14" t="s">
        <v>62</v>
      </c>
      <c r="AF92" s="14" t="s">
        <v>62</v>
      </c>
      <c r="AG92" s="14" t="s">
        <v>62</v>
      </c>
      <c r="AH92" s="13">
        <f>2*FF144*AH58*Distances!AH87*3</f>
        <v>192.64000000000001</v>
      </c>
      <c r="AI92" s="12">
        <f>2*FG144*AI58*Distances!AI87*3</f>
        <v>0</v>
      </c>
      <c r="AJ92" s="13">
        <f>2*FH144*AJ58*Distances!AJ87*3</f>
        <v>220.64</v>
      </c>
      <c r="AK92" s="13">
        <f>2*FI144*AK58*Distances!AK87*3</f>
        <v>221.62666666666669</v>
      </c>
      <c r="AL92" s="13" t="s">
        <v>62</v>
      </c>
      <c r="AM92" s="13" t="s">
        <v>62</v>
      </c>
      <c r="AN92" s="13" t="s">
        <v>62</v>
      </c>
      <c r="AO92" s="14" t="s">
        <v>62</v>
      </c>
      <c r="AP92" s="14" t="s">
        <v>62</v>
      </c>
      <c r="AQ92" s="14" t="s">
        <v>62</v>
      </c>
      <c r="AR92" s="13" t="s">
        <v>62</v>
      </c>
      <c r="AS92" s="13" t="s">
        <v>62</v>
      </c>
      <c r="AT92" s="13" t="s">
        <v>62</v>
      </c>
      <c r="AU92" s="12" t="s">
        <v>62</v>
      </c>
      <c r="AV92" s="13" t="s">
        <v>62</v>
      </c>
      <c r="AW92" s="13" t="s">
        <v>62</v>
      </c>
      <c r="AX92" s="12" t="s">
        <v>62</v>
      </c>
      <c r="AY92" s="14" t="s">
        <v>62</v>
      </c>
      <c r="AZ92" s="14" t="s">
        <v>62</v>
      </c>
      <c r="BA92" s="13" t="s">
        <v>62</v>
      </c>
      <c r="BB92" s="14" t="s">
        <v>62</v>
      </c>
      <c r="BC92" s="12" t="s">
        <v>62</v>
      </c>
      <c r="BD92" s="12">
        <f>2*GB144*BD58*Distances!BD87*3</f>
        <v>482296.32000000001</v>
      </c>
      <c r="BE92" s="12">
        <f>2*GC144*BE58*Distances!BE87*3</f>
        <v>541163.5199999999</v>
      </c>
      <c r="BF92" s="14" t="s">
        <v>62</v>
      </c>
      <c r="BG92" s="14" t="s">
        <v>62</v>
      </c>
      <c r="BH92" s="14" t="s">
        <v>62</v>
      </c>
      <c r="BI92" s="14" t="s">
        <v>62</v>
      </c>
      <c r="BJ92" s="15" t="s">
        <v>62</v>
      </c>
    </row>
    <row r="93" spans="1:62" x14ac:dyDescent="0.3">
      <c r="A93" s="35" t="s">
        <v>35</v>
      </c>
      <c r="B93" s="16" t="s">
        <v>62</v>
      </c>
      <c r="C93" s="14" t="s">
        <v>62</v>
      </c>
      <c r="D93" s="14" t="s">
        <v>62</v>
      </c>
      <c r="E93" s="14" t="s">
        <v>62</v>
      </c>
      <c r="F93" s="14" t="s">
        <v>62</v>
      </c>
      <c r="G93" s="14" t="s">
        <v>62</v>
      </c>
      <c r="H93" s="14" t="s">
        <v>62</v>
      </c>
      <c r="I93" s="14" t="s">
        <v>62</v>
      </c>
      <c r="J93" s="14" t="s">
        <v>62</v>
      </c>
      <c r="K93" s="14" t="s">
        <v>62</v>
      </c>
      <c r="L93" s="14" t="s">
        <v>62</v>
      </c>
      <c r="M93" s="14" t="s">
        <v>62</v>
      </c>
      <c r="N93" s="14" t="s">
        <v>62</v>
      </c>
      <c r="O93" s="14" t="s">
        <v>62</v>
      </c>
      <c r="P93" s="14" t="s">
        <v>62</v>
      </c>
      <c r="Q93" s="14" t="s">
        <v>62</v>
      </c>
      <c r="R93" s="14" t="s">
        <v>62</v>
      </c>
      <c r="S93" s="14" t="s">
        <v>62</v>
      </c>
      <c r="T93" s="14" t="s">
        <v>62</v>
      </c>
      <c r="U93" s="14" t="s">
        <v>62</v>
      </c>
      <c r="V93" s="14" t="s">
        <v>62</v>
      </c>
      <c r="W93" s="14" t="s">
        <v>62</v>
      </c>
      <c r="X93" s="14" t="s">
        <v>62</v>
      </c>
      <c r="Y93" s="14" t="s">
        <v>62</v>
      </c>
      <c r="Z93" s="14" t="s">
        <v>62</v>
      </c>
      <c r="AA93" s="14" t="s">
        <v>62</v>
      </c>
      <c r="AB93" s="14" t="s">
        <v>62</v>
      </c>
      <c r="AC93" s="14" t="s">
        <v>62</v>
      </c>
      <c r="AD93" s="14" t="s">
        <v>62</v>
      </c>
      <c r="AE93" s="14" t="s">
        <v>62</v>
      </c>
      <c r="AF93" s="14" t="s">
        <v>62</v>
      </c>
      <c r="AG93" s="14" t="s">
        <v>62</v>
      </c>
      <c r="AH93" s="13">
        <f>2*FF145*AH58*Distances!AH88*3.22</f>
        <v>150.5528888888889</v>
      </c>
      <c r="AI93" s="13">
        <f>2*FG145*AI58*Distances!AI88*3</f>
        <v>220.64</v>
      </c>
      <c r="AJ93" s="12">
        <f>2*FH145*AJ58*Distances!AJ88*3</f>
        <v>0</v>
      </c>
      <c r="AK93" s="13">
        <f>2*FI145*AK58*Distances!AK88*3.1</f>
        <v>189.21022222222226</v>
      </c>
      <c r="AL93" s="13" t="s">
        <v>62</v>
      </c>
      <c r="AM93" s="13" t="s">
        <v>62</v>
      </c>
      <c r="AN93" s="13" t="s">
        <v>62</v>
      </c>
      <c r="AO93" s="14" t="s">
        <v>62</v>
      </c>
      <c r="AP93" s="14" t="s">
        <v>62</v>
      </c>
      <c r="AQ93" s="14" t="s">
        <v>62</v>
      </c>
      <c r="AR93" s="13" t="s">
        <v>62</v>
      </c>
      <c r="AS93" s="13" t="s">
        <v>62</v>
      </c>
      <c r="AT93" s="13" t="s">
        <v>62</v>
      </c>
      <c r="AU93" s="13" t="s">
        <v>62</v>
      </c>
      <c r="AV93" s="13" t="s">
        <v>62</v>
      </c>
      <c r="AW93" s="13" t="s">
        <v>62</v>
      </c>
      <c r="AX93" s="13" t="s">
        <v>62</v>
      </c>
      <c r="AY93" s="14" t="s">
        <v>62</v>
      </c>
      <c r="AZ93" s="14" t="s">
        <v>62</v>
      </c>
      <c r="BA93" s="13" t="s">
        <v>62</v>
      </c>
      <c r="BB93" s="14" t="s">
        <v>62</v>
      </c>
      <c r="BC93" s="13" t="s">
        <v>62</v>
      </c>
      <c r="BD93" s="13">
        <f>2*GB145*BD58*Distances!BD88*3</f>
        <v>20278.186666666668</v>
      </c>
      <c r="BE93" s="13" t="s">
        <v>62</v>
      </c>
      <c r="BF93" s="14" t="s">
        <v>62</v>
      </c>
      <c r="BG93" s="14" t="s">
        <v>62</v>
      </c>
      <c r="BH93" s="14" t="s">
        <v>62</v>
      </c>
      <c r="BI93" s="14" t="s">
        <v>62</v>
      </c>
      <c r="BJ93" s="15" t="s">
        <v>62</v>
      </c>
    </row>
    <row r="94" spans="1:62" x14ac:dyDescent="0.3">
      <c r="A94" s="35" t="s">
        <v>36</v>
      </c>
      <c r="B94" s="16" t="s">
        <v>62</v>
      </c>
      <c r="C94" s="14" t="s">
        <v>62</v>
      </c>
      <c r="D94" s="14" t="s">
        <v>62</v>
      </c>
      <c r="E94" s="14" t="s">
        <v>62</v>
      </c>
      <c r="F94" s="14" t="s">
        <v>62</v>
      </c>
      <c r="G94" s="14" t="s">
        <v>62</v>
      </c>
      <c r="H94" s="14" t="s">
        <v>62</v>
      </c>
      <c r="I94" s="14" t="s">
        <v>62</v>
      </c>
      <c r="J94" s="14" t="s">
        <v>62</v>
      </c>
      <c r="K94" s="14" t="s">
        <v>62</v>
      </c>
      <c r="L94" s="14" t="s">
        <v>62</v>
      </c>
      <c r="M94" s="14" t="s">
        <v>62</v>
      </c>
      <c r="N94" s="14" t="s">
        <v>62</v>
      </c>
      <c r="O94" s="14" t="s">
        <v>62</v>
      </c>
      <c r="P94" s="14" t="s">
        <v>62</v>
      </c>
      <c r="Q94" s="14" t="s">
        <v>62</v>
      </c>
      <c r="R94" s="14" t="s">
        <v>62</v>
      </c>
      <c r="S94" s="14" t="s">
        <v>62</v>
      </c>
      <c r="T94" s="14" t="s">
        <v>62</v>
      </c>
      <c r="U94" s="14" t="s">
        <v>62</v>
      </c>
      <c r="V94" s="14" t="s">
        <v>62</v>
      </c>
      <c r="W94" s="14" t="s">
        <v>62</v>
      </c>
      <c r="X94" s="14" t="s">
        <v>62</v>
      </c>
      <c r="Y94" s="14" t="s">
        <v>62</v>
      </c>
      <c r="Z94" s="14" t="s">
        <v>62</v>
      </c>
      <c r="AA94" s="14" t="s">
        <v>62</v>
      </c>
      <c r="AB94" s="14" t="s">
        <v>62</v>
      </c>
      <c r="AC94" s="14" t="s">
        <v>62</v>
      </c>
      <c r="AD94" s="14" t="s">
        <v>62</v>
      </c>
      <c r="AE94" s="14" t="s">
        <v>62</v>
      </c>
      <c r="AF94" s="14" t="s">
        <v>62</v>
      </c>
      <c r="AG94" s="14" t="s">
        <v>62</v>
      </c>
      <c r="AH94" s="13">
        <f>2*FF146*AH58*Distances!AH89*3</f>
        <v>290.97333333333336</v>
      </c>
      <c r="AI94" s="13">
        <f>2*FG146*AI58*Distances!AI89*3</f>
        <v>221.62666666666669</v>
      </c>
      <c r="AJ94" s="13">
        <f>2*FH146*AJ58*Distances!AJ89*3.1</f>
        <v>189.21022222222226</v>
      </c>
      <c r="AK94" s="12">
        <f>2*FI146*AK58*Distances!AK89*3</f>
        <v>0</v>
      </c>
      <c r="AL94" s="13" t="s">
        <v>62</v>
      </c>
      <c r="AM94" s="13" t="s">
        <v>62</v>
      </c>
      <c r="AN94" s="13" t="s">
        <v>62</v>
      </c>
      <c r="AO94" s="14" t="s">
        <v>62</v>
      </c>
      <c r="AP94" s="14" t="s">
        <v>62</v>
      </c>
      <c r="AQ94" s="14" t="s">
        <v>62</v>
      </c>
      <c r="AR94" s="13" t="s">
        <v>62</v>
      </c>
      <c r="AS94" s="13" t="s">
        <v>62</v>
      </c>
      <c r="AT94" s="13" t="s">
        <v>62</v>
      </c>
      <c r="AU94" s="13" t="s">
        <v>62</v>
      </c>
      <c r="AV94" s="13" t="s">
        <v>62</v>
      </c>
      <c r="AW94" s="13">
        <f>2*FU146*AW58*Distances!AW89*3</f>
        <v>4369.7333333333336</v>
      </c>
      <c r="AX94" s="13" t="s">
        <v>62</v>
      </c>
      <c r="AY94" s="14" t="s">
        <v>62</v>
      </c>
      <c r="AZ94" s="14" t="s">
        <v>62</v>
      </c>
      <c r="BA94" s="13" t="s">
        <v>62</v>
      </c>
      <c r="BB94" s="14" t="s">
        <v>62</v>
      </c>
      <c r="BC94" s="13" t="s">
        <v>62</v>
      </c>
      <c r="BD94" s="13">
        <f>2*GB146*BD58*Distances!BD89*3</f>
        <v>24924.16</v>
      </c>
      <c r="BE94" s="13">
        <f>2*GC146*BE58*Distances!BE89*3</f>
        <v>27104.426666666666</v>
      </c>
      <c r="BF94" s="14" t="s">
        <v>62</v>
      </c>
      <c r="BG94" s="14" t="s">
        <v>62</v>
      </c>
      <c r="BH94" s="14" t="s">
        <v>62</v>
      </c>
      <c r="BI94" s="14" t="s">
        <v>62</v>
      </c>
      <c r="BJ94" s="15" t="s">
        <v>62</v>
      </c>
    </row>
    <row r="95" spans="1:62" x14ac:dyDescent="0.3">
      <c r="A95" s="35" t="s">
        <v>37</v>
      </c>
      <c r="B95" s="16" t="s">
        <v>62</v>
      </c>
      <c r="C95" s="14" t="s">
        <v>62</v>
      </c>
      <c r="D95" s="14" t="s">
        <v>62</v>
      </c>
      <c r="E95" s="14" t="s">
        <v>62</v>
      </c>
      <c r="F95" s="14" t="s">
        <v>62</v>
      </c>
      <c r="G95" s="14" t="s">
        <v>62</v>
      </c>
      <c r="H95" s="14" t="s">
        <v>62</v>
      </c>
      <c r="I95" s="14" t="s">
        <v>62</v>
      </c>
      <c r="J95" s="14" t="s">
        <v>62</v>
      </c>
      <c r="K95" s="14" t="s">
        <v>62</v>
      </c>
      <c r="L95" s="14" t="s">
        <v>62</v>
      </c>
      <c r="M95" s="14" t="s">
        <v>62</v>
      </c>
      <c r="N95" s="14" t="s">
        <v>62</v>
      </c>
      <c r="O95" s="14" t="s">
        <v>62</v>
      </c>
      <c r="P95" s="14" t="s">
        <v>62</v>
      </c>
      <c r="Q95" s="14" t="s">
        <v>62</v>
      </c>
      <c r="R95" s="14" t="s">
        <v>62</v>
      </c>
      <c r="S95" s="14" t="s">
        <v>62</v>
      </c>
      <c r="T95" s="14" t="s">
        <v>62</v>
      </c>
      <c r="U95" s="14" t="s">
        <v>62</v>
      </c>
      <c r="V95" s="14" t="s">
        <v>62</v>
      </c>
      <c r="W95" s="14" t="s">
        <v>62</v>
      </c>
      <c r="X95" s="14" t="s">
        <v>62</v>
      </c>
      <c r="Y95" s="14" t="s">
        <v>62</v>
      </c>
      <c r="Z95" s="14" t="s">
        <v>62</v>
      </c>
      <c r="AA95" s="14" t="s">
        <v>62</v>
      </c>
      <c r="AB95" s="14" t="s">
        <v>62</v>
      </c>
      <c r="AC95" s="14" t="s">
        <v>62</v>
      </c>
      <c r="AD95" s="14" t="s">
        <v>62</v>
      </c>
      <c r="AE95" s="14" t="s">
        <v>62</v>
      </c>
      <c r="AF95" s="14" t="s">
        <v>62</v>
      </c>
      <c r="AG95" s="14" t="s">
        <v>62</v>
      </c>
      <c r="AH95" s="13" t="s">
        <v>62</v>
      </c>
      <c r="AI95" s="13" t="s">
        <v>62</v>
      </c>
      <c r="AJ95" s="13" t="s">
        <v>62</v>
      </c>
      <c r="AK95" s="13" t="s">
        <v>62</v>
      </c>
      <c r="AL95" s="12">
        <f>2*FJ147*AL58*Distances!AL90*3</f>
        <v>0</v>
      </c>
      <c r="AM95" s="13">
        <f>2*FK147*AM58*Distances!AM90*3.76</f>
        <v>4691.5775999999996</v>
      </c>
      <c r="AN95" s="13">
        <f>2*FL147*AN58*Distances!AN90*3.17</f>
        <v>8832.1271999999972</v>
      </c>
      <c r="AO95" s="14" t="s">
        <v>62</v>
      </c>
      <c r="AP95" s="14" t="s">
        <v>62</v>
      </c>
      <c r="AQ95" s="14" t="s">
        <v>62</v>
      </c>
      <c r="AR95" s="13" t="s">
        <v>62</v>
      </c>
      <c r="AS95" s="13" t="s">
        <v>62</v>
      </c>
      <c r="AT95" s="13" t="s">
        <v>62</v>
      </c>
      <c r="AU95" s="13" t="s">
        <v>62</v>
      </c>
      <c r="AV95" s="13" t="s">
        <v>62</v>
      </c>
      <c r="AW95" s="13" t="s">
        <v>62</v>
      </c>
      <c r="AX95" s="13" t="s">
        <v>62</v>
      </c>
      <c r="AY95" s="14" t="s">
        <v>62</v>
      </c>
      <c r="AZ95" s="14" t="s">
        <v>62</v>
      </c>
      <c r="BA95" s="13" t="s">
        <v>62</v>
      </c>
      <c r="BB95" s="14" t="s">
        <v>62</v>
      </c>
      <c r="BC95" s="13" t="s">
        <v>62</v>
      </c>
      <c r="BD95" s="13" t="s">
        <v>62</v>
      </c>
      <c r="BE95" s="13" t="s">
        <v>62</v>
      </c>
      <c r="BF95" s="14" t="s">
        <v>62</v>
      </c>
      <c r="BG95" s="14" t="s">
        <v>62</v>
      </c>
      <c r="BH95" s="14" t="s">
        <v>62</v>
      </c>
      <c r="BI95" s="14" t="s">
        <v>62</v>
      </c>
      <c r="BJ95" s="15" t="s">
        <v>62</v>
      </c>
    </row>
    <row r="96" spans="1:62" x14ac:dyDescent="0.3">
      <c r="A96" s="35" t="s">
        <v>38</v>
      </c>
      <c r="B96" s="16" t="s">
        <v>62</v>
      </c>
      <c r="C96" s="14" t="s">
        <v>62</v>
      </c>
      <c r="D96" s="14" t="s">
        <v>62</v>
      </c>
      <c r="E96" s="14" t="s">
        <v>62</v>
      </c>
      <c r="F96" s="14" t="s">
        <v>62</v>
      </c>
      <c r="G96" s="14" t="s">
        <v>62</v>
      </c>
      <c r="H96" s="14" t="s">
        <v>62</v>
      </c>
      <c r="I96" s="14" t="s">
        <v>62</v>
      </c>
      <c r="J96" s="14" t="s">
        <v>62</v>
      </c>
      <c r="K96" s="14" t="s">
        <v>62</v>
      </c>
      <c r="L96" s="14" t="s">
        <v>62</v>
      </c>
      <c r="M96" s="14" t="s">
        <v>62</v>
      </c>
      <c r="N96" s="14" t="s">
        <v>62</v>
      </c>
      <c r="O96" s="14" t="s">
        <v>62</v>
      </c>
      <c r="P96" s="14" t="s">
        <v>62</v>
      </c>
      <c r="Q96" s="14" t="s">
        <v>62</v>
      </c>
      <c r="R96" s="14" t="s">
        <v>62</v>
      </c>
      <c r="S96" s="14" t="s">
        <v>62</v>
      </c>
      <c r="T96" s="14" t="s">
        <v>62</v>
      </c>
      <c r="U96" s="14" t="s">
        <v>62</v>
      </c>
      <c r="V96" s="14" t="s">
        <v>62</v>
      </c>
      <c r="W96" s="14" t="s">
        <v>62</v>
      </c>
      <c r="X96" s="14" t="s">
        <v>62</v>
      </c>
      <c r="Y96" s="14" t="s">
        <v>62</v>
      </c>
      <c r="Z96" s="14" t="s">
        <v>62</v>
      </c>
      <c r="AA96" s="14" t="s">
        <v>62</v>
      </c>
      <c r="AB96" s="14" t="s">
        <v>62</v>
      </c>
      <c r="AC96" s="14" t="s">
        <v>62</v>
      </c>
      <c r="AD96" s="14" t="s">
        <v>62</v>
      </c>
      <c r="AE96" s="14" t="s">
        <v>62</v>
      </c>
      <c r="AF96" s="14" t="s">
        <v>62</v>
      </c>
      <c r="AG96" s="14" t="s">
        <v>62</v>
      </c>
      <c r="AH96" s="13" t="s">
        <v>62</v>
      </c>
      <c r="AI96" s="13" t="s">
        <v>62</v>
      </c>
      <c r="AJ96" s="13" t="s">
        <v>62</v>
      </c>
      <c r="AK96" s="13" t="s">
        <v>62</v>
      </c>
      <c r="AL96" s="13">
        <f>2*FJ148*AL58*Distances!AL91*3.76</f>
        <v>4691.5775999999996</v>
      </c>
      <c r="AM96" s="12">
        <f>2*FK148*AM58*Distances!AM91*3</f>
        <v>0</v>
      </c>
      <c r="AN96" s="13">
        <f>2*FL148*AN58*Distances!AN91*3.53</f>
        <v>5521.2023999999983</v>
      </c>
      <c r="AO96" s="14" t="s">
        <v>62</v>
      </c>
      <c r="AP96" s="14" t="s">
        <v>62</v>
      </c>
      <c r="AQ96" s="14" t="s">
        <v>62</v>
      </c>
      <c r="AR96" s="13" t="s">
        <v>62</v>
      </c>
      <c r="AS96" s="13" t="s">
        <v>62</v>
      </c>
      <c r="AT96" s="13" t="s">
        <v>62</v>
      </c>
      <c r="AU96" s="13" t="s">
        <v>62</v>
      </c>
      <c r="AV96" s="13" t="s">
        <v>62</v>
      </c>
      <c r="AW96" s="13" t="s">
        <v>62</v>
      </c>
      <c r="AX96" s="13" t="s">
        <v>62</v>
      </c>
      <c r="AY96" s="14" t="s">
        <v>62</v>
      </c>
      <c r="AZ96" s="14" t="s">
        <v>62</v>
      </c>
      <c r="BA96" s="13" t="s">
        <v>62</v>
      </c>
      <c r="BB96" s="14" t="s">
        <v>62</v>
      </c>
      <c r="BC96" s="13" t="s">
        <v>62</v>
      </c>
      <c r="BD96" s="13" t="s">
        <v>62</v>
      </c>
      <c r="BE96" s="13" t="s">
        <v>62</v>
      </c>
      <c r="BF96" s="14" t="s">
        <v>62</v>
      </c>
      <c r="BG96" s="14" t="s">
        <v>62</v>
      </c>
      <c r="BH96" s="14" t="s">
        <v>62</v>
      </c>
      <c r="BI96" s="14" t="s">
        <v>62</v>
      </c>
      <c r="BJ96" s="15" t="s">
        <v>62</v>
      </c>
    </row>
    <row r="97" spans="1:190" x14ac:dyDescent="0.3">
      <c r="A97" s="35" t="s">
        <v>39</v>
      </c>
      <c r="B97" s="16" t="s">
        <v>62</v>
      </c>
      <c r="C97" s="14" t="s">
        <v>62</v>
      </c>
      <c r="D97" s="14" t="s">
        <v>62</v>
      </c>
      <c r="E97" s="14" t="s">
        <v>62</v>
      </c>
      <c r="F97" s="14" t="s">
        <v>62</v>
      </c>
      <c r="G97" s="14" t="s">
        <v>62</v>
      </c>
      <c r="H97" s="14" t="s">
        <v>62</v>
      </c>
      <c r="I97" s="14" t="s">
        <v>62</v>
      </c>
      <c r="J97" s="14" t="s">
        <v>62</v>
      </c>
      <c r="K97" s="14" t="s">
        <v>62</v>
      </c>
      <c r="L97" s="14" t="s">
        <v>62</v>
      </c>
      <c r="M97" s="14" t="s">
        <v>62</v>
      </c>
      <c r="N97" s="14" t="s">
        <v>62</v>
      </c>
      <c r="O97" s="14" t="s">
        <v>62</v>
      </c>
      <c r="P97" s="14" t="s">
        <v>62</v>
      </c>
      <c r="Q97" s="14" t="s">
        <v>62</v>
      </c>
      <c r="R97" s="14" t="s">
        <v>62</v>
      </c>
      <c r="S97" s="14" t="s">
        <v>62</v>
      </c>
      <c r="T97" s="14" t="s">
        <v>62</v>
      </c>
      <c r="U97" s="14" t="s">
        <v>62</v>
      </c>
      <c r="V97" s="14" t="s">
        <v>62</v>
      </c>
      <c r="W97" s="14" t="s">
        <v>62</v>
      </c>
      <c r="X97" s="14" t="s">
        <v>62</v>
      </c>
      <c r="Y97" s="14" t="s">
        <v>62</v>
      </c>
      <c r="Z97" s="14" t="s">
        <v>62</v>
      </c>
      <c r="AA97" s="14" t="s">
        <v>62</v>
      </c>
      <c r="AB97" s="14" t="s">
        <v>62</v>
      </c>
      <c r="AC97" s="14" t="s">
        <v>62</v>
      </c>
      <c r="AD97" s="14" t="s">
        <v>62</v>
      </c>
      <c r="AE97" s="14" t="s">
        <v>62</v>
      </c>
      <c r="AF97" s="14" t="s">
        <v>62</v>
      </c>
      <c r="AG97" s="14" t="s">
        <v>62</v>
      </c>
      <c r="AH97" s="13" t="s">
        <v>62</v>
      </c>
      <c r="AI97" s="13" t="s">
        <v>62</v>
      </c>
      <c r="AJ97" s="13" t="s">
        <v>62</v>
      </c>
      <c r="AK97" s="13" t="s">
        <v>62</v>
      </c>
      <c r="AL97" s="13">
        <f>2*FJ149*AL58*Distances!AL92*3.17</f>
        <v>8832.1271999999972</v>
      </c>
      <c r="AM97" s="13">
        <f>2*FK149*AM58*Distances!AM92*3.53</f>
        <v>5521.2023999999983</v>
      </c>
      <c r="AN97" s="12">
        <f>2*FL149*AN58*Distances!AN92*3</f>
        <v>0</v>
      </c>
      <c r="AO97" s="14" t="s">
        <v>62</v>
      </c>
      <c r="AP97" s="14" t="s">
        <v>62</v>
      </c>
      <c r="AQ97" s="14" t="s">
        <v>62</v>
      </c>
      <c r="AR97" s="13" t="s">
        <v>62</v>
      </c>
      <c r="AS97" s="13" t="s">
        <v>62</v>
      </c>
      <c r="AT97" s="13" t="s">
        <v>62</v>
      </c>
      <c r="AU97" s="13" t="s">
        <v>62</v>
      </c>
      <c r="AV97" s="13" t="s">
        <v>62</v>
      </c>
      <c r="AW97" s="13" t="s">
        <v>62</v>
      </c>
      <c r="AX97" s="13" t="s">
        <v>62</v>
      </c>
      <c r="AY97" s="14" t="s">
        <v>62</v>
      </c>
      <c r="AZ97" s="14" t="s">
        <v>62</v>
      </c>
      <c r="BA97" s="13" t="s">
        <v>62</v>
      </c>
      <c r="BB97" s="14" t="s">
        <v>62</v>
      </c>
      <c r="BC97" s="13" t="s">
        <v>62</v>
      </c>
      <c r="BD97" s="13" t="s">
        <v>62</v>
      </c>
      <c r="BE97" s="13" t="s">
        <v>62</v>
      </c>
      <c r="BF97" s="14" t="s">
        <v>62</v>
      </c>
      <c r="BG97" s="14" t="s">
        <v>62</v>
      </c>
      <c r="BH97" s="14" t="s">
        <v>62</v>
      </c>
      <c r="BI97" s="14" t="s">
        <v>62</v>
      </c>
      <c r="BJ97" s="15" t="s">
        <v>62</v>
      </c>
    </row>
    <row r="98" spans="1:190" x14ac:dyDescent="0.3">
      <c r="A98" s="35" t="s">
        <v>40</v>
      </c>
      <c r="B98" s="16" t="s">
        <v>62</v>
      </c>
      <c r="C98" s="14" t="s">
        <v>62</v>
      </c>
      <c r="D98" s="14" t="s">
        <v>62</v>
      </c>
      <c r="E98" s="14" t="s">
        <v>62</v>
      </c>
      <c r="F98" s="14" t="s">
        <v>62</v>
      </c>
      <c r="G98" s="14" t="s">
        <v>62</v>
      </c>
      <c r="H98" s="14" t="s">
        <v>62</v>
      </c>
      <c r="I98" s="14" t="s">
        <v>62</v>
      </c>
      <c r="J98" s="14" t="s">
        <v>62</v>
      </c>
      <c r="K98" s="14" t="s">
        <v>62</v>
      </c>
      <c r="L98" s="14" t="s">
        <v>62</v>
      </c>
      <c r="M98" s="14" t="s">
        <v>62</v>
      </c>
      <c r="N98" s="14" t="s">
        <v>62</v>
      </c>
      <c r="O98" s="14" t="s">
        <v>62</v>
      </c>
      <c r="P98" s="14" t="s">
        <v>62</v>
      </c>
      <c r="Q98" s="14" t="s">
        <v>62</v>
      </c>
      <c r="R98" s="14" t="s">
        <v>62</v>
      </c>
      <c r="S98" s="14" t="s">
        <v>62</v>
      </c>
      <c r="T98" s="14" t="s">
        <v>62</v>
      </c>
      <c r="U98" s="14" t="s">
        <v>62</v>
      </c>
      <c r="V98" s="14" t="s">
        <v>62</v>
      </c>
      <c r="W98" s="14" t="s">
        <v>62</v>
      </c>
      <c r="X98" s="14" t="s">
        <v>62</v>
      </c>
      <c r="Y98" s="14" t="s">
        <v>62</v>
      </c>
      <c r="Z98" s="14" t="s">
        <v>62</v>
      </c>
      <c r="AA98" s="14" t="s">
        <v>62</v>
      </c>
      <c r="AB98" s="14" t="s">
        <v>62</v>
      </c>
      <c r="AC98" s="14" t="s">
        <v>62</v>
      </c>
      <c r="AD98" s="14" t="s">
        <v>62</v>
      </c>
      <c r="AE98" s="14" t="s">
        <v>62</v>
      </c>
      <c r="AF98" s="14" t="s">
        <v>62</v>
      </c>
      <c r="AG98" s="14" t="s">
        <v>62</v>
      </c>
      <c r="AH98" s="14" t="s">
        <v>62</v>
      </c>
      <c r="AI98" s="14" t="s">
        <v>62</v>
      </c>
      <c r="AJ98" s="14" t="s">
        <v>62</v>
      </c>
      <c r="AK98" s="14" t="s">
        <v>62</v>
      </c>
      <c r="AL98" s="14" t="s">
        <v>62</v>
      </c>
      <c r="AM98" s="14" t="s">
        <v>62</v>
      </c>
      <c r="AN98" s="14" t="s">
        <v>62</v>
      </c>
      <c r="AO98" s="12">
        <f>2*FM150*AO58*Distances!AO93*3</f>
        <v>0</v>
      </c>
      <c r="AP98" s="19">
        <f>2*FN150*AP58*Distances!AP93*3.3</f>
        <v>1238.2919999999999</v>
      </c>
      <c r="AQ98" s="19">
        <f>2*FO150*AQ58*Distances!AQ93*3</f>
        <v>4153.4400000000005</v>
      </c>
      <c r="AR98" s="14" t="s">
        <v>62</v>
      </c>
      <c r="AS98" s="14" t="s">
        <v>62</v>
      </c>
      <c r="AT98" s="14" t="s">
        <v>62</v>
      </c>
      <c r="AU98" s="14" t="s">
        <v>62</v>
      </c>
      <c r="AV98" s="14" t="s">
        <v>62</v>
      </c>
      <c r="AW98" s="14" t="s">
        <v>62</v>
      </c>
      <c r="AX98" s="14" t="s">
        <v>62</v>
      </c>
      <c r="AY98" s="14" t="s">
        <v>62</v>
      </c>
      <c r="AZ98" s="14" t="s">
        <v>62</v>
      </c>
      <c r="BA98" s="14" t="s">
        <v>62</v>
      </c>
      <c r="BB98" s="14" t="s">
        <v>62</v>
      </c>
      <c r="BC98" s="14" t="s">
        <v>62</v>
      </c>
      <c r="BD98" s="14" t="s">
        <v>62</v>
      </c>
      <c r="BE98" s="14" t="s">
        <v>62</v>
      </c>
      <c r="BF98" s="14" t="s">
        <v>62</v>
      </c>
      <c r="BG98" s="14" t="s">
        <v>62</v>
      </c>
      <c r="BH98" s="14" t="s">
        <v>62</v>
      </c>
      <c r="BI98" s="14" t="s">
        <v>62</v>
      </c>
      <c r="BJ98" s="15" t="s">
        <v>62</v>
      </c>
    </row>
    <row r="99" spans="1:190" x14ac:dyDescent="0.3">
      <c r="A99" s="35" t="s">
        <v>41</v>
      </c>
      <c r="B99" s="16" t="s">
        <v>62</v>
      </c>
      <c r="C99" s="14" t="s">
        <v>62</v>
      </c>
      <c r="D99" s="14" t="s">
        <v>62</v>
      </c>
      <c r="E99" s="14" t="s">
        <v>62</v>
      </c>
      <c r="F99" s="14" t="s">
        <v>62</v>
      </c>
      <c r="G99" s="14" t="s">
        <v>62</v>
      </c>
      <c r="H99" s="14" t="s">
        <v>62</v>
      </c>
      <c r="I99" s="14" t="s">
        <v>62</v>
      </c>
      <c r="J99" s="14" t="s">
        <v>62</v>
      </c>
      <c r="K99" s="14" t="s">
        <v>62</v>
      </c>
      <c r="L99" s="14" t="s">
        <v>62</v>
      </c>
      <c r="M99" s="14" t="s">
        <v>62</v>
      </c>
      <c r="N99" s="14" t="s">
        <v>62</v>
      </c>
      <c r="O99" s="14" t="s">
        <v>62</v>
      </c>
      <c r="P99" s="14" t="s">
        <v>62</v>
      </c>
      <c r="Q99" s="14" t="s">
        <v>62</v>
      </c>
      <c r="R99" s="14" t="s">
        <v>62</v>
      </c>
      <c r="S99" s="14" t="s">
        <v>62</v>
      </c>
      <c r="T99" s="14" t="s">
        <v>62</v>
      </c>
      <c r="U99" s="14" t="s">
        <v>62</v>
      </c>
      <c r="V99" s="14" t="s">
        <v>62</v>
      </c>
      <c r="W99" s="14" t="s">
        <v>62</v>
      </c>
      <c r="X99" s="14" t="s">
        <v>62</v>
      </c>
      <c r="Y99" s="14" t="s">
        <v>62</v>
      </c>
      <c r="Z99" s="14" t="s">
        <v>62</v>
      </c>
      <c r="AA99" s="14" t="s">
        <v>62</v>
      </c>
      <c r="AB99" s="14" t="s">
        <v>62</v>
      </c>
      <c r="AC99" s="14" t="s">
        <v>62</v>
      </c>
      <c r="AD99" s="14" t="s">
        <v>62</v>
      </c>
      <c r="AE99" s="14" t="s">
        <v>62</v>
      </c>
      <c r="AF99" s="14" t="s">
        <v>62</v>
      </c>
      <c r="AG99" s="14" t="s">
        <v>62</v>
      </c>
      <c r="AH99" s="14" t="s">
        <v>62</v>
      </c>
      <c r="AI99" s="14" t="s">
        <v>62</v>
      </c>
      <c r="AJ99" s="14" t="s">
        <v>62</v>
      </c>
      <c r="AK99" s="14" t="s">
        <v>62</v>
      </c>
      <c r="AL99" s="14" t="s">
        <v>62</v>
      </c>
      <c r="AM99" s="14" t="s">
        <v>62</v>
      </c>
      <c r="AN99" s="14" t="s">
        <v>62</v>
      </c>
      <c r="AO99" s="13">
        <f>2*FM151*AO58*Distances!AO94*3.3</f>
        <v>1238.2919999999999</v>
      </c>
      <c r="AP99" s="12">
        <f>2*FN151*AP58*Distances!AP94*3</f>
        <v>0</v>
      </c>
      <c r="AQ99" s="13">
        <f>2*FO151*AQ58*Distances!AQ94*3</f>
        <v>5207.5200000000004</v>
      </c>
      <c r="AR99" s="14" t="s">
        <v>62</v>
      </c>
      <c r="AS99" s="14" t="s">
        <v>62</v>
      </c>
      <c r="AT99" s="14" t="s">
        <v>62</v>
      </c>
      <c r="AU99" s="14" t="s">
        <v>62</v>
      </c>
      <c r="AV99" s="14" t="s">
        <v>62</v>
      </c>
      <c r="AW99" s="14" t="s">
        <v>62</v>
      </c>
      <c r="AX99" s="14" t="s">
        <v>62</v>
      </c>
      <c r="AY99" s="14" t="s">
        <v>62</v>
      </c>
      <c r="AZ99" s="14" t="s">
        <v>62</v>
      </c>
      <c r="BA99" s="14" t="s">
        <v>62</v>
      </c>
      <c r="BB99" s="14" t="s">
        <v>62</v>
      </c>
      <c r="BC99" s="14" t="s">
        <v>62</v>
      </c>
      <c r="BD99" s="14" t="s">
        <v>62</v>
      </c>
      <c r="BE99" s="14" t="s">
        <v>62</v>
      </c>
      <c r="BF99" s="14" t="s">
        <v>62</v>
      </c>
      <c r="BG99" s="14" t="s">
        <v>62</v>
      </c>
      <c r="BH99" s="14" t="s">
        <v>62</v>
      </c>
      <c r="BI99" s="14" t="s">
        <v>62</v>
      </c>
      <c r="BJ99" s="15" t="s">
        <v>62</v>
      </c>
    </row>
    <row r="100" spans="1:190" x14ac:dyDescent="0.3">
      <c r="A100" s="35" t="s">
        <v>42</v>
      </c>
      <c r="B100" s="16" t="s">
        <v>62</v>
      </c>
      <c r="C100" s="14" t="s">
        <v>62</v>
      </c>
      <c r="D100" s="14" t="s">
        <v>62</v>
      </c>
      <c r="E100" s="14" t="s">
        <v>62</v>
      </c>
      <c r="F100" s="14" t="s">
        <v>62</v>
      </c>
      <c r="G100" s="14" t="s">
        <v>62</v>
      </c>
      <c r="H100" s="14" t="s">
        <v>62</v>
      </c>
      <c r="I100" s="14" t="s">
        <v>62</v>
      </c>
      <c r="J100" s="14" t="s">
        <v>62</v>
      </c>
      <c r="K100" s="14" t="s">
        <v>62</v>
      </c>
      <c r="L100" s="14" t="s">
        <v>62</v>
      </c>
      <c r="M100" s="14" t="s">
        <v>62</v>
      </c>
      <c r="N100" s="14" t="s">
        <v>62</v>
      </c>
      <c r="O100" s="14" t="s">
        <v>62</v>
      </c>
      <c r="P100" s="14" t="s">
        <v>62</v>
      </c>
      <c r="Q100" s="14" t="s">
        <v>62</v>
      </c>
      <c r="R100" s="14" t="s">
        <v>62</v>
      </c>
      <c r="S100" s="14" t="s">
        <v>62</v>
      </c>
      <c r="T100" s="14" t="s">
        <v>62</v>
      </c>
      <c r="U100" s="14" t="s">
        <v>62</v>
      </c>
      <c r="V100" s="14" t="s">
        <v>62</v>
      </c>
      <c r="W100" s="14" t="s">
        <v>62</v>
      </c>
      <c r="X100" s="14" t="s">
        <v>62</v>
      </c>
      <c r="Y100" s="14" t="s">
        <v>62</v>
      </c>
      <c r="Z100" s="14" t="s">
        <v>62</v>
      </c>
      <c r="AA100" s="14" t="s">
        <v>62</v>
      </c>
      <c r="AB100" s="14" t="s">
        <v>62</v>
      </c>
      <c r="AC100" s="14" t="s">
        <v>62</v>
      </c>
      <c r="AD100" s="14" t="s">
        <v>62</v>
      </c>
      <c r="AE100" s="14" t="s">
        <v>62</v>
      </c>
      <c r="AF100" s="14" t="s">
        <v>62</v>
      </c>
      <c r="AG100" s="14" t="s">
        <v>62</v>
      </c>
      <c r="AH100" s="14" t="s">
        <v>62</v>
      </c>
      <c r="AI100" s="14" t="s">
        <v>62</v>
      </c>
      <c r="AJ100" s="14" t="s">
        <v>62</v>
      </c>
      <c r="AK100" s="14" t="s">
        <v>62</v>
      </c>
      <c r="AL100" s="14" t="s">
        <v>62</v>
      </c>
      <c r="AM100" s="14" t="s">
        <v>62</v>
      </c>
      <c r="AN100" s="14" t="s">
        <v>62</v>
      </c>
      <c r="AO100" s="13">
        <f>2*FM152*AO58*Distances!AO95*3</f>
        <v>4153.4400000000005</v>
      </c>
      <c r="AP100" s="13">
        <f>2*FN152*AP58*Distances!AP95*3</f>
        <v>5207.5200000000004</v>
      </c>
      <c r="AQ100" s="12">
        <f>2*FO152*AQ58*Distances!AQ95*3</f>
        <v>0</v>
      </c>
      <c r="AR100" s="14" t="s">
        <v>62</v>
      </c>
      <c r="AS100" s="14" t="s">
        <v>62</v>
      </c>
      <c r="AT100" s="14" t="s">
        <v>62</v>
      </c>
      <c r="AU100" s="14" t="s">
        <v>62</v>
      </c>
      <c r="AV100" s="14" t="s">
        <v>62</v>
      </c>
      <c r="AW100" s="14" t="s">
        <v>62</v>
      </c>
      <c r="AX100" s="14" t="s">
        <v>62</v>
      </c>
      <c r="AY100" s="14" t="s">
        <v>62</v>
      </c>
      <c r="AZ100" s="14" t="s">
        <v>62</v>
      </c>
      <c r="BA100" s="14" t="s">
        <v>62</v>
      </c>
      <c r="BB100" s="14" t="s">
        <v>62</v>
      </c>
      <c r="BC100" s="14" t="s">
        <v>62</v>
      </c>
      <c r="BD100" s="14" t="s">
        <v>62</v>
      </c>
      <c r="BE100" s="14" t="s">
        <v>62</v>
      </c>
      <c r="BF100" s="14" t="s">
        <v>62</v>
      </c>
      <c r="BG100" s="14" t="s">
        <v>62</v>
      </c>
      <c r="BH100" s="14" t="s">
        <v>62</v>
      </c>
      <c r="BI100" s="14" t="s">
        <v>62</v>
      </c>
      <c r="BJ100" s="15" t="s">
        <v>62</v>
      </c>
    </row>
    <row r="101" spans="1:190" x14ac:dyDescent="0.3">
      <c r="A101" s="35" t="s">
        <v>43</v>
      </c>
      <c r="B101" s="16" t="s">
        <v>62</v>
      </c>
      <c r="C101" s="14" t="s">
        <v>62</v>
      </c>
      <c r="D101" s="14" t="s">
        <v>62</v>
      </c>
      <c r="E101" s="14" t="s">
        <v>62</v>
      </c>
      <c r="F101" s="14" t="s">
        <v>62</v>
      </c>
      <c r="G101" s="14" t="s">
        <v>62</v>
      </c>
      <c r="H101" s="14" t="s">
        <v>62</v>
      </c>
      <c r="I101" s="14" t="s">
        <v>62</v>
      </c>
      <c r="J101" s="14" t="s">
        <v>62</v>
      </c>
      <c r="K101" s="14" t="s">
        <v>62</v>
      </c>
      <c r="L101" s="14" t="s">
        <v>62</v>
      </c>
      <c r="M101" s="14" t="s">
        <v>62</v>
      </c>
      <c r="N101" s="14" t="s">
        <v>62</v>
      </c>
      <c r="O101" s="14" t="s">
        <v>62</v>
      </c>
      <c r="P101" s="14" t="s">
        <v>62</v>
      </c>
      <c r="Q101" s="14" t="s">
        <v>62</v>
      </c>
      <c r="R101" s="14" t="s">
        <v>62</v>
      </c>
      <c r="S101" s="14" t="s">
        <v>62</v>
      </c>
      <c r="T101" s="14" t="s">
        <v>62</v>
      </c>
      <c r="U101" s="14" t="s">
        <v>62</v>
      </c>
      <c r="V101" s="14" t="s">
        <v>62</v>
      </c>
      <c r="W101" s="14" t="s">
        <v>62</v>
      </c>
      <c r="X101" s="14" t="s">
        <v>62</v>
      </c>
      <c r="Y101" s="14" t="s">
        <v>62</v>
      </c>
      <c r="Z101" s="14" t="s">
        <v>62</v>
      </c>
      <c r="AA101" s="14" t="s">
        <v>62</v>
      </c>
      <c r="AB101" s="14" t="s">
        <v>62</v>
      </c>
      <c r="AC101" s="14" t="s">
        <v>62</v>
      </c>
      <c r="AD101" s="14" t="s">
        <v>62</v>
      </c>
      <c r="AE101" s="14" t="s">
        <v>62</v>
      </c>
      <c r="AF101" s="14" t="s">
        <v>62</v>
      </c>
      <c r="AG101" s="14" t="s">
        <v>62</v>
      </c>
      <c r="AH101" s="13" t="s">
        <v>62</v>
      </c>
      <c r="AI101" s="13" t="s">
        <v>62</v>
      </c>
      <c r="AJ101" s="13" t="s">
        <v>62</v>
      </c>
      <c r="AK101" s="13" t="s">
        <v>62</v>
      </c>
      <c r="AL101" s="13" t="s">
        <v>62</v>
      </c>
      <c r="AM101" s="13" t="s">
        <v>62</v>
      </c>
      <c r="AN101" s="13" t="s">
        <v>62</v>
      </c>
      <c r="AO101" s="14" t="s">
        <v>62</v>
      </c>
      <c r="AP101" s="14" t="s">
        <v>62</v>
      </c>
      <c r="AQ101" s="14" t="s">
        <v>62</v>
      </c>
      <c r="AR101" s="12">
        <f>2*FP153*AR58*Distances!AR96*3</f>
        <v>0</v>
      </c>
      <c r="AS101" s="13" t="s">
        <v>62</v>
      </c>
      <c r="AT101" s="13" t="s">
        <v>62</v>
      </c>
      <c r="AU101" s="13" t="s">
        <v>62</v>
      </c>
      <c r="AV101" s="13" t="s">
        <v>62</v>
      </c>
      <c r="AW101" s="13" t="s">
        <v>62</v>
      </c>
      <c r="AX101" s="13" t="s">
        <v>62</v>
      </c>
      <c r="AY101" s="14" t="s">
        <v>62</v>
      </c>
      <c r="AZ101" s="14" t="s">
        <v>62</v>
      </c>
      <c r="BA101" s="13" t="s">
        <v>62</v>
      </c>
      <c r="BB101" s="14" t="s">
        <v>62</v>
      </c>
      <c r="BC101" s="13" t="s">
        <v>62</v>
      </c>
      <c r="BD101" s="13" t="s">
        <v>62</v>
      </c>
      <c r="BE101" s="13" t="s">
        <v>62</v>
      </c>
      <c r="BF101" s="14" t="s">
        <v>62</v>
      </c>
      <c r="BG101" s="14" t="s">
        <v>62</v>
      </c>
      <c r="BH101" s="14" t="s">
        <v>62</v>
      </c>
      <c r="BI101" s="14" t="s">
        <v>62</v>
      </c>
      <c r="BJ101" s="15" t="s">
        <v>62</v>
      </c>
    </row>
    <row r="102" spans="1:190" x14ac:dyDescent="0.3">
      <c r="A102" s="35" t="s">
        <v>44</v>
      </c>
      <c r="B102" s="16" t="s">
        <v>62</v>
      </c>
      <c r="C102" s="14" t="s">
        <v>62</v>
      </c>
      <c r="D102" s="14" t="s">
        <v>62</v>
      </c>
      <c r="E102" s="14" t="s">
        <v>62</v>
      </c>
      <c r="F102" s="14" t="s">
        <v>62</v>
      </c>
      <c r="G102" s="14" t="s">
        <v>62</v>
      </c>
      <c r="H102" s="14" t="s">
        <v>62</v>
      </c>
      <c r="I102" s="14" t="s">
        <v>62</v>
      </c>
      <c r="J102" s="14" t="s">
        <v>62</v>
      </c>
      <c r="K102" s="14" t="s">
        <v>62</v>
      </c>
      <c r="L102" s="14" t="s">
        <v>62</v>
      </c>
      <c r="M102" s="14" t="s">
        <v>62</v>
      </c>
      <c r="N102" s="14" t="s">
        <v>62</v>
      </c>
      <c r="O102" s="14" t="s">
        <v>62</v>
      </c>
      <c r="P102" s="14" t="s">
        <v>62</v>
      </c>
      <c r="Q102" s="14" t="s">
        <v>62</v>
      </c>
      <c r="R102" s="14" t="s">
        <v>62</v>
      </c>
      <c r="S102" s="14" t="s">
        <v>62</v>
      </c>
      <c r="T102" s="14" t="s">
        <v>62</v>
      </c>
      <c r="U102" s="14" t="s">
        <v>62</v>
      </c>
      <c r="V102" s="14" t="s">
        <v>62</v>
      </c>
      <c r="W102" s="14" t="s">
        <v>62</v>
      </c>
      <c r="X102" s="14" t="s">
        <v>62</v>
      </c>
      <c r="Y102" s="14" t="s">
        <v>62</v>
      </c>
      <c r="Z102" s="14" t="s">
        <v>62</v>
      </c>
      <c r="AA102" s="14" t="s">
        <v>62</v>
      </c>
      <c r="AB102" s="14" t="s">
        <v>62</v>
      </c>
      <c r="AC102" s="14" t="s">
        <v>62</v>
      </c>
      <c r="AD102" s="14" t="s">
        <v>62</v>
      </c>
      <c r="AE102" s="14" t="s">
        <v>62</v>
      </c>
      <c r="AF102" s="14" t="s">
        <v>62</v>
      </c>
      <c r="AG102" s="14" t="s">
        <v>62</v>
      </c>
      <c r="AH102" s="13" t="s">
        <v>62</v>
      </c>
      <c r="AI102" s="13" t="s">
        <v>62</v>
      </c>
      <c r="AJ102" s="13" t="s">
        <v>62</v>
      </c>
      <c r="AK102" s="13" t="s">
        <v>62</v>
      </c>
      <c r="AL102" s="13" t="s">
        <v>62</v>
      </c>
      <c r="AM102" s="13" t="s">
        <v>62</v>
      </c>
      <c r="AN102" s="13" t="s">
        <v>62</v>
      </c>
      <c r="AO102" s="14" t="s">
        <v>62</v>
      </c>
      <c r="AP102" s="14" t="s">
        <v>62</v>
      </c>
      <c r="AQ102" s="14" t="s">
        <v>62</v>
      </c>
      <c r="AR102" s="13" t="s">
        <v>62</v>
      </c>
      <c r="AS102" s="12">
        <f>2*FQ154*AS58*Distances!AS97*3</f>
        <v>0</v>
      </c>
      <c r="AT102" s="13" t="s">
        <v>62</v>
      </c>
      <c r="AU102" s="13" t="s">
        <v>62</v>
      </c>
      <c r="AV102" s="13" t="s">
        <v>62</v>
      </c>
      <c r="AW102" s="13" t="s">
        <v>62</v>
      </c>
      <c r="AX102" s="13" t="s">
        <v>62</v>
      </c>
      <c r="AY102" s="12" t="s">
        <v>62</v>
      </c>
      <c r="AZ102" s="12" t="s">
        <v>62</v>
      </c>
      <c r="BA102" s="13" t="s">
        <v>62</v>
      </c>
      <c r="BB102" s="14" t="s">
        <v>62</v>
      </c>
      <c r="BC102" s="13" t="s">
        <v>62</v>
      </c>
      <c r="BD102" s="13" t="s">
        <v>62</v>
      </c>
      <c r="BE102" s="13" t="s">
        <v>62</v>
      </c>
      <c r="BF102" s="14" t="s">
        <v>62</v>
      </c>
      <c r="BG102" s="14" t="s">
        <v>62</v>
      </c>
      <c r="BH102" s="14" t="s">
        <v>62</v>
      </c>
      <c r="BI102" s="14" t="s">
        <v>62</v>
      </c>
      <c r="BJ102" s="15" t="s">
        <v>62</v>
      </c>
    </row>
    <row r="103" spans="1:190" x14ac:dyDescent="0.3">
      <c r="A103" s="36" t="s">
        <v>45</v>
      </c>
      <c r="B103" s="21" t="s">
        <v>62</v>
      </c>
      <c r="C103" s="22" t="s">
        <v>62</v>
      </c>
      <c r="D103" s="22" t="s">
        <v>62</v>
      </c>
      <c r="E103" s="22" t="s">
        <v>62</v>
      </c>
      <c r="F103" s="22" t="s">
        <v>62</v>
      </c>
      <c r="G103" s="22" t="s">
        <v>62</v>
      </c>
      <c r="H103" s="22" t="s">
        <v>62</v>
      </c>
      <c r="I103" s="22" t="s">
        <v>62</v>
      </c>
      <c r="J103" s="22" t="s">
        <v>62</v>
      </c>
      <c r="K103" s="22" t="s">
        <v>62</v>
      </c>
      <c r="L103" s="22" t="s">
        <v>62</v>
      </c>
      <c r="M103" s="22" t="s">
        <v>62</v>
      </c>
      <c r="N103" s="22" t="s">
        <v>62</v>
      </c>
      <c r="O103" s="22" t="s">
        <v>62</v>
      </c>
      <c r="P103" s="22" t="s">
        <v>62</v>
      </c>
      <c r="Q103" s="22" t="s">
        <v>62</v>
      </c>
      <c r="R103" s="22" t="s">
        <v>62</v>
      </c>
      <c r="S103" s="22" t="s">
        <v>62</v>
      </c>
      <c r="T103" s="22" t="s">
        <v>62</v>
      </c>
      <c r="U103" s="22" t="s">
        <v>62</v>
      </c>
      <c r="V103" s="22" t="s">
        <v>62</v>
      </c>
      <c r="W103" s="22" t="s">
        <v>62</v>
      </c>
      <c r="X103" s="22" t="s">
        <v>62</v>
      </c>
      <c r="Y103" s="22" t="s">
        <v>62</v>
      </c>
      <c r="Z103" s="22" t="s">
        <v>62</v>
      </c>
      <c r="AA103" s="22" t="s">
        <v>62</v>
      </c>
      <c r="AB103" s="22" t="s">
        <v>62</v>
      </c>
      <c r="AC103" s="22" t="s">
        <v>62</v>
      </c>
      <c r="AD103" s="22" t="s">
        <v>62</v>
      </c>
      <c r="AE103" s="22" t="s">
        <v>62</v>
      </c>
      <c r="AF103" s="22" t="s">
        <v>62</v>
      </c>
      <c r="AG103" s="22" t="s">
        <v>62</v>
      </c>
      <c r="AH103" s="23" t="s">
        <v>62</v>
      </c>
      <c r="AI103" s="23" t="s">
        <v>62</v>
      </c>
      <c r="AJ103" s="23" t="s">
        <v>62</v>
      </c>
      <c r="AK103" s="23" t="s">
        <v>62</v>
      </c>
      <c r="AL103" s="23" t="s">
        <v>62</v>
      </c>
      <c r="AM103" s="23" t="s">
        <v>62</v>
      </c>
      <c r="AN103" s="23" t="s">
        <v>62</v>
      </c>
      <c r="AO103" s="22" t="s">
        <v>62</v>
      </c>
      <c r="AP103" s="22" t="s">
        <v>62</v>
      </c>
      <c r="AQ103" s="22" t="s">
        <v>62</v>
      </c>
      <c r="AR103" s="23" t="s">
        <v>62</v>
      </c>
      <c r="AS103" s="23" t="s">
        <v>62</v>
      </c>
      <c r="AT103" s="24">
        <f>2*FR155*AT58*Distances!AT98*3</f>
        <v>0</v>
      </c>
      <c r="AU103" s="23" t="s">
        <v>62</v>
      </c>
      <c r="AV103" s="23" t="s">
        <v>62</v>
      </c>
      <c r="AW103" s="23" t="s">
        <v>62</v>
      </c>
      <c r="AX103" s="23" t="s">
        <v>62</v>
      </c>
      <c r="AY103" s="22" t="s">
        <v>62</v>
      </c>
      <c r="AZ103" s="22" t="s">
        <v>62</v>
      </c>
      <c r="BA103" s="24" t="s">
        <v>62</v>
      </c>
      <c r="BB103" s="22" t="s">
        <v>62</v>
      </c>
      <c r="BC103" s="23" t="s">
        <v>62</v>
      </c>
      <c r="BD103" s="23" t="s">
        <v>62</v>
      </c>
      <c r="BE103" s="23" t="s">
        <v>62</v>
      </c>
      <c r="BF103" s="22" t="s">
        <v>62</v>
      </c>
      <c r="BG103" s="22" t="s">
        <v>62</v>
      </c>
      <c r="BH103" s="22" t="s">
        <v>62</v>
      </c>
      <c r="BI103" s="22" t="s">
        <v>62</v>
      </c>
      <c r="BJ103" s="25" t="s">
        <v>62</v>
      </c>
    </row>
    <row r="106" spans="1:190" ht="21" x14ac:dyDescent="0.3">
      <c r="A106" s="55" t="s">
        <v>124</v>
      </c>
      <c r="B106" s="56"/>
      <c r="BM106" s="55" t="s">
        <v>127</v>
      </c>
      <c r="BN106" s="57"/>
      <c r="BO106" s="56"/>
      <c r="DY106" s="55" t="s">
        <v>130</v>
      </c>
      <c r="DZ106" s="57"/>
      <c r="EA106" s="56"/>
    </row>
    <row r="108" spans="1:190" ht="28.8" x14ac:dyDescent="0.3">
      <c r="A108" s="1" t="s">
        <v>0</v>
      </c>
      <c r="B108" s="2" t="s">
        <v>1</v>
      </c>
      <c r="C108" s="3" t="s">
        <v>2</v>
      </c>
      <c r="D108" s="3" t="s">
        <v>3</v>
      </c>
      <c r="E108" s="3" t="s">
        <v>4</v>
      </c>
      <c r="F108" s="3" t="s">
        <v>5</v>
      </c>
      <c r="G108" s="3" t="s">
        <v>6</v>
      </c>
      <c r="H108" s="3" t="s">
        <v>7</v>
      </c>
      <c r="I108" s="3" t="s">
        <v>8</v>
      </c>
      <c r="J108" s="3" t="s">
        <v>9</v>
      </c>
      <c r="K108" s="3" t="s">
        <v>10</v>
      </c>
      <c r="L108" s="3" t="s">
        <v>11</v>
      </c>
      <c r="M108" s="3" t="s">
        <v>12</v>
      </c>
      <c r="N108" s="3" t="s">
        <v>13</v>
      </c>
      <c r="O108" s="3" t="s">
        <v>14</v>
      </c>
      <c r="P108" s="3" t="s">
        <v>15</v>
      </c>
      <c r="Q108" s="3" t="s">
        <v>16</v>
      </c>
      <c r="R108" s="3" t="s">
        <v>17</v>
      </c>
      <c r="S108" s="3" t="s">
        <v>18</v>
      </c>
      <c r="T108" s="3" t="s">
        <v>19</v>
      </c>
      <c r="U108" s="3" t="s">
        <v>20</v>
      </c>
      <c r="V108" s="3" t="s">
        <v>21</v>
      </c>
      <c r="W108" s="3" t="s">
        <v>22</v>
      </c>
      <c r="X108" s="3" t="s">
        <v>23</v>
      </c>
      <c r="Y108" s="3" t="s">
        <v>24</v>
      </c>
      <c r="Z108" s="3" t="s">
        <v>25</v>
      </c>
      <c r="AA108" s="3" t="s">
        <v>26</v>
      </c>
      <c r="AB108" s="3" t="s">
        <v>27</v>
      </c>
      <c r="AC108" s="3" t="s">
        <v>28</v>
      </c>
      <c r="AD108" s="3" t="s">
        <v>29</v>
      </c>
      <c r="AE108" s="3" t="s">
        <v>30</v>
      </c>
      <c r="AF108" s="3" t="s">
        <v>31</v>
      </c>
      <c r="AG108" s="3" t="s">
        <v>32</v>
      </c>
      <c r="AH108" s="3" t="s">
        <v>33</v>
      </c>
      <c r="AI108" s="3" t="s">
        <v>34</v>
      </c>
      <c r="AJ108" s="3" t="s">
        <v>35</v>
      </c>
      <c r="AK108" s="3" t="s">
        <v>36</v>
      </c>
      <c r="AL108" s="3" t="s">
        <v>37</v>
      </c>
      <c r="AM108" s="3" t="s">
        <v>38</v>
      </c>
      <c r="AN108" s="3" t="s">
        <v>39</v>
      </c>
      <c r="AO108" s="3" t="s">
        <v>40</v>
      </c>
      <c r="AP108" s="3" t="s">
        <v>41</v>
      </c>
      <c r="AQ108" s="3" t="s">
        <v>42</v>
      </c>
      <c r="AR108" s="3" t="s">
        <v>43</v>
      </c>
      <c r="AS108" s="3" t="s">
        <v>44</v>
      </c>
      <c r="AT108" s="3" t="s">
        <v>45</v>
      </c>
      <c r="AU108" s="3" t="s">
        <v>46</v>
      </c>
      <c r="AV108" s="3" t="s">
        <v>47</v>
      </c>
      <c r="AW108" s="3" t="s">
        <v>117</v>
      </c>
      <c r="AX108" s="3" t="s">
        <v>49</v>
      </c>
      <c r="AY108" s="3" t="s">
        <v>114</v>
      </c>
      <c r="AZ108" s="3" t="s">
        <v>51</v>
      </c>
      <c r="BA108" s="3" t="s">
        <v>52</v>
      </c>
      <c r="BB108" s="3" t="s">
        <v>53</v>
      </c>
      <c r="BC108" s="3" t="s">
        <v>54</v>
      </c>
      <c r="BD108" s="3" t="s">
        <v>71</v>
      </c>
      <c r="BE108" s="3" t="s">
        <v>56</v>
      </c>
      <c r="BF108" s="3" t="s">
        <v>57</v>
      </c>
      <c r="BG108" s="3" t="s">
        <v>58</v>
      </c>
      <c r="BH108" s="3" t="s">
        <v>59</v>
      </c>
      <c r="BI108" s="3" t="s">
        <v>60</v>
      </c>
      <c r="BJ108" s="4" t="s">
        <v>61</v>
      </c>
      <c r="BM108" s="1" t="s">
        <v>66</v>
      </c>
      <c r="BN108" s="2" t="s">
        <v>1</v>
      </c>
      <c r="BO108" s="3" t="s">
        <v>2</v>
      </c>
      <c r="BP108" s="3" t="s">
        <v>3</v>
      </c>
      <c r="BQ108" s="3" t="s">
        <v>4</v>
      </c>
      <c r="BR108" s="3" t="s">
        <v>5</v>
      </c>
      <c r="BS108" s="3" t="s">
        <v>6</v>
      </c>
      <c r="BT108" s="3" t="s">
        <v>7</v>
      </c>
      <c r="BU108" s="3" t="s">
        <v>8</v>
      </c>
      <c r="BV108" s="3" t="s">
        <v>9</v>
      </c>
      <c r="BW108" s="3" t="s">
        <v>10</v>
      </c>
      <c r="BX108" s="3" t="s">
        <v>11</v>
      </c>
      <c r="BY108" s="3" t="s">
        <v>12</v>
      </c>
      <c r="BZ108" s="3" t="s">
        <v>13</v>
      </c>
      <c r="CA108" s="3" t="s">
        <v>14</v>
      </c>
      <c r="CB108" s="3" t="s">
        <v>15</v>
      </c>
      <c r="CC108" s="3" t="s">
        <v>16</v>
      </c>
      <c r="CD108" s="3" t="s">
        <v>17</v>
      </c>
      <c r="CE108" s="3" t="s">
        <v>18</v>
      </c>
      <c r="CF108" s="3" t="s">
        <v>19</v>
      </c>
      <c r="CG108" s="3" t="s">
        <v>20</v>
      </c>
      <c r="CH108" s="3" t="s">
        <v>21</v>
      </c>
      <c r="CI108" s="3" t="s">
        <v>22</v>
      </c>
      <c r="CJ108" s="3" t="s">
        <v>23</v>
      </c>
      <c r="CK108" s="3" t="s">
        <v>24</v>
      </c>
      <c r="CL108" s="3" t="s">
        <v>25</v>
      </c>
      <c r="CM108" s="3" t="s">
        <v>26</v>
      </c>
      <c r="CN108" s="3" t="s">
        <v>27</v>
      </c>
      <c r="CO108" s="3" t="s">
        <v>28</v>
      </c>
      <c r="CP108" s="3" t="s">
        <v>29</v>
      </c>
      <c r="CQ108" s="3" t="s">
        <v>30</v>
      </c>
      <c r="CR108" s="3" t="s">
        <v>31</v>
      </c>
      <c r="CS108" s="3" t="s">
        <v>32</v>
      </c>
      <c r="CT108" s="3" t="s">
        <v>33</v>
      </c>
      <c r="CU108" s="3" t="s">
        <v>34</v>
      </c>
      <c r="CV108" s="3" t="s">
        <v>35</v>
      </c>
      <c r="CW108" s="3" t="s">
        <v>36</v>
      </c>
      <c r="CX108" s="3" t="s">
        <v>37</v>
      </c>
      <c r="CY108" s="3" t="s">
        <v>38</v>
      </c>
      <c r="CZ108" s="3" t="s">
        <v>39</v>
      </c>
      <c r="DA108" s="3" t="s">
        <v>40</v>
      </c>
      <c r="DB108" s="3" t="s">
        <v>41</v>
      </c>
      <c r="DC108" s="3" t="s">
        <v>42</v>
      </c>
      <c r="DD108" s="3" t="s">
        <v>43</v>
      </c>
      <c r="DE108" s="3" t="s">
        <v>44</v>
      </c>
      <c r="DF108" s="3" t="s">
        <v>45</v>
      </c>
      <c r="DG108" s="3" t="s">
        <v>46</v>
      </c>
      <c r="DH108" s="3" t="s">
        <v>47</v>
      </c>
      <c r="DI108" s="3" t="s">
        <v>117</v>
      </c>
      <c r="DJ108" s="3" t="s">
        <v>49</v>
      </c>
      <c r="DK108" s="3" t="s">
        <v>114</v>
      </c>
      <c r="DL108" s="3" t="s">
        <v>51</v>
      </c>
      <c r="DM108" s="3" t="s">
        <v>52</v>
      </c>
      <c r="DN108" s="3" t="s">
        <v>53</v>
      </c>
      <c r="DO108" s="3" t="s">
        <v>54</v>
      </c>
      <c r="DP108" s="3" t="s">
        <v>71</v>
      </c>
      <c r="DQ108" s="3" t="s">
        <v>56</v>
      </c>
      <c r="DR108" s="3" t="s">
        <v>57</v>
      </c>
      <c r="DS108" s="3" t="s">
        <v>58</v>
      </c>
      <c r="DT108" s="3" t="s">
        <v>59</v>
      </c>
      <c r="DU108" s="3" t="s">
        <v>60</v>
      </c>
      <c r="DV108" s="4" t="s">
        <v>61</v>
      </c>
      <c r="DY108" s="1" t="s">
        <v>66</v>
      </c>
      <c r="DZ108" s="2" t="s">
        <v>1</v>
      </c>
      <c r="EA108" s="3" t="s">
        <v>2</v>
      </c>
      <c r="EB108" s="3" t="s">
        <v>3</v>
      </c>
      <c r="EC108" s="3" t="s">
        <v>4</v>
      </c>
      <c r="ED108" s="3" t="s">
        <v>5</v>
      </c>
      <c r="EE108" s="3" t="s">
        <v>6</v>
      </c>
      <c r="EF108" s="3" t="s">
        <v>7</v>
      </c>
      <c r="EG108" s="3" t="s">
        <v>8</v>
      </c>
      <c r="EH108" s="3" t="s">
        <v>9</v>
      </c>
      <c r="EI108" s="3" t="s">
        <v>10</v>
      </c>
      <c r="EJ108" s="3" t="s">
        <v>11</v>
      </c>
      <c r="EK108" s="3" t="s">
        <v>12</v>
      </c>
      <c r="EL108" s="3" t="s">
        <v>13</v>
      </c>
      <c r="EM108" s="3" t="s">
        <v>14</v>
      </c>
      <c r="EN108" s="3" t="s">
        <v>15</v>
      </c>
      <c r="EO108" s="3" t="s">
        <v>16</v>
      </c>
      <c r="EP108" s="3" t="s">
        <v>17</v>
      </c>
      <c r="EQ108" s="3" t="s">
        <v>18</v>
      </c>
      <c r="ER108" s="3" t="s">
        <v>19</v>
      </c>
      <c r="ES108" s="3" t="s">
        <v>20</v>
      </c>
      <c r="ET108" s="3" t="s">
        <v>21</v>
      </c>
      <c r="EU108" s="3" t="s">
        <v>22</v>
      </c>
      <c r="EV108" s="3" t="s">
        <v>23</v>
      </c>
      <c r="EW108" s="3" t="s">
        <v>24</v>
      </c>
      <c r="EX108" s="3" t="s">
        <v>25</v>
      </c>
      <c r="EY108" s="3" t="s">
        <v>26</v>
      </c>
      <c r="EZ108" s="3" t="s">
        <v>27</v>
      </c>
      <c r="FA108" s="3" t="s">
        <v>28</v>
      </c>
      <c r="FB108" s="3" t="s">
        <v>29</v>
      </c>
      <c r="FC108" s="3" t="s">
        <v>30</v>
      </c>
      <c r="FD108" s="3" t="s">
        <v>31</v>
      </c>
      <c r="FE108" s="3" t="s">
        <v>32</v>
      </c>
      <c r="FF108" s="3" t="s">
        <v>33</v>
      </c>
      <c r="FG108" s="3" t="s">
        <v>34</v>
      </c>
      <c r="FH108" s="3" t="s">
        <v>35</v>
      </c>
      <c r="FI108" s="3" t="s">
        <v>36</v>
      </c>
      <c r="FJ108" s="3" t="s">
        <v>37</v>
      </c>
      <c r="FK108" s="3" t="s">
        <v>38</v>
      </c>
      <c r="FL108" s="3" t="s">
        <v>39</v>
      </c>
      <c r="FM108" s="3" t="s">
        <v>40</v>
      </c>
      <c r="FN108" s="3" t="s">
        <v>41</v>
      </c>
      <c r="FO108" s="3" t="s">
        <v>42</v>
      </c>
      <c r="FP108" s="3" t="s">
        <v>43</v>
      </c>
      <c r="FQ108" s="3" t="s">
        <v>44</v>
      </c>
      <c r="FR108" s="3" t="s">
        <v>45</v>
      </c>
      <c r="FS108" s="3" t="s">
        <v>46</v>
      </c>
      <c r="FT108" s="3" t="s">
        <v>47</v>
      </c>
      <c r="FU108" s="3" t="s">
        <v>117</v>
      </c>
      <c r="FV108" s="3" t="s">
        <v>49</v>
      </c>
      <c r="FW108" s="3" t="s">
        <v>114</v>
      </c>
      <c r="FX108" s="3" t="s">
        <v>51</v>
      </c>
      <c r="FY108" s="3" t="s">
        <v>52</v>
      </c>
      <c r="FZ108" s="3" t="s">
        <v>53</v>
      </c>
      <c r="GA108" s="3" t="s">
        <v>54</v>
      </c>
      <c r="GB108" s="3" t="s">
        <v>71</v>
      </c>
      <c r="GC108" s="3" t="s">
        <v>56</v>
      </c>
      <c r="GD108" s="3" t="s">
        <v>57</v>
      </c>
      <c r="GE108" s="3" t="s">
        <v>58</v>
      </c>
      <c r="GF108" s="3" t="s">
        <v>59</v>
      </c>
      <c r="GG108" s="3" t="s">
        <v>60</v>
      </c>
      <c r="GH108" s="4" t="s">
        <v>61</v>
      </c>
    </row>
    <row r="109" spans="1:190" x14ac:dyDescent="0.3">
      <c r="A109" s="29" t="s">
        <v>115</v>
      </c>
      <c r="B109" s="37">
        <v>511492.875</v>
      </c>
      <c r="C109" s="38">
        <v>511492.875</v>
      </c>
      <c r="D109" s="38">
        <v>511492.875</v>
      </c>
      <c r="E109" s="38">
        <v>511492.875</v>
      </c>
      <c r="F109" s="38">
        <v>511492.875</v>
      </c>
      <c r="G109" s="38">
        <v>511492.875</v>
      </c>
      <c r="H109" s="38">
        <v>511492.875</v>
      </c>
      <c r="I109" s="38">
        <v>511492.875</v>
      </c>
      <c r="J109" s="38">
        <v>8525</v>
      </c>
      <c r="K109" s="38">
        <v>8525</v>
      </c>
      <c r="L109" s="38">
        <v>8525</v>
      </c>
      <c r="M109" s="38">
        <v>8525</v>
      </c>
      <c r="N109" s="38">
        <v>9207</v>
      </c>
      <c r="O109" s="38">
        <v>17050</v>
      </c>
      <c r="P109" s="38">
        <v>17050</v>
      </c>
      <c r="Q109" s="38">
        <v>125031.66666666667</v>
      </c>
      <c r="R109" s="38">
        <v>125031.66666666667</v>
      </c>
      <c r="S109" s="38">
        <v>125031.66666666667</v>
      </c>
      <c r="T109" s="38">
        <v>17050</v>
      </c>
      <c r="U109" s="38">
        <v>17050</v>
      </c>
      <c r="V109" s="38">
        <v>144923</v>
      </c>
      <c r="W109" s="38">
        <v>144923</v>
      </c>
      <c r="X109" s="38">
        <v>144923</v>
      </c>
      <c r="Y109" s="38">
        <v>144923</v>
      </c>
      <c r="Z109" s="38">
        <v>4603.5</v>
      </c>
      <c r="AA109" s="38">
        <v>4603.5</v>
      </c>
      <c r="AB109" s="38">
        <v>4603.5</v>
      </c>
      <c r="AC109" s="38">
        <v>4603.5</v>
      </c>
      <c r="AD109" s="38">
        <v>4603.5</v>
      </c>
      <c r="AE109" s="38">
        <v>4603.5</v>
      </c>
      <c r="AF109" s="38">
        <v>9207</v>
      </c>
      <c r="AG109" s="38">
        <v>9207</v>
      </c>
      <c r="AH109" s="38">
        <v>2301.75</v>
      </c>
      <c r="AI109" s="38">
        <v>2301.75</v>
      </c>
      <c r="AJ109" s="38">
        <v>2301.75</v>
      </c>
      <c r="AK109" s="38">
        <v>2301.75</v>
      </c>
      <c r="AL109" s="38">
        <v>136398</v>
      </c>
      <c r="AM109" s="38">
        <v>136398</v>
      </c>
      <c r="AN109" s="38">
        <v>136398</v>
      </c>
      <c r="AO109" s="38">
        <v>3069</v>
      </c>
      <c r="AP109" s="38">
        <v>3069</v>
      </c>
      <c r="AQ109" s="38">
        <v>3069</v>
      </c>
      <c r="AR109" s="38">
        <v>3069</v>
      </c>
      <c r="AS109" s="38">
        <v>3069</v>
      </c>
      <c r="AT109" s="38">
        <v>3069</v>
      </c>
      <c r="AU109" s="38">
        <v>34100</v>
      </c>
      <c r="AV109" s="38">
        <v>11366.666666666666</v>
      </c>
      <c r="AW109" s="38">
        <v>11366.666666666666</v>
      </c>
      <c r="AX109" s="38">
        <v>11366.666666666666</v>
      </c>
      <c r="AY109" s="38">
        <v>9207</v>
      </c>
      <c r="AZ109" s="38">
        <v>9207</v>
      </c>
      <c r="BA109" s="38">
        <v>9207</v>
      </c>
      <c r="BB109" s="38">
        <v>9207</v>
      </c>
      <c r="BC109" s="38">
        <v>79565.666666666672</v>
      </c>
      <c r="BD109" s="38">
        <v>79565.666666666672</v>
      </c>
      <c r="BE109" s="38">
        <v>79565.666666666672</v>
      </c>
      <c r="BF109" s="38">
        <v>9207</v>
      </c>
      <c r="BG109" s="38">
        <v>9207</v>
      </c>
      <c r="BH109" s="38">
        <v>9207</v>
      </c>
      <c r="BI109" s="38">
        <v>9207</v>
      </c>
      <c r="BJ109" s="39">
        <v>9207</v>
      </c>
      <c r="BM109" s="29" t="s">
        <v>115</v>
      </c>
      <c r="BN109" s="37">
        <v>527745.5</v>
      </c>
      <c r="BO109" s="38">
        <v>527745.5</v>
      </c>
      <c r="BP109" s="38">
        <v>527745.5</v>
      </c>
      <c r="BQ109" s="38">
        <v>527745.5</v>
      </c>
      <c r="BR109" s="38">
        <v>527745.5</v>
      </c>
      <c r="BS109" s="38">
        <v>527745.5</v>
      </c>
      <c r="BT109" s="38">
        <v>527745.5</v>
      </c>
      <c r="BU109" s="38">
        <v>527745.5</v>
      </c>
      <c r="BV109" s="38">
        <v>8795.75</v>
      </c>
      <c r="BW109" s="38">
        <v>8795.75</v>
      </c>
      <c r="BX109" s="38">
        <v>8795.75</v>
      </c>
      <c r="BY109" s="38">
        <v>8795.75</v>
      </c>
      <c r="BZ109" s="38">
        <v>9499</v>
      </c>
      <c r="CA109" s="38">
        <v>17591.5</v>
      </c>
      <c r="CB109" s="38">
        <v>17591.5</v>
      </c>
      <c r="CC109" s="38">
        <v>129004.33333333333</v>
      </c>
      <c r="CD109" s="38">
        <v>129004.33333333333</v>
      </c>
      <c r="CE109" s="38">
        <v>129004.33333333333</v>
      </c>
      <c r="CF109" s="38">
        <v>17591.5</v>
      </c>
      <c r="CG109" s="38">
        <v>17591.5</v>
      </c>
      <c r="CH109" s="38">
        <v>149528</v>
      </c>
      <c r="CI109" s="38">
        <v>149528</v>
      </c>
      <c r="CJ109" s="38">
        <v>149528</v>
      </c>
      <c r="CK109" s="38">
        <v>149528</v>
      </c>
      <c r="CL109" s="38">
        <v>4749.5</v>
      </c>
      <c r="CM109" s="38">
        <v>4749.5</v>
      </c>
      <c r="CN109" s="38">
        <v>4749.5</v>
      </c>
      <c r="CO109" s="38">
        <v>4749.5</v>
      </c>
      <c r="CP109" s="38">
        <v>4749.5</v>
      </c>
      <c r="CQ109" s="38">
        <v>4749.5</v>
      </c>
      <c r="CR109" s="38">
        <v>9499</v>
      </c>
      <c r="CS109" s="38">
        <v>9499</v>
      </c>
      <c r="CT109" s="38">
        <v>2374.75</v>
      </c>
      <c r="CU109" s="38">
        <v>2374.75</v>
      </c>
      <c r="CV109" s="38">
        <v>2374.75</v>
      </c>
      <c r="CW109" s="38">
        <v>2374.75</v>
      </c>
      <c r="CX109" s="38">
        <v>140732</v>
      </c>
      <c r="CY109" s="38">
        <v>140732</v>
      </c>
      <c r="CZ109" s="38">
        <v>140732</v>
      </c>
      <c r="DA109" s="38">
        <v>3166.3333333333335</v>
      </c>
      <c r="DB109" s="38">
        <v>3166.3333333333335</v>
      </c>
      <c r="DC109" s="38">
        <v>3166.3333333333335</v>
      </c>
      <c r="DD109" s="38">
        <v>3166.3333333333335</v>
      </c>
      <c r="DE109" s="38">
        <v>3166.3333333333335</v>
      </c>
      <c r="DF109" s="38">
        <v>3166.3333333333335</v>
      </c>
      <c r="DG109" s="38">
        <v>35183</v>
      </c>
      <c r="DH109" s="38">
        <v>11727.666666666666</v>
      </c>
      <c r="DI109" s="38">
        <v>11727.666666666666</v>
      </c>
      <c r="DJ109" s="38">
        <v>11727.666666666666</v>
      </c>
      <c r="DK109" s="38">
        <v>9499</v>
      </c>
      <c r="DL109" s="38">
        <v>9499</v>
      </c>
      <c r="DM109" s="38">
        <v>9499</v>
      </c>
      <c r="DN109" s="38">
        <v>9499</v>
      </c>
      <c r="DO109" s="38">
        <v>82093.666666666672</v>
      </c>
      <c r="DP109" s="38">
        <v>82093.666666666672</v>
      </c>
      <c r="DQ109" s="38">
        <v>82093.666666666672</v>
      </c>
      <c r="DR109" s="38">
        <v>9499</v>
      </c>
      <c r="DS109" s="38">
        <v>9499</v>
      </c>
      <c r="DT109" s="38">
        <v>9499</v>
      </c>
      <c r="DU109" s="38">
        <v>9499</v>
      </c>
      <c r="DV109" s="39">
        <v>9499</v>
      </c>
      <c r="DY109" s="29" t="s">
        <v>118</v>
      </c>
      <c r="DZ109" s="37">
        <v>12</v>
      </c>
      <c r="EA109" s="38">
        <v>12</v>
      </c>
      <c r="EB109" s="38">
        <v>12</v>
      </c>
      <c r="EC109" s="38">
        <v>12</v>
      </c>
      <c r="ED109" s="38">
        <v>12</v>
      </c>
      <c r="EE109" s="38">
        <v>12</v>
      </c>
      <c r="EF109" s="38">
        <v>12</v>
      </c>
      <c r="EG109" s="38">
        <v>12</v>
      </c>
      <c r="EH109" s="38">
        <v>12</v>
      </c>
      <c r="EI109" s="38">
        <v>12</v>
      </c>
      <c r="EJ109" s="38">
        <v>12</v>
      </c>
      <c r="EK109" s="38">
        <v>12</v>
      </c>
      <c r="EL109" s="38">
        <v>12</v>
      </c>
      <c r="EM109" s="38">
        <v>1</v>
      </c>
      <c r="EN109" s="38">
        <v>1</v>
      </c>
      <c r="EO109" s="38">
        <v>16</v>
      </c>
      <c r="EP109" s="38">
        <v>16</v>
      </c>
      <c r="EQ109" s="38">
        <v>16</v>
      </c>
      <c r="ER109" s="38">
        <v>16</v>
      </c>
      <c r="ES109" s="38">
        <v>16</v>
      </c>
      <c r="ET109" s="38">
        <v>16</v>
      </c>
      <c r="EU109" s="38">
        <v>16</v>
      </c>
      <c r="EV109" s="38">
        <v>16</v>
      </c>
      <c r="EW109" s="38">
        <v>16</v>
      </c>
      <c r="EX109" s="38">
        <v>16</v>
      </c>
      <c r="EY109" s="38">
        <v>16</v>
      </c>
      <c r="EZ109" s="38">
        <v>16</v>
      </c>
      <c r="FA109" s="38">
        <v>16</v>
      </c>
      <c r="FB109" s="38">
        <v>16</v>
      </c>
      <c r="FC109" s="38">
        <v>16</v>
      </c>
      <c r="FD109" s="38">
        <v>16</v>
      </c>
      <c r="FE109" s="38">
        <v>16</v>
      </c>
      <c r="FF109" s="38">
        <v>9</v>
      </c>
      <c r="FG109" s="38">
        <v>9</v>
      </c>
      <c r="FH109" s="38">
        <v>9</v>
      </c>
      <c r="FI109" s="38">
        <v>9</v>
      </c>
      <c r="FJ109" s="38">
        <v>9</v>
      </c>
      <c r="FK109" s="38">
        <v>9</v>
      </c>
      <c r="FL109" s="38">
        <v>9</v>
      </c>
      <c r="FM109" s="38">
        <v>2</v>
      </c>
      <c r="FN109" s="38">
        <v>2</v>
      </c>
      <c r="FO109" s="38">
        <v>2</v>
      </c>
      <c r="FP109" s="38">
        <v>9</v>
      </c>
      <c r="FQ109" s="38">
        <v>9</v>
      </c>
      <c r="FR109" s="38">
        <v>9</v>
      </c>
      <c r="FS109" s="38">
        <v>9</v>
      </c>
      <c r="FT109" s="38">
        <v>10</v>
      </c>
      <c r="FU109" s="38">
        <v>9</v>
      </c>
      <c r="FV109" s="38">
        <v>9</v>
      </c>
      <c r="FW109" s="38">
        <v>0</v>
      </c>
      <c r="FX109" s="38">
        <v>0</v>
      </c>
      <c r="FY109" s="38">
        <v>9</v>
      </c>
      <c r="FZ109" s="38">
        <v>16</v>
      </c>
      <c r="GA109" s="38">
        <v>9</v>
      </c>
      <c r="GB109" s="38">
        <v>9</v>
      </c>
      <c r="GC109" s="38">
        <v>9</v>
      </c>
      <c r="GD109" s="38">
        <v>16</v>
      </c>
      <c r="GE109" s="38">
        <v>16</v>
      </c>
      <c r="GF109" s="38">
        <v>1</v>
      </c>
      <c r="GG109" s="38">
        <v>1</v>
      </c>
      <c r="GH109" s="39">
        <v>1</v>
      </c>
    </row>
    <row r="110" spans="1:190" x14ac:dyDescent="0.3">
      <c r="A110" s="29" t="s">
        <v>119</v>
      </c>
      <c r="B110" s="40">
        <f>B109/46</f>
        <v>11119.410326086956</v>
      </c>
      <c r="C110" s="41">
        <f t="shared" ref="C110:BJ110" si="4">C109/46</f>
        <v>11119.410326086956</v>
      </c>
      <c r="D110" s="41">
        <f t="shared" si="4"/>
        <v>11119.410326086956</v>
      </c>
      <c r="E110" s="41">
        <f t="shared" si="4"/>
        <v>11119.410326086956</v>
      </c>
      <c r="F110" s="41">
        <f t="shared" si="4"/>
        <v>11119.410326086956</v>
      </c>
      <c r="G110" s="41">
        <f t="shared" si="4"/>
        <v>11119.410326086956</v>
      </c>
      <c r="H110" s="41">
        <f t="shared" si="4"/>
        <v>11119.410326086956</v>
      </c>
      <c r="I110" s="41">
        <f t="shared" si="4"/>
        <v>11119.410326086956</v>
      </c>
      <c r="J110" s="41">
        <f t="shared" si="4"/>
        <v>185.32608695652175</v>
      </c>
      <c r="K110" s="41">
        <f t="shared" si="4"/>
        <v>185.32608695652175</v>
      </c>
      <c r="L110" s="41">
        <f t="shared" si="4"/>
        <v>185.32608695652175</v>
      </c>
      <c r="M110" s="41">
        <f t="shared" si="4"/>
        <v>185.32608695652175</v>
      </c>
      <c r="N110" s="41">
        <f t="shared" si="4"/>
        <v>200.15217391304347</v>
      </c>
      <c r="O110" s="41">
        <f t="shared" si="4"/>
        <v>370.6521739130435</v>
      </c>
      <c r="P110" s="41">
        <f t="shared" si="4"/>
        <v>370.6521739130435</v>
      </c>
      <c r="Q110" s="41">
        <f t="shared" si="4"/>
        <v>2718.0797101449275</v>
      </c>
      <c r="R110" s="41">
        <f t="shared" si="4"/>
        <v>2718.0797101449275</v>
      </c>
      <c r="S110" s="41">
        <f t="shared" si="4"/>
        <v>2718.0797101449275</v>
      </c>
      <c r="T110" s="41">
        <f t="shared" si="4"/>
        <v>370.6521739130435</v>
      </c>
      <c r="U110" s="41">
        <f t="shared" si="4"/>
        <v>370.6521739130435</v>
      </c>
      <c r="V110" s="41">
        <f t="shared" si="4"/>
        <v>3150.5</v>
      </c>
      <c r="W110" s="41">
        <f t="shared" si="4"/>
        <v>3150.5</v>
      </c>
      <c r="X110" s="41">
        <f t="shared" si="4"/>
        <v>3150.5</v>
      </c>
      <c r="Y110" s="41">
        <f t="shared" si="4"/>
        <v>3150.5</v>
      </c>
      <c r="Z110" s="41">
        <f t="shared" si="4"/>
        <v>100.07608695652173</v>
      </c>
      <c r="AA110" s="41">
        <f t="shared" si="4"/>
        <v>100.07608695652173</v>
      </c>
      <c r="AB110" s="41">
        <f t="shared" si="4"/>
        <v>100.07608695652173</v>
      </c>
      <c r="AC110" s="41">
        <f t="shared" si="4"/>
        <v>100.07608695652173</v>
      </c>
      <c r="AD110" s="41">
        <f t="shared" si="4"/>
        <v>100.07608695652173</v>
      </c>
      <c r="AE110" s="41">
        <f t="shared" si="4"/>
        <v>100.07608695652173</v>
      </c>
      <c r="AF110" s="41">
        <f t="shared" si="4"/>
        <v>200.15217391304347</v>
      </c>
      <c r="AG110" s="41">
        <f t="shared" si="4"/>
        <v>200.15217391304347</v>
      </c>
      <c r="AH110" s="41">
        <f t="shared" si="4"/>
        <v>50.038043478260867</v>
      </c>
      <c r="AI110" s="41">
        <f t="shared" si="4"/>
        <v>50.038043478260867</v>
      </c>
      <c r="AJ110" s="41">
        <f t="shared" si="4"/>
        <v>50.038043478260867</v>
      </c>
      <c r="AK110" s="41">
        <f t="shared" si="4"/>
        <v>50.038043478260867</v>
      </c>
      <c r="AL110" s="41">
        <f t="shared" si="4"/>
        <v>2965.1739130434785</v>
      </c>
      <c r="AM110" s="41">
        <f t="shared" si="4"/>
        <v>2965.1739130434785</v>
      </c>
      <c r="AN110" s="41">
        <f t="shared" si="4"/>
        <v>2965.1739130434785</v>
      </c>
      <c r="AO110" s="41">
        <f t="shared" si="4"/>
        <v>66.717391304347828</v>
      </c>
      <c r="AP110" s="41">
        <f t="shared" si="4"/>
        <v>66.717391304347828</v>
      </c>
      <c r="AQ110" s="41">
        <f t="shared" si="4"/>
        <v>66.717391304347828</v>
      </c>
      <c r="AR110" s="41">
        <f t="shared" si="4"/>
        <v>66.717391304347828</v>
      </c>
      <c r="AS110" s="41">
        <f t="shared" si="4"/>
        <v>66.717391304347828</v>
      </c>
      <c r="AT110" s="41">
        <f t="shared" si="4"/>
        <v>66.717391304347828</v>
      </c>
      <c r="AU110" s="41">
        <f t="shared" si="4"/>
        <v>741.304347826087</v>
      </c>
      <c r="AV110" s="41">
        <f t="shared" si="4"/>
        <v>247.10144927536231</v>
      </c>
      <c r="AW110" s="41">
        <f t="shared" si="4"/>
        <v>247.10144927536231</v>
      </c>
      <c r="AX110" s="41">
        <f t="shared" si="4"/>
        <v>247.10144927536231</v>
      </c>
      <c r="AY110" s="41">
        <f t="shared" si="4"/>
        <v>200.15217391304347</v>
      </c>
      <c r="AZ110" s="41">
        <f t="shared" si="4"/>
        <v>200.15217391304347</v>
      </c>
      <c r="BA110" s="41">
        <f t="shared" si="4"/>
        <v>200.15217391304347</v>
      </c>
      <c r="BB110" s="41">
        <f t="shared" si="4"/>
        <v>200.15217391304347</v>
      </c>
      <c r="BC110" s="41">
        <f t="shared" si="4"/>
        <v>1729.6884057971015</v>
      </c>
      <c r="BD110" s="41">
        <f t="shared" si="4"/>
        <v>1729.6884057971015</v>
      </c>
      <c r="BE110" s="41">
        <f t="shared" si="4"/>
        <v>1729.6884057971015</v>
      </c>
      <c r="BF110" s="41">
        <f t="shared" si="4"/>
        <v>200.15217391304347</v>
      </c>
      <c r="BG110" s="41">
        <f t="shared" si="4"/>
        <v>200.15217391304347</v>
      </c>
      <c r="BH110" s="41">
        <f t="shared" si="4"/>
        <v>200.15217391304347</v>
      </c>
      <c r="BI110" s="41">
        <f t="shared" si="4"/>
        <v>200.15217391304347</v>
      </c>
      <c r="BJ110" s="42">
        <f t="shared" si="4"/>
        <v>200.15217391304347</v>
      </c>
      <c r="BM110" s="29" t="s">
        <v>119</v>
      </c>
      <c r="BN110" s="40">
        <f t="shared" ref="BN110:DV110" si="5">BN109/46</f>
        <v>11472.728260869566</v>
      </c>
      <c r="BO110" s="41">
        <f t="shared" si="5"/>
        <v>11472.728260869566</v>
      </c>
      <c r="BP110" s="41">
        <f t="shared" si="5"/>
        <v>11472.728260869566</v>
      </c>
      <c r="BQ110" s="41">
        <f t="shared" si="5"/>
        <v>11472.728260869566</v>
      </c>
      <c r="BR110" s="41">
        <f t="shared" si="5"/>
        <v>11472.728260869566</v>
      </c>
      <c r="BS110" s="41">
        <f t="shared" si="5"/>
        <v>11472.728260869566</v>
      </c>
      <c r="BT110" s="41">
        <f t="shared" si="5"/>
        <v>11472.728260869566</v>
      </c>
      <c r="BU110" s="41">
        <f t="shared" si="5"/>
        <v>11472.728260869566</v>
      </c>
      <c r="BV110" s="41">
        <f t="shared" si="5"/>
        <v>191.21195652173913</v>
      </c>
      <c r="BW110" s="41">
        <f t="shared" si="5"/>
        <v>191.21195652173913</v>
      </c>
      <c r="BX110" s="41">
        <f t="shared" si="5"/>
        <v>191.21195652173913</v>
      </c>
      <c r="BY110" s="41">
        <f t="shared" si="5"/>
        <v>191.21195652173913</v>
      </c>
      <c r="BZ110" s="41">
        <f t="shared" si="5"/>
        <v>206.5</v>
      </c>
      <c r="CA110" s="41">
        <f t="shared" si="5"/>
        <v>382.42391304347825</v>
      </c>
      <c r="CB110" s="41">
        <f t="shared" si="5"/>
        <v>382.42391304347825</v>
      </c>
      <c r="CC110" s="41">
        <f t="shared" si="5"/>
        <v>2804.442028985507</v>
      </c>
      <c r="CD110" s="41">
        <f t="shared" si="5"/>
        <v>2804.442028985507</v>
      </c>
      <c r="CE110" s="41">
        <f t="shared" si="5"/>
        <v>2804.442028985507</v>
      </c>
      <c r="CF110" s="41">
        <f t="shared" si="5"/>
        <v>382.42391304347825</v>
      </c>
      <c r="CG110" s="41">
        <f t="shared" si="5"/>
        <v>382.42391304347825</v>
      </c>
      <c r="CH110" s="41">
        <f t="shared" si="5"/>
        <v>3250.608695652174</v>
      </c>
      <c r="CI110" s="41">
        <f t="shared" si="5"/>
        <v>3250.608695652174</v>
      </c>
      <c r="CJ110" s="41">
        <f t="shared" si="5"/>
        <v>3250.608695652174</v>
      </c>
      <c r="CK110" s="41">
        <f t="shared" si="5"/>
        <v>3250.608695652174</v>
      </c>
      <c r="CL110" s="41">
        <f t="shared" si="5"/>
        <v>103.25</v>
      </c>
      <c r="CM110" s="41">
        <f t="shared" si="5"/>
        <v>103.25</v>
      </c>
      <c r="CN110" s="41">
        <f t="shared" si="5"/>
        <v>103.25</v>
      </c>
      <c r="CO110" s="41">
        <f t="shared" si="5"/>
        <v>103.25</v>
      </c>
      <c r="CP110" s="41">
        <f t="shared" si="5"/>
        <v>103.25</v>
      </c>
      <c r="CQ110" s="41">
        <f t="shared" si="5"/>
        <v>103.25</v>
      </c>
      <c r="CR110" s="41">
        <f t="shared" si="5"/>
        <v>206.5</v>
      </c>
      <c r="CS110" s="41">
        <f t="shared" si="5"/>
        <v>206.5</v>
      </c>
      <c r="CT110" s="41">
        <f t="shared" si="5"/>
        <v>51.625</v>
      </c>
      <c r="CU110" s="41">
        <f t="shared" si="5"/>
        <v>51.625</v>
      </c>
      <c r="CV110" s="41">
        <f t="shared" si="5"/>
        <v>51.625</v>
      </c>
      <c r="CW110" s="41">
        <f t="shared" si="5"/>
        <v>51.625</v>
      </c>
      <c r="CX110" s="41">
        <f t="shared" si="5"/>
        <v>3059.391304347826</v>
      </c>
      <c r="CY110" s="41">
        <f t="shared" si="5"/>
        <v>3059.391304347826</v>
      </c>
      <c r="CZ110" s="41">
        <f t="shared" si="5"/>
        <v>3059.391304347826</v>
      </c>
      <c r="DA110" s="41">
        <f t="shared" si="5"/>
        <v>68.833333333333343</v>
      </c>
      <c r="DB110" s="41">
        <f t="shared" si="5"/>
        <v>68.833333333333343</v>
      </c>
      <c r="DC110" s="41">
        <f t="shared" si="5"/>
        <v>68.833333333333343</v>
      </c>
      <c r="DD110" s="41">
        <f t="shared" si="5"/>
        <v>68.833333333333343</v>
      </c>
      <c r="DE110" s="41">
        <f t="shared" si="5"/>
        <v>68.833333333333343</v>
      </c>
      <c r="DF110" s="41">
        <f t="shared" si="5"/>
        <v>68.833333333333343</v>
      </c>
      <c r="DG110" s="41">
        <f t="shared" si="5"/>
        <v>764.8478260869565</v>
      </c>
      <c r="DH110" s="41">
        <f t="shared" si="5"/>
        <v>254.94927536231882</v>
      </c>
      <c r="DI110" s="41">
        <f t="shared" si="5"/>
        <v>254.94927536231882</v>
      </c>
      <c r="DJ110" s="41">
        <f t="shared" si="5"/>
        <v>254.94927536231882</v>
      </c>
      <c r="DK110" s="41">
        <f t="shared" si="5"/>
        <v>206.5</v>
      </c>
      <c r="DL110" s="41">
        <f t="shared" si="5"/>
        <v>206.5</v>
      </c>
      <c r="DM110" s="41">
        <f t="shared" si="5"/>
        <v>206.5</v>
      </c>
      <c r="DN110" s="41">
        <f t="shared" si="5"/>
        <v>206.5</v>
      </c>
      <c r="DO110" s="41">
        <f t="shared" si="5"/>
        <v>1784.644927536232</v>
      </c>
      <c r="DP110" s="41">
        <f t="shared" si="5"/>
        <v>1784.644927536232</v>
      </c>
      <c r="DQ110" s="41">
        <f t="shared" si="5"/>
        <v>1784.644927536232</v>
      </c>
      <c r="DR110" s="41">
        <f t="shared" si="5"/>
        <v>206.5</v>
      </c>
      <c r="DS110" s="41">
        <f t="shared" si="5"/>
        <v>206.5</v>
      </c>
      <c r="DT110" s="41">
        <f t="shared" si="5"/>
        <v>206.5</v>
      </c>
      <c r="DU110" s="41">
        <f t="shared" si="5"/>
        <v>206.5</v>
      </c>
      <c r="DV110" s="42">
        <f t="shared" si="5"/>
        <v>206.5</v>
      </c>
      <c r="DY110" s="29" t="s">
        <v>120</v>
      </c>
      <c r="DZ110" s="40">
        <v>32</v>
      </c>
      <c r="EA110" s="41">
        <v>32</v>
      </c>
      <c r="EB110" s="41">
        <v>32</v>
      </c>
      <c r="EC110" s="41">
        <v>32</v>
      </c>
      <c r="ED110" s="41">
        <v>32</v>
      </c>
      <c r="EE110" s="41">
        <v>32</v>
      </c>
      <c r="EF110" s="41">
        <v>32</v>
      </c>
      <c r="EG110" s="41">
        <v>32</v>
      </c>
      <c r="EH110" s="41">
        <v>32</v>
      </c>
      <c r="EI110" s="41">
        <v>32</v>
      </c>
      <c r="EJ110" s="41">
        <v>32</v>
      </c>
      <c r="EK110" s="41">
        <v>32</v>
      </c>
      <c r="EL110" s="41">
        <v>32</v>
      </c>
      <c r="EM110" s="41">
        <v>43</v>
      </c>
      <c r="EN110" s="41">
        <v>43</v>
      </c>
      <c r="EO110" s="41">
        <v>28</v>
      </c>
      <c r="EP110" s="41">
        <v>28</v>
      </c>
      <c r="EQ110" s="41">
        <v>28</v>
      </c>
      <c r="ER110" s="41">
        <v>28</v>
      </c>
      <c r="ES110" s="41">
        <v>28</v>
      </c>
      <c r="ET110" s="41">
        <v>28</v>
      </c>
      <c r="EU110" s="41">
        <v>28</v>
      </c>
      <c r="EV110" s="41">
        <v>28</v>
      </c>
      <c r="EW110" s="41">
        <v>28</v>
      </c>
      <c r="EX110" s="41">
        <v>28</v>
      </c>
      <c r="EY110" s="41">
        <v>28</v>
      </c>
      <c r="EZ110" s="41">
        <v>28</v>
      </c>
      <c r="FA110" s="41">
        <v>28</v>
      </c>
      <c r="FB110" s="41">
        <v>28</v>
      </c>
      <c r="FC110" s="41">
        <v>28</v>
      </c>
      <c r="FD110" s="41">
        <v>28</v>
      </c>
      <c r="FE110" s="41">
        <v>28</v>
      </c>
      <c r="FF110" s="41">
        <v>35</v>
      </c>
      <c r="FG110" s="41">
        <v>35</v>
      </c>
      <c r="FH110" s="41">
        <v>35</v>
      </c>
      <c r="FI110" s="41">
        <v>35</v>
      </c>
      <c r="FJ110" s="41">
        <v>35</v>
      </c>
      <c r="FK110" s="41">
        <v>35</v>
      </c>
      <c r="FL110" s="41">
        <v>35</v>
      </c>
      <c r="FM110" s="41">
        <v>42</v>
      </c>
      <c r="FN110" s="41">
        <v>42</v>
      </c>
      <c r="FO110" s="41">
        <v>42</v>
      </c>
      <c r="FP110" s="41">
        <v>35</v>
      </c>
      <c r="FQ110" s="41">
        <v>35</v>
      </c>
      <c r="FR110" s="41">
        <v>35</v>
      </c>
      <c r="FS110" s="41">
        <v>35</v>
      </c>
      <c r="FT110" s="41">
        <v>34</v>
      </c>
      <c r="FU110" s="41">
        <v>35</v>
      </c>
      <c r="FV110" s="41">
        <v>35</v>
      </c>
      <c r="FW110" s="41">
        <v>44</v>
      </c>
      <c r="FX110" s="41">
        <v>44</v>
      </c>
      <c r="FY110" s="41">
        <v>35</v>
      </c>
      <c r="FZ110" s="41">
        <v>28</v>
      </c>
      <c r="GA110" s="41">
        <v>35</v>
      </c>
      <c r="GB110" s="41">
        <v>35</v>
      </c>
      <c r="GC110" s="41">
        <v>35</v>
      </c>
      <c r="GD110" s="41">
        <v>28</v>
      </c>
      <c r="GE110" s="41">
        <v>28</v>
      </c>
      <c r="GF110" s="41">
        <v>43</v>
      </c>
      <c r="GG110" s="41">
        <v>43</v>
      </c>
      <c r="GH110" s="42">
        <v>43</v>
      </c>
    </row>
    <row r="111" spans="1:190" x14ac:dyDescent="0.3">
      <c r="A111" s="34" t="s">
        <v>1</v>
      </c>
      <c r="B111" s="6">
        <f>BN111*DZ111*B110*2</f>
        <v>0</v>
      </c>
      <c r="C111" s="7">
        <f t="shared" ref="C111:BJ111" si="6">BO111*EA111*C110*2</f>
        <v>475540.11494565214</v>
      </c>
      <c r="D111" s="7">
        <f t="shared" si="6"/>
        <v>475540.11494565214</v>
      </c>
      <c r="E111" s="7">
        <f t="shared" si="6"/>
        <v>475540.11494565214</v>
      </c>
      <c r="F111" s="7">
        <f t="shared" si="6"/>
        <v>475540.11494565214</v>
      </c>
      <c r="G111" s="7">
        <f t="shared" si="6"/>
        <v>475540.11494565214</v>
      </c>
      <c r="H111" s="7">
        <f t="shared" si="6"/>
        <v>475540.11494565214</v>
      </c>
      <c r="I111" s="7">
        <f t="shared" si="6"/>
        <v>475540.11494565214</v>
      </c>
      <c r="J111" s="7">
        <f t="shared" si="6"/>
        <v>8036.9746376811599</v>
      </c>
      <c r="K111" s="7">
        <f t="shared" si="6"/>
        <v>8036.9746376811599</v>
      </c>
      <c r="L111" s="7">
        <f t="shared" si="6"/>
        <v>8036.9746376811599</v>
      </c>
      <c r="M111" s="7">
        <f t="shared" si="6"/>
        <v>8036.9746376811599</v>
      </c>
      <c r="N111" s="7">
        <f t="shared" si="6"/>
        <v>9453.8543478260872</v>
      </c>
      <c r="O111" s="8">
        <f t="shared" si="6"/>
        <v>5047.7654196157737</v>
      </c>
      <c r="P111" s="8">
        <f t="shared" si="6"/>
        <v>5047.7654196157737</v>
      </c>
      <c r="Q111" s="8">
        <f t="shared" si="6"/>
        <v>51565.855072463768</v>
      </c>
      <c r="R111" s="8">
        <f t="shared" si="6"/>
        <v>51565.855072463768</v>
      </c>
      <c r="S111" s="8">
        <f t="shared" si="6"/>
        <v>51565.855072463768</v>
      </c>
      <c r="T111" s="8">
        <f t="shared" si="6"/>
        <v>6957.6708074534172</v>
      </c>
      <c r="U111" s="8">
        <f t="shared" si="6"/>
        <v>6957.6708074534172</v>
      </c>
      <c r="V111" s="8">
        <f t="shared" si="6"/>
        <v>58284.25</v>
      </c>
      <c r="W111" s="8">
        <f t="shared" si="6"/>
        <v>58284.25</v>
      </c>
      <c r="X111" s="8">
        <f t="shared" si="6"/>
        <v>58284.25</v>
      </c>
      <c r="Y111" s="8">
        <f t="shared" si="6"/>
        <v>58284.25</v>
      </c>
      <c r="Z111" s="8">
        <f t="shared" si="6"/>
        <v>1891.4380434782611</v>
      </c>
      <c r="AA111" s="8">
        <f t="shared" si="6"/>
        <v>1891.4380434782611</v>
      </c>
      <c r="AB111" s="8">
        <f t="shared" si="6"/>
        <v>1887.1490683229813</v>
      </c>
      <c r="AC111" s="8">
        <f t="shared" si="6"/>
        <v>1887.1490683229813</v>
      </c>
      <c r="AD111" s="8">
        <f t="shared" si="6"/>
        <v>1962.9209627329194</v>
      </c>
      <c r="AE111" s="8">
        <f t="shared" si="6"/>
        <v>1962.9209627329194</v>
      </c>
      <c r="AF111" s="8">
        <f t="shared" si="6"/>
        <v>3802.891304347826</v>
      </c>
      <c r="AG111" s="8">
        <f t="shared" si="6"/>
        <v>3880.0928571428572</v>
      </c>
      <c r="AH111" s="8">
        <f t="shared" si="6"/>
        <v>986.46428571428578</v>
      </c>
      <c r="AI111" s="8">
        <f t="shared" si="6"/>
        <v>986.46428571428578</v>
      </c>
      <c r="AJ111" s="8">
        <f t="shared" si="6"/>
        <v>986.46428571428578</v>
      </c>
      <c r="AK111" s="8">
        <f t="shared" si="6"/>
        <v>986.46428571428578</v>
      </c>
      <c r="AL111" s="8">
        <f t="shared" si="6"/>
        <v>44054.012422360254</v>
      </c>
      <c r="AM111" s="8">
        <f t="shared" si="6"/>
        <v>44054.012422360254</v>
      </c>
      <c r="AN111" s="8">
        <f t="shared" si="6"/>
        <v>44054.012422360254</v>
      </c>
      <c r="AO111" s="8">
        <f t="shared" si="6"/>
        <v>814.58757763975166</v>
      </c>
      <c r="AP111" s="8">
        <f t="shared" si="6"/>
        <v>814.58757763975166</v>
      </c>
      <c r="AQ111" s="8">
        <f t="shared" si="6"/>
        <v>814.58757763975166</v>
      </c>
      <c r="AR111" s="8">
        <f t="shared" si="6"/>
        <v>1049.1786335403726</v>
      </c>
      <c r="AS111" s="8">
        <f t="shared" si="6"/>
        <v>1049.1786335403726</v>
      </c>
      <c r="AT111" s="8">
        <f t="shared" si="6"/>
        <v>1049.1786335403726</v>
      </c>
      <c r="AU111" s="8">
        <f t="shared" si="6"/>
        <v>11039.080745341616</v>
      </c>
      <c r="AV111" s="8">
        <f t="shared" si="6"/>
        <v>4081.5345268542196</v>
      </c>
      <c r="AW111" s="8">
        <f t="shared" si="6"/>
        <v>3964.9192546583849</v>
      </c>
      <c r="AX111" s="8">
        <f t="shared" si="6"/>
        <v>3964.9192546583849</v>
      </c>
      <c r="AY111" s="8">
        <f t="shared" si="6"/>
        <v>2700.2347826086957</v>
      </c>
      <c r="AZ111" s="8">
        <f t="shared" si="6"/>
        <v>3271.5782608695654</v>
      </c>
      <c r="BA111" s="8">
        <f t="shared" si="6"/>
        <v>3458.6295652173912</v>
      </c>
      <c r="BB111" s="8">
        <f t="shared" si="6"/>
        <v>3708.5338509316766</v>
      </c>
      <c r="BC111" s="8">
        <f t="shared" si="6"/>
        <v>25797.067080745343</v>
      </c>
      <c r="BD111" s="8">
        <f t="shared" si="6"/>
        <v>25797.067080745343</v>
      </c>
      <c r="BE111" s="8">
        <f t="shared" si="6"/>
        <v>25797.067080745343</v>
      </c>
      <c r="BF111" s="8">
        <f t="shared" si="6"/>
        <v>4154.5872670807457</v>
      </c>
      <c r="BG111" s="8">
        <f t="shared" si="6"/>
        <v>3831.4844720496899</v>
      </c>
      <c r="BH111" s="8">
        <f t="shared" si="6"/>
        <v>2749.9977755308391</v>
      </c>
      <c r="BI111" s="8">
        <f t="shared" si="6"/>
        <v>2560.085945399393</v>
      </c>
      <c r="BJ111" s="9">
        <f t="shared" si="6"/>
        <v>2749.9977755308391</v>
      </c>
      <c r="BM111" s="34" t="s">
        <v>1</v>
      </c>
      <c r="BN111" s="6"/>
      <c r="BO111" s="7">
        <v>1283</v>
      </c>
      <c r="BP111" s="7">
        <v>1283</v>
      </c>
      <c r="BQ111" s="7">
        <v>1283</v>
      </c>
      <c r="BR111" s="7">
        <v>1283</v>
      </c>
      <c r="BS111" s="7">
        <v>1283</v>
      </c>
      <c r="BT111" s="7">
        <v>1283</v>
      </c>
      <c r="BU111" s="7">
        <v>1283</v>
      </c>
      <c r="BV111" s="7">
        <v>1301</v>
      </c>
      <c r="BW111" s="7">
        <v>1301</v>
      </c>
      <c r="BX111" s="7">
        <v>1301</v>
      </c>
      <c r="BY111" s="7">
        <v>1301</v>
      </c>
      <c r="BZ111" s="7">
        <v>1417</v>
      </c>
      <c r="CA111" s="8">
        <v>1464</v>
      </c>
      <c r="CB111" s="8">
        <v>1464</v>
      </c>
      <c r="CC111" s="8">
        <v>1328</v>
      </c>
      <c r="CD111" s="8">
        <v>1328</v>
      </c>
      <c r="CE111" s="8">
        <v>1328</v>
      </c>
      <c r="CF111" s="8">
        <v>1314</v>
      </c>
      <c r="CG111" s="8">
        <v>1314</v>
      </c>
      <c r="CH111" s="8">
        <v>1295</v>
      </c>
      <c r="CI111" s="8">
        <v>1295</v>
      </c>
      <c r="CJ111" s="8">
        <v>1295</v>
      </c>
      <c r="CK111" s="8">
        <v>1295</v>
      </c>
      <c r="CL111" s="8">
        <v>1323</v>
      </c>
      <c r="CM111" s="8">
        <v>1323</v>
      </c>
      <c r="CN111" s="8">
        <v>1320</v>
      </c>
      <c r="CO111" s="8">
        <v>1320</v>
      </c>
      <c r="CP111" s="8">
        <v>1373</v>
      </c>
      <c r="CQ111" s="8">
        <v>1373</v>
      </c>
      <c r="CR111" s="8">
        <v>1330</v>
      </c>
      <c r="CS111" s="8">
        <v>1357</v>
      </c>
      <c r="CT111" s="8">
        <v>1725</v>
      </c>
      <c r="CU111" s="8">
        <v>1725</v>
      </c>
      <c r="CV111" s="8">
        <v>1725</v>
      </c>
      <c r="CW111" s="8">
        <v>1725</v>
      </c>
      <c r="CX111" s="8">
        <v>1300</v>
      </c>
      <c r="CY111" s="8">
        <v>1300</v>
      </c>
      <c r="CZ111" s="8">
        <v>1300</v>
      </c>
      <c r="DA111" s="8">
        <v>1282</v>
      </c>
      <c r="DB111" s="8">
        <v>1282</v>
      </c>
      <c r="DC111" s="8">
        <v>1282</v>
      </c>
      <c r="DD111" s="8">
        <v>1376</v>
      </c>
      <c r="DE111" s="8">
        <v>1376</v>
      </c>
      <c r="DF111" s="8">
        <v>1376</v>
      </c>
      <c r="DG111" s="8">
        <v>1303</v>
      </c>
      <c r="DH111" s="8">
        <v>1404</v>
      </c>
      <c r="DI111" s="8">
        <v>1404</v>
      </c>
      <c r="DJ111" s="8">
        <v>1404</v>
      </c>
      <c r="DK111" s="8">
        <v>1484</v>
      </c>
      <c r="DL111" s="8">
        <v>1798</v>
      </c>
      <c r="DM111" s="8">
        <v>1512</v>
      </c>
      <c r="DN111" s="8">
        <v>1297</v>
      </c>
      <c r="DO111" s="8">
        <v>1305</v>
      </c>
      <c r="DP111" s="8">
        <v>1305</v>
      </c>
      <c r="DQ111" s="8">
        <v>1305</v>
      </c>
      <c r="DR111" s="8">
        <v>1453</v>
      </c>
      <c r="DS111" s="8">
        <v>1340</v>
      </c>
      <c r="DT111" s="8">
        <v>1477</v>
      </c>
      <c r="DU111" s="8">
        <v>1375</v>
      </c>
      <c r="DV111" s="9">
        <v>1477</v>
      </c>
      <c r="DY111" s="34" t="s">
        <v>1</v>
      </c>
      <c r="DZ111" s="6">
        <v>0.6</v>
      </c>
      <c r="EA111" s="7">
        <f t="shared" ref="DZ111:EL123" si="7">0.2/12</f>
        <v>1.6666666666666666E-2</v>
      </c>
      <c r="EB111" s="7">
        <f t="shared" si="7"/>
        <v>1.6666666666666666E-2</v>
      </c>
      <c r="EC111" s="7">
        <f t="shared" si="7"/>
        <v>1.6666666666666666E-2</v>
      </c>
      <c r="ED111" s="7">
        <f t="shared" si="7"/>
        <v>1.6666666666666666E-2</v>
      </c>
      <c r="EE111" s="7">
        <f t="shared" si="7"/>
        <v>1.6666666666666666E-2</v>
      </c>
      <c r="EF111" s="7">
        <f t="shared" si="7"/>
        <v>1.6666666666666666E-2</v>
      </c>
      <c r="EG111" s="7">
        <f t="shared" si="7"/>
        <v>1.6666666666666666E-2</v>
      </c>
      <c r="EH111" s="7">
        <f t="shared" si="7"/>
        <v>1.6666666666666666E-2</v>
      </c>
      <c r="EI111" s="7">
        <f t="shared" si="7"/>
        <v>1.6666666666666666E-2</v>
      </c>
      <c r="EJ111" s="7">
        <f t="shared" si="7"/>
        <v>1.6666666666666666E-2</v>
      </c>
      <c r="EK111" s="7">
        <f t="shared" si="7"/>
        <v>1.6666666666666666E-2</v>
      </c>
      <c r="EL111" s="7">
        <f>0.2/12</f>
        <v>1.6666666666666666E-2</v>
      </c>
      <c r="EM111" s="8">
        <f>0.2/43</f>
        <v>4.6511627906976744E-3</v>
      </c>
      <c r="EN111" s="8">
        <v>4.6511627906976744E-3</v>
      </c>
      <c r="EO111" s="8">
        <f>0.2/28</f>
        <v>7.1428571428571435E-3</v>
      </c>
      <c r="EP111" s="8">
        <v>7.1428571428571435E-3</v>
      </c>
      <c r="EQ111" s="8">
        <v>7.1428571428571435E-3</v>
      </c>
      <c r="ER111" s="8">
        <v>7.1428571428571435E-3</v>
      </c>
      <c r="ES111" s="8">
        <v>7.1428571428571435E-3</v>
      </c>
      <c r="ET111" s="8">
        <v>7.1428571428571435E-3</v>
      </c>
      <c r="EU111" s="8">
        <v>7.1428571428571435E-3</v>
      </c>
      <c r="EV111" s="8">
        <v>7.1428571428571435E-3</v>
      </c>
      <c r="EW111" s="8">
        <v>7.1428571428571435E-3</v>
      </c>
      <c r="EX111" s="8">
        <v>7.1428571428571435E-3</v>
      </c>
      <c r="EY111" s="8">
        <v>7.1428571428571435E-3</v>
      </c>
      <c r="EZ111" s="8">
        <v>7.1428571428571435E-3</v>
      </c>
      <c r="FA111" s="8">
        <v>7.1428571428571435E-3</v>
      </c>
      <c r="FB111" s="8">
        <v>7.1428571428571435E-3</v>
      </c>
      <c r="FC111" s="8">
        <v>7.1428571428571435E-3</v>
      </c>
      <c r="FD111" s="8">
        <v>7.1428571428571435E-3</v>
      </c>
      <c r="FE111" s="8">
        <v>7.1428571428571435E-3</v>
      </c>
      <c r="FF111" s="8">
        <f>0.2/35</f>
        <v>5.7142857142857143E-3</v>
      </c>
      <c r="FG111" s="8">
        <v>5.7142857142857143E-3</v>
      </c>
      <c r="FH111" s="8">
        <v>5.7142857142857143E-3</v>
      </c>
      <c r="FI111" s="8">
        <v>5.7142857142857143E-3</v>
      </c>
      <c r="FJ111" s="8">
        <v>5.7142857142857143E-3</v>
      </c>
      <c r="FK111" s="8">
        <v>5.7142857142857143E-3</v>
      </c>
      <c r="FL111" s="8">
        <v>5.7142857142857143E-3</v>
      </c>
      <c r="FM111" s="8">
        <f>0.2/42</f>
        <v>4.7619047619047623E-3</v>
      </c>
      <c r="FN111" s="8">
        <v>4.7619047619047623E-3</v>
      </c>
      <c r="FO111" s="8">
        <v>4.7619047619047623E-3</v>
      </c>
      <c r="FP111" s="8">
        <f>0.2/35</f>
        <v>5.7142857142857143E-3</v>
      </c>
      <c r="FQ111" s="8">
        <v>5.7142857142857143E-3</v>
      </c>
      <c r="FR111" s="8">
        <v>5.7142857142857143E-3</v>
      </c>
      <c r="FS111" s="8">
        <v>5.7142857142857143E-3</v>
      </c>
      <c r="FT111" s="8">
        <f>0.2/34</f>
        <v>5.8823529411764705E-3</v>
      </c>
      <c r="FU111" s="8">
        <v>5.7142857142857143E-3</v>
      </c>
      <c r="FV111" s="8">
        <v>5.7142857142857143E-3</v>
      </c>
      <c r="FW111" s="8">
        <f>0.2/44</f>
        <v>4.5454545454545461E-3</v>
      </c>
      <c r="FX111" s="8">
        <v>4.5454545454545461E-3</v>
      </c>
      <c r="FY111" s="8">
        <f>0.2/35</f>
        <v>5.7142857142857143E-3</v>
      </c>
      <c r="FZ111" s="8">
        <f>0.2/28</f>
        <v>7.1428571428571435E-3</v>
      </c>
      <c r="GA111" s="8">
        <v>5.7142857142857143E-3</v>
      </c>
      <c r="GB111" s="8">
        <v>5.7142857142857143E-3</v>
      </c>
      <c r="GC111" s="8">
        <v>5.7142857142857143E-3</v>
      </c>
      <c r="GD111" s="8">
        <v>7.1428571428571435E-3</v>
      </c>
      <c r="GE111" s="8">
        <v>7.1428571428571435E-3</v>
      </c>
      <c r="GF111" s="8">
        <f>0.2/43</f>
        <v>4.6511627906976744E-3</v>
      </c>
      <c r="GG111" s="8">
        <v>4.6511627906976744E-3</v>
      </c>
      <c r="GH111" s="9">
        <v>4.6511627906976744E-3</v>
      </c>
    </row>
    <row r="112" spans="1:190" x14ac:dyDescent="0.3">
      <c r="A112" s="35" t="s">
        <v>2</v>
      </c>
      <c r="B112" s="11">
        <f>BN112*DZ112*B110*2</f>
        <v>475540.11494565214</v>
      </c>
      <c r="C112" s="12">
        <f t="shared" ref="C112:BJ112" si="8">BO112*EA112*C110*2</f>
        <v>0</v>
      </c>
      <c r="D112" s="13">
        <f t="shared" si="8"/>
        <v>475540.11494565214</v>
      </c>
      <c r="E112" s="13">
        <f t="shared" si="8"/>
        <v>475540.11494565214</v>
      </c>
      <c r="F112" s="13">
        <f t="shared" si="8"/>
        <v>475540.11494565214</v>
      </c>
      <c r="G112" s="13">
        <f t="shared" si="8"/>
        <v>475540.11494565214</v>
      </c>
      <c r="H112" s="13">
        <f t="shared" si="8"/>
        <v>475540.11494565214</v>
      </c>
      <c r="I112" s="13">
        <f t="shared" si="8"/>
        <v>475540.11494565214</v>
      </c>
      <c r="J112" s="13">
        <f t="shared" si="8"/>
        <v>8036.9746376811599</v>
      </c>
      <c r="K112" s="13">
        <f t="shared" si="8"/>
        <v>8036.9746376811599</v>
      </c>
      <c r="L112" s="13">
        <f t="shared" si="8"/>
        <v>8036.9746376811599</v>
      </c>
      <c r="M112" s="13">
        <f t="shared" si="8"/>
        <v>8036.9746376811599</v>
      </c>
      <c r="N112" s="13">
        <f t="shared" si="8"/>
        <v>9453.8543478260872</v>
      </c>
      <c r="O112" s="14">
        <f t="shared" si="8"/>
        <v>5047.7654196157737</v>
      </c>
      <c r="P112" s="14">
        <f t="shared" si="8"/>
        <v>5047.7654196157737</v>
      </c>
      <c r="Q112" s="14">
        <f t="shared" si="8"/>
        <v>51565.855072463768</v>
      </c>
      <c r="R112" s="14">
        <f t="shared" si="8"/>
        <v>51565.855072463768</v>
      </c>
      <c r="S112" s="14">
        <f t="shared" si="8"/>
        <v>51565.855072463768</v>
      </c>
      <c r="T112" s="14">
        <f t="shared" si="8"/>
        <v>6957.6708074534172</v>
      </c>
      <c r="U112" s="14">
        <f t="shared" si="8"/>
        <v>6957.6708074534172</v>
      </c>
      <c r="V112" s="14">
        <f t="shared" si="8"/>
        <v>58284.25</v>
      </c>
      <c r="W112" s="14">
        <f t="shared" si="8"/>
        <v>58284.25</v>
      </c>
      <c r="X112" s="14">
        <f t="shared" si="8"/>
        <v>58284.25</v>
      </c>
      <c r="Y112" s="14">
        <f t="shared" si="8"/>
        <v>58284.25</v>
      </c>
      <c r="Z112" s="14">
        <f t="shared" si="8"/>
        <v>1891.4380434782611</v>
      </c>
      <c r="AA112" s="14">
        <f t="shared" si="8"/>
        <v>1891.4380434782611</v>
      </c>
      <c r="AB112" s="14">
        <f t="shared" si="8"/>
        <v>1887.1490683229813</v>
      </c>
      <c r="AC112" s="14">
        <f t="shared" si="8"/>
        <v>1887.1490683229813</v>
      </c>
      <c r="AD112" s="14">
        <f t="shared" si="8"/>
        <v>1962.9209627329194</v>
      </c>
      <c r="AE112" s="14">
        <f t="shared" si="8"/>
        <v>1962.9209627329194</v>
      </c>
      <c r="AF112" s="14">
        <f t="shared" si="8"/>
        <v>3802.891304347826</v>
      </c>
      <c r="AG112" s="14">
        <f t="shared" si="8"/>
        <v>3880.0928571428572</v>
      </c>
      <c r="AH112" s="14">
        <f t="shared" si="8"/>
        <v>986.46428571428578</v>
      </c>
      <c r="AI112" s="14">
        <f t="shared" si="8"/>
        <v>986.46428571428578</v>
      </c>
      <c r="AJ112" s="14">
        <f t="shared" si="8"/>
        <v>986.46428571428578</v>
      </c>
      <c r="AK112" s="14">
        <f t="shared" si="8"/>
        <v>986.46428571428578</v>
      </c>
      <c r="AL112" s="14">
        <f t="shared" si="8"/>
        <v>44054.012422360254</v>
      </c>
      <c r="AM112" s="14">
        <f t="shared" si="8"/>
        <v>44054.012422360254</v>
      </c>
      <c r="AN112" s="14">
        <f t="shared" si="8"/>
        <v>44054.012422360254</v>
      </c>
      <c r="AO112" s="14">
        <f t="shared" si="8"/>
        <v>814.58757763975166</v>
      </c>
      <c r="AP112" s="14">
        <f t="shared" si="8"/>
        <v>814.58757763975166</v>
      </c>
      <c r="AQ112" s="14">
        <f t="shared" si="8"/>
        <v>814.58757763975166</v>
      </c>
      <c r="AR112" s="14">
        <f t="shared" si="8"/>
        <v>1049.1786335403726</v>
      </c>
      <c r="AS112" s="14">
        <f t="shared" si="8"/>
        <v>1049.1786335403726</v>
      </c>
      <c r="AT112" s="14">
        <f t="shared" si="8"/>
        <v>1049.1786335403726</v>
      </c>
      <c r="AU112" s="14">
        <f t="shared" si="8"/>
        <v>11039.080745341616</v>
      </c>
      <c r="AV112" s="14">
        <f t="shared" si="8"/>
        <v>4081.5345268542196</v>
      </c>
      <c r="AW112" s="14">
        <f t="shared" si="8"/>
        <v>3964.9192546583849</v>
      </c>
      <c r="AX112" s="14">
        <f t="shared" si="8"/>
        <v>3964.9192546583849</v>
      </c>
      <c r="AY112" s="14">
        <f t="shared" si="8"/>
        <v>2700.2347826086957</v>
      </c>
      <c r="AZ112" s="14">
        <f t="shared" si="8"/>
        <v>3271.5782608695654</v>
      </c>
      <c r="BA112" s="14">
        <f t="shared" si="8"/>
        <v>3458.6295652173912</v>
      </c>
      <c r="BB112" s="14">
        <f t="shared" si="8"/>
        <v>3708.5338509316766</v>
      </c>
      <c r="BC112" s="14">
        <f t="shared" si="8"/>
        <v>25797.067080745343</v>
      </c>
      <c r="BD112" s="14">
        <f t="shared" si="8"/>
        <v>25797.067080745343</v>
      </c>
      <c r="BE112" s="14">
        <f t="shared" si="8"/>
        <v>25797.067080745343</v>
      </c>
      <c r="BF112" s="14">
        <f t="shared" si="8"/>
        <v>4154.5872670807457</v>
      </c>
      <c r="BG112" s="14">
        <f t="shared" si="8"/>
        <v>3831.4844720496899</v>
      </c>
      <c r="BH112" s="14">
        <f t="shared" si="8"/>
        <v>2749.9977755308391</v>
      </c>
      <c r="BI112" s="14">
        <f t="shared" si="8"/>
        <v>2560.085945399393</v>
      </c>
      <c r="BJ112" s="15">
        <f t="shared" si="8"/>
        <v>2749.9977755308391</v>
      </c>
      <c r="BM112" s="35" t="s">
        <v>2</v>
      </c>
      <c r="BN112" s="11">
        <v>1283</v>
      </c>
      <c r="BO112" s="12"/>
      <c r="BP112" s="13">
        <v>1283</v>
      </c>
      <c r="BQ112" s="13">
        <v>1283</v>
      </c>
      <c r="BR112" s="13">
        <v>1283</v>
      </c>
      <c r="BS112" s="13">
        <v>1283</v>
      </c>
      <c r="BT112" s="13">
        <v>1283</v>
      </c>
      <c r="BU112" s="13">
        <v>1283</v>
      </c>
      <c r="BV112" s="13">
        <v>1301</v>
      </c>
      <c r="BW112" s="13">
        <v>1301</v>
      </c>
      <c r="BX112" s="13">
        <v>1301</v>
      </c>
      <c r="BY112" s="13">
        <v>1301</v>
      </c>
      <c r="BZ112" s="13">
        <v>1417</v>
      </c>
      <c r="CA112" s="14">
        <v>1464</v>
      </c>
      <c r="CB112" s="14">
        <v>1464</v>
      </c>
      <c r="CC112" s="14">
        <v>1328</v>
      </c>
      <c r="CD112" s="14">
        <v>1328</v>
      </c>
      <c r="CE112" s="14">
        <v>1328</v>
      </c>
      <c r="CF112" s="14">
        <v>1314</v>
      </c>
      <c r="CG112" s="14">
        <v>1314</v>
      </c>
      <c r="CH112" s="14">
        <v>1295</v>
      </c>
      <c r="CI112" s="14">
        <v>1295</v>
      </c>
      <c r="CJ112" s="14">
        <v>1295</v>
      </c>
      <c r="CK112" s="14">
        <v>1295</v>
      </c>
      <c r="CL112" s="14">
        <v>1323</v>
      </c>
      <c r="CM112" s="14">
        <v>1323</v>
      </c>
      <c r="CN112" s="14">
        <v>1320</v>
      </c>
      <c r="CO112" s="14">
        <v>1320</v>
      </c>
      <c r="CP112" s="14">
        <v>1373</v>
      </c>
      <c r="CQ112" s="14">
        <v>1373</v>
      </c>
      <c r="CR112" s="14">
        <v>1330</v>
      </c>
      <c r="CS112" s="14">
        <v>1357</v>
      </c>
      <c r="CT112" s="14">
        <v>1725</v>
      </c>
      <c r="CU112" s="14">
        <v>1725</v>
      </c>
      <c r="CV112" s="14">
        <v>1725</v>
      </c>
      <c r="CW112" s="14">
        <v>1725</v>
      </c>
      <c r="CX112" s="14">
        <v>1300</v>
      </c>
      <c r="CY112" s="14">
        <v>1300</v>
      </c>
      <c r="CZ112" s="14">
        <v>1300</v>
      </c>
      <c r="DA112" s="14">
        <v>1282</v>
      </c>
      <c r="DB112" s="14">
        <v>1282</v>
      </c>
      <c r="DC112" s="14">
        <v>1282</v>
      </c>
      <c r="DD112" s="14">
        <v>1376</v>
      </c>
      <c r="DE112" s="14">
        <v>1376</v>
      </c>
      <c r="DF112" s="14">
        <v>1376</v>
      </c>
      <c r="DG112" s="14">
        <v>1303</v>
      </c>
      <c r="DH112" s="14">
        <v>1404</v>
      </c>
      <c r="DI112" s="14">
        <v>1404</v>
      </c>
      <c r="DJ112" s="14">
        <v>1404</v>
      </c>
      <c r="DK112" s="14">
        <v>1484</v>
      </c>
      <c r="DL112" s="14">
        <v>1798</v>
      </c>
      <c r="DM112" s="14">
        <v>1512</v>
      </c>
      <c r="DN112" s="14">
        <v>1297</v>
      </c>
      <c r="DO112" s="14">
        <v>1305</v>
      </c>
      <c r="DP112" s="14">
        <v>1305</v>
      </c>
      <c r="DQ112" s="14">
        <v>1305</v>
      </c>
      <c r="DR112" s="14">
        <v>1453</v>
      </c>
      <c r="DS112" s="14">
        <v>1340</v>
      </c>
      <c r="DT112" s="14">
        <v>1477</v>
      </c>
      <c r="DU112" s="14">
        <v>1375</v>
      </c>
      <c r="DV112" s="15">
        <v>1477</v>
      </c>
      <c r="DY112" s="35" t="s">
        <v>2</v>
      </c>
      <c r="DZ112" s="11">
        <f>0.2/12</f>
        <v>1.6666666666666666E-2</v>
      </c>
      <c r="EA112" s="12">
        <v>0.6</v>
      </c>
      <c r="EB112" s="13">
        <f t="shared" si="7"/>
        <v>1.6666666666666666E-2</v>
      </c>
      <c r="EC112" s="13">
        <f t="shared" si="7"/>
        <v>1.6666666666666666E-2</v>
      </c>
      <c r="ED112" s="13">
        <f t="shared" si="7"/>
        <v>1.6666666666666666E-2</v>
      </c>
      <c r="EE112" s="13">
        <f t="shared" si="7"/>
        <v>1.6666666666666666E-2</v>
      </c>
      <c r="EF112" s="13">
        <f t="shared" si="7"/>
        <v>1.6666666666666666E-2</v>
      </c>
      <c r="EG112" s="13">
        <f t="shared" si="7"/>
        <v>1.6666666666666666E-2</v>
      </c>
      <c r="EH112" s="13">
        <f t="shared" si="7"/>
        <v>1.6666666666666666E-2</v>
      </c>
      <c r="EI112" s="13">
        <f t="shared" si="7"/>
        <v>1.6666666666666666E-2</v>
      </c>
      <c r="EJ112" s="13">
        <f t="shared" si="7"/>
        <v>1.6666666666666666E-2</v>
      </c>
      <c r="EK112" s="13">
        <f t="shared" si="7"/>
        <v>1.6666666666666666E-2</v>
      </c>
      <c r="EL112" s="13">
        <f t="shared" si="7"/>
        <v>1.6666666666666666E-2</v>
      </c>
      <c r="EM112" s="14">
        <v>4.6511627906976744E-3</v>
      </c>
      <c r="EN112" s="14">
        <v>4.6511627906976744E-3</v>
      </c>
      <c r="EO112" s="14">
        <v>7.1428571428571435E-3</v>
      </c>
      <c r="EP112" s="14">
        <v>7.1428571428571435E-3</v>
      </c>
      <c r="EQ112" s="14">
        <v>7.1428571428571435E-3</v>
      </c>
      <c r="ER112" s="14">
        <v>7.1428571428571435E-3</v>
      </c>
      <c r="ES112" s="14">
        <v>7.1428571428571435E-3</v>
      </c>
      <c r="ET112" s="14">
        <v>7.1428571428571435E-3</v>
      </c>
      <c r="EU112" s="14">
        <v>7.1428571428571435E-3</v>
      </c>
      <c r="EV112" s="14">
        <v>7.1428571428571435E-3</v>
      </c>
      <c r="EW112" s="14">
        <v>7.1428571428571435E-3</v>
      </c>
      <c r="EX112" s="14">
        <v>7.1428571428571435E-3</v>
      </c>
      <c r="EY112" s="14">
        <v>7.1428571428571435E-3</v>
      </c>
      <c r="EZ112" s="14">
        <v>7.1428571428571435E-3</v>
      </c>
      <c r="FA112" s="14">
        <v>7.1428571428571435E-3</v>
      </c>
      <c r="FB112" s="14">
        <v>7.1428571428571435E-3</v>
      </c>
      <c r="FC112" s="14">
        <v>7.1428571428571435E-3</v>
      </c>
      <c r="FD112" s="14">
        <v>7.1428571428571435E-3</v>
      </c>
      <c r="FE112" s="14">
        <v>7.1428571428571435E-3</v>
      </c>
      <c r="FF112" s="14">
        <v>5.7142857142857143E-3</v>
      </c>
      <c r="FG112" s="14">
        <v>5.7142857142857143E-3</v>
      </c>
      <c r="FH112" s="14">
        <v>5.7142857142857143E-3</v>
      </c>
      <c r="FI112" s="14">
        <v>5.7142857142857143E-3</v>
      </c>
      <c r="FJ112" s="14">
        <v>5.7142857142857143E-3</v>
      </c>
      <c r="FK112" s="14">
        <v>5.7142857142857143E-3</v>
      </c>
      <c r="FL112" s="14">
        <v>5.7142857142857143E-3</v>
      </c>
      <c r="FM112" s="14">
        <v>4.7619047619047623E-3</v>
      </c>
      <c r="FN112" s="14">
        <v>4.7619047619047623E-3</v>
      </c>
      <c r="FO112" s="14">
        <v>4.7619047619047623E-3</v>
      </c>
      <c r="FP112" s="14">
        <v>5.7142857142857143E-3</v>
      </c>
      <c r="FQ112" s="14">
        <v>5.7142857142857143E-3</v>
      </c>
      <c r="FR112" s="14">
        <v>5.7142857142857143E-3</v>
      </c>
      <c r="FS112" s="14">
        <v>5.7142857142857143E-3</v>
      </c>
      <c r="FT112" s="14">
        <v>5.8823529411764705E-3</v>
      </c>
      <c r="FU112" s="14">
        <v>5.7142857142857143E-3</v>
      </c>
      <c r="FV112" s="14">
        <v>5.7142857142857143E-3</v>
      </c>
      <c r="FW112" s="14">
        <v>4.5454545454545461E-3</v>
      </c>
      <c r="FX112" s="14">
        <v>4.5454545454545461E-3</v>
      </c>
      <c r="FY112" s="14">
        <v>5.7142857142857143E-3</v>
      </c>
      <c r="FZ112" s="14">
        <v>7.1428571428571435E-3</v>
      </c>
      <c r="GA112" s="14">
        <v>5.7142857142857143E-3</v>
      </c>
      <c r="GB112" s="14">
        <v>5.7142857142857143E-3</v>
      </c>
      <c r="GC112" s="14">
        <v>5.7142857142857143E-3</v>
      </c>
      <c r="GD112" s="14">
        <v>7.1428571428571435E-3</v>
      </c>
      <c r="GE112" s="14">
        <v>7.1428571428571435E-3</v>
      </c>
      <c r="GF112" s="14">
        <v>4.6511627906976744E-3</v>
      </c>
      <c r="GG112" s="14">
        <v>4.6511627906976744E-3</v>
      </c>
      <c r="GH112" s="15">
        <v>4.6511627906976744E-3</v>
      </c>
    </row>
    <row r="113" spans="1:190" x14ac:dyDescent="0.3">
      <c r="A113" s="35" t="s">
        <v>3</v>
      </c>
      <c r="B113" s="11">
        <f>BN113*DZ113*B110*2</f>
        <v>475540.11494565214</v>
      </c>
      <c r="C113" s="13">
        <f t="shared" ref="C113:BJ113" si="9">BO113*EA113*C110*2</f>
        <v>475540.11494565214</v>
      </c>
      <c r="D113" s="12">
        <f t="shared" si="9"/>
        <v>0</v>
      </c>
      <c r="E113" s="13">
        <f t="shared" si="9"/>
        <v>475540.11494565214</v>
      </c>
      <c r="F113" s="13">
        <f t="shared" si="9"/>
        <v>475540.11494565214</v>
      </c>
      <c r="G113" s="13">
        <f t="shared" si="9"/>
        <v>475540.11494565214</v>
      </c>
      <c r="H113" s="13">
        <f t="shared" si="9"/>
        <v>475540.11494565214</v>
      </c>
      <c r="I113" s="13">
        <f t="shared" si="9"/>
        <v>475540.11494565214</v>
      </c>
      <c r="J113" s="13">
        <f t="shared" si="9"/>
        <v>8036.9746376811599</v>
      </c>
      <c r="K113" s="13">
        <f t="shared" si="9"/>
        <v>8036.9746376811599</v>
      </c>
      <c r="L113" s="13">
        <f t="shared" si="9"/>
        <v>8036.9746376811599</v>
      </c>
      <c r="M113" s="13">
        <f t="shared" si="9"/>
        <v>8036.9746376811599</v>
      </c>
      <c r="N113" s="13">
        <f t="shared" si="9"/>
        <v>9453.8543478260872</v>
      </c>
      <c r="O113" s="14">
        <f t="shared" si="9"/>
        <v>5047.7654196157737</v>
      </c>
      <c r="P113" s="14">
        <f t="shared" si="9"/>
        <v>5047.7654196157737</v>
      </c>
      <c r="Q113" s="14">
        <f t="shared" si="9"/>
        <v>51565.855072463768</v>
      </c>
      <c r="R113" s="14">
        <f t="shared" si="9"/>
        <v>51565.855072463768</v>
      </c>
      <c r="S113" s="14">
        <f t="shared" si="9"/>
        <v>51565.855072463768</v>
      </c>
      <c r="T113" s="14">
        <f t="shared" si="9"/>
        <v>6957.6708074534172</v>
      </c>
      <c r="U113" s="14">
        <f t="shared" si="9"/>
        <v>6957.6708074534172</v>
      </c>
      <c r="V113" s="14">
        <f t="shared" si="9"/>
        <v>58284.25</v>
      </c>
      <c r="W113" s="14">
        <f t="shared" si="9"/>
        <v>58284.25</v>
      </c>
      <c r="X113" s="14">
        <f t="shared" si="9"/>
        <v>58284.25</v>
      </c>
      <c r="Y113" s="14">
        <f t="shared" si="9"/>
        <v>58284.25</v>
      </c>
      <c r="Z113" s="14">
        <f t="shared" si="9"/>
        <v>1891.4380434782611</v>
      </c>
      <c r="AA113" s="14">
        <f t="shared" si="9"/>
        <v>1891.4380434782611</v>
      </c>
      <c r="AB113" s="14">
        <f t="shared" si="9"/>
        <v>1887.1490683229813</v>
      </c>
      <c r="AC113" s="14">
        <f t="shared" si="9"/>
        <v>1887.1490683229813</v>
      </c>
      <c r="AD113" s="14">
        <f t="shared" si="9"/>
        <v>1962.9209627329194</v>
      </c>
      <c r="AE113" s="14">
        <f t="shared" si="9"/>
        <v>1962.9209627329194</v>
      </c>
      <c r="AF113" s="14">
        <f t="shared" si="9"/>
        <v>3802.891304347826</v>
      </c>
      <c r="AG113" s="14">
        <f t="shared" si="9"/>
        <v>3880.0928571428572</v>
      </c>
      <c r="AH113" s="14">
        <f t="shared" si="9"/>
        <v>986.46428571428578</v>
      </c>
      <c r="AI113" s="14">
        <f t="shared" si="9"/>
        <v>986.46428571428578</v>
      </c>
      <c r="AJ113" s="14">
        <f t="shared" si="9"/>
        <v>986.46428571428578</v>
      </c>
      <c r="AK113" s="14">
        <f t="shared" si="9"/>
        <v>986.46428571428578</v>
      </c>
      <c r="AL113" s="14">
        <f t="shared" si="9"/>
        <v>44054.012422360254</v>
      </c>
      <c r="AM113" s="14">
        <f t="shared" si="9"/>
        <v>44054.012422360254</v>
      </c>
      <c r="AN113" s="14">
        <f t="shared" si="9"/>
        <v>44054.012422360254</v>
      </c>
      <c r="AO113" s="14">
        <f t="shared" si="9"/>
        <v>814.58757763975166</v>
      </c>
      <c r="AP113" s="14">
        <f t="shared" si="9"/>
        <v>814.58757763975166</v>
      </c>
      <c r="AQ113" s="14">
        <f t="shared" si="9"/>
        <v>814.58757763975166</v>
      </c>
      <c r="AR113" s="14">
        <f t="shared" si="9"/>
        <v>1049.1786335403726</v>
      </c>
      <c r="AS113" s="14">
        <f t="shared" si="9"/>
        <v>1049.1786335403726</v>
      </c>
      <c r="AT113" s="14">
        <f t="shared" si="9"/>
        <v>1049.1786335403726</v>
      </c>
      <c r="AU113" s="14">
        <f t="shared" si="9"/>
        <v>11039.080745341616</v>
      </c>
      <c r="AV113" s="14">
        <f t="shared" si="9"/>
        <v>4081.5345268542196</v>
      </c>
      <c r="AW113" s="14">
        <f t="shared" si="9"/>
        <v>3964.9192546583849</v>
      </c>
      <c r="AX113" s="14">
        <f t="shared" si="9"/>
        <v>3964.9192546583849</v>
      </c>
      <c r="AY113" s="14">
        <f t="shared" si="9"/>
        <v>2700.2347826086957</v>
      </c>
      <c r="AZ113" s="14">
        <f t="shared" si="9"/>
        <v>3271.5782608695654</v>
      </c>
      <c r="BA113" s="14">
        <f t="shared" si="9"/>
        <v>3458.6295652173912</v>
      </c>
      <c r="BB113" s="14">
        <f t="shared" si="9"/>
        <v>3708.5338509316766</v>
      </c>
      <c r="BC113" s="14">
        <f t="shared" si="9"/>
        <v>25797.067080745343</v>
      </c>
      <c r="BD113" s="14">
        <f t="shared" si="9"/>
        <v>25797.067080745343</v>
      </c>
      <c r="BE113" s="14">
        <f t="shared" si="9"/>
        <v>25797.067080745343</v>
      </c>
      <c r="BF113" s="14">
        <f t="shared" si="9"/>
        <v>4154.5872670807457</v>
      </c>
      <c r="BG113" s="14">
        <f t="shared" si="9"/>
        <v>3831.4844720496899</v>
      </c>
      <c r="BH113" s="14">
        <f t="shared" si="9"/>
        <v>2749.9977755308391</v>
      </c>
      <c r="BI113" s="14">
        <f t="shared" si="9"/>
        <v>2560.085945399393</v>
      </c>
      <c r="BJ113" s="15">
        <f t="shared" si="9"/>
        <v>2749.9977755308391</v>
      </c>
      <c r="BM113" s="35" t="s">
        <v>3</v>
      </c>
      <c r="BN113" s="11">
        <v>1283</v>
      </c>
      <c r="BO113" s="13">
        <v>1283</v>
      </c>
      <c r="BP113" s="12"/>
      <c r="BQ113" s="13">
        <v>1283</v>
      </c>
      <c r="BR113" s="13">
        <v>1283</v>
      </c>
      <c r="BS113" s="13">
        <v>1283</v>
      </c>
      <c r="BT113" s="13">
        <v>1283</v>
      </c>
      <c r="BU113" s="13">
        <v>1283</v>
      </c>
      <c r="BV113" s="13">
        <v>1301</v>
      </c>
      <c r="BW113" s="13">
        <v>1301</v>
      </c>
      <c r="BX113" s="13">
        <v>1301</v>
      </c>
      <c r="BY113" s="13">
        <v>1301</v>
      </c>
      <c r="BZ113" s="13">
        <v>1417</v>
      </c>
      <c r="CA113" s="14">
        <v>1464</v>
      </c>
      <c r="CB113" s="14">
        <v>1464</v>
      </c>
      <c r="CC113" s="14">
        <v>1328</v>
      </c>
      <c r="CD113" s="14">
        <v>1328</v>
      </c>
      <c r="CE113" s="14">
        <v>1328</v>
      </c>
      <c r="CF113" s="14">
        <v>1314</v>
      </c>
      <c r="CG113" s="14">
        <v>1314</v>
      </c>
      <c r="CH113" s="14">
        <v>1295</v>
      </c>
      <c r="CI113" s="14">
        <v>1295</v>
      </c>
      <c r="CJ113" s="14">
        <v>1295</v>
      </c>
      <c r="CK113" s="14">
        <v>1295</v>
      </c>
      <c r="CL113" s="14">
        <v>1323</v>
      </c>
      <c r="CM113" s="14">
        <v>1323</v>
      </c>
      <c r="CN113" s="14">
        <v>1320</v>
      </c>
      <c r="CO113" s="14">
        <v>1320</v>
      </c>
      <c r="CP113" s="14">
        <v>1373</v>
      </c>
      <c r="CQ113" s="14">
        <v>1373</v>
      </c>
      <c r="CR113" s="14">
        <v>1330</v>
      </c>
      <c r="CS113" s="14">
        <v>1357</v>
      </c>
      <c r="CT113" s="14">
        <v>1725</v>
      </c>
      <c r="CU113" s="14">
        <v>1725</v>
      </c>
      <c r="CV113" s="14">
        <v>1725</v>
      </c>
      <c r="CW113" s="14">
        <v>1725</v>
      </c>
      <c r="CX113" s="14">
        <v>1300</v>
      </c>
      <c r="CY113" s="14">
        <v>1300</v>
      </c>
      <c r="CZ113" s="14">
        <v>1300</v>
      </c>
      <c r="DA113" s="14">
        <v>1282</v>
      </c>
      <c r="DB113" s="14">
        <v>1282</v>
      </c>
      <c r="DC113" s="14">
        <v>1282</v>
      </c>
      <c r="DD113" s="14">
        <v>1376</v>
      </c>
      <c r="DE113" s="14">
        <v>1376</v>
      </c>
      <c r="DF113" s="14">
        <v>1376</v>
      </c>
      <c r="DG113" s="14">
        <v>1303</v>
      </c>
      <c r="DH113" s="14">
        <v>1404</v>
      </c>
      <c r="DI113" s="14">
        <v>1404</v>
      </c>
      <c r="DJ113" s="14">
        <v>1404</v>
      </c>
      <c r="DK113" s="14">
        <v>1484</v>
      </c>
      <c r="DL113" s="14">
        <v>1798</v>
      </c>
      <c r="DM113" s="14">
        <v>1512</v>
      </c>
      <c r="DN113" s="14">
        <v>1297</v>
      </c>
      <c r="DO113" s="14">
        <v>1305</v>
      </c>
      <c r="DP113" s="14">
        <v>1305</v>
      </c>
      <c r="DQ113" s="14">
        <v>1305</v>
      </c>
      <c r="DR113" s="14">
        <v>1453</v>
      </c>
      <c r="DS113" s="14">
        <v>1340</v>
      </c>
      <c r="DT113" s="14">
        <v>1477</v>
      </c>
      <c r="DU113" s="14">
        <v>1375</v>
      </c>
      <c r="DV113" s="15">
        <v>1477</v>
      </c>
      <c r="DY113" s="35" t="s">
        <v>3</v>
      </c>
      <c r="DZ113" s="11">
        <f t="shared" si="7"/>
        <v>1.6666666666666666E-2</v>
      </c>
      <c r="EA113" s="11">
        <f t="shared" si="7"/>
        <v>1.6666666666666666E-2</v>
      </c>
      <c r="EB113" s="12">
        <v>0.6</v>
      </c>
      <c r="EC113" s="13">
        <f t="shared" si="7"/>
        <v>1.6666666666666666E-2</v>
      </c>
      <c r="ED113" s="13">
        <f t="shared" si="7"/>
        <v>1.6666666666666666E-2</v>
      </c>
      <c r="EE113" s="13">
        <f t="shared" si="7"/>
        <v>1.6666666666666666E-2</v>
      </c>
      <c r="EF113" s="13">
        <f t="shared" si="7"/>
        <v>1.6666666666666666E-2</v>
      </c>
      <c r="EG113" s="13">
        <f t="shared" si="7"/>
        <v>1.6666666666666666E-2</v>
      </c>
      <c r="EH113" s="13">
        <f t="shared" si="7"/>
        <v>1.6666666666666666E-2</v>
      </c>
      <c r="EI113" s="13">
        <f t="shared" si="7"/>
        <v>1.6666666666666666E-2</v>
      </c>
      <c r="EJ113" s="13">
        <f t="shared" si="7"/>
        <v>1.6666666666666666E-2</v>
      </c>
      <c r="EK113" s="13">
        <f t="shared" si="7"/>
        <v>1.6666666666666666E-2</v>
      </c>
      <c r="EL113" s="13">
        <f t="shared" si="7"/>
        <v>1.6666666666666666E-2</v>
      </c>
      <c r="EM113" s="14">
        <v>4.6511627906976744E-3</v>
      </c>
      <c r="EN113" s="14">
        <v>4.6511627906976744E-3</v>
      </c>
      <c r="EO113" s="14">
        <v>7.1428571428571435E-3</v>
      </c>
      <c r="EP113" s="14">
        <v>7.1428571428571435E-3</v>
      </c>
      <c r="EQ113" s="14">
        <v>7.1428571428571435E-3</v>
      </c>
      <c r="ER113" s="14">
        <v>7.1428571428571435E-3</v>
      </c>
      <c r="ES113" s="14">
        <v>7.1428571428571435E-3</v>
      </c>
      <c r="ET113" s="14">
        <v>7.1428571428571435E-3</v>
      </c>
      <c r="EU113" s="14">
        <v>7.1428571428571435E-3</v>
      </c>
      <c r="EV113" s="14">
        <v>7.1428571428571435E-3</v>
      </c>
      <c r="EW113" s="14">
        <v>7.1428571428571435E-3</v>
      </c>
      <c r="EX113" s="14">
        <v>7.1428571428571435E-3</v>
      </c>
      <c r="EY113" s="14">
        <v>7.1428571428571435E-3</v>
      </c>
      <c r="EZ113" s="14">
        <v>7.1428571428571435E-3</v>
      </c>
      <c r="FA113" s="14">
        <v>7.1428571428571435E-3</v>
      </c>
      <c r="FB113" s="14">
        <v>7.1428571428571435E-3</v>
      </c>
      <c r="FC113" s="14">
        <v>7.1428571428571435E-3</v>
      </c>
      <c r="FD113" s="14">
        <v>7.1428571428571435E-3</v>
      </c>
      <c r="FE113" s="14">
        <v>7.1428571428571435E-3</v>
      </c>
      <c r="FF113" s="14">
        <v>5.7142857142857143E-3</v>
      </c>
      <c r="FG113" s="14">
        <v>5.7142857142857143E-3</v>
      </c>
      <c r="FH113" s="14">
        <v>5.7142857142857143E-3</v>
      </c>
      <c r="FI113" s="14">
        <v>5.7142857142857143E-3</v>
      </c>
      <c r="FJ113" s="14">
        <v>5.7142857142857143E-3</v>
      </c>
      <c r="FK113" s="14">
        <v>5.7142857142857143E-3</v>
      </c>
      <c r="FL113" s="14">
        <v>5.7142857142857143E-3</v>
      </c>
      <c r="FM113" s="14">
        <v>4.7619047619047623E-3</v>
      </c>
      <c r="FN113" s="14">
        <v>4.7619047619047623E-3</v>
      </c>
      <c r="FO113" s="14">
        <v>4.7619047619047623E-3</v>
      </c>
      <c r="FP113" s="14">
        <v>5.7142857142857143E-3</v>
      </c>
      <c r="FQ113" s="14">
        <v>5.7142857142857143E-3</v>
      </c>
      <c r="FR113" s="14">
        <v>5.7142857142857143E-3</v>
      </c>
      <c r="FS113" s="14">
        <v>5.7142857142857143E-3</v>
      </c>
      <c r="FT113" s="14">
        <v>5.8823529411764705E-3</v>
      </c>
      <c r="FU113" s="14">
        <v>5.7142857142857143E-3</v>
      </c>
      <c r="FV113" s="14">
        <v>5.7142857142857143E-3</v>
      </c>
      <c r="FW113" s="14">
        <v>4.5454545454545461E-3</v>
      </c>
      <c r="FX113" s="14">
        <v>4.5454545454545461E-3</v>
      </c>
      <c r="FY113" s="14">
        <v>5.7142857142857143E-3</v>
      </c>
      <c r="FZ113" s="14">
        <v>7.1428571428571435E-3</v>
      </c>
      <c r="GA113" s="14">
        <v>5.7142857142857143E-3</v>
      </c>
      <c r="GB113" s="14">
        <v>5.7142857142857143E-3</v>
      </c>
      <c r="GC113" s="14">
        <v>5.7142857142857143E-3</v>
      </c>
      <c r="GD113" s="14">
        <v>7.1428571428571435E-3</v>
      </c>
      <c r="GE113" s="14">
        <v>7.1428571428571435E-3</v>
      </c>
      <c r="GF113" s="14">
        <v>4.6511627906976744E-3</v>
      </c>
      <c r="GG113" s="14">
        <v>4.6511627906976744E-3</v>
      </c>
      <c r="GH113" s="15">
        <v>4.6511627906976744E-3</v>
      </c>
    </row>
    <row r="114" spans="1:190" x14ac:dyDescent="0.3">
      <c r="A114" s="35" t="s">
        <v>4</v>
      </c>
      <c r="B114" s="11">
        <f>BN114*DZ114*B110*2</f>
        <v>475540.11494565214</v>
      </c>
      <c r="C114" s="13">
        <f t="shared" ref="C114:BJ114" si="10">BO114*EA114*C110*2</f>
        <v>475540.11494565214</v>
      </c>
      <c r="D114" s="13">
        <f t="shared" si="10"/>
        <v>475540.11494565214</v>
      </c>
      <c r="E114" s="12">
        <f t="shared" si="10"/>
        <v>0</v>
      </c>
      <c r="F114" s="13">
        <f t="shared" si="10"/>
        <v>475540.11494565214</v>
      </c>
      <c r="G114" s="13">
        <f t="shared" si="10"/>
        <v>475540.11494565214</v>
      </c>
      <c r="H114" s="13">
        <f t="shared" si="10"/>
        <v>475540.11494565214</v>
      </c>
      <c r="I114" s="13">
        <f t="shared" si="10"/>
        <v>475540.11494565214</v>
      </c>
      <c r="J114" s="13">
        <f t="shared" si="10"/>
        <v>8036.9746376811599</v>
      </c>
      <c r="K114" s="13">
        <f t="shared" si="10"/>
        <v>8036.9746376811599</v>
      </c>
      <c r="L114" s="13">
        <f t="shared" si="10"/>
        <v>8036.9746376811599</v>
      </c>
      <c r="M114" s="13">
        <f t="shared" si="10"/>
        <v>8036.9746376811599</v>
      </c>
      <c r="N114" s="13">
        <f t="shared" si="10"/>
        <v>9453.8543478260872</v>
      </c>
      <c r="O114" s="14">
        <f t="shared" si="10"/>
        <v>5047.7654196157737</v>
      </c>
      <c r="P114" s="14">
        <f t="shared" si="10"/>
        <v>5047.7654196157737</v>
      </c>
      <c r="Q114" s="14">
        <f t="shared" si="10"/>
        <v>51565.855072463768</v>
      </c>
      <c r="R114" s="14">
        <f t="shared" si="10"/>
        <v>51565.855072463768</v>
      </c>
      <c r="S114" s="14">
        <f t="shared" si="10"/>
        <v>51565.855072463768</v>
      </c>
      <c r="T114" s="14">
        <f t="shared" si="10"/>
        <v>6957.6708074534172</v>
      </c>
      <c r="U114" s="14">
        <f t="shared" si="10"/>
        <v>6957.6708074534172</v>
      </c>
      <c r="V114" s="14">
        <f t="shared" si="10"/>
        <v>58284.25</v>
      </c>
      <c r="W114" s="14">
        <f t="shared" si="10"/>
        <v>58284.25</v>
      </c>
      <c r="X114" s="14">
        <f t="shared" si="10"/>
        <v>58284.25</v>
      </c>
      <c r="Y114" s="14">
        <f t="shared" si="10"/>
        <v>58284.25</v>
      </c>
      <c r="Z114" s="14">
        <f t="shared" si="10"/>
        <v>1891.4380434782611</v>
      </c>
      <c r="AA114" s="14">
        <f t="shared" si="10"/>
        <v>1891.4380434782611</v>
      </c>
      <c r="AB114" s="14">
        <f t="shared" si="10"/>
        <v>1887.1490683229813</v>
      </c>
      <c r="AC114" s="14">
        <f t="shared" si="10"/>
        <v>1887.1490683229813</v>
      </c>
      <c r="AD114" s="14">
        <f t="shared" si="10"/>
        <v>1962.9209627329194</v>
      </c>
      <c r="AE114" s="14">
        <f t="shared" si="10"/>
        <v>1962.9209627329194</v>
      </c>
      <c r="AF114" s="14">
        <f t="shared" si="10"/>
        <v>3802.891304347826</v>
      </c>
      <c r="AG114" s="14">
        <f t="shared" si="10"/>
        <v>3880.0928571428572</v>
      </c>
      <c r="AH114" s="14">
        <f t="shared" si="10"/>
        <v>986.46428571428578</v>
      </c>
      <c r="AI114" s="14">
        <f t="shared" si="10"/>
        <v>986.46428571428578</v>
      </c>
      <c r="AJ114" s="14">
        <f t="shared" si="10"/>
        <v>986.46428571428578</v>
      </c>
      <c r="AK114" s="14">
        <f t="shared" si="10"/>
        <v>986.46428571428578</v>
      </c>
      <c r="AL114" s="14">
        <f t="shared" si="10"/>
        <v>44054.012422360254</v>
      </c>
      <c r="AM114" s="14">
        <f t="shared" si="10"/>
        <v>44054.012422360254</v>
      </c>
      <c r="AN114" s="14">
        <f t="shared" si="10"/>
        <v>44054.012422360254</v>
      </c>
      <c r="AO114" s="14">
        <f t="shared" si="10"/>
        <v>814.58757763975166</v>
      </c>
      <c r="AP114" s="14">
        <f t="shared" si="10"/>
        <v>814.58757763975166</v>
      </c>
      <c r="AQ114" s="14">
        <f t="shared" si="10"/>
        <v>814.58757763975166</v>
      </c>
      <c r="AR114" s="14">
        <f t="shared" si="10"/>
        <v>1049.1786335403726</v>
      </c>
      <c r="AS114" s="14">
        <f t="shared" si="10"/>
        <v>1049.1786335403726</v>
      </c>
      <c r="AT114" s="14">
        <f t="shared" si="10"/>
        <v>1049.1786335403726</v>
      </c>
      <c r="AU114" s="14">
        <f t="shared" si="10"/>
        <v>11039.080745341616</v>
      </c>
      <c r="AV114" s="14">
        <f t="shared" si="10"/>
        <v>4081.5345268542196</v>
      </c>
      <c r="AW114" s="14">
        <f t="shared" si="10"/>
        <v>3964.9192546583849</v>
      </c>
      <c r="AX114" s="14">
        <f t="shared" si="10"/>
        <v>3964.9192546583849</v>
      </c>
      <c r="AY114" s="14">
        <f t="shared" si="10"/>
        <v>2700.2347826086957</v>
      </c>
      <c r="AZ114" s="14">
        <f t="shared" si="10"/>
        <v>3271.5782608695654</v>
      </c>
      <c r="BA114" s="14">
        <f t="shared" si="10"/>
        <v>3458.6295652173912</v>
      </c>
      <c r="BB114" s="14">
        <f t="shared" si="10"/>
        <v>3708.5338509316766</v>
      </c>
      <c r="BC114" s="14">
        <f t="shared" si="10"/>
        <v>25797.067080745343</v>
      </c>
      <c r="BD114" s="14">
        <f t="shared" si="10"/>
        <v>25797.067080745343</v>
      </c>
      <c r="BE114" s="14">
        <f t="shared" si="10"/>
        <v>25797.067080745343</v>
      </c>
      <c r="BF114" s="14">
        <f t="shared" si="10"/>
        <v>4154.5872670807457</v>
      </c>
      <c r="BG114" s="14">
        <f t="shared" si="10"/>
        <v>3831.4844720496899</v>
      </c>
      <c r="BH114" s="14">
        <f t="shared" si="10"/>
        <v>2749.9977755308391</v>
      </c>
      <c r="BI114" s="14">
        <f t="shared" si="10"/>
        <v>2560.085945399393</v>
      </c>
      <c r="BJ114" s="15">
        <f t="shared" si="10"/>
        <v>2749.9977755308391</v>
      </c>
      <c r="BM114" s="35" t="s">
        <v>4</v>
      </c>
      <c r="BN114" s="11">
        <v>1283</v>
      </c>
      <c r="BO114" s="13">
        <v>1283</v>
      </c>
      <c r="BP114" s="13">
        <v>1283</v>
      </c>
      <c r="BQ114" s="12"/>
      <c r="BR114" s="13">
        <v>1283</v>
      </c>
      <c r="BS114" s="13">
        <v>1283</v>
      </c>
      <c r="BT114" s="13">
        <v>1283</v>
      </c>
      <c r="BU114" s="13">
        <v>1283</v>
      </c>
      <c r="BV114" s="13">
        <v>1301</v>
      </c>
      <c r="BW114" s="13">
        <v>1301</v>
      </c>
      <c r="BX114" s="13">
        <v>1301</v>
      </c>
      <c r="BY114" s="13">
        <v>1301</v>
      </c>
      <c r="BZ114" s="13">
        <v>1417</v>
      </c>
      <c r="CA114" s="14">
        <v>1464</v>
      </c>
      <c r="CB114" s="14">
        <v>1464</v>
      </c>
      <c r="CC114" s="14">
        <v>1328</v>
      </c>
      <c r="CD114" s="14">
        <v>1328</v>
      </c>
      <c r="CE114" s="14">
        <v>1328</v>
      </c>
      <c r="CF114" s="14">
        <v>1314</v>
      </c>
      <c r="CG114" s="14">
        <v>1314</v>
      </c>
      <c r="CH114" s="14">
        <v>1295</v>
      </c>
      <c r="CI114" s="14">
        <v>1295</v>
      </c>
      <c r="CJ114" s="14">
        <v>1295</v>
      </c>
      <c r="CK114" s="14">
        <v>1295</v>
      </c>
      <c r="CL114" s="14">
        <v>1323</v>
      </c>
      <c r="CM114" s="14">
        <v>1323</v>
      </c>
      <c r="CN114" s="14">
        <v>1320</v>
      </c>
      <c r="CO114" s="14">
        <v>1320</v>
      </c>
      <c r="CP114" s="14">
        <v>1373</v>
      </c>
      <c r="CQ114" s="14">
        <v>1373</v>
      </c>
      <c r="CR114" s="14">
        <v>1330</v>
      </c>
      <c r="CS114" s="14">
        <v>1357</v>
      </c>
      <c r="CT114" s="14">
        <v>1725</v>
      </c>
      <c r="CU114" s="14">
        <v>1725</v>
      </c>
      <c r="CV114" s="14">
        <v>1725</v>
      </c>
      <c r="CW114" s="14">
        <v>1725</v>
      </c>
      <c r="CX114" s="14">
        <v>1300</v>
      </c>
      <c r="CY114" s="14">
        <v>1300</v>
      </c>
      <c r="CZ114" s="14">
        <v>1300</v>
      </c>
      <c r="DA114" s="14">
        <v>1282</v>
      </c>
      <c r="DB114" s="14">
        <v>1282</v>
      </c>
      <c r="DC114" s="14">
        <v>1282</v>
      </c>
      <c r="DD114" s="14">
        <v>1376</v>
      </c>
      <c r="DE114" s="14">
        <v>1376</v>
      </c>
      <c r="DF114" s="14">
        <v>1376</v>
      </c>
      <c r="DG114" s="14">
        <v>1303</v>
      </c>
      <c r="DH114" s="14">
        <v>1404</v>
      </c>
      <c r="DI114" s="14">
        <v>1404</v>
      </c>
      <c r="DJ114" s="14">
        <v>1404</v>
      </c>
      <c r="DK114" s="14">
        <v>1484</v>
      </c>
      <c r="DL114" s="14">
        <v>1798</v>
      </c>
      <c r="DM114" s="14">
        <v>1512</v>
      </c>
      <c r="DN114" s="14">
        <v>1297</v>
      </c>
      <c r="DO114" s="14">
        <v>1305</v>
      </c>
      <c r="DP114" s="14">
        <v>1305</v>
      </c>
      <c r="DQ114" s="14">
        <v>1305</v>
      </c>
      <c r="DR114" s="14">
        <v>1453</v>
      </c>
      <c r="DS114" s="14">
        <v>1340</v>
      </c>
      <c r="DT114" s="14">
        <v>1477</v>
      </c>
      <c r="DU114" s="14">
        <v>1375</v>
      </c>
      <c r="DV114" s="15">
        <v>1477</v>
      </c>
      <c r="DY114" s="35" t="s">
        <v>4</v>
      </c>
      <c r="DZ114" s="11">
        <f t="shared" si="7"/>
        <v>1.6666666666666666E-2</v>
      </c>
      <c r="EA114" s="13">
        <f t="shared" si="7"/>
        <v>1.6666666666666666E-2</v>
      </c>
      <c r="EB114" s="13">
        <f t="shared" si="7"/>
        <v>1.6666666666666666E-2</v>
      </c>
      <c r="EC114" s="12">
        <v>0.6</v>
      </c>
      <c r="ED114" s="13">
        <f t="shared" si="7"/>
        <v>1.6666666666666666E-2</v>
      </c>
      <c r="EE114" s="13">
        <f t="shared" si="7"/>
        <v>1.6666666666666666E-2</v>
      </c>
      <c r="EF114" s="13">
        <f t="shared" si="7"/>
        <v>1.6666666666666666E-2</v>
      </c>
      <c r="EG114" s="13">
        <f t="shared" si="7"/>
        <v>1.6666666666666666E-2</v>
      </c>
      <c r="EH114" s="13">
        <f t="shared" si="7"/>
        <v>1.6666666666666666E-2</v>
      </c>
      <c r="EI114" s="13">
        <f t="shared" si="7"/>
        <v>1.6666666666666666E-2</v>
      </c>
      <c r="EJ114" s="13">
        <f t="shared" si="7"/>
        <v>1.6666666666666666E-2</v>
      </c>
      <c r="EK114" s="13">
        <f t="shared" si="7"/>
        <v>1.6666666666666666E-2</v>
      </c>
      <c r="EL114" s="13">
        <f t="shared" si="7"/>
        <v>1.6666666666666666E-2</v>
      </c>
      <c r="EM114" s="14">
        <v>4.6511627906976744E-3</v>
      </c>
      <c r="EN114" s="14">
        <v>4.6511627906976744E-3</v>
      </c>
      <c r="EO114" s="14">
        <v>7.1428571428571435E-3</v>
      </c>
      <c r="EP114" s="14">
        <v>7.1428571428571435E-3</v>
      </c>
      <c r="EQ114" s="14">
        <v>7.1428571428571435E-3</v>
      </c>
      <c r="ER114" s="14">
        <v>7.1428571428571435E-3</v>
      </c>
      <c r="ES114" s="14">
        <v>7.1428571428571435E-3</v>
      </c>
      <c r="ET114" s="14">
        <v>7.1428571428571435E-3</v>
      </c>
      <c r="EU114" s="14">
        <v>7.1428571428571435E-3</v>
      </c>
      <c r="EV114" s="14">
        <v>7.1428571428571435E-3</v>
      </c>
      <c r="EW114" s="14">
        <v>7.1428571428571435E-3</v>
      </c>
      <c r="EX114" s="14">
        <v>7.1428571428571435E-3</v>
      </c>
      <c r="EY114" s="14">
        <v>7.1428571428571435E-3</v>
      </c>
      <c r="EZ114" s="14">
        <v>7.1428571428571435E-3</v>
      </c>
      <c r="FA114" s="14">
        <v>7.1428571428571435E-3</v>
      </c>
      <c r="FB114" s="14">
        <v>7.1428571428571435E-3</v>
      </c>
      <c r="FC114" s="14">
        <v>7.1428571428571435E-3</v>
      </c>
      <c r="FD114" s="14">
        <v>7.1428571428571435E-3</v>
      </c>
      <c r="FE114" s="14">
        <v>7.1428571428571435E-3</v>
      </c>
      <c r="FF114" s="14">
        <v>5.7142857142857143E-3</v>
      </c>
      <c r="FG114" s="14">
        <v>5.7142857142857143E-3</v>
      </c>
      <c r="FH114" s="14">
        <v>5.7142857142857143E-3</v>
      </c>
      <c r="FI114" s="14">
        <v>5.7142857142857143E-3</v>
      </c>
      <c r="FJ114" s="14">
        <v>5.7142857142857143E-3</v>
      </c>
      <c r="FK114" s="14">
        <v>5.7142857142857143E-3</v>
      </c>
      <c r="FL114" s="14">
        <v>5.7142857142857143E-3</v>
      </c>
      <c r="FM114" s="14">
        <v>4.7619047619047623E-3</v>
      </c>
      <c r="FN114" s="14">
        <v>4.7619047619047623E-3</v>
      </c>
      <c r="FO114" s="14">
        <v>4.7619047619047623E-3</v>
      </c>
      <c r="FP114" s="14">
        <v>5.7142857142857143E-3</v>
      </c>
      <c r="FQ114" s="14">
        <v>5.7142857142857143E-3</v>
      </c>
      <c r="FR114" s="14">
        <v>5.7142857142857143E-3</v>
      </c>
      <c r="FS114" s="14">
        <v>5.7142857142857143E-3</v>
      </c>
      <c r="FT114" s="14">
        <v>5.8823529411764705E-3</v>
      </c>
      <c r="FU114" s="14">
        <v>5.7142857142857143E-3</v>
      </c>
      <c r="FV114" s="14">
        <v>5.7142857142857143E-3</v>
      </c>
      <c r="FW114" s="14">
        <v>4.5454545454545461E-3</v>
      </c>
      <c r="FX114" s="14">
        <v>4.5454545454545461E-3</v>
      </c>
      <c r="FY114" s="14">
        <v>5.7142857142857143E-3</v>
      </c>
      <c r="FZ114" s="14">
        <v>7.1428571428571435E-3</v>
      </c>
      <c r="GA114" s="14">
        <v>5.7142857142857143E-3</v>
      </c>
      <c r="GB114" s="14">
        <v>5.7142857142857143E-3</v>
      </c>
      <c r="GC114" s="14">
        <v>5.7142857142857143E-3</v>
      </c>
      <c r="GD114" s="14">
        <v>7.1428571428571435E-3</v>
      </c>
      <c r="GE114" s="14">
        <v>7.1428571428571435E-3</v>
      </c>
      <c r="GF114" s="14">
        <v>4.6511627906976744E-3</v>
      </c>
      <c r="GG114" s="14">
        <v>4.6511627906976744E-3</v>
      </c>
      <c r="GH114" s="15">
        <v>4.6511627906976744E-3</v>
      </c>
    </row>
    <row r="115" spans="1:190" x14ac:dyDescent="0.3">
      <c r="A115" s="35" t="s">
        <v>5</v>
      </c>
      <c r="B115" s="11">
        <f>BN115*DZ115*B110*2</f>
        <v>475540.11494565214</v>
      </c>
      <c r="C115" s="13">
        <f t="shared" ref="C115:BJ115" si="11">BO115*EA115*C110*2</f>
        <v>475540.11494565214</v>
      </c>
      <c r="D115" s="13">
        <f t="shared" si="11"/>
        <v>475540.11494565214</v>
      </c>
      <c r="E115" s="13">
        <f t="shared" si="11"/>
        <v>475540.11494565214</v>
      </c>
      <c r="F115" s="12">
        <f t="shared" si="11"/>
        <v>0</v>
      </c>
      <c r="G115" s="13">
        <f t="shared" si="11"/>
        <v>475540.11494565214</v>
      </c>
      <c r="H115" s="13">
        <f t="shared" si="11"/>
        <v>475540.11494565214</v>
      </c>
      <c r="I115" s="13">
        <f t="shared" si="11"/>
        <v>475540.11494565214</v>
      </c>
      <c r="J115" s="13">
        <f t="shared" si="11"/>
        <v>8036.9746376811599</v>
      </c>
      <c r="K115" s="13">
        <f t="shared" si="11"/>
        <v>8036.9746376811599</v>
      </c>
      <c r="L115" s="13">
        <f t="shared" si="11"/>
        <v>8036.9746376811599</v>
      </c>
      <c r="M115" s="13">
        <f t="shared" si="11"/>
        <v>8036.9746376811599</v>
      </c>
      <c r="N115" s="13">
        <f t="shared" si="11"/>
        <v>9453.8543478260872</v>
      </c>
      <c r="O115" s="14">
        <f t="shared" si="11"/>
        <v>5047.7654196157737</v>
      </c>
      <c r="P115" s="14">
        <f t="shared" si="11"/>
        <v>5047.7654196157737</v>
      </c>
      <c r="Q115" s="14">
        <f t="shared" si="11"/>
        <v>51565.855072463768</v>
      </c>
      <c r="R115" s="14">
        <f t="shared" si="11"/>
        <v>51565.855072463768</v>
      </c>
      <c r="S115" s="14">
        <f t="shared" si="11"/>
        <v>51565.855072463768</v>
      </c>
      <c r="T115" s="14">
        <f t="shared" si="11"/>
        <v>6957.6708074534172</v>
      </c>
      <c r="U115" s="14">
        <f t="shared" si="11"/>
        <v>6957.6708074534172</v>
      </c>
      <c r="V115" s="14">
        <f t="shared" si="11"/>
        <v>58284.25</v>
      </c>
      <c r="W115" s="14">
        <f t="shared" si="11"/>
        <v>58284.25</v>
      </c>
      <c r="X115" s="14">
        <f t="shared" si="11"/>
        <v>58284.25</v>
      </c>
      <c r="Y115" s="14">
        <f t="shared" si="11"/>
        <v>58284.25</v>
      </c>
      <c r="Z115" s="14">
        <f t="shared" si="11"/>
        <v>1891.4380434782611</v>
      </c>
      <c r="AA115" s="14">
        <f t="shared" si="11"/>
        <v>1891.4380434782611</v>
      </c>
      <c r="AB115" s="14">
        <f t="shared" si="11"/>
        <v>1887.1490683229813</v>
      </c>
      <c r="AC115" s="14">
        <f t="shared" si="11"/>
        <v>1887.1490683229813</v>
      </c>
      <c r="AD115" s="14">
        <f t="shared" si="11"/>
        <v>1962.9209627329194</v>
      </c>
      <c r="AE115" s="14">
        <f t="shared" si="11"/>
        <v>1962.9209627329194</v>
      </c>
      <c r="AF115" s="14">
        <f t="shared" si="11"/>
        <v>3802.891304347826</v>
      </c>
      <c r="AG115" s="14">
        <f t="shared" si="11"/>
        <v>3880.0928571428572</v>
      </c>
      <c r="AH115" s="14">
        <f t="shared" si="11"/>
        <v>986.46428571428578</v>
      </c>
      <c r="AI115" s="14">
        <f t="shared" si="11"/>
        <v>986.46428571428578</v>
      </c>
      <c r="AJ115" s="14">
        <f t="shared" si="11"/>
        <v>986.46428571428578</v>
      </c>
      <c r="AK115" s="14">
        <f t="shared" si="11"/>
        <v>986.46428571428578</v>
      </c>
      <c r="AL115" s="14">
        <f t="shared" si="11"/>
        <v>44054.012422360254</v>
      </c>
      <c r="AM115" s="14">
        <f t="shared" si="11"/>
        <v>44054.012422360254</v>
      </c>
      <c r="AN115" s="14">
        <f t="shared" si="11"/>
        <v>44054.012422360254</v>
      </c>
      <c r="AO115" s="14">
        <f t="shared" si="11"/>
        <v>814.58757763975166</v>
      </c>
      <c r="AP115" s="14">
        <f t="shared" si="11"/>
        <v>814.58757763975166</v>
      </c>
      <c r="AQ115" s="14">
        <f t="shared" si="11"/>
        <v>814.58757763975166</v>
      </c>
      <c r="AR115" s="14">
        <f t="shared" si="11"/>
        <v>1049.1786335403726</v>
      </c>
      <c r="AS115" s="14">
        <f t="shared" si="11"/>
        <v>1049.1786335403726</v>
      </c>
      <c r="AT115" s="14">
        <f t="shared" si="11"/>
        <v>1049.1786335403726</v>
      </c>
      <c r="AU115" s="14">
        <f t="shared" si="11"/>
        <v>11039.080745341616</v>
      </c>
      <c r="AV115" s="14">
        <f t="shared" si="11"/>
        <v>4081.5345268542196</v>
      </c>
      <c r="AW115" s="14">
        <f t="shared" si="11"/>
        <v>3964.9192546583849</v>
      </c>
      <c r="AX115" s="14">
        <f t="shared" si="11"/>
        <v>3964.9192546583849</v>
      </c>
      <c r="AY115" s="14">
        <f t="shared" si="11"/>
        <v>2700.2347826086957</v>
      </c>
      <c r="AZ115" s="14">
        <f t="shared" si="11"/>
        <v>3271.5782608695654</v>
      </c>
      <c r="BA115" s="14">
        <f t="shared" si="11"/>
        <v>3458.6295652173912</v>
      </c>
      <c r="BB115" s="14">
        <f t="shared" si="11"/>
        <v>3708.5338509316766</v>
      </c>
      <c r="BC115" s="14">
        <f t="shared" si="11"/>
        <v>25797.067080745343</v>
      </c>
      <c r="BD115" s="14">
        <f t="shared" si="11"/>
        <v>25797.067080745343</v>
      </c>
      <c r="BE115" s="14">
        <f t="shared" si="11"/>
        <v>25797.067080745343</v>
      </c>
      <c r="BF115" s="14">
        <f t="shared" si="11"/>
        <v>4154.5872670807457</v>
      </c>
      <c r="BG115" s="14">
        <f t="shared" si="11"/>
        <v>3831.4844720496899</v>
      </c>
      <c r="BH115" s="14">
        <f t="shared" si="11"/>
        <v>2749.9977755308391</v>
      </c>
      <c r="BI115" s="14">
        <f t="shared" si="11"/>
        <v>2560.085945399393</v>
      </c>
      <c r="BJ115" s="15">
        <f t="shared" si="11"/>
        <v>2749.9977755308391</v>
      </c>
      <c r="BM115" s="35" t="s">
        <v>5</v>
      </c>
      <c r="BN115" s="11">
        <v>1283</v>
      </c>
      <c r="BO115" s="13">
        <v>1283</v>
      </c>
      <c r="BP115" s="13">
        <v>1283</v>
      </c>
      <c r="BQ115" s="13">
        <v>1283</v>
      </c>
      <c r="BR115" s="12"/>
      <c r="BS115" s="13">
        <v>1283</v>
      </c>
      <c r="BT115" s="13">
        <v>1283</v>
      </c>
      <c r="BU115" s="13">
        <v>1283</v>
      </c>
      <c r="BV115" s="13">
        <v>1301</v>
      </c>
      <c r="BW115" s="13">
        <v>1301</v>
      </c>
      <c r="BX115" s="13">
        <v>1301</v>
      </c>
      <c r="BY115" s="13">
        <v>1301</v>
      </c>
      <c r="BZ115" s="13">
        <v>1417</v>
      </c>
      <c r="CA115" s="14">
        <v>1464</v>
      </c>
      <c r="CB115" s="14">
        <v>1464</v>
      </c>
      <c r="CC115" s="14">
        <v>1328</v>
      </c>
      <c r="CD115" s="14">
        <v>1328</v>
      </c>
      <c r="CE115" s="14">
        <v>1328</v>
      </c>
      <c r="CF115" s="14">
        <v>1314</v>
      </c>
      <c r="CG115" s="14">
        <v>1314</v>
      </c>
      <c r="CH115" s="14">
        <v>1295</v>
      </c>
      <c r="CI115" s="14">
        <v>1295</v>
      </c>
      <c r="CJ115" s="14">
        <v>1295</v>
      </c>
      <c r="CK115" s="14">
        <v>1295</v>
      </c>
      <c r="CL115" s="14">
        <v>1323</v>
      </c>
      <c r="CM115" s="14">
        <v>1323</v>
      </c>
      <c r="CN115" s="14">
        <v>1320</v>
      </c>
      <c r="CO115" s="14">
        <v>1320</v>
      </c>
      <c r="CP115" s="14">
        <v>1373</v>
      </c>
      <c r="CQ115" s="14">
        <v>1373</v>
      </c>
      <c r="CR115" s="14">
        <v>1330</v>
      </c>
      <c r="CS115" s="14">
        <v>1357</v>
      </c>
      <c r="CT115" s="14">
        <v>1725</v>
      </c>
      <c r="CU115" s="14">
        <v>1725</v>
      </c>
      <c r="CV115" s="14">
        <v>1725</v>
      </c>
      <c r="CW115" s="14">
        <v>1725</v>
      </c>
      <c r="CX115" s="14">
        <v>1300</v>
      </c>
      <c r="CY115" s="14">
        <v>1300</v>
      </c>
      <c r="CZ115" s="14">
        <v>1300</v>
      </c>
      <c r="DA115" s="14">
        <v>1282</v>
      </c>
      <c r="DB115" s="14">
        <v>1282</v>
      </c>
      <c r="DC115" s="14">
        <v>1282</v>
      </c>
      <c r="DD115" s="14">
        <v>1376</v>
      </c>
      <c r="DE115" s="14">
        <v>1376</v>
      </c>
      <c r="DF115" s="14">
        <v>1376</v>
      </c>
      <c r="DG115" s="14">
        <v>1303</v>
      </c>
      <c r="DH115" s="14">
        <v>1404</v>
      </c>
      <c r="DI115" s="14">
        <v>1404</v>
      </c>
      <c r="DJ115" s="14">
        <v>1404</v>
      </c>
      <c r="DK115" s="14">
        <v>1484</v>
      </c>
      <c r="DL115" s="14">
        <v>1798</v>
      </c>
      <c r="DM115" s="14">
        <v>1512</v>
      </c>
      <c r="DN115" s="14">
        <v>1297</v>
      </c>
      <c r="DO115" s="14">
        <v>1305</v>
      </c>
      <c r="DP115" s="14">
        <v>1305</v>
      </c>
      <c r="DQ115" s="14">
        <v>1305</v>
      </c>
      <c r="DR115" s="14">
        <v>1453</v>
      </c>
      <c r="DS115" s="14">
        <v>1340</v>
      </c>
      <c r="DT115" s="14">
        <v>1477</v>
      </c>
      <c r="DU115" s="14">
        <v>1375</v>
      </c>
      <c r="DV115" s="15">
        <v>1477</v>
      </c>
      <c r="DY115" s="35" t="s">
        <v>5</v>
      </c>
      <c r="DZ115" s="11">
        <f t="shared" si="7"/>
        <v>1.6666666666666666E-2</v>
      </c>
      <c r="EA115" s="13">
        <f t="shared" si="7"/>
        <v>1.6666666666666666E-2</v>
      </c>
      <c r="EB115" s="13">
        <f t="shared" si="7"/>
        <v>1.6666666666666666E-2</v>
      </c>
      <c r="EC115" s="13">
        <f t="shared" si="7"/>
        <v>1.6666666666666666E-2</v>
      </c>
      <c r="ED115" s="12">
        <v>0.6</v>
      </c>
      <c r="EE115" s="13">
        <f t="shared" si="7"/>
        <v>1.6666666666666666E-2</v>
      </c>
      <c r="EF115" s="13">
        <f t="shared" si="7"/>
        <v>1.6666666666666666E-2</v>
      </c>
      <c r="EG115" s="13">
        <f t="shared" si="7"/>
        <v>1.6666666666666666E-2</v>
      </c>
      <c r="EH115" s="13">
        <f t="shared" si="7"/>
        <v>1.6666666666666666E-2</v>
      </c>
      <c r="EI115" s="13">
        <f t="shared" si="7"/>
        <v>1.6666666666666666E-2</v>
      </c>
      <c r="EJ115" s="13">
        <f t="shared" si="7"/>
        <v>1.6666666666666666E-2</v>
      </c>
      <c r="EK115" s="13">
        <f t="shared" si="7"/>
        <v>1.6666666666666666E-2</v>
      </c>
      <c r="EL115" s="13">
        <f t="shared" si="7"/>
        <v>1.6666666666666666E-2</v>
      </c>
      <c r="EM115" s="14">
        <v>4.6511627906976744E-3</v>
      </c>
      <c r="EN115" s="14">
        <v>4.6511627906976744E-3</v>
      </c>
      <c r="EO115" s="14">
        <v>7.1428571428571435E-3</v>
      </c>
      <c r="EP115" s="14">
        <v>7.1428571428571435E-3</v>
      </c>
      <c r="EQ115" s="14">
        <v>7.1428571428571435E-3</v>
      </c>
      <c r="ER115" s="14">
        <v>7.1428571428571435E-3</v>
      </c>
      <c r="ES115" s="14">
        <v>7.1428571428571435E-3</v>
      </c>
      <c r="ET115" s="14">
        <v>7.1428571428571435E-3</v>
      </c>
      <c r="EU115" s="14">
        <v>7.1428571428571435E-3</v>
      </c>
      <c r="EV115" s="14">
        <v>7.1428571428571435E-3</v>
      </c>
      <c r="EW115" s="14">
        <v>7.1428571428571435E-3</v>
      </c>
      <c r="EX115" s="14">
        <v>7.1428571428571435E-3</v>
      </c>
      <c r="EY115" s="14">
        <v>7.1428571428571435E-3</v>
      </c>
      <c r="EZ115" s="14">
        <v>7.1428571428571435E-3</v>
      </c>
      <c r="FA115" s="14">
        <v>7.1428571428571435E-3</v>
      </c>
      <c r="FB115" s="14">
        <v>7.1428571428571435E-3</v>
      </c>
      <c r="FC115" s="14">
        <v>7.1428571428571435E-3</v>
      </c>
      <c r="FD115" s="14">
        <v>7.1428571428571435E-3</v>
      </c>
      <c r="FE115" s="14">
        <v>7.1428571428571435E-3</v>
      </c>
      <c r="FF115" s="14">
        <v>5.7142857142857143E-3</v>
      </c>
      <c r="FG115" s="14">
        <v>5.7142857142857143E-3</v>
      </c>
      <c r="FH115" s="14">
        <v>5.7142857142857143E-3</v>
      </c>
      <c r="FI115" s="14">
        <v>5.7142857142857143E-3</v>
      </c>
      <c r="FJ115" s="14">
        <v>5.7142857142857143E-3</v>
      </c>
      <c r="FK115" s="14">
        <v>5.7142857142857143E-3</v>
      </c>
      <c r="FL115" s="14">
        <v>5.7142857142857143E-3</v>
      </c>
      <c r="FM115" s="14">
        <v>4.7619047619047623E-3</v>
      </c>
      <c r="FN115" s="14">
        <v>4.7619047619047623E-3</v>
      </c>
      <c r="FO115" s="14">
        <v>4.7619047619047623E-3</v>
      </c>
      <c r="FP115" s="14">
        <v>5.7142857142857143E-3</v>
      </c>
      <c r="FQ115" s="14">
        <v>5.7142857142857143E-3</v>
      </c>
      <c r="FR115" s="14">
        <v>5.7142857142857143E-3</v>
      </c>
      <c r="FS115" s="14">
        <v>5.7142857142857143E-3</v>
      </c>
      <c r="FT115" s="14">
        <v>5.8823529411764705E-3</v>
      </c>
      <c r="FU115" s="14">
        <v>5.7142857142857143E-3</v>
      </c>
      <c r="FV115" s="14">
        <v>5.7142857142857143E-3</v>
      </c>
      <c r="FW115" s="14">
        <v>4.5454545454545461E-3</v>
      </c>
      <c r="FX115" s="14">
        <v>4.5454545454545461E-3</v>
      </c>
      <c r="FY115" s="14">
        <v>5.7142857142857143E-3</v>
      </c>
      <c r="FZ115" s="14">
        <v>7.1428571428571435E-3</v>
      </c>
      <c r="GA115" s="14">
        <v>5.7142857142857143E-3</v>
      </c>
      <c r="GB115" s="14">
        <v>5.7142857142857143E-3</v>
      </c>
      <c r="GC115" s="14">
        <v>5.7142857142857143E-3</v>
      </c>
      <c r="GD115" s="14">
        <v>7.1428571428571435E-3</v>
      </c>
      <c r="GE115" s="14">
        <v>7.1428571428571435E-3</v>
      </c>
      <c r="GF115" s="14">
        <v>4.6511627906976744E-3</v>
      </c>
      <c r="GG115" s="14">
        <v>4.6511627906976744E-3</v>
      </c>
      <c r="GH115" s="15">
        <v>4.6511627906976744E-3</v>
      </c>
    </row>
    <row r="116" spans="1:190" x14ac:dyDescent="0.3">
      <c r="A116" s="35" t="s">
        <v>6</v>
      </c>
      <c r="B116" s="11">
        <f>BN116*DZ116*B110*2</f>
        <v>475540.11494565214</v>
      </c>
      <c r="C116" s="13">
        <f t="shared" ref="C116:BJ116" si="12">BO116*EA116*C110*2</f>
        <v>475540.11494565214</v>
      </c>
      <c r="D116" s="13">
        <f t="shared" si="12"/>
        <v>475540.11494565214</v>
      </c>
      <c r="E116" s="13">
        <f t="shared" si="12"/>
        <v>475540.11494565214</v>
      </c>
      <c r="F116" s="13">
        <f t="shared" si="12"/>
        <v>475540.11494565214</v>
      </c>
      <c r="G116" s="12">
        <f t="shared" si="12"/>
        <v>0</v>
      </c>
      <c r="H116" s="13">
        <f t="shared" si="12"/>
        <v>475540.11494565214</v>
      </c>
      <c r="I116" s="13">
        <f t="shared" si="12"/>
        <v>475540.11494565214</v>
      </c>
      <c r="J116" s="13">
        <f t="shared" si="12"/>
        <v>8036.9746376811599</v>
      </c>
      <c r="K116" s="13">
        <f t="shared" si="12"/>
        <v>8036.9746376811599</v>
      </c>
      <c r="L116" s="13">
        <f t="shared" si="12"/>
        <v>8036.9746376811599</v>
      </c>
      <c r="M116" s="13">
        <f t="shared" si="12"/>
        <v>8036.9746376811599</v>
      </c>
      <c r="N116" s="13">
        <f t="shared" si="12"/>
        <v>9453.8543478260872</v>
      </c>
      <c r="O116" s="14">
        <f t="shared" si="12"/>
        <v>5047.7654196157737</v>
      </c>
      <c r="P116" s="14">
        <f t="shared" si="12"/>
        <v>5047.7654196157737</v>
      </c>
      <c r="Q116" s="14">
        <f t="shared" si="12"/>
        <v>51565.855072463768</v>
      </c>
      <c r="R116" s="14">
        <f t="shared" si="12"/>
        <v>51565.855072463768</v>
      </c>
      <c r="S116" s="14">
        <f t="shared" si="12"/>
        <v>51565.855072463768</v>
      </c>
      <c r="T116" s="14">
        <f t="shared" si="12"/>
        <v>6957.6708074534172</v>
      </c>
      <c r="U116" s="14">
        <f t="shared" si="12"/>
        <v>6957.6708074534172</v>
      </c>
      <c r="V116" s="14">
        <f t="shared" si="12"/>
        <v>58284.25</v>
      </c>
      <c r="W116" s="14">
        <f t="shared" si="12"/>
        <v>58284.25</v>
      </c>
      <c r="X116" s="14">
        <f t="shared" si="12"/>
        <v>58284.25</v>
      </c>
      <c r="Y116" s="14">
        <f t="shared" si="12"/>
        <v>58284.25</v>
      </c>
      <c r="Z116" s="14">
        <f t="shared" si="12"/>
        <v>1891.4380434782611</v>
      </c>
      <c r="AA116" s="14">
        <f t="shared" si="12"/>
        <v>1891.4380434782611</v>
      </c>
      <c r="AB116" s="14">
        <f t="shared" si="12"/>
        <v>1887.1490683229813</v>
      </c>
      <c r="AC116" s="14">
        <f t="shared" si="12"/>
        <v>1887.1490683229813</v>
      </c>
      <c r="AD116" s="14">
        <f t="shared" si="12"/>
        <v>1962.9209627329194</v>
      </c>
      <c r="AE116" s="14">
        <f t="shared" si="12"/>
        <v>1962.9209627329194</v>
      </c>
      <c r="AF116" s="14">
        <f t="shared" si="12"/>
        <v>3802.891304347826</v>
      </c>
      <c r="AG116" s="14">
        <f t="shared" si="12"/>
        <v>3880.0928571428572</v>
      </c>
      <c r="AH116" s="14">
        <f t="shared" si="12"/>
        <v>986.46428571428578</v>
      </c>
      <c r="AI116" s="14">
        <f t="shared" si="12"/>
        <v>986.46428571428578</v>
      </c>
      <c r="AJ116" s="14">
        <f t="shared" si="12"/>
        <v>986.46428571428578</v>
      </c>
      <c r="AK116" s="14">
        <f t="shared" si="12"/>
        <v>986.46428571428578</v>
      </c>
      <c r="AL116" s="14">
        <f t="shared" si="12"/>
        <v>44054.012422360254</v>
      </c>
      <c r="AM116" s="14">
        <f t="shared" si="12"/>
        <v>44054.012422360254</v>
      </c>
      <c r="AN116" s="14">
        <f t="shared" si="12"/>
        <v>44054.012422360254</v>
      </c>
      <c r="AO116" s="14">
        <f t="shared" si="12"/>
        <v>814.58757763975166</v>
      </c>
      <c r="AP116" s="14">
        <f t="shared" si="12"/>
        <v>814.58757763975166</v>
      </c>
      <c r="AQ116" s="14">
        <f t="shared" si="12"/>
        <v>814.58757763975166</v>
      </c>
      <c r="AR116" s="14">
        <f t="shared" si="12"/>
        <v>1049.1786335403726</v>
      </c>
      <c r="AS116" s="14">
        <f t="shared" si="12"/>
        <v>1049.1786335403726</v>
      </c>
      <c r="AT116" s="14">
        <f t="shared" si="12"/>
        <v>1049.1786335403726</v>
      </c>
      <c r="AU116" s="14">
        <f t="shared" si="12"/>
        <v>11039.080745341616</v>
      </c>
      <c r="AV116" s="14">
        <f t="shared" si="12"/>
        <v>4081.5345268542196</v>
      </c>
      <c r="AW116" s="14">
        <f t="shared" si="12"/>
        <v>3964.9192546583849</v>
      </c>
      <c r="AX116" s="14">
        <f t="shared" si="12"/>
        <v>3964.9192546583849</v>
      </c>
      <c r="AY116" s="14">
        <f t="shared" si="12"/>
        <v>2700.2347826086957</v>
      </c>
      <c r="AZ116" s="14">
        <f t="shared" si="12"/>
        <v>3271.5782608695654</v>
      </c>
      <c r="BA116" s="14">
        <f t="shared" si="12"/>
        <v>3458.6295652173912</v>
      </c>
      <c r="BB116" s="14">
        <f t="shared" si="12"/>
        <v>3708.5338509316766</v>
      </c>
      <c r="BC116" s="14">
        <f t="shared" si="12"/>
        <v>25797.067080745343</v>
      </c>
      <c r="BD116" s="14">
        <f t="shared" si="12"/>
        <v>25797.067080745343</v>
      </c>
      <c r="BE116" s="14">
        <f t="shared" si="12"/>
        <v>25797.067080745343</v>
      </c>
      <c r="BF116" s="14">
        <f t="shared" si="12"/>
        <v>4154.5872670807457</v>
      </c>
      <c r="BG116" s="14">
        <f t="shared" si="12"/>
        <v>3831.4844720496899</v>
      </c>
      <c r="BH116" s="14">
        <f t="shared" si="12"/>
        <v>2749.9977755308391</v>
      </c>
      <c r="BI116" s="14">
        <f t="shared" si="12"/>
        <v>2560.085945399393</v>
      </c>
      <c r="BJ116" s="15">
        <f t="shared" si="12"/>
        <v>2749.9977755308391</v>
      </c>
      <c r="BM116" s="35" t="s">
        <v>6</v>
      </c>
      <c r="BN116" s="11">
        <v>1283</v>
      </c>
      <c r="BO116" s="13">
        <v>1283</v>
      </c>
      <c r="BP116" s="13">
        <v>1283</v>
      </c>
      <c r="BQ116" s="13">
        <v>1283</v>
      </c>
      <c r="BR116" s="13">
        <v>1283</v>
      </c>
      <c r="BS116" s="12"/>
      <c r="BT116" s="13">
        <v>1283</v>
      </c>
      <c r="BU116" s="13">
        <v>1283</v>
      </c>
      <c r="BV116" s="13">
        <v>1301</v>
      </c>
      <c r="BW116" s="13">
        <v>1301</v>
      </c>
      <c r="BX116" s="13">
        <v>1301</v>
      </c>
      <c r="BY116" s="13">
        <v>1301</v>
      </c>
      <c r="BZ116" s="13">
        <v>1417</v>
      </c>
      <c r="CA116" s="14">
        <v>1464</v>
      </c>
      <c r="CB116" s="14">
        <v>1464</v>
      </c>
      <c r="CC116" s="14">
        <v>1328</v>
      </c>
      <c r="CD116" s="14">
        <v>1328</v>
      </c>
      <c r="CE116" s="14">
        <v>1328</v>
      </c>
      <c r="CF116" s="14">
        <v>1314</v>
      </c>
      <c r="CG116" s="14">
        <v>1314</v>
      </c>
      <c r="CH116" s="14">
        <v>1295</v>
      </c>
      <c r="CI116" s="14">
        <v>1295</v>
      </c>
      <c r="CJ116" s="14">
        <v>1295</v>
      </c>
      <c r="CK116" s="14">
        <v>1295</v>
      </c>
      <c r="CL116" s="14">
        <v>1323</v>
      </c>
      <c r="CM116" s="14">
        <v>1323</v>
      </c>
      <c r="CN116" s="14">
        <v>1320</v>
      </c>
      <c r="CO116" s="14">
        <v>1320</v>
      </c>
      <c r="CP116" s="14">
        <v>1373</v>
      </c>
      <c r="CQ116" s="14">
        <v>1373</v>
      </c>
      <c r="CR116" s="14">
        <v>1330</v>
      </c>
      <c r="CS116" s="14">
        <v>1357</v>
      </c>
      <c r="CT116" s="14">
        <v>1725</v>
      </c>
      <c r="CU116" s="14">
        <v>1725</v>
      </c>
      <c r="CV116" s="14">
        <v>1725</v>
      </c>
      <c r="CW116" s="14">
        <v>1725</v>
      </c>
      <c r="CX116" s="14">
        <v>1300</v>
      </c>
      <c r="CY116" s="14">
        <v>1300</v>
      </c>
      <c r="CZ116" s="14">
        <v>1300</v>
      </c>
      <c r="DA116" s="14">
        <v>1282</v>
      </c>
      <c r="DB116" s="14">
        <v>1282</v>
      </c>
      <c r="DC116" s="14">
        <v>1282</v>
      </c>
      <c r="DD116" s="14">
        <v>1376</v>
      </c>
      <c r="DE116" s="14">
        <v>1376</v>
      </c>
      <c r="DF116" s="14">
        <v>1376</v>
      </c>
      <c r="DG116" s="14">
        <v>1303</v>
      </c>
      <c r="DH116" s="14">
        <v>1404</v>
      </c>
      <c r="DI116" s="14">
        <v>1404</v>
      </c>
      <c r="DJ116" s="14">
        <v>1404</v>
      </c>
      <c r="DK116" s="14">
        <v>1484</v>
      </c>
      <c r="DL116" s="14">
        <v>1798</v>
      </c>
      <c r="DM116" s="14">
        <v>1512</v>
      </c>
      <c r="DN116" s="14">
        <v>1297</v>
      </c>
      <c r="DO116" s="14">
        <v>1305</v>
      </c>
      <c r="DP116" s="14">
        <v>1305</v>
      </c>
      <c r="DQ116" s="14">
        <v>1305</v>
      </c>
      <c r="DR116" s="14">
        <v>1453</v>
      </c>
      <c r="DS116" s="14">
        <v>1340</v>
      </c>
      <c r="DT116" s="14">
        <v>1477</v>
      </c>
      <c r="DU116" s="14">
        <v>1375</v>
      </c>
      <c r="DV116" s="15">
        <v>1477</v>
      </c>
      <c r="DY116" s="35" t="s">
        <v>6</v>
      </c>
      <c r="DZ116" s="11">
        <f t="shared" si="7"/>
        <v>1.6666666666666666E-2</v>
      </c>
      <c r="EA116" s="13">
        <f t="shared" si="7"/>
        <v>1.6666666666666666E-2</v>
      </c>
      <c r="EB116" s="13">
        <f t="shared" si="7"/>
        <v>1.6666666666666666E-2</v>
      </c>
      <c r="EC116" s="13">
        <f t="shared" si="7"/>
        <v>1.6666666666666666E-2</v>
      </c>
      <c r="ED116" s="13">
        <f t="shared" si="7"/>
        <v>1.6666666666666666E-2</v>
      </c>
      <c r="EE116" s="12">
        <v>0.6</v>
      </c>
      <c r="EF116" s="13">
        <f t="shared" si="7"/>
        <v>1.6666666666666666E-2</v>
      </c>
      <c r="EG116" s="13">
        <f t="shared" si="7"/>
        <v>1.6666666666666666E-2</v>
      </c>
      <c r="EH116" s="13">
        <f t="shared" si="7"/>
        <v>1.6666666666666666E-2</v>
      </c>
      <c r="EI116" s="13">
        <f t="shared" si="7"/>
        <v>1.6666666666666666E-2</v>
      </c>
      <c r="EJ116" s="13">
        <f t="shared" si="7"/>
        <v>1.6666666666666666E-2</v>
      </c>
      <c r="EK116" s="13">
        <f t="shared" si="7"/>
        <v>1.6666666666666666E-2</v>
      </c>
      <c r="EL116" s="13">
        <f t="shared" si="7"/>
        <v>1.6666666666666666E-2</v>
      </c>
      <c r="EM116" s="14">
        <v>4.6511627906976744E-3</v>
      </c>
      <c r="EN116" s="14">
        <v>4.6511627906976744E-3</v>
      </c>
      <c r="EO116" s="14">
        <v>7.1428571428571435E-3</v>
      </c>
      <c r="EP116" s="14">
        <v>7.1428571428571435E-3</v>
      </c>
      <c r="EQ116" s="14">
        <v>7.1428571428571435E-3</v>
      </c>
      <c r="ER116" s="14">
        <v>7.1428571428571435E-3</v>
      </c>
      <c r="ES116" s="14">
        <v>7.1428571428571435E-3</v>
      </c>
      <c r="ET116" s="14">
        <v>7.1428571428571435E-3</v>
      </c>
      <c r="EU116" s="14">
        <v>7.1428571428571435E-3</v>
      </c>
      <c r="EV116" s="14">
        <v>7.1428571428571435E-3</v>
      </c>
      <c r="EW116" s="14">
        <v>7.1428571428571435E-3</v>
      </c>
      <c r="EX116" s="14">
        <v>7.1428571428571435E-3</v>
      </c>
      <c r="EY116" s="14">
        <v>7.1428571428571435E-3</v>
      </c>
      <c r="EZ116" s="14">
        <v>7.1428571428571435E-3</v>
      </c>
      <c r="FA116" s="14">
        <v>7.1428571428571435E-3</v>
      </c>
      <c r="FB116" s="14">
        <v>7.1428571428571435E-3</v>
      </c>
      <c r="FC116" s="14">
        <v>7.1428571428571435E-3</v>
      </c>
      <c r="FD116" s="14">
        <v>7.1428571428571435E-3</v>
      </c>
      <c r="FE116" s="14">
        <v>7.1428571428571435E-3</v>
      </c>
      <c r="FF116" s="14">
        <v>5.7142857142857143E-3</v>
      </c>
      <c r="FG116" s="14">
        <v>5.7142857142857143E-3</v>
      </c>
      <c r="FH116" s="14">
        <v>5.7142857142857143E-3</v>
      </c>
      <c r="FI116" s="14">
        <v>5.7142857142857143E-3</v>
      </c>
      <c r="FJ116" s="14">
        <v>5.7142857142857143E-3</v>
      </c>
      <c r="FK116" s="14">
        <v>5.7142857142857143E-3</v>
      </c>
      <c r="FL116" s="14">
        <v>5.7142857142857143E-3</v>
      </c>
      <c r="FM116" s="14">
        <v>4.7619047619047623E-3</v>
      </c>
      <c r="FN116" s="14">
        <v>4.7619047619047623E-3</v>
      </c>
      <c r="FO116" s="14">
        <v>4.7619047619047623E-3</v>
      </c>
      <c r="FP116" s="14">
        <v>5.7142857142857143E-3</v>
      </c>
      <c r="FQ116" s="14">
        <v>5.7142857142857143E-3</v>
      </c>
      <c r="FR116" s="14">
        <v>5.7142857142857143E-3</v>
      </c>
      <c r="FS116" s="14">
        <v>5.7142857142857143E-3</v>
      </c>
      <c r="FT116" s="14">
        <v>5.8823529411764705E-3</v>
      </c>
      <c r="FU116" s="14">
        <v>5.7142857142857143E-3</v>
      </c>
      <c r="FV116" s="14">
        <v>5.7142857142857143E-3</v>
      </c>
      <c r="FW116" s="14">
        <v>4.5454545454545461E-3</v>
      </c>
      <c r="FX116" s="14">
        <v>4.5454545454545461E-3</v>
      </c>
      <c r="FY116" s="14">
        <v>5.7142857142857143E-3</v>
      </c>
      <c r="FZ116" s="14">
        <v>7.1428571428571435E-3</v>
      </c>
      <c r="GA116" s="14">
        <v>5.7142857142857143E-3</v>
      </c>
      <c r="GB116" s="14">
        <v>5.7142857142857143E-3</v>
      </c>
      <c r="GC116" s="14">
        <v>5.7142857142857143E-3</v>
      </c>
      <c r="GD116" s="14">
        <v>7.1428571428571435E-3</v>
      </c>
      <c r="GE116" s="14">
        <v>7.1428571428571435E-3</v>
      </c>
      <c r="GF116" s="14">
        <v>4.6511627906976744E-3</v>
      </c>
      <c r="GG116" s="14">
        <v>4.6511627906976744E-3</v>
      </c>
      <c r="GH116" s="15">
        <v>4.6511627906976744E-3</v>
      </c>
    </row>
    <row r="117" spans="1:190" x14ac:dyDescent="0.3">
      <c r="A117" s="35" t="s">
        <v>63</v>
      </c>
      <c r="B117" s="11">
        <f>BN117*DZ117*B110*2</f>
        <v>475540.11494565214</v>
      </c>
      <c r="C117" s="13">
        <f t="shared" ref="C117:BJ117" si="13">BO117*EA117*C110*2</f>
        <v>475540.11494565214</v>
      </c>
      <c r="D117" s="13">
        <f t="shared" si="13"/>
        <v>475540.11494565214</v>
      </c>
      <c r="E117" s="13">
        <f t="shared" si="13"/>
        <v>475540.11494565214</v>
      </c>
      <c r="F117" s="13">
        <f t="shared" si="13"/>
        <v>475540.11494565214</v>
      </c>
      <c r="G117" s="13">
        <f t="shared" si="13"/>
        <v>475540.11494565214</v>
      </c>
      <c r="H117" s="12">
        <f t="shared" si="13"/>
        <v>0</v>
      </c>
      <c r="I117" s="13">
        <f t="shared" si="13"/>
        <v>475540.11494565214</v>
      </c>
      <c r="J117" s="13">
        <f t="shared" si="13"/>
        <v>8036.9746376811599</v>
      </c>
      <c r="K117" s="13">
        <f t="shared" si="13"/>
        <v>8036.9746376811599</v>
      </c>
      <c r="L117" s="13">
        <f t="shared" si="13"/>
        <v>8036.9746376811599</v>
      </c>
      <c r="M117" s="13">
        <f t="shared" si="13"/>
        <v>8036.9746376811599</v>
      </c>
      <c r="N117" s="13">
        <f t="shared" si="13"/>
        <v>9453.8543478260872</v>
      </c>
      <c r="O117" s="14">
        <f t="shared" si="13"/>
        <v>5047.7654196157737</v>
      </c>
      <c r="P117" s="14">
        <f t="shared" si="13"/>
        <v>5047.7654196157737</v>
      </c>
      <c r="Q117" s="14">
        <f t="shared" si="13"/>
        <v>51565.855072463768</v>
      </c>
      <c r="R117" s="14">
        <f t="shared" si="13"/>
        <v>51565.855072463768</v>
      </c>
      <c r="S117" s="14">
        <f t="shared" si="13"/>
        <v>51565.855072463768</v>
      </c>
      <c r="T117" s="14">
        <f t="shared" si="13"/>
        <v>6957.6708074534172</v>
      </c>
      <c r="U117" s="14">
        <f t="shared" si="13"/>
        <v>6957.6708074534172</v>
      </c>
      <c r="V117" s="14">
        <f t="shared" si="13"/>
        <v>58284.25</v>
      </c>
      <c r="W117" s="14">
        <f t="shared" si="13"/>
        <v>58284.25</v>
      </c>
      <c r="X117" s="14">
        <f t="shared" si="13"/>
        <v>58284.25</v>
      </c>
      <c r="Y117" s="14">
        <f t="shared" si="13"/>
        <v>58284.25</v>
      </c>
      <c r="Z117" s="14">
        <f t="shared" si="13"/>
        <v>1891.4380434782611</v>
      </c>
      <c r="AA117" s="14">
        <f t="shared" si="13"/>
        <v>1891.4380434782611</v>
      </c>
      <c r="AB117" s="14">
        <f t="shared" si="13"/>
        <v>1887.1490683229813</v>
      </c>
      <c r="AC117" s="14">
        <f t="shared" si="13"/>
        <v>1887.1490683229813</v>
      </c>
      <c r="AD117" s="14">
        <f t="shared" si="13"/>
        <v>1962.9209627329194</v>
      </c>
      <c r="AE117" s="14">
        <f t="shared" si="13"/>
        <v>1962.9209627329194</v>
      </c>
      <c r="AF117" s="14">
        <f t="shared" si="13"/>
        <v>3802.891304347826</v>
      </c>
      <c r="AG117" s="14">
        <f t="shared" si="13"/>
        <v>3880.0928571428572</v>
      </c>
      <c r="AH117" s="14">
        <f t="shared" si="13"/>
        <v>986.46428571428578</v>
      </c>
      <c r="AI117" s="14">
        <f t="shared" si="13"/>
        <v>986.46428571428578</v>
      </c>
      <c r="AJ117" s="14">
        <f t="shared" si="13"/>
        <v>986.46428571428578</v>
      </c>
      <c r="AK117" s="14">
        <f t="shared" si="13"/>
        <v>986.46428571428578</v>
      </c>
      <c r="AL117" s="14">
        <f t="shared" si="13"/>
        <v>44054.012422360254</v>
      </c>
      <c r="AM117" s="14">
        <f t="shared" si="13"/>
        <v>44054.012422360254</v>
      </c>
      <c r="AN117" s="14">
        <f t="shared" si="13"/>
        <v>44054.012422360254</v>
      </c>
      <c r="AO117" s="14">
        <f t="shared" si="13"/>
        <v>814.58757763975166</v>
      </c>
      <c r="AP117" s="14">
        <f t="shared" si="13"/>
        <v>814.58757763975166</v>
      </c>
      <c r="AQ117" s="14">
        <f t="shared" si="13"/>
        <v>814.58757763975166</v>
      </c>
      <c r="AR117" s="14">
        <f t="shared" si="13"/>
        <v>1049.1786335403726</v>
      </c>
      <c r="AS117" s="14">
        <f t="shared" si="13"/>
        <v>1049.1786335403726</v>
      </c>
      <c r="AT117" s="14">
        <f t="shared" si="13"/>
        <v>1049.1786335403726</v>
      </c>
      <c r="AU117" s="14">
        <f t="shared" si="13"/>
        <v>11039.080745341616</v>
      </c>
      <c r="AV117" s="14">
        <f t="shared" si="13"/>
        <v>4081.5345268542196</v>
      </c>
      <c r="AW117" s="14">
        <f t="shared" si="13"/>
        <v>3964.9192546583849</v>
      </c>
      <c r="AX117" s="14">
        <f t="shared" si="13"/>
        <v>3964.9192546583849</v>
      </c>
      <c r="AY117" s="14">
        <f t="shared" si="13"/>
        <v>2700.2347826086957</v>
      </c>
      <c r="AZ117" s="14">
        <f t="shared" si="13"/>
        <v>3271.5782608695654</v>
      </c>
      <c r="BA117" s="14">
        <f t="shared" si="13"/>
        <v>3458.6295652173912</v>
      </c>
      <c r="BB117" s="14">
        <f t="shared" si="13"/>
        <v>3708.5338509316766</v>
      </c>
      <c r="BC117" s="14">
        <f t="shared" si="13"/>
        <v>25797.067080745343</v>
      </c>
      <c r="BD117" s="14">
        <f t="shared" si="13"/>
        <v>25797.067080745343</v>
      </c>
      <c r="BE117" s="14">
        <f t="shared" si="13"/>
        <v>25797.067080745343</v>
      </c>
      <c r="BF117" s="14">
        <f t="shared" si="13"/>
        <v>4154.5872670807457</v>
      </c>
      <c r="BG117" s="14">
        <f t="shared" si="13"/>
        <v>3831.4844720496899</v>
      </c>
      <c r="BH117" s="14">
        <f t="shared" si="13"/>
        <v>2749.9977755308391</v>
      </c>
      <c r="BI117" s="14">
        <f>DU117*GG117*BI110*2</f>
        <v>2560.085945399393</v>
      </c>
      <c r="BJ117" s="15">
        <f t="shared" si="13"/>
        <v>2749.9977755308391</v>
      </c>
      <c r="BM117" s="35" t="s">
        <v>63</v>
      </c>
      <c r="BN117" s="11">
        <v>1283</v>
      </c>
      <c r="BO117" s="13">
        <v>1283</v>
      </c>
      <c r="BP117" s="13">
        <v>1283</v>
      </c>
      <c r="BQ117" s="13">
        <v>1283</v>
      </c>
      <c r="BR117" s="13">
        <v>1283</v>
      </c>
      <c r="BS117" s="13">
        <v>1283</v>
      </c>
      <c r="BT117" s="12"/>
      <c r="BU117" s="13">
        <v>1283</v>
      </c>
      <c r="BV117" s="13">
        <v>1301</v>
      </c>
      <c r="BW117" s="13">
        <v>1301</v>
      </c>
      <c r="BX117" s="13">
        <v>1301</v>
      </c>
      <c r="BY117" s="13">
        <v>1301</v>
      </c>
      <c r="BZ117" s="13">
        <v>1417</v>
      </c>
      <c r="CA117" s="14">
        <v>1464</v>
      </c>
      <c r="CB117" s="14">
        <v>1464</v>
      </c>
      <c r="CC117" s="14">
        <v>1328</v>
      </c>
      <c r="CD117" s="14">
        <v>1328</v>
      </c>
      <c r="CE117" s="14">
        <v>1328</v>
      </c>
      <c r="CF117" s="14">
        <v>1314</v>
      </c>
      <c r="CG117" s="14">
        <v>1314</v>
      </c>
      <c r="CH117" s="14">
        <v>1295</v>
      </c>
      <c r="CI117" s="14">
        <v>1295</v>
      </c>
      <c r="CJ117" s="14">
        <v>1295</v>
      </c>
      <c r="CK117" s="14">
        <v>1295</v>
      </c>
      <c r="CL117" s="14">
        <v>1323</v>
      </c>
      <c r="CM117" s="14">
        <v>1323</v>
      </c>
      <c r="CN117" s="14">
        <v>1320</v>
      </c>
      <c r="CO117" s="14">
        <v>1320</v>
      </c>
      <c r="CP117" s="14">
        <v>1373</v>
      </c>
      <c r="CQ117" s="14">
        <v>1373</v>
      </c>
      <c r="CR117" s="14">
        <v>1330</v>
      </c>
      <c r="CS117" s="14">
        <v>1357</v>
      </c>
      <c r="CT117" s="14">
        <v>1725</v>
      </c>
      <c r="CU117" s="14">
        <v>1725</v>
      </c>
      <c r="CV117" s="14">
        <v>1725</v>
      </c>
      <c r="CW117" s="14">
        <v>1725</v>
      </c>
      <c r="CX117" s="14">
        <v>1300</v>
      </c>
      <c r="CY117" s="14">
        <v>1300</v>
      </c>
      <c r="CZ117" s="14">
        <v>1300</v>
      </c>
      <c r="DA117" s="14">
        <v>1282</v>
      </c>
      <c r="DB117" s="14">
        <v>1282</v>
      </c>
      <c r="DC117" s="14">
        <v>1282</v>
      </c>
      <c r="DD117" s="14">
        <v>1376</v>
      </c>
      <c r="DE117" s="14">
        <v>1376</v>
      </c>
      <c r="DF117" s="14">
        <v>1376</v>
      </c>
      <c r="DG117" s="14">
        <v>1303</v>
      </c>
      <c r="DH117" s="14">
        <v>1404</v>
      </c>
      <c r="DI117" s="14">
        <v>1404</v>
      </c>
      <c r="DJ117" s="14">
        <v>1404</v>
      </c>
      <c r="DK117" s="14">
        <v>1484</v>
      </c>
      <c r="DL117" s="14">
        <v>1798</v>
      </c>
      <c r="DM117" s="14">
        <v>1512</v>
      </c>
      <c r="DN117" s="14">
        <v>1297</v>
      </c>
      <c r="DO117" s="14">
        <v>1305</v>
      </c>
      <c r="DP117" s="14">
        <v>1305</v>
      </c>
      <c r="DQ117" s="14">
        <v>1305</v>
      </c>
      <c r="DR117" s="14">
        <v>1453</v>
      </c>
      <c r="DS117" s="14">
        <v>1340</v>
      </c>
      <c r="DT117" s="14">
        <v>1477</v>
      </c>
      <c r="DU117" s="14">
        <v>1375</v>
      </c>
      <c r="DV117" s="15">
        <v>1477</v>
      </c>
      <c r="DY117" s="35" t="s">
        <v>63</v>
      </c>
      <c r="DZ117" s="11">
        <f t="shared" si="7"/>
        <v>1.6666666666666666E-2</v>
      </c>
      <c r="EA117" s="13">
        <f t="shared" si="7"/>
        <v>1.6666666666666666E-2</v>
      </c>
      <c r="EB117" s="13">
        <f t="shared" si="7"/>
        <v>1.6666666666666666E-2</v>
      </c>
      <c r="EC117" s="13">
        <f t="shared" si="7"/>
        <v>1.6666666666666666E-2</v>
      </c>
      <c r="ED117" s="13">
        <f t="shared" si="7"/>
        <v>1.6666666666666666E-2</v>
      </c>
      <c r="EE117" s="13">
        <f t="shared" si="7"/>
        <v>1.6666666666666666E-2</v>
      </c>
      <c r="EF117" s="12">
        <v>0.6</v>
      </c>
      <c r="EG117" s="13">
        <f t="shared" si="7"/>
        <v>1.6666666666666666E-2</v>
      </c>
      <c r="EH117" s="13">
        <f t="shared" si="7"/>
        <v>1.6666666666666666E-2</v>
      </c>
      <c r="EI117" s="13">
        <f t="shared" si="7"/>
        <v>1.6666666666666666E-2</v>
      </c>
      <c r="EJ117" s="13">
        <f t="shared" si="7"/>
        <v>1.6666666666666666E-2</v>
      </c>
      <c r="EK117" s="13">
        <f t="shared" si="7"/>
        <v>1.6666666666666666E-2</v>
      </c>
      <c r="EL117" s="13">
        <f t="shared" si="7"/>
        <v>1.6666666666666666E-2</v>
      </c>
      <c r="EM117" s="14">
        <v>4.6511627906976744E-3</v>
      </c>
      <c r="EN117" s="14">
        <v>4.6511627906976744E-3</v>
      </c>
      <c r="EO117" s="14">
        <v>7.1428571428571435E-3</v>
      </c>
      <c r="EP117" s="14">
        <v>7.1428571428571435E-3</v>
      </c>
      <c r="EQ117" s="14">
        <v>7.1428571428571435E-3</v>
      </c>
      <c r="ER117" s="14">
        <v>7.1428571428571435E-3</v>
      </c>
      <c r="ES117" s="14">
        <v>7.1428571428571435E-3</v>
      </c>
      <c r="ET117" s="14">
        <v>7.1428571428571435E-3</v>
      </c>
      <c r="EU117" s="14">
        <v>7.1428571428571435E-3</v>
      </c>
      <c r="EV117" s="14">
        <v>7.1428571428571435E-3</v>
      </c>
      <c r="EW117" s="14">
        <v>7.1428571428571435E-3</v>
      </c>
      <c r="EX117" s="14">
        <v>7.1428571428571435E-3</v>
      </c>
      <c r="EY117" s="14">
        <v>7.1428571428571435E-3</v>
      </c>
      <c r="EZ117" s="14">
        <v>7.1428571428571435E-3</v>
      </c>
      <c r="FA117" s="14">
        <v>7.1428571428571435E-3</v>
      </c>
      <c r="FB117" s="14">
        <v>7.1428571428571435E-3</v>
      </c>
      <c r="FC117" s="14">
        <v>7.1428571428571435E-3</v>
      </c>
      <c r="FD117" s="14">
        <v>7.1428571428571435E-3</v>
      </c>
      <c r="FE117" s="14">
        <v>7.1428571428571435E-3</v>
      </c>
      <c r="FF117" s="14">
        <v>5.7142857142857143E-3</v>
      </c>
      <c r="FG117" s="14">
        <v>5.7142857142857143E-3</v>
      </c>
      <c r="FH117" s="14">
        <v>5.7142857142857143E-3</v>
      </c>
      <c r="FI117" s="14">
        <v>5.7142857142857143E-3</v>
      </c>
      <c r="FJ117" s="14">
        <v>5.7142857142857143E-3</v>
      </c>
      <c r="FK117" s="14">
        <v>5.7142857142857143E-3</v>
      </c>
      <c r="FL117" s="14">
        <v>5.7142857142857143E-3</v>
      </c>
      <c r="FM117" s="14">
        <v>4.7619047619047623E-3</v>
      </c>
      <c r="FN117" s="14">
        <v>4.7619047619047623E-3</v>
      </c>
      <c r="FO117" s="14">
        <v>4.7619047619047623E-3</v>
      </c>
      <c r="FP117" s="14">
        <v>5.7142857142857143E-3</v>
      </c>
      <c r="FQ117" s="14">
        <v>5.7142857142857143E-3</v>
      </c>
      <c r="FR117" s="14">
        <v>5.7142857142857143E-3</v>
      </c>
      <c r="FS117" s="14">
        <v>5.7142857142857143E-3</v>
      </c>
      <c r="FT117" s="14">
        <v>5.8823529411764705E-3</v>
      </c>
      <c r="FU117" s="14">
        <v>5.7142857142857143E-3</v>
      </c>
      <c r="FV117" s="14">
        <v>5.7142857142857143E-3</v>
      </c>
      <c r="FW117" s="14">
        <v>4.5454545454545461E-3</v>
      </c>
      <c r="FX117" s="14">
        <v>4.5454545454545461E-3</v>
      </c>
      <c r="FY117" s="14">
        <v>5.7142857142857143E-3</v>
      </c>
      <c r="FZ117" s="14">
        <v>7.1428571428571435E-3</v>
      </c>
      <c r="GA117" s="14">
        <v>5.7142857142857143E-3</v>
      </c>
      <c r="GB117" s="14">
        <v>5.7142857142857143E-3</v>
      </c>
      <c r="GC117" s="14">
        <v>5.7142857142857143E-3</v>
      </c>
      <c r="GD117" s="14">
        <v>7.1428571428571435E-3</v>
      </c>
      <c r="GE117" s="14">
        <v>7.1428571428571435E-3</v>
      </c>
      <c r="GF117" s="14">
        <v>4.6511627906976744E-3</v>
      </c>
      <c r="GG117" s="14">
        <v>4.6511627906976744E-3</v>
      </c>
      <c r="GH117" s="15">
        <v>4.6511627906976744E-3</v>
      </c>
    </row>
    <row r="118" spans="1:190" x14ac:dyDescent="0.3">
      <c r="A118" s="35" t="s">
        <v>8</v>
      </c>
      <c r="B118" s="11">
        <f>BN118*DZ118*B110*2</f>
        <v>475540.11494565214</v>
      </c>
      <c r="C118" s="13">
        <f t="shared" ref="C118:BJ118" si="14">BO118*EA118*C110*2</f>
        <v>475540.11494565214</v>
      </c>
      <c r="D118" s="13">
        <f t="shared" si="14"/>
        <v>475540.11494565214</v>
      </c>
      <c r="E118" s="13">
        <f t="shared" si="14"/>
        <v>475540.11494565214</v>
      </c>
      <c r="F118" s="13">
        <f t="shared" si="14"/>
        <v>475540.11494565214</v>
      </c>
      <c r="G118" s="13">
        <f t="shared" si="14"/>
        <v>475540.11494565214</v>
      </c>
      <c r="H118" s="13">
        <f t="shared" si="14"/>
        <v>475540.11494565214</v>
      </c>
      <c r="I118" s="12">
        <f t="shared" si="14"/>
        <v>0</v>
      </c>
      <c r="J118" s="13">
        <f t="shared" si="14"/>
        <v>8036.9746376811599</v>
      </c>
      <c r="K118" s="13">
        <f t="shared" si="14"/>
        <v>8036.9746376811599</v>
      </c>
      <c r="L118" s="13">
        <f t="shared" si="14"/>
        <v>8036.9746376811599</v>
      </c>
      <c r="M118" s="13">
        <f t="shared" si="14"/>
        <v>8036.9746376811599</v>
      </c>
      <c r="N118" s="13">
        <f t="shared" si="14"/>
        <v>9453.8543478260872</v>
      </c>
      <c r="O118" s="14">
        <f t="shared" si="14"/>
        <v>5047.7654196157737</v>
      </c>
      <c r="P118" s="14">
        <f t="shared" si="14"/>
        <v>5047.7654196157737</v>
      </c>
      <c r="Q118" s="14">
        <f t="shared" si="14"/>
        <v>51565.855072463768</v>
      </c>
      <c r="R118" s="14">
        <f t="shared" si="14"/>
        <v>51565.855072463768</v>
      </c>
      <c r="S118" s="14">
        <f t="shared" si="14"/>
        <v>51565.855072463768</v>
      </c>
      <c r="T118" s="14">
        <f t="shared" si="14"/>
        <v>6957.6708074534172</v>
      </c>
      <c r="U118" s="14">
        <f t="shared" si="14"/>
        <v>6957.6708074534172</v>
      </c>
      <c r="V118" s="14">
        <f t="shared" si="14"/>
        <v>58284.25</v>
      </c>
      <c r="W118" s="14">
        <f t="shared" si="14"/>
        <v>58284.25</v>
      </c>
      <c r="X118" s="14">
        <f t="shared" si="14"/>
        <v>58284.25</v>
      </c>
      <c r="Y118" s="14">
        <f t="shared" si="14"/>
        <v>58284.25</v>
      </c>
      <c r="Z118" s="14">
        <f t="shared" si="14"/>
        <v>1891.4380434782611</v>
      </c>
      <c r="AA118" s="14">
        <f t="shared" si="14"/>
        <v>1891.4380434782611</v>
      </c>
      <c r="AB118" s="14">
        <f t="shared" si="14"/>
        <v>1887.1490683229813</v>
      </c>
      <c r="AC118" s="14">
        <f t="shared" si="14"/>
        <v>1887.1490683229813</v>
      </c>
      <c r="AD118" s="14">
        <f t="shared" si="14"/>
        <v>1962.9209627329194</v>
      </c>
      <c r="AE118" s="14">
        <f t="shared" si="14"/>
        <v>1962.9209627329194</v>
      </c>
      <c r="AF118" s="14">
        <f t="shared" si="14"/>
        <v>3802.891304347826</v>
      </c>
      <c r="AG118" s="14">
        <f t="shared" si="14"/>
        <v>3880.0928571428572</v>
      </c>
      <c r="AH118" s="14">
        <f t="shared" si="14"/>
        <v>986.46428571428578</v>
      </c>
      <c r="AI118" s="14">
        <f t="shared" si="14"/>
        <v>986.46428571428578</v>
      </c>
      <c r="AJ118" s="14">
        <f t="shared" si="14"/>
        <v>986.46428571428578</v>
      </c>
      <c r="AK118" s="14">
        <f t="shared" si="14"/>
        <v>986.46428571428578</v>
      </c>
      <c r="AL118" s="14">
        <f t="shared" si="14"/>
        <v>44054.012422360254</v>
      </c>
      <c r="AM118" s="14">
        <f t="shared" si="14"/>
        <v>44054.012422360254</v>
      </c>
      <c r="AN118" s="14">
        <f t="shared" si="14"/>
        <v>44054.012422360254</v>
      </c>
      <c r="AO118" s="14">
        <f t="shared" si="14"/>
        <v>814.58757763975166</v>
      </c>
      <c r="AP118" s="14">
        <f t="shared" si="14"/>
        <v>814.58757763975166</v>
      </c>
      <c r="AQ118" s="14">
        <f t="shared" si="14"/>
        <v>814.58757763975166</v>
      </c>
      <c r="AR118" s="14">
        <f t="shared" si="14"/>
        <v>1049.1786335403726</v>
      </c>
      <c r="AS118" s="14">
        <f t="shared" si="14"/>
        <v>1049.1786335403726</v>
      </c>
      <c r="AT118" s="14">
        <f t="shared" si="14"/>
        <v>1049.1786335403726</v>
      </c>
      <c r="AU118" s="14">
        <f t="shared" si="14"/>
        <v>11039.080745341616</v>
      </c>
      <c r="AV118" s="14">
        <f t="shared" si="14"/>
        <v>4081.5345268542196</v>
      </c>
      <c r="AW118" s="14">
        <f t="shared" si="14"/>
        <v>3964.9192546583849</v>
      </c>
      <c r="AX118" s="14">
        <f t="shared" si="14"/>
        <v>3964.9192546583849</v>
      </c>
      <c r="AY118" s="14">
        <f t="shared" si="14"/>
        <v>2700.2347826086957</v>
      </c>
      <c r="AZ118" s="14">
        <f t="shared" si="14"/>
        <v>3271.5782608695654</v>
      </c>
      <c r="BA118" s="14">
        <f t="shared" si="14"/>
        <v>3458.6295652173912</v>
      </c>
      <c r="BB118" s="14">
        <f t="shared" si="14"/>
        <v>3708.5338509316766</v>
      </c>
      <c r="BC118" s="14">
        <f t="shared" si="14"/>
        <v>25797.067080745343</v>
      </c>
      <c r="BD118" s="14">
        <f t="shared" si="14"/>
        <v>25797.067080745343</v>
      </c>
      <c r="BE118" s="14">
        <f t="shared" si="14"/>
        <v>25797.067080745343</v>
      </c>
      <c r="BF118" s="14">
        <f t="shared" si="14"/>
        <v>4154.5872670807457</v>
      </c>
      <c r="BG118" s="14">
        <f t="shared" si="14"/>
        <v>3831.4844720496899</v>
      </c>
      <c r="BH118" s="14">
        <f t="shared" si="14"/>
        <v>2749.9977755308391</v>
      </c>
      <c r="BI118" s="14">
        <f t="shared" si="14"/>
        <v>2560.085945399393</v>
      </c>
      <c r="BJ118" s="15">
        <f t="shared" si="14"/>
        <v>2749.9977755308391</v>
      </c>
      <c r="BM118" s="35" t="s">
        <v>8</v>
      </c>
      <c r="BN118" s="11">
        <v>1283</v>
      </c>
      <c r="BO118" s="13">
        <v>1283</v>
      </c>
      <c r="BP118" s="13">
        <v>1283</v>
      </c>
      <c r="BQ118" s="13">
        <v>1283</v>
      </c>
      <c r="BR118" s="13">
        <v>1283</v>
      </c>
      <c r="BS118" s="13">
        <v>1283</v>
      </c>
      <c r="BT118" s="13">
        <v>1283</v>
      </c>
      <c r="BU118" s="12"/>
      <c r="BV118" s="13">
        <v>1301</v>
      </c>
      <c r="BW118" s="13">
        <v>1301</v>
      </c>
      <c r="BX118" s="13">
        <v>1301</v>
      </c>
      <c r="BY118" s="13">
        <v>1301</v>
      </c>
      <c r="BZ118" s="13">
        <v>1417</v>
      </c>
      <c r="CA118" s="14">
        <v>1464</v>
      </c>
      <c r="CB118" s="14">
        <v>1464</v>
      </c>
      <c r="CC118" s="14">
        <v>1328</v>
      </c>
      <c r="CD118" s="14">
        <v>1328</v>
      </c>
      <c r="CE118" s="14">
        <v>1328</v>
      </c>
      <c r="CF118" s="14">
        <v>1314</v>
      </c>
      <c r="CG118" s="14">
        <v>1314</v>
      </c>
      <c r="CH118" s="14">
        <v>1295</v>
      </c>
      <c r="CI118" s="14">
        <v>1295</v>
      </c>
      <c r="CJ118" s="14">
        <v>1295</v>
      </c>
      <c r="CK118" s="14">
        <v>1295</v>
      </c>
      <c r="CL118" s="14">
        <v>1323</v>
      </c>
      <c r="CM118" s="14">
        <v>1323</v>
      </c>
      <c r="CN118" s="14">
        <v>1320</v>
      </c>
      <c r="CO118" s="14">
        <v>1320</v>
      </c>
      <c r="CP118" s="14">
        <v>1373</v>
      </c>
      <c r="CQ118" s="14">
        <v>1373</v>
      </c>
      <c r="CR118" s="14">
        <v>1330</v>
      </c>
      <c r="CS118" s="14">
        <v>1357</v>
      </c>
      <c r="CT118" s="14">
        <v>1725</v>
      </c>
      <c r="CU118" s="14">
        <v>1725</v>
      </c>
      <c r="CV118" s="14">
        <v>1725</v>
      </c>
      <c r="CW118" s="14">
        <v>1725</v>
      </c>
      <c r="CX118" s="14">
        <v>1300</v>
      </c>
      <c r="CY118" s="14">
        <v>1300</v>
      </c>
      <c r="CZ118" s="14">
        <v>1300</v>
      </c>
      <c r="DA118" s="14">
        <v>1282</v>
      </c>
      <c r="DB118" s="14">
        <v>1282</v>
      </c>
      <c r="DC118" s="14">
        <v>1282</v>
      </c>
      <c r="DD118" s="14">
        <v>1376</v>
      </c>
      <c r="DE118" s="14">
        <v>1376</v>
      </c>
      <c r="DF118" s="14">
        <v>1376</v>
      </c>
      <c r="DG118" s="14">
        <v>1303</v>
      </c>
      <c r="DH118" s="14">
        <v>1404</v>
      </c>
      <c r="DI118" s="14">
        <v>1404</v>
      </c>
      <c r="DJ118" s="14">
        <v>1404</v>
      </c>
      <c r="DK118" s="14">
        <v>1484</v>
      </c>
      <c r="DL118" s="14">
        <v>1798</v>
      </c>
      <c r="DM118" s="14">
        <v>1512</v>
      </c>
      <c r="DN118" s="14">
        <v>1297</v>
      </c>
      <c r="DO118" s="14">
        <v>1305</v>
      </c>
      <c r="DP118" s="14">
        <v>1305</v>
      </c>
      <c r="DQ118" s="14">
        <v>1305</v>
      </c>
      <c r="DR118" s="14">
        <v>1453</v>
      </c>
      <c r="DS118" s="14">
        <v>1340</v>
      </c>
      <c r="DT118" s="14">
        <v>1477</v>
      </c>
      <c r="DU118" s="14">
        <v>1375</v>
      </c>
      <c r="DV118" s="15">
        <v>1477</v>
      </c>
      <c r="DY118" s="35" t="s">
        <v>8</v>
      </c>
      <c r="DZ118" s="11">
        <f t="shared" si="7"/>
        <v>1.6666666666666666E-2</v>
      </c>
      <c r="EA118" s="13">
        <f t="shared" si="7"/>
        <v>1.6666666666666666E-2</v>
      </c>
      <c r="EB118" s="13">
        <f t="shared" si="7"/>
        <v>1.6666666666666666E-2</v>
      </c>
      <c r="EC118" s="13">
        <f t="shared" si="7"/>
        <v>1.6666666666666666E-2</v>
      </c>
      <c r="ED118" s="13">
        <f t="shared" si="7"/>
        <v>1.6666666666666666E-2</v>
      </c>
      <c r="EE118" s="13">
        <f t="shared" si="7"/>
        <v>1.6666666666666666E-2</v>
      </c>
      <c r="EF118" s="13">
        <f t="shared" si="7"/>
        <v>1.6666666666666666E-2</v>
      </c>
      <c r="EG118" s="12">
        <v>0.6</v>
      </c>
      <c r="EH118" s="13">
        <f t="shared" si="7"/>
        <v>1.6666666666666666E-2</v>
      </c>
      <c r="EI118" s="13">
        <f t="shared" si="7"/>
        <v>1.6666666666666666E-2</v>
      </c>
      <c r="EJ118" s="13">
        <f t="shared" si="7"/>
        <v>1.6666666666666666E-2</v>
      </c>
      <c r="EK118" s="13">
        <f t="shared" si="7"/>
        <v>1.6666666666666666E-2</v>
      </c>
      <c r="EL118" s="13">
        <f t="shared" si="7"/>
        <v>1.6666666666666666E-2</v>
      </c>
      <c r="EM118" s="14">
        <v>4.6511627906976744E-3</v>
      </c>
      <c r="EN118" s="14">
        <v>4.6511627906976744E-3</v>
      </c>
      <c r="EO118" s="14">
        <v>7.1428571428571435E-3</v>
      </c>
      <c r="EP118" s="14">
        <v>7.1428571428571435E-3</v>
      </c>
      <c r="EQ118" s="14">
        <v>7.1428571428571435E-3</v>
      </c>
      <c r="ER118" s="14">
        <v>7.1428571428571435E-3</v>
      </c>
      <c r="ES118" s="14">
        <v>7.1428571428571435E-3</v>
      </c>
      <c r="ET118" s="14">
        <v>7.1428571428571435E-3</v>
      </c>
      <c r="EU118" s="14">
        <v>7.1428571428571435E-3</v>
      </c>
      <c r="EV118" s="14">
        <v>7.1428571428571435E-3</v>
      </c>
      <c r="EW118" s="14">
        <v>7.1428571428571435E-3</v>
      </c>
      <c r="EX118" s="14">
        <v>7.1428571428571435E-3</v>
      </c>
      <c r="EY118" s="14">
        <v>7.1428571428571435E-3</v>
      </c>
      <c r="EZ118" s="14">
        <v>7.1428571428571435E-3</v>
      </c>
      <c r="FA118" s="14">
        <v>7.1428571428571435E-3</v>
      </c>
      <c r="FB118" s="14">
        <v>7.1428571428571435E-3</v>
      </c>
      <c r="FC118" s="14">
        <v>7.1428571428571435E-3</v>
      </c>
      <c r="FD118" s="14">
        <v>7.1428571428571435E-3</v>
      </c>
      <c r="FE118" s="14">
        <v>7.1428571428571435E-3</v>
      </c>
      <c r="FF118" s="14">
        <v>5.7142857142857143E-3</v>
      </c>
      <c r="FG118" s="14">
        <v>5.7142857142857143E-3</v>
      </c>
      <c r="FH118" s="14">
        <v>5.7142857142857143E-3</v>
      </c>
      <c r="FI118" s="14">
        <v>5.7142857142857143E-3</v>
      </c>
      <c r="FJ118" s="14">
        <v>5.7142857142857143E-3</v>
      </c>
      <c r="FK118" s="14">
        <v>5.7142857142857143E-3</v>
      </c>
      <c r="FL118" s="14">
        <v>5.7142857142857143E-3</v>
      </c>
      <c r="FM118" s="14">
        <v>4.7619047619047623E-3</v>
      </c>
      <c r="FN118" s="14">
        <v>4.7619047619047623E-3</v>
      </c>
      <c r="FO118" s="14">
        <v>4.7619047619047623E-3</v>
      </c>
      <c r="FP118" s="14">
        <v>5.7142857142857143E-3</v>
      </c>
      <c r="FQ118" s="14">
        <v>5.7142857142857143E-3</v>
      </c>
      <c r="FR118" s="14">
        <v>5.7142857142857143E-3</v>
      </c>
      <c r="FS118" s="14">
        <v>5.7142857142857143E-3</v>
      </c>
      <c r="FT118" s="14">
        <v>5.8823529411764705E-3</v>
      </c>
      <c r="FU118" s="14">
        <v>5.7142857142857143E-3</v>
      </c>
      <c r="FV118" s="14">
        <v>5.7142857142857143E-3</v>
      </c>
      <c r="FW118" s="14">
        <v>4.5454545454545461E-3</v>
      </c>
      <c r="FX118" s="14">
        <v>4.5454545454545461E-3</v>
      </c>
      <c r="FY118" s="14">
        <v>5.7142857142857143E-3</v>
      </c>
      <c r="FZ118" s="14">
        <v>7.1428571428571435E-3</v>
      </c>
      <c r="GA118" s="14">
        <v>5.7142857142857143E-3</v>
      </c>
      <c r="GB118" s="14">
        <v>5.7142857142857143E-3</v>
      </c>
      <c r="GC118" s="14">
        <v>5.7142857142857143E-3</v>
      </c>
      <c r="GD118" s="14">
        <v>7.1428571428571435E-3</v>
      </c>
      <c r="GE118" s="14">
        <v>7.1428571428571435E-3</v>
      </c>
      <c r="GF118" s="14">
        <v>4.6511627906976744E-3</v>
      </c>
      <c r="GG118" s="14">
        <v>4.6511627906976744E-3</v>
      </c>
      <c r="GH118" s="15">
        <v>4.6511627906976744E-3</v>
      </c>
    </row>
    <row r="119" spans="1:190" x14ac:dyDescent="0.3">
      <c r="A119" s="35" t="s">
        <v>64</v>
      </c>
      <c r="B119" s="11">
        <f>BN119*DZ119*B110*2</f>
        <v>482211.76114130433</v>
      </c>
      <c r="C119" s="13">
        <f t="shared" ref="C119:BJ119" si="15">BO119*EA119*C110*2</f>
        <v>482211.76114130433</v>
      </c>
      <c r="D119" s="13">
        <f t="shared" si="15"/>
        <v>482211.76114130433</v>
      </c>
      <c r="E119" s="13">
        <f t="shared" si="15"/>
        <v>482211.76114130433</v>
      </c>
      <c r="F119" s="13">
        <f t="shared" si="15"/>
        <v>482211.76114130433</v>
      </c>
      <c r="G119" s="13">
        <f t="shared" si="15"/>
        <v>482211.76114130433</v>
      </c>
      <c r="H119" s="13">
        <f t="shared" si="15"/>
        <v>482211.76114130433</v>
      </c>
      <c r="I119" s="13">
        <f t="shared" si="15"/>
        <v>482211.76114130433</v>
      </c>
      <c r="J119" s="12">
        <f t="shared" si="15"/>
        <v>0</v>
      </c>
      <c r="K119" s="13">
        <f t="shared" si="15"/>
        <v>8036.9746376811599</v>
      </c>
      <c r="L119" s="13">
        <f t="shared" si="15"/>
        <v>8036.9746376811599</v>
      </c>
      <c r="M119" s="13">
        <f t="shared" si="15"/>
        <v>8036.9746376811599</v>
      </c>
      <c r="N119" s="13">
        <f t="shared" si="15"/>
        <v>9453.8543478260872</v>
      </c>
      <c r="O119" s="14">
        <f t="shared" si="15"/>
        <v>5109.8281092012139</v>
      </c>
      <c r="P119" s="14">
        <f t="shared" si="15"/>
        <v>5109.8281092012139</v>
      </c>
      <c r="Q119" s="14">
        <f t="shared" si="15"/>
        <v>52264.789855072471</v>
      </c>
      <c r="R119" s="14">
        <f t="shared" si="15"/>
        <v>52264.789855072471</v>
      </c>
      <c r="S119" s="14">
        <f t="shared" si="15"/>
        <v>52264.789855072471</v>
      </c>
      <c r="T119" s="14">
        <f t="shared" si="15"/>
        <v>7058.2763975155285</v>
      </c>
      <c r="U119" s="14">
        <f t="shared" si="15"/>
        <v>7058.2763975155285</v>
      </c>
      <c r="V119" s="14">
        <f t="shared" si="15"/>
        <v>59094.378571428577</v>
      </c>
      <c r="W119" s="14">
        <f t="shared" si="15"/>
        <v>59094.378571428577</v>
      </c>
      <c r="X119" s="14">
        <f t="shared" si="15"/>
        <v>59094.378571428577</v>
      </c>
      <c r="Y119" s="14">
        <f t="shared" si="15"/>
        <v>59094.378571428577</v>
      </c>
      <c r="Z119" s="14">
        <f t="shared" si="15"/>
        <v>1918.6015527950312</v>
      </c>
      <c r="AA119" s="14">
        <f t="shared" si="15"/>
        <v>1918.6015527950312</v>
      </c>
      <c r="AB119" s="14">
        <f t="shared" si="15"/>
        <v>1912.8829192546586</v>
      </c>
      <c r="AC119" s="14">
        <f t="shared" si="15"/>
        <v>1912.8829192546586</v>
      </c>
      <c r="AD119" s="14">
        <f t="shared" si="15"/>
        <v>1988.6548136645963</v>
      </c>
      <c r="AE119" s="14">
        <f t="shared" si="15"/>
        <v>1988.6548136645963</v>
      </c>
      <c r="AF119" s="14">
        <f t="shared" si="15"/>
        <v>3854.3590062111807</v>
      </c>
      <c r="AG119" s="14">
        <f t="shared" si="15"/>
        <v>3931.5605590062114</v>
      </c>
      <c r="AH119" s="14">
        <f t="shared" si="15"/>
        <v>996.75782608695658</v>
      </c>
      <c r="AI119" s="14">
        <f t="shared" si="15"/>
        <v>996.75782608695658</v>
      </c>
      <c r="AJ119" s="14">
        <f t="shared" si="15"/>
        <v>996.75782608695658</v>
      </c>
      <c r="AK119" s="14">
        <f t="shared" si="15"/>
        <v>996.75782608695658</v>
      </c>
      <c r="AL119" s="14">
        <f t="shared" si="15"/>
        <v>44697.878757763981</v>
      </c>
      <c r="AM119" s="14">
        <f t="shared" si="15"/>
        <v>44697.878757763981</v>
      </c>
      <c r="AN119" s="14">
        <f t="shared" si="15"/>
        <v>44697.878757763981</v>
      </c>
      <c r="AO119" s="14">
        <f t="shared" si="15"/>
        <v>826.02484472049696</v>
      </c>
      <c r="AP119" s="14">
        <f t="shared" si="15"/>
        <v>826.02484472049696</v>
      </c>
      <c r="AQ119" s="14">
        <f t="shared" si="15"/>
        <v>826.02484472049696</v>
      </c>
      <c r="AR119" s="14">
        <f t="shared" si="15"/>
        <v>1062.903354037267</v>
      </c>
      <c r="AS119" s="14">
        <f t="shared" si="15"/>
        <v>1062.903354037267</v>
      </c>
      <c r="AT119" s="14">
        <f t="shared" si="15"/>
        <v>1062.903354037267</v>
      </c>
      <c r="AU119" s="14">
        <f t="shared" si="15"/>
        <v>11191.577639751555</v>
      </c>
      <c r="AV119" s="14">
        <f t="shared" si="15"/>
        <v>4133.8618925831206</v>
      </c>
      <c r="AW119" s="14">
        <f t="shared" si="15"/>
        <v>4015.7515527950313</v>
      </c>
      <c r="AX119" s="14">
        <f t="shared" si="15"/>
        <v>4015.7515527950313</v>
      </c>
      <c r="AY119" s="14">
        <f t="shared" si="15"/>
        <v>2732.9869565217391</v>
      </c>
      <c r="AZ119" s="14">
        <f t="shared" si="15"/>
        <v>3304.3304347826092</v>
      </c>
      <c r="BA119" s="14">
        <f t="shared" si="15"/>
        <v>3499.803726708074</v>
      </c>
      <c r="BB119" s="14">
        <f t="shared" si="15"/>
        <v>3762.8608695652174</v>
      </c>
      <c r="BC119" s="14">
        <f t="shared" si="15"/>
        <v>26152.888695652175</v>
      </c>
      <c r="BD119" s="14">
        <f t="shared" si="15"/>
        <v>26152.888695652175</v>
      </c>
      <c r="BE119" s="14">
        <f t="shared" si="15"/>
        <v>26152.888695652175</v>
      </c>
      <c r="BF119" s="14">
        <f t="shared" si="15"/>
        <v>4206.0549689440995</v>
      </c>
      <c r="BG119" s="14">
        <f t="shared" si="15"/>
        <v>3882.9521739130437</v>
      </c>
      <c r="BH119" s="14">
        <f t="shared" si="15"/>
        <v>2783.5116279069766</v>
      </c>
      <c r="BI119" s="14">
        <f t="shared" si="15"/>
        <v>2593.5997977755305</v>
      </c>
      <c r="BJ119" s="15">
        <f t="shared" si="15"/>
        <v>2783.5116279069766</v>
      </c>
      <c r="BM119" s="35" t="s">
        <v>64</v>
      </c>
      <c r="BN119" s="11">
        <v>1301</v>
      </c>
      <c r="BO119" s="13">
        <v>1301</v>
      </c>
      <c r="BP119" s="13">
        <v>1301</v>
      </c>
      <c r="BQ119" s="13">
        <v>1301</v>
      </c>
      <c r="BR119" s="13">
        <v>1301</v>
      </c>
      <c r="BS119" s="13">
        <v>1301</v>
      </c>
      <c r="BT119" s="13">
        <v>1301</v>
      </c>
      <c r="BU119" s="13">
        <v>1301</v>
      </c>
      <c r="BV119" s="12"/>
      <c r="BW119" s="13">
        <v>1301</v>
      </c>
      <c r="BX119" s="13">
        <v>1301</v>
      </c>
      <c r="BY119" s="13">
        <v>1301</v>
      </c>
      <c r="BZ119" s="13">
        <v>1417</v>
      </c>
      <c r="CA119" s="14">
        <v>1482</v>
      </c>
      <c r="CB119" s="14">
        <v>1482</v>
      </c>
      <c r="CC119" s="14">
        <v>1346</v>
      </c>
      <c r="CD119" s="14">
        <v>1346</v>
      </c>
      <c r="CE119" s="14">
        <v>1346</v>
      </c>
      <c r="CF119" s="14">
        <v>1333</v>
      </c>
      <c r="CG119" s="14">
        <v>1333</v>
      </c>
      <c r="CH119" s="14">
        <v>1313</v>
      </c>
      <c r="CI119" s="14">
        <v>1313</v>
      </c>
      <c r="CJ119" s="14">
        <v>1313</v>
      </c>
      <c r="CK119" s="14">
        <v>1313</v>
      </c>
      <c r="CL119" s="14">
        <v>1342</v>
      </c>
      <c r="CM119" s="14">
        <v>1342</v>
      </c>
      <c r="CN119" s="14">
        <v>1338</v>
      </c>
      <c r="CO119" s="14">
        <v>1338</v>
      </c>
      <c r="CP119" s="14">
        <v>1391</v>
      </c>
      <c r="CQ119" s="14">
        <v>1391</v>
      </c>
      <c r="CR119" s="14">
        <v>1348</v>
      </c>
      <c r="CS119" s="14">
        <v>1375</v>
      </c>
      <c r="CT119" s="14">
        <v>1743</v>
      </c>
      <c r="CU119" s="14">
        <v>1743</v>
      </c>
      <c r="CV119" s="14">
        <v>1743</v>
      </c>
      <c r="CW119" s="14">
        <v>1743</v>
      </c>
      <c r="CX119" s="14">
        <v>1319</v>
      </c>
      <c r="CY119" s="14">
        <v>1319</v>
      </c>
      <c r="CZ119" s="14">
        <v>1319</v>
      </c>
      <c r="DA119" s="14">
        <v>1300</v>
      </c>
      <c r="DB119" s="14">
        <v>1300</v>
      </c>
      <c r="DC119" s="14">
        <v>1300</v>
      </c>
      <c r="DD119" s="14">
        <v>1394</v>
      </c>
      <c r="DE119" s="14">
        <v>1394</v>
      </c>
      <c r="DF119" s="14">
        <v>1394</v>
      </c>
      <c r="DG119" s="14">
        <v>1321</v>
      </c>
      <c r="DH119" s="14">
        <v>1422</v>
      </c>
      <c r="DI119" s="14">
        <v>1422</v>
      </c>
      <c r="DJ119" s="14">
        <v>1422</v>
      </c>
      <c r="DK119" s="14">
        <v>1502</v>
      </c>
      <c r="DL119" s="14">
        <v>1816</v>
      </c>
      <c r="DM119" s="14">
        <v>1530</v>
      </c>
      <c r="DN119" s="14">
        <v>1316</v>
      </c>
      <c r="DO119" s="14">
        <v>1323</v>
      </c>
      <c r="DP119" s="14">
        <v>1323</v>
      </c>
      <c r="DQ119" s="14">
        <v>1323</v>
      </c>
      <c r="DR119" s="14">
        <v>1471</v>
      </c>
      <c r="DS119" s="14">
        <v>1358</v>
      </c>
      <c r="DT119" s="14">
        <v>1495</v>
      </c>
      <c r="DU119" s="14">
        <v>1393</v>
      </c>
      <c r="DV119" s="15">
        <v>1495</v>
      </c>
      <c r="DY119" s="35" t="s">
        <v>64</v>
      </c>
      <c r="DZ119" s="11">
        <f t="shared" si="7"/>
        <v>1.6666666666666666E-2</v>
      </c>
      <c r="EA119" s="13">
        <f t="shared" si="7"/>
        <v>1.6666666666666666E-2</v>
      </c>
      <c r="EB119" s="13">
        <f t="shared" si="7"/>
        <v>1.6666666666666666E-2</v>
      </c>
      <c r="EC119" s="13">
        <f t="shared" si="7"/>
        <v>1.6666666666666666E-2</v>
      </c>
      <c r="ED119" s="13">
        <f t="shared" si="7"/>
        <v>1.6666666666666666E-2</v>
      </c>
      <c r="EE119" s="13">
        <f t="shared" si="7"/>
        <v>1.6666666666666666E-2</v>
      </c>
      <c r="EF119" s="13">
        <f t="shared" si="7"/>
        <v>1.6666666666666666E-2</v>
      </c>
      <c r="EG119" s="13">
        <f t="shared" si="7"/>
        <v>1.6666666666666666E-2</v>
      </c>
      <c r="EH119" s="12">
        <v>0.6</v>
      </c>
      <c r="EI119" s="13">
        <f t="shared" si="7"/>
        <v>1.6666666666666666E-2</v>
      </c>
      <c r="EJ119" s="13">
        <f t="shared" si="7"/>
        <v>1.6666666666666666E-2</v>
      </c>
      <c r="EK119" s="13">
        <f t="shared" si="7"/>
        <v>1.6666666666666666E-2</v>
      </c>
      <c r="EL119" s="13">
        <f t="shared" si="7"/>
        <v>1.6666666666666666E-2</v>
      </c>
      <c r="EM119" s="14">
        <v>4.6511627906976744E-3</v>
      </c>
      <c r="EN119" s="14">
        <v>4.6511627906976744E-3</v>
      </c>
      <c r="EO119" s="14">
        <v>7.1428571428571435E-3</v>
      </c>
      <c r="EP119" s="14">
        <v>7.1428571428571435E-3</v>
      </c>
      <c r="EQ119" s="14">
        <v>7.1428571428571435E-3</v>
      </c>
      <c r="ER119" s="14">
        <v>7.1428571428571435E-3</v>
      </c>
      <c r="ES119" s="14">
        <v>7.1428571428571435E-3</v>
      </c>
      <c r="ET119" s="14">
        <v>7.1428571428571435E-3</v>
      </c>
      <c r="EU119" s="14">
        <v>7.1428571428571435E-3</v>
      </c>
      <c r="EV119" s="14">
        <v>7.1428571428571435E-3</v>
      </c>
      <c r="EW119" s="14">
        <v>7.1428571428571435E-3</v>
      </c>
      <c r="EX119" s="14">
        <v>7.1428571428571435E-3</v>
      </c>
      <c r="EY119" s="14">
        <v>7.1428571428571435E-3</v>
      </c>
      <c r="EZ119" s="14">
        <v>7.1428571428571435E-3</v>
      </c>
      <c r="FA119" s="14">
        <v>7.1428571428571435E-3</v>
      </c>
      <c r="FB119" s="14">
        <v>7.1428571428571435E-3</v>
      </c>
      <c r="FC119" s="14">
        <v>7.1428571428571435E-3</v>
      </c>
      <c r="FD119" s="14">
        <v>7.1428571428571435E-3</v>
      </c>
      <c r="FE119" s="14">
        <v>7.1428571428571435E-3</v>
      </c>
      <c r="FF119" s="14">
        <v>5.7142857142857143E-3</v>
      </c>
      <c r="FG119" s="14">
        <v>5.7142857142857143E-3</v>
      </c>
      <c r="FH119" s="14">
        <v>5.7142857142857143E-3</v>
      </c>
      <c r="FI119" s="14">
        <v>5.7142857142857143E-3</v>
      </c>
      <c r="FJ119" s="14">
        <v>5.7142857142857143E-3</v>
      </c>
      <c r="FK119" s="14">
        <v>5.7142857142857143E-3</v>
      </c>
      <c r="FL119" s="14">
        <v>5.7142857142857143E-3</v>
      </c>
      <c r="FM119" s="14">
        <v>4.7619047619047623E-3</v>
      </c>
      <c r="FN119" s="14">
        <v>4.7619047619047623E-3</v>
      </c>
      <c r="FO119" s="14">
        <v>4.7619047619047623E-3</v>
      </c>
      <c r="FP119" s="14">
        <v>5.7142857142857143E-3</v>
      </c>
      <c r="FQ119" s="14">
        <v>5.7142857142857143E-3</v>
      </c>
      <c r="FR119" s="14">
        <v>5.7142857142857143E-3</v>
      </c>
      <c r="FS119" s="14">
        <v>5.7142857142857143E-3</v>
      </c>
      <c r="FT119" s="14">
        <v>5.8823529411764705E-3</v>
      </c>
      <c r="FU119" s="14">
        <v>5.7142857142857143E-3</v>
      </c>
      <c r="FV119" s="14">
        <v>5.7142857142857143E-3</v>
      </c>
      <c r="FW119" s="14">
        <v>4.5454545454545461E-3</v>
      </c>
      <c r="FX119" s="14">
        <v>4.5454545454545461E-3</v>
      </c>
      <c r="FY119" s="14">
        <v>5.7142857142857143E-3</v>
      </c>
      <c r="FZ119" s="14">
        <v>7.1428571428571435E-3</v>
      </c>
      <c r="GA119" s="14">
        <v>5.7142857142857143E-3</v>
      </c>
      <c r="GB119" s="14">
        <v>5.7142857142857143E-3</v>
      </c>
      <c r="GC119" s="14">
        <v>5.7142857142857143E-3</v>
      </c>
      <c r="GD119" s="14">
        <v>7.1428571428571435E-3</v>
      </c>
      <c r="GE119" s="14">
        <v>7.1428571428571435E-3</v>
      </c>
      <c r="GF119" s="14">
        <v>4.6511627906976744E-3</v>
      </c>
      <c r="GG119" s="14">
        <v>4.6511627906976744E-3</v>
      </c>
      <c r="GH119" s="15">
        <v>4.6511627906976744E-3</v>
      </c>
    </row>
    <row r="120" spans="1:190" x14ac:dyDescent="0.3">
      <c r="A120" s="35" t="s">
        <v>10</v>
      </c>
      <c r="B120" s="11">
        <f>BN120*DZ120*B110*2</f>
        <v>482211.76114130433</v>
      </c>
      <c r="C120" s="13">
        <f t="shared" ref="C120:BJ120" si="16">BO120*EA120*C110*2</f>
        <v>482211.76114130433</v>
      </c>
      <c r="D120" s="13">
        <f t="shared" si="16"/>
        <v>482211.76114130433</v>
      </c>
      <c r="E120" s="13">
        <f t="shared" si="16"/>
        <v>482211.76114130433</v>
      </c>
      <c r="F120" s="13">
        <f t="shared" si="16"/>
        <v>482211.76114130433</v>
      </c>
      <c r="G120" s="13">
        <f t="shared" si="16"/>
        <v>482211.76114130433</v>
      </c>
      <c r="H120" s="13">
        <f t="shared" si="16"/>
        <v>482211.76114130433</v>
      </c>
      <c r="I120" s="13">
        <f t="shared" si="16"/>
        <v>482211.76114130433</v>
      </c>
      <c r="J120" s="13">
        <f t="shared" si="16"/>
        <v>8036.9746376811599</v>
      </c>
      <c r="K120" s="12">
        <f t="shared" si="16"/>
        <v>0</v>
      </c>
      <c r="L120" s="13">
        <f t="shared" si="16"/>
        <v>8036.9746376811599</v>
      </c>
      <c r="M120" s="13">
        <f t="shared" si="16"/>
        <v>8036.9746376811599</v>
      </c>
      <c r="N120" s="13">
        <f t="shared" si="16"/>
        <v>9453.8543478260872</v>
      </c>
      <c r="O120" s="14">
        <f t="shared" si="16"/>
        <v>5109.8281092012139</v>
      </c>
      <c r="P120" s="14">
        <f t="shared" si="16"/>
        <v>5109.8281092012139</v>
      </c>
      <c r="Q120" s="14">
        <f t="shared" si="16"/>
        <v>52264.789855072471</v>
      </c>
      <c r="R120" s="14">
        <f t="shared" si="16"/>
        <v>52264.789855072471</v>
      </c>
      <c r="S120" s="14">
        <f t="shared" si="16"/>
        <v>52264.789855072471</v>
      </c>
      <c r="T120" s="14">
        <f t="shared" si="16"/>
        <v>7058.2763975155285</v>
      </c>
      <c r="U120" s="14">
        <f t="shared" si="16"/>
        <v>7058.2763975155285</v>
      </c>
      <c r="V120" s="14">
        <f t="shared" si="16"/>
        <v>59094.378571428577</v>
      </c>
      <c r="W120" s="14">
        <f t="shared" si="16"/>
        <v>59094.378571428577</v>
      </c>
      <c r="X120" s="14">
        <f t="shared" si="16"/>
        <v>59094.378571428577</v>
      </c>
      <c r="Y120" s="14">
        <f t="shared" si="16"/>
        <v>59094.378571428577</v>
      </c>
      <c r="Z120" s="14">
        <f t="shared" si="16"/>
        <v>1918.6015527950312</v>
      </c>
      <c r="AA120" s="14">
        <f t="shared" si="16"/>
        <v>1918.6015527950312</v>
      </c>
      <c r="AB120" s="14">
        <f t="shared" si="16"/>
        <v>1912.8829192546586</v>
      </c>
      <c r="AC120" s="14">
        <f t="shared" si="16"/>
        <v>1912.8829192546586</v>
      </c>
      <c r="AD120" s="14">
        <f t="shared" si="16"/>
        <v>1988.6548136645963</v>
      </c>
      <c r="AE120" s="14">
        <f t="shared" si="16"/>
        <v>1988.6548136645963</v>
      </c>
      <c r="AF120" s="14">
        <f t="shared" si="16"/>
        <v>3854.3590062111807</v>
      </c>
      <c r="AG120" s="14">
        <f t="shared" si="16"/>
        <v>3931.5605590062114</v>
      </c>
      <c r="AH120" s="14">
        <f t="shared" si="16"/>
        <v>996.75782608695658</v>
      </c>
      <c r="AI120" s="14">
        <f t="shared" si="16"/>
        <v>996.75782608695658</v>
      </c>
      <c r="AJ120" s="14">
        <f t="shared" si="16"/>
        <v>996.75782608695658</v>
      </c>
      <c r="AK120" s="14">
        <f t="shared" si="16"/>
        <v>996.75782608695658</v>
      </c>
      <c r="AL120" s="14">
        <f t="shared" si="16"/>
        <v>44697.878757763981</v>
      </c>
      <c r="AM120" s="14">
        <f t="shared" si="16"/>
        <v>44697.878757763981</v>
      </c>
      <c r="AN120" s="14">
        <f t="shared" si="16"/>
        <v>44697.878757763981</v>
      </c>
      <c r="AO120" s="14">
        <f t="shared" si="16"/>
        <v>826.02484472049696</v>
      </c>
      <c r="AP120" s="14">
        <f t="shared" si="16"/>
        <v>826.02484472049696</v>
      </c>
      <c r="AQ120" s="14">
        <f t="shared" si="16"/>
        <v>826.02484472049696</v>
      </c>
      <c r="AR120" s="14">
        <f t="shared" si="16"/>
        <v>1062.903354037267</v>
      </c>
      <c r="AS120" s="14">
        <f t="shared" si="16"/>
        <v>1062.903354037267</v>
      </c>
      <c r="AT120" s="14">
        <f t="shared" si="16"/>
        <v>1062.903354037267</v>
      </c>
      <c r="AU120" s="14">
        <f t="shared" si="16"/>
        <v>11191.577639751555</v>
      </c>
      <c r="AV120" s="14">
        <f t="shared" si="16"/>
        <v>4133.8618925831206</v>
      </c>
      <c r="AW120" s="14">
        <f t="shared" si="16"/>
        <v>4015.7515527950313</v>
      </c>
      <c r="AX120" s="14">
        <f t="shared" si="16"/>
        <v>4015.7515527950313</v>
      </c>
      <c r="AY120" s="14">
        <f t="shared" si="16"/>
        <v>2732.9869565217391</v>
      </c>
      <c r="AZ120" s="14">
        <f t="shared" si="16"/>
        <v>3304.3304347826092</v>
      </c>
      <c r="BA120" s="14">
        <f t="shared" si="16"/>
        <v>3499.803726708074</v>
      </c>
      <c r="BB120" s="14">
        <f t="shared" si="16"/>
        <v>3762.8608695652174</v>
      </c>
      <c r="BC120" s="14">
        <f t="shared" si="16"/>
        <v>26152.888695652175</v>
      </c>
      <c r="BD120" s="14">
        <f t="shared" si="16"/>
        <v>26152.888695652175</v>
      </c>
      <c r="BE120" s="14">
        <f t="shared" si="16"/>
        <v>26152.888695652175</v>
      </c>
      <c r="BF120" s="14">
        <f t="shared" si="16"/>
        <v>4206.0549689440995</v>
      </c>
      <c r="BG120" s="14">
        <f t="shared" si="16"/>
        <v>3882.9521739130437</v>
      </c>
      <c r="BH120" s="14">
        <f t="shared" si="16"/>
        <v>2783.5116279069766</v>
      </c>
      <c r="BI120" s="14">
        <f t="shared" si="16"/>
        <v>2593.5997977755305</v>
      </c>
      <c r="BJ120" s="15">
        <f t="shared" si="16"/>
        <v>2783.5116279069766</v>
      </c>
      <c r="BM120" s="35" t="s">
        <v>10</v>
      </c>
      <c r="BN120" s="11">
        <v>1301</v>
      </c>
      <c r="BO120" s="13">
        <v>1301</v>
      </c>
      <c r="BP120" s="13">
        <v>1301</v>
      </c>
      <c r="BQ120" s="13">
        <v>1301</v>
      </c>
      <c r="BR120" s="13">
        <v>1301</v>
      </c>
      <c r="BS120" s="13">
        <v>1301</v>
      </c>
      <c r="BT120" s="13">
        <v>1301</v>
      </c>
      <c r="BU120" s="13">
        <v>1301</v>
      </c>
      <c r="BV120" s="13">
        <v>1301</v>
      </c>
      <c r="BW120" s="12"/>
      <c r="BX120" s="13">
        <v>1301</v>
      </c>
      <c r="BY120" s="13">
        <v>1301</v>
      </c>
      <c r="BZ120" s="13">
        <v>1417</v>
      </c>
      <c r="CA120" s="14">
        <v>1482</v>
      </c>
      <c r="CB120" s="14">
        <v>1482</v>
      </c>
      <c r="CC120" s="14">
        <v>1346</v>
      </c>
      <c r="CD120" s="14">
        <v>1346</v>
      </c>
      <c r="CE120" s="14">
        <v>1346</v>
      </c>
      <c r="CF120" s="14">
        <v>1333</v>
      </c>
      <c r="CG120" s="14">
        <v>1333</v>
      </c>
      <c r="CH120" s="14">
        <v>1313</v>
      </c>
      <c r="CI120" s="14">
        <v>1313</v>
      </c>
      <c r="CJ120" s="14">
        <v>1313</v>
      </c>
      <c r="CK120" s="14">
        <v>1313</v>
      </c>
      <c r="CL120" s="14">
        <v>1342</v>
      </c>
      <c r="CM120" s="14">
        <v>1342</v>
      </c>
      <c r="CN120" s="14">
        <v>1338</v>
      </c>
      <c r="CO120" s="14">
        <v>1338</v>
      </c>
      <c r="CP120" s="14">
        <v>1391</v>
      </c>
      <c r="CQ120" s="14">
        <v>1391</v>
      </c>
      <c r="CR120" s="14">
        <v>1348</v>
      </c>
      <c r="CS120" s="14">
        <v>1375</v>
      </c>
      <c r="CT120" s="14">
        <v>1743</v>
      </c>
      <c r="CU120" s="14">
        <v>1743</v>
      </c>
      <c r="CV120" s="14">
        <v>1743</v>
      </c>
      <c r="CW120" s="14">
        <v>1743</v>
      </c>
      <c r="CX120" s="14">
        <v>1319</v>
      </c>
      <c r="CY120" s="14">
        <v>1319</v>
      </c>
      <c r="CZ120" s="14">
        <v>1319</v>
      </c>
      <c r="DA120" s="14">
        <v>1300</v>
      </c>
      <c r="DB120" s="14">
        <v>1300</v>
      </c>
      <c r="DC120" s="14">
        <v>1300</v>
      </c>
      <c r="DD120" s="14">
        <v>1394</v>
      </c>
      <c r="DE120" s="14">
        <v>1394</v>
      </c>
      <c r="DF120" s="14">
        <v>1394</v>
      </c>
      <c r="DG120" s="14">
        <v>1321</v>
      </c>
      <c r="DH120" s="14">
        <v>1422</v>
      </c>
      <c r="DI120" s="14">
        <v>1422</v>
      </c>
      <c r="DJ120" s="14">
        <v>1422</v>
      </c>
      <c r="DK120" s="14">
        <v>1502</v>
      </c>
      <c r="DL120" s="14">
        <v>1816</v>
      </c>
      <c r="DM120" s="14">
        <v>1530</v>
      </c>
      <c r="DN120" s="14">
        <v>1316</v>
      </c>
      <c r="DO120" s="14">
        <v>1323</v>
      </c>
      <c r="DP120" s="14">
        <v>1323</v>
      </c>
      <c r="DQ120" s="14">
        <v>1323</v>
      </c>
      <c r="DR120" s="14">
        <v>1471</v>
      </c>
      <c r="DS120" s="14">
        <v>1358</v>
      </c>
      <c r="DT120" s="14">
        <v>1495</v>
      </c>
      <c r="DU120" s="14">
        <v>1393</v>
      </c>
      <c r="DV120" s="15">
        <v>1495</v>
      </c>
      <c r="DY120" s="35" t="s">
        <v>10</v>
      </c>
      <c r="DZ120" s="11">
        <f t="shared" si="7"/>
        <v>1.6666666666666666E-2</v>
      </c>
      <c r="EA120" s="13">
        <f t="shared" si="7"/>
        <v>1.6666666666666666E-2</v>
      </c>
      <c r="EB120" s="13">
        <f t="shared" si="7"/>
        <v>1.6666666666666666E-2</v>
      </c>
      <c r="EC120" s="13">
        <f t="shared" si="7"/>
        <v>1.6666666666666666E-2</v>
      </c>
      <c r="ED120" s="13">
        <f t="shared" si="7"/>
        <v>1.6666666666666666E-2</v>
      </c>
      <c r="EE120" s="13">
        <f t="shared" si="7"/>
        <v>1.6666666666666666E-2</v>
      </c>
      <c r="EF120" s="13">
        <f t="shared" si="7"/>
        <v>1.6666666666666666E-2</v>
      </c>
      <c r="EG120" s="13">
        <f t="shared" si="7"/>
        <v>1.6666666666666666E-2</v>
      </c>
      <c r="EH120" s="13">
        <f t="shared" si="7"/>
        <v>1.6666666666666666E-2</v>
      </c>
      <c r="EI120" s="12">
        <v>0.6</v>
      </c>
      <c r="EJ120" s="13">
        <f t="shared" si="7"/>
        <v>1.6666666666666666E-2</v>
      </c>
      <c r="EK120" s="13">
        <f t="shared" si="7"/>
        <v>1.6666666666666666E-2</v>
      </c>
      <c r="EL120" s="13">
        <f t="shared" si="7"/>
        <v>1.6666666666666666E-2</v>
      </c>
      <c r="EM120" s="14">
        <v>4.6511627906976744E-3</v>
      </c>
      <c r="EN120" s="14">
        <v>4.6511627906976744E-3</v>
      </c>
      <c r="EO120" s="14">
        <v>7.1428571428571435E-3</v>
      </c>
      <c r="EP120" s="14">
        <v>7.1428571428571435E-3</v>
      </c>
      <c r="EQ120" s="14">
        <v>7.1428571428571435E-3</v>
      </c>
      <c r="ER120" s="14">
        <v>7.1428571428571435E-3</v>
      </c>
      <c r="ES120" s="14">
        <v>7.1428571428571435E-3</v>
      </c>
      <c r="ET120" s="14">
        <v>7.1428571428571435E-3</v>
      </c>
      <c r="EU120" s="14">
        <v>7.1428571428571435E-3</v>
      </c>
      <c r="EV120" s="14">
        <v>7.1428571428571435E-3</v>
      </c>
      <c r="EW120" s="14">
        <v>7.1428571428571435E-3</v>
      </c>
      <c r="EX120" s="14">
        <v>7.1428571428571435E-3</v>
      </c>
      <c r="EY120" s="14">
        <v>7.1428571428571435E-3</v>
      </c>
      <c r="EZ120" s="14">
        <v>7.1428571428571435E-3</v>
      </c>
      <c r="FA120" s="14">
        <v>7.1428571428571435E-3</v>
      </c>
      <c r="FB120" s="14">
        <v>7.1428571428571435E-3</v>
      </c>
      <c r="FC120" s="14">
        <v>7.1428571428571435E-3</v>
      </c>
      <c r="FD120" s="14">
        <v>7.1428571428571435E-3</v>
      </c>
      <c r="FE120" s="14">
        <v>7.1428571428571435E-3</v>
      </c>
      <c r="FF120" s="14">
        <v>5.7142857142857143E-3</v>
      </c>
      <c r="FG120" s="14">
        <v>5.7142857142857143E-3</v>
      </c>
      <c r="FH120" s="14">
        <v>5.7142857142857143E-3</v>
      </c>
      <c r="FI120" s="14">
        <v>5.7142857142857143E-3</v>
      </c>
      <c r="FJ120" s="14">
        <v>5.7142857142857143E-3</v>
      </c>
      <c r="FK120" s="14">
        <v>5.7142857142857143E-3</v>
      </c>
      <c r="FL120" s="14">
        <v>5.7142857142857143E-3</v>
      </c>
      <c r="FM120" s="14">
        <v>4.7619047619047623E-3</v>
      </c>
      <c r="FN120" s="14">
        <v>4.7619047619047623E-3</v>
      </c>
      <c r="FO120" s="14">
        <v>4.7619047619047623E-3</v>
      </c>
      <c r="FP120" s="14">
        <v>5.7142857142857143E-3</v>
      </c>
      <c r="FQ120" s="14">
        <v>5.7142857142857143E-3</v>
      </c>
      <c r="FR120" s="14">
        <v>5.7142857142857143E-3</v>
      </c>
      <c r="FS120" s="14">
        <v>5.7142857142857143E-3</v>
      </c>
      <c r="FT120" s="14">
        <v>5.8823529411764705E-3</v>
      </c>
      <c r="FU120" s="14">
        <v>5.7142857142857143E-3</v>
      </c>
      <c r="FV120" s="14">
        <v>5.7142857142857143E-3</v>
      </c>
      <c r="FW120" s="14">
        <v>4.5454545454545461E-3</v>
      </c>
      <c r="FX120" s="14">
        <v>4.5454545454545461E-3</v>
      </c>
      <c r="FY120" s="14">
        <v>5.7142857142857143E-3</v>
      </c>
      <c r="FZ120" s="14">
        <v>7.1428571428571435E-3</v>
      </c>
      <c r="GA120" s="14">
        <v>5.7142857142857143E-3</v>
      </c>
      <c r="GB120" s="14">
        <v>5.7142857142857143E-3</v>
      </c>
      <c r="GC120" s="14">
        <v>5.7142857142857143E-3</v>
      </c>
      <c r="GD120" s="14">
        <v>7.1428571428571435E-3</v>
      </c>
      <c r="GE120" s="14">
        <v>7.1428571428571435E-3</v>
      </c>
      <c r="GF120" s="14">
        <v>4.6511627906976744E-3</v>
      </c>
      <c r="GG120" s="14">
        <v>4.6511627906976744E-3</v>
      </c>
      <c r="GH120" s="15">
        <v>4.6511627906976744E-3</v>
      </c>
    </row>
    <row r="121" spans="1:190" x14ac:dyDescent="0.3">
      <c r="A121" s="35" t="s">
        <v>11</v>
      </c>
      <c r="B121" s="11">
        <f>BN121*DZ121*B110*2</f>
        <v>482211.76114130433</v>
      </c>
      <c r="C121" s="13">
        <f t="shared" ref="C121:BJ121" si="17">BO121*EA121*C110*2</f>
        <v>482211.76114130433</v>
      </c>
      <c r="D121" s="13">
        <f t="shared" si="17"/>
        <v>482211.76114130433</v>
      </c>
      <c r="E121" s="13">
        <f t="shared" si="17"/>
        <v>482211.76114130433</v>
      </c>
      <c r="F121" s="13">
        <f t="shared" si="17"/>
        <v>482211.76114130433</v>
      </c>
      <c r="G121" s="13">
        <f t="shared" si="17"/>
        <v>482211.76114130433</v>
      </c>
      <c r="H121" s="13">
        <f t="shared" si="17"/>
        <v>482211.76114130433</v>
      </c>
      <c r="I121" s="13">
        <f t="shared" si="17"/>
        <v>482211.76114130433</v>
      </c>
      <c r="J121" s="13">
        <f t="shared" si="17"/>
        <v>8036.9746376811599</v>
      </c>
      <c r="K121" s="13">
        <f t="shared" si="17"/>
        <v>8036.9746376811599</v>
      </c>
      <c r="L121" s="12">
        <f t="shared" si="17"/>
        <v>0</v>
      </c>
      <c r="M121" s="13">
        <f t="shared" si="17"/>
        <v>8036.9746376811599</v>
      </c>
      <c r="N121" s="13">
        <f t="shared" si="17"/>
        <v>9453.8543478260872</v>
      </c>
      <c r="O121" s="14">
        <f t="shared" si="17"/>
        <v>5109.8281092012139</v>
      </c>
      <c r="P121" s="14">
        <f t="shared" si="17"/>
        <v>5109.8281092012139</v>
      </c>
      <c r="Q121" s="14">
        <f t="shared" si="17"/>
        <v>52264.789855072471</v>
      </c>
      <c r="R121" s="14">
        <f t="shared" si="17"/>
        <v>52264.789855072471</v>
      </c>
      <c r="S121" s="14">
        <f t="shared" si="17"/>
        <v>52264.789855072471</v>
      </c>
      <c r="T121" s="14">
        <f t="shared" si="17"/>
        <v>7058.2763975155285</v>
      </c>
      <c r="U121" s="14">
        <f t="shared" si="17"/>
        <v>7058.2763975155285</v>
      </c>
      <c r="V121" s="14">
        <f t="shared" si="17"/>
        <v>59094.378571428577</v>
      </c>
      <c r="W121" s="14">
        <f t="shared" si="17"/>
        <v>59094.378571428577</v>
      </c>
      <c r="X121" s="14">
        <f t="shared" si="17"/>
        <v>59094.378571428577</v>
      </c>
      <c r="Y121" s="14">
        <f t="shared" si="17"/>
        <v>59094.378571428577</v>
      </c>
      <c r="Z121" s="14">
        <f t="shared" si="17"/>
        <v>1918.6015527950312</v>
      </c>
      <c r="AA121" s="14">
        <f t="shared" si="17"/>
        <v>1918.6015527950312</v>
      </c>
      <c r="AB121" s="14">
        <f t="shared" si="17"/>
        <v>1912.8829192546586</v>
      </c>
      <c r="AC121" s="14">
        <f t="shared" si="17"/>
        <v>1912.8829192546586</v>
      </c>
      <c r="AD121" s="14">
        <f t="shared" si="17"/>
        <v>1988.6548136645963</v>
      </c>
      <c r="AE121" s="14">
        <f t="shared" si="17"/>
        <v>1988.6548136645963</v>
      </c>
      <c r="AF121" s="14">
        <f t="shared" si="17"/>
        <v>3854.3590062111807</v>
      </c>
      <c r="AG121" s="14">
        <f t="shared" si="17"/>
        <v>3931.5605590062114</v>
      </c>
      <c r="AH121" s="14">
        <f t="shared" si="17"/>
        <v>996.75782608695658</v>
      </c>
      <c r="AI121" s="14">
        <f t="shared" si="17"/>
        <v>996.75782608695658</v>
      </c>
      <c r="AJ121" s="14">
        <f t="shared" si="17"/>
        <v>996.75782608695658</v>
      </c>
      <c r="AK121" s="14">
        <f t="shared" si="17"/>
        <v>996.75782608695658</v>
      </c>
      <c r="AL121" s="14">
        <f t="shared" si="17"/>
        <v>44697.878757763981</v>
      </c>
      <c r="AM121" s="14">
        <f t="shared" si="17"/>
        <v>44697.878757763981</v>
      </c>
      <c r="AN121" s="14">
        <f t="shared" si="17"/>
        <v>44697.878757763981</v>
      </c>
      <c r="AO121" s="14">
        <f t="shared" si="17"/>
        <v>826.02484472049696</v>
      </c>
      <c r="AP121" s="14">
        <f t="shared" si="17"/>
        <v>826.02484472049696</v>
      </c>
      <c r="AQ121" s="14">
        <f t="shared" si="17"/>
        <v>826.02484472049696</v>
      </c>
      <c r="AR121" s="14">
        <f t="shared" si="17"/>
        <v>1062.903354037267</v>
      </c>
      <c r="AS121" s="14">
        <f t="shared" si="17"/>
        <v>1062.903354037267</v>
      </c>
      <c r="AT121" s="14">
        <f t="shared" si="17"/>
        <v>1062.903354037267</v>
      </c>
      <c r="AU121" s="14">
        <f t="shared" si="17"/>
        <v>11191.577639751555</v>
      </c>
      <c r="AV121" s="14">
        <f t="shared" si="17"/>
        <v>4133.8618925831206</v>
      </c>
      <c r="AW121" s="14">
        <f t="shared" si="17"/>
        <v>4015.7515527950313</v>
      </c>
      <c r="AX121" s="14">
        <f t="shared" si="17"/>
        <v>4015.7515527950313</v>
      </c>
      <c r="AY121" s="14">
        <f t="shared" si="17"/>
        <v>2732.9869565217391</v>
      </c>
      <c r="AZ121" s="14">
        <f t="shared" si="17"/>
        <v>3304.3304347826092</v>
      </c>
      <c r="BA121" s="14">
        <f t="shared" si="17"/>
        <v>3499.803726708074</v>
      </c>
      <c r="BB121" s="14">
        <f t="shared" si="17"/>
        <v>3762.8608695652174</v>
      </c>
      <c r="BC121" s="14">
        <f t="shared" si="17"/>
        <v>26152.888695652175</v>
      </c>
      <c r="BD121" s="14">
        <f t="shared" si="17"/>
        <v>26152.888695652175</v>
      </c>
      <c r="BE121" s="14">
        <f t="shared" si="17"/>
        <v>26152.888695652175</v>
      </c>
      <c r="BF121" s="14">
        <f t="shared" si="17"/>
        <v>4206.0549689440995</v>
      </c>
      <c r="BG121" s="14">
        <f t="shared" si="17"/>
        <v>3882.9521739130437</v>
      </c>
      <c r="BH121" s="14">
        <f t="shared" si="17"/>
        <v>2783.5116279069766</v>
      </c>
      <c r="BI121" s="14">
        <f t="shared" si="17"/>
        <v>2593.5997977755305</v>
      </c>
      <c r="BJ121" s="15">
        <f t="shared" si="17"/>
        <v>2783.5116279069766</v>
      </c>
      <c r="BM121" s="35" t="s">
        <v>11</v>
      </c>
      <c r="BN121" s="11">
        <v>1301</v>
      </c>
      <c r="BO121" s="13">
        <v>1301</v>
      </c>
      <c r="BP121" s="13">
        <v>1301</v>
      </c>
      <c r="BQ121" s="13">
        <v>1301</v>
      </c>
      <c r="BR121" s="13">
        <v>1301</v>
      </c>
      <c r="BS121" s="13">
        <v>1301</v>
      </c>
      <c r="BT121" s="13">
        <v>1301</v>
      </c>
      <c r="BU121" s="13">
        <v>1301</v>
      </c>
      <c r="BV121" s="13">
        <v>1301</v>
      </c>
      <c r="BW121" s="13">
        <v>1301</v>
      </c>
      <c r="BX121" s="12"/>
      <c r="BY121" s="13">
        <v>1301</v>
      </c>
      <c r="BZ121" s="13">
        <v>1417</v>
      </c>
      <c r="CA121" s="14">
        <v>1482</v>
      </c>
      <c r="CB121" s="14">
        <v>1482</v>
      </c>
      <c r="CC121" s="14">
        <v>1346</v>
      </c>
      <c r="CD121" s="14">
        <v>1346</v>
      </c>
      <c r="CE121" s="14">
        <v>1346</v>
      </c>
      <c r="CF121" s="14">
        <v>1333</v>
      </c>
      <c r="CG121" s="14">
        <v>1333</v>
      </c>
      <c r="CH121" s="14">
        <v>1313</v>
      </c>
      <c r="CI121" s="14">
        <v>1313</v>
      </c>
      <c r="CJ121" s="14">
        <v>1313</v>
      </c>
      <c r="CK121" s="14">
        <v>1313</v>
      </c>
      <c r="CL121" s="14">
        <v>1342</v>
      </c>
      <c r="CM121" s="14">
        <v>1342</v>
      </c>
      <c r="CN121" s="14">
        <v>1338</v>
      </c>
      <c r="CO121" s="14">
        <v>1338</v>
      </c>
      <c r="CP121" s="14">
        <v>1391</v>
      </c>
      <c r="CQ121" s="14">
        <v>1391</v>
      </c>
      <c r="CR121" s="14">
        <v>1348</v>
      </c>
      <c r="CS121" s="14">
        <v>1375</v>
      </c>
      <c r="CT121" s="14">
        <v>1743</v>
      </c>
      <c r="CU121" s="14">
        <v>1743</v>
      </c>
      <c r="CV121" s="14">
        <v>1743</v>
      </c>
      <c r="CW121" s="14">
        <v>1743</v>
      </c>
      <c r="CX121" s="14">
        <v>1319</v>
      </c>
      <c r="CY121" s="14">
        <v>1319</v>
      </c>
      <c r="CZ121" s="14">
        <v>1319</v>
      </c>
      <c r="DA121" s="14">
        <v>1300</v>
      </c>
      <c r="DB121" s="14">
        <v>1300</v>
      </c>
      <c r="DC121" s="14">
        <v>1300</v>
      </c>
      <c r="DD121" s="14">
        <v>1394</v>
      </c>
      <c r="DE121" s="14">
        <v>1394</v>
      </c>
      <c r="DF121" s="14">
        <v>1394</v>
      </c>
      <c r="DG121" s="14">
        <v>1321</v>
      </c>
      <c r="DH121" s="14">
        <v>1422</v>
      </c>
      <c r="DI121" s="14">
        <v>1422</v>
      </c>
      <c r="DJ121" s="14">
        <v>1422</v>
      </c>
      <c r="DK121" s="14">
        <v>1502</v>
      </c>
      <c r="DL121" s="14">
        <v>1816</v>
      </c>
      <c r="DM121" s="14">
        <v>1530</v>
      </c>
      <c r="DN121" s="14">
        <v>1316</v>
      </c>
      <c r="DO121" s="14">
        <v>1323</v>
      </c>
      <c r="DP121" s="14">
        <v>1323</v>
      </c>
      <c r="DQ121" s="14">
        <v>1323</v>
      </c>
      <c r="DR121" s="14">
        <v>1471</v>
      </c>
      <c r="DS121" s="14">
        <v>1358</v>
      </c>
      <c r="DT121" s="14">
        <v>1495</v>
      </c>
      <c r="DU121" s="14">
        <v>1393</v>
      </c>
      <c r="DV121" s="15">
        <v>1495</v>
      </c>
      <c r="DY121" s="35" t="s">
        <v>11</v>
      </c>
      <c r="DZ121" s="11">
        <f t="shared" si="7"/>
        <v>1.6666666666666666E-2</v>
      </c>
      <c r="EA121" s="13">
        <f t="shared" si="7"/>
        <v>1.6666666666666666E-2</v>
      </c>
      <c r="EB121" s="13">
        <f t="shared" si="7"/>
        <v>1.6666666666666666E-2</v>
      </c>
      <c r="EC121" s="13">
        <f t="shared" si="7"/>
        <v>1.6666666666666666E-2</v>
      </c>
      <c r="ED121" s="13">
        <f t="shared" si="7"/>
        <v>1.6666666666666666E-2</v>
      </c>
      <c r="EE121" s="13">
        <f t="shared" si="7"/>
        <v>1.6666666666666666E-2</v>
      </c>
      <c r="EF121" s="13">
        <f t="shared" si="7"/>
        <v>1.6666666666666666E-2</v>
      </c>
      <c r="EG121" s="13">
        <f t="shared" si="7"/>
        <v>1.6666666666666666E-2</v>
      </c>
      <c r="EH121" s="13">
        <f t="shared" si="7"/>
        <v>1.6666666666666666E-2</v>
      </c>
      <c r="EI121" s="13">
        <f t="shared" si="7"/>
        <v>1.6666666666666666E-2</v>
      </c>
      <c r="EJ121" s="12">
        <v>0.6</v>
      </c>
      <c r="EK121" s="13">
        <f t="shared" si="7"/>
        <v>1.6666666666666666E-2</v>
      </c>
      <c r="EL121" s="13">
        <f t="shared" si="7"/>
        <v>1.6666666666666666E-2</v>
      </c>
      <c r="EM121" s="14">
        <v>4.6511627906976744E-3</v>
      </c>
      <c r="EN121" s="14">
        <v>4.6511627906976744E-3</v>
      </c>
      <c r="EO121" s="14">
        <v>7.1428571428571435E-3</v>
      </c>
      <c r="EP121" s="14">
        <v>7.1428571428571435E-3</v>
      </c>
      <c r="EQ121" s="14">
        <v>7.1428571428571435E-3</v>
      </c>
      <c r="ER121" s="14">
        <v>7.1428571428571435E-3</v>
      </c>
      <c r="ES121" s="14">
        <v>7.1428571428571435E-3</v>
      </c>
      <c r="ET121" s="14">
        <v>7.1428571428571435E-3</v>
      </c>
      <c r="EU121" s="14">
        <v>7.1428571428571435E-3</v>
      </c>
      <c r="EV121" s="14">
        <v>7.1428571428571435E-3</v>
      </c>
      <c r="EW121" s="14">
        <v>7.1428571428571435E-3</v>
      </c>
      <c r="EX121" s="14">
        <v>7.1428571428571435E-3</v>
      </c>
      <c r="EY121" s="14">
        <v>7.1428571428571435E-3</v>
      </c>
      <c r="EZ121" s="14">
        <v>7.1428571428571435E-3</v>
      </c>
      <c r="FA121" s="14">
        <v>7.1428571428571435E-3</v>
      </c>
      <c r="FB121" s="14">
        <v>7.1428571428571435E-3</v>
      </c>
      <c r="FC121" s="14">
        <v>7.1428571428571435E-3</v>
      </c>
      <c r="FD121" s="14">
        <v>7.1428571428571435E-3</v>
      </c>
      <c r="FE121" s="14">
        <v>7.1428571428571435E-3</v>
      </c>
      <c r="FF121" s="14">
        <v>5.7142857142857143E-3</v>
      </c>
      <c r="FG121" s="14">
        <v>5.7142857142857143E-3</v>
      </c>
      <c r="FH121" s="14">
        <v>5.7142857142857143E-3</v>
      </c>
      <c r="FI121" s="14">
        <v>5.7142857142857143E-3</v>
      </c>
      <c r="FJ121" s="14">
        <v>5.7142857142857143E-3</v>
      </c>
      <c r="FK121" s="14">
        <v>5.7142857142857143E-3</v>
      </c>
      <c r="FL121" s="14">
        <v>5.7142857142857143E-3</v>
      </c>
      <c r="FM121" s="14">
        <v>4.7619047619047623E-3</v>
      </c>
      <c r="FN121" s="14">
        <v>4.7619047619047623E-3</v>
      </c>
      <c r="FO121" s="14">
        <v>4.7619047619047623E-3</v>
      </c>
      <c r="FP121" s="14">
        <v>5.7142857142857143E-3</v>
      </c>
      <c r="FQ121" s="14">
        <v>5.7142857142857143E-3</v>
      </c>
      <c r="FR121" s="14">
        <v>5.7142857142857143E-3</v>
      </c>
      <c r="FS121" s="14">
        <v>5.7142857142857143E-3</v>
      </c>
      <c r="FT121" s="14">
        <v>5.8823529411764705E-3</v>
      </c>
      <c r="FU121" s="14">
        <v>5.7142857142857143E-3</v>
      </c>
      <c r="FV121" s="14">
        <v>5.7142857142857143E-3</v>
      </c>
      <c r="FW121" s="14">
        <v>4.5454545454545461E-3</v>
      </c>
      <c r="FX121" s="14">
        <v>4.5454545454545461E-3</v>
      </c>
      <c r="FY121" s="14">
        <v>5.7142857142857143E-3</v>
      </c>
      <c r="FZ121" s="14">
        <v>7.1428571428571435E-3</v>
      </c>
      <c r="GA121" s="14">
        <v>5.7142857142857143E-3</v>
      </c>
      <c r="GB121" s="14">
        <v>5.7142857142857143E-3</v>
      </c>
      <c r="GC121" s="14">
        <v>5.7142857142857143E-3</v>
      </c>
      <c r="GD121" s="14">
        <v>7.1428571428571435E-3</v>
      </c>
      <c r="GE121" s="14">
        <v>7.1428571428571435E-3</v>
      </c>
      <c r="GF121" s="14">
        <v>4.6511627906976744E-3</v>
      </c>
      <c r="GG121" s="14">
        <v>4.6511627906976744E-3</v>
      </c>
      <c r="GH121" s="15">
        <v>4.6511627906976744E-3</v>
      </c>
    </row>
    <row r="122" spans="1:190" x14ac:dyDescent="0.3">
      <c r="A122" s="35" t="s">
        <v>12</v>
      </c>
      <c r="B122" s="11">
        <f>BN122*DZ122*B110*2</f>
        <v>482211.76114130433</v>
      </c>
      <c r="C122" s="13">
        <f t="shared" ref="C122:BJ122" si="18">BO122*EA122*C110*2</f>
        <v>482211.76114130433</v>
      </c>
      <c r="D122" s="13">
        <f t="shared" si="18"/>
        <v>482211.76114130433</v>
      </c>
      <c r="E122" s="13">
        <f t="shared" si="18"/>
        <v>482211.76114130433</v>
      </c>
      <c r="F122" s="13">
        <f t="shared" si="18"/>
        <v>482211.76114130433</v>
      </c>
      <c r="G122" s="13">
        <f t="shared" si="18"/>
        <v>482211.76114130433</v>
      </c>
      <c r="H122" s="13">
        <f t="shared" si="18"/>
        <v>482211.76114130433</v>
      </c>
      <c r="I122" s="13">
        <f t="shared" si="18"/>
        <v>482211.76114130433</v>
      </c>
      <c r="J122" s="13">
        <f t="shared" si="18"/>
        <v>8036.9746376811599</v>
      </c>
      <c r="K122" s="13">
        <f t="shared" si="18"/>
        <v>8036.9746376811599</v>
      </c>
      <c r="L122" s="13">
        <f t="shared" si="18"/>
        <v>8036.9746376811599</v>
      </c>
      <c r="M122" s="12">
        <f t="shared" si="18"/>
        <v>0</v>
      </c>
      <c r="N122" s="13">
        <f t="shared" si="18"/>
        <v>9453.8543478260872</v>
      </c>
      <c r="O122" s="14">
        <f t="shared" si="18"/>
        <v>5109.8281092012139</v>
      </c>
      <c r="P122" s="14">
        <f t="shared" si="18"/>
        <v>5109.8281092012139</v>
      </c>
      <c r="Q122" s="14">
        <f t="shared" si="18"/>
        <v>52264.789855072471</v>
      </c>
      <c r="R122" s="14">
        <f t="shared" si="18"/>
        <v>52264.789855072471</v>
      </c>
      <c r="S122" s="14">
        <f t="shared" si="18"/>
        <v>52264.789855072471</v>
      </c>
      <c r="T122" s="14">
        <f t="shared" si="18"/>
        <v>7058.2763975155285</v>
      </c>
      <c r="U122" s="14">
        <f t="shared" si="18"/>
        <v>7058.2763975155285</v>
      </c>
      <c r="V122" s="14">
        <f t="shared" si="18"/>
        <v>59094.378571428577</v>
      </c>
      <c r="W122" s="14">
        <f t="shared" si="18"/>
        <v>59094.378571428577</v>
      </c>
      <c r="X122" s="14">
        <f t="shared" si="18"/>
        <v>59094.378571428577</v>
      </c>
      <c r="Y122" s="14">
        <f t="shared" si="18"/>
        <v>59094.378571428577</v>
      </c>
      <c r="Z122" s="14">
        <f t="shared" si="18"/>
        <v>1918.6015527950312</v>
      </c>
      <c r="AA122" s="14">
        <f t="shared" si="18"/>
        <v>1918.6015527950312</v>
      </c>
      <c r="AB122" s="14">
        <f t="shared" si="18"/>
        <v>1912.8829192546586</v>
      </c>
      <c r="AC122" s="14">
        <f t="shared" si="18"/>
        <v>1912.8829192546586</v>
      </c>
      <c r="AD122" s="14">
        <f t="shared" si="18"/>
        <v>1988.6548136645963</v>
      </c>
      <c r="AE122" s="14">
        <f t="shared" si="18"/>
        <v>1988.6548136645963</v>
      </c>
      <c r="AF122" s="14">
        <f t="shared" si="18"/>
        <v>3854.3590062111807</v>
      </c>
      <c r="AG122" s="14">
        <f t="shared" si="18"/>
        <v>3931.5605590062114</v>
      </c>
      <c r="AH122" s="14">
        <f t="shared" si="18"/>
        <v>996.75782608695658</v>
      </c>
      <c r="AI122" s="14">
        <f t="shared" si="18"/>
        <v>996.75782608695658</v>
      </c>
      <c r="AJ122" s="14">
        <f t="shared" si="18"/>
        <v>996.75782608695658</v>
      </c>
      <c r="AK122" s="14">
        <f t="shared" si="18"/>
        <v>996.75782608695658</v>
      </c>
      <c r="AL122" s="14">
        <f t="shared" si="18"/>
        <v>44697.878757763981</v>
      </c>
      <c r="AM122" s="14">
        <f t="shared" si="18"/>
        <v>44697.878757763981</v>
      </c>
      <c r="AN122" s="14">
        <f t="shared" si="18"/>
        <v>44697.878757763981</v>
      </c>
      <c r="AO122" s="14">
        <f t="shared" si="18"/>
        <v>826.02484472049696</v>
      </c>
      <c r="AP122" s="14">
        <f t="shared" si="18"/>
        <v>826.02484472049696</v>
      </c>
      <c r="AQ122" s="14">
        <f t="shared" si="18"/>
        <v>826.02484472049696</v>
      </c>
      <c r="AR122" s="14">
        <f t="shared" si="18"/>
        <v>1062.903354037267</v>
      </c>
      <c r="AS122" s="14">
        <f t="shared" si="18"/>
        <v>1062.903354037267</v>
      </c>
      <c r="AT122" s="14">
        <f t="shared" si="18"/>
        <v>1062.903354037267</v>
      </c>
      <c r="AU122" s="14">
        <f t="shared" si="18"/>
        <v>11191.577639751555</v>
      </c>
      <c r="AV122" s="14">
        <f t="shared" si="18"/>
        <v>4133.8618925831206</v>
      </c>
      <c r="AW122" s="14">
        <f t="shared" si="18"/>
        <v>4015.7515527950313</v>
      </c>
      <c r="AX122" s="14">
        <f t="shared" si="18"/>
        <v>4015.7515527950313</v>
      </c>
      <c r="AY122" s="14">
        <f t="shared" si="18"/>
        <v>2732.9869565217391</v>
      </c>
      <c r="AZ122" s="14">
        <f t="shared" si="18"/>
        <v>3304.3304347826092</v>
      </c>
      <c r="BA122" s="14">
        <f t="shared" si="18"/>
        <v>3499.803726708074</v>
      </c>
      <c r="BB122" s="14">
        <f t="shared" si="18"/>
        <v>3762.8608695652174</v>
      </c>
      <c r="BC122" s="14">
        <f t="shared" si="18"/>
        <v>26152.888695652175</v>
      </c>
      <c r="BD122" s="14">
        <f t="shared" si="18"/>
        <v>26152.888695652175</v>
      </c>
      <c r="BE122" s="14">
        <f t="shared" si="18"/>
        <v>26152.888695652175</v>
      </c>
      <c r="BF122" s="14">
        <f t="shared" si="18"/>
        <v>4206.0549689440995</v>
      </c>
      <c r="BG122" s="14">
        <f t="shared" si="18"/>
        <v>3882.9521739130437</v>
      </c>
      <c r="BH122" s="14">
        <f t="shared" si="18"/>
        <v>2783.5116279069766</v>
      </c>
      <c r="BI122" s="14">
        <f t="shared" si="18"/>
        <v>2593.5997977755305</v>
      </c>
      <c r="BJ122" s="15">
        <f t="shared" si="18"/>
        <v>2783.5116279069766</v>
      </c>
      <c r="BM122" s="35" t="s">
        <v>12</v>
      </c>
      <c r="BN122" s="11">
        <v>1301</v>
      </c>
      <c r="BO122" s="13">
        <v>1301</v>
      </c>
      <c r="BP122" s="13">
        <v>1301</v>
      </c>
      <c r="BQ122" s="13">
        <v>1301</v>
      </c>
      <c r="BR122" s="13">
        <v>1301</v>
      </c>
      <c r="BS122" s="13">
        <v>1301</v>
      </c>
      <c r="BT122" s="13">
        <v>1301</v>
      </c>
      <c r="BU122" s="13">
        <v>1301</v>
      </c>
      <c r="BV122" s="13">
        <v>1301</v>
      </c>
      <c r="BW122" s="13">
        <v>1301</v>
      </c>
      <c r="BX122" s="13">
        <v>1301</v>
      </c>
      <c r="BY122" s="12"/>
      <c r="BZ122" s="13">
        <v>1417</v>
      </c>
      <c r="CA122" s="14">
        <v>1482</v>
      </c>
      <c r="CB122" s="14">
        <v>1482</v>
      </c>
      <c r="CC122" s="14">
        <v>1346</v>
      </c>
      <c r="CD122" s="14">
        <v>1346</v>
      </c>
      <c r="CE122" s="14">
        <v>1346</v>
      </c>
      <c r="CF122" s="14">
        <v>1333</v>
      </c>
      <c r="CG122" s="14">
        <v>1333</v>
      </c>
      <c r="CH122" s="14">
        <v>1313</v>
      </c>
      <c r="CI122" s="14">
        <v>1313</v>
      </c>
      <c r="CJ122" s="14">
        <v>1313</v>
      </c>
      <c r="CK122" s="14">
        <v>1313</v>
      </c>
      <c r="CL122" s="14">
        <v>1342</v>
      </c>
      <c r="CM122" s="14">
        <v>1342</v>
      </c>
      <c r="CN122" s="14">
        <v>1338</v>
      </c>
      <c r="CO122" s="14">
        <v>1338</v>
      </c>
      <c r="CP122" s="14">
        <v>1391</v>
      </c>
      <c r="CQ122" s="14">
        <v>1391</v>
      </c>
      <c r="CR122" s="14">
        <v>1348</v>
      </c>
      <c r="CS122" s="14">
        <v>1375</v>
      </c>
      <c r="CT122" s="14">
        <v>1743</v>
      </c>
      <c r="CU122" s="14">
        <v>1743</v>
      </c>
      <c r="CV122" s="14">
        <v>1743</v>
      </c>
      <c r="CW122" s="14">
        <v>1743</v>
      </c>
      <c r="CX122" s="14">
        <v>1319</v>
      </c>
      <c r="CY122" s="14">
        <v>1319</v>
      </c>
      <c r="CZ122" s="14">
        <v>1319</v>
      </c>
      <c r="DA122" s="14">
        <v>1300</v>
      </c>
      <c r="DB122" s="14">
        <v>1300</v>
      </c>
      <c r="DC122" s="14">
        <v>1300</v>
      </c>
      <c r="DD122" s="14">
        <v>1394</v>
      </c>
      <c r="DE122" s="14">
        <v>1394</v>
      </c>
      <c r="DF122" s="14">
        <v>1394</v>
      </c>
      <c r="DG122" s="14">
        <v>1321</v>
      </c>
      <c r="DH122" s="14">
        <v>1422</v>
      </c>
      <c r="DI122" s="14">
        <v>1422</v>
      </c>
      <c r="DJ122" s="14">
        <v>1422</v>
      </c>
      <c r="DK122" s="14">
        <v>1502</v>
      </c>
      <c r="DL122" s="14">
        <v>1816</v>
      </c>
      <c r="DM122" s="14">
        <v>1530</v>
      </c>
      <c r="DN122" s="14">
        <v>1316</v>
      </c>
      <c r="DO122" s="14">
        <v>1323</v>
      </c>
      <c r="DP122" s="14">
        <v>1323</v>
      </c>
      <c r="DQ122" s="14">
        <v>1323</v>
      </c>
      <c r="DR122" s="14">
        <v>1471</v>
      </c>
      <c r="DS122" s="14">
        <v>1358</v>
      </c>
      <c r="DT122" s="14">
        <v>1495</v>
      </c>
      <c r="DU122" s="14">
        <v>1393</v>
      </c>
      <c r="DV122" s="15">
        <v>1495</v>
      </c>
      <c r="DY122" s="35" t="s">
        <v>12</v>
      </c>
      <c r="DZ122" s="11">
        <f t="shared" si="7"/>
        <v>1.6666666666666666E-2</v>
      </c>
      <c r="EA122" s="13">
        <f t="shared" si="7"/>
        <v>1.6666666666666666E-2</v>
      </c>
      <c r="EB122" s="13">
        <f t="shared" si="7"/>
        <v>1.6666666666666666E-2</v>
      </c>
      <c r="EC122" s="13">
        <f t="shared" si="7"/>
        <v>1.6666666666666666E-2</v>
      </c>
      <c r="ED122" s="13">
        <f t="shared" si="7"/>
        <v>1.6666666666666666E-2</v>
      </c>
      <c r="EE122" s="13">
        <f t="shared" si="7"/>
        <v>1.6666666666666666E-2</v>
      </c>
      <c r="EF122" s="13">
        <f t="shared" si="7"/>
        <v>1.6666666666666666E-2</v>
      </c>
      <c r="EG122" s="13">
        <f t="shared" si="7"/>
        <v>1.6666666666666666E-2</v>
      </c>
      <c r="EH122" s="13">
        <f t="shared" si="7"/>
        <v>1.6666666666666666E-2</v>
      </c>
      <c r="EI122" s="13">
        <f t="shared" si="7"/>
        <v>1.6666666666666666E-2</v>
      </c>
      <c r="EJ122" s="13">
        <f t="shared" si="7"/>
        <v>1.6666666666666666E-2</v>
      </c>
      <c r="EK122" s="12">
        <v>0.6</v>
      </c>
      <c r="EL122" s="13">
        <f t="shared" si="7"/>
        <v>1.6666666666666666E-2</v>
      </c>
      <c r="EM122" s="14">
        <v>4.6511627906976744E-3</v>
      </c>
      <c r="EN122" s="14">
        <v>4.6511627906976744E-3</v>
      </c>
      <c r="EO122" s="14">
        <v>7.1428571428571435E-3</v>
      </c>
      <c r="EP122" s="14">
        <v>7.1428571428571435E-3</v>
      </c>
      <c r="EQ122" s="14">
        <v>7.1428571428571435E-3</v>
      </c>
      <c r="ER122" s="14">
        <v>7.1428571428571435E-3</v>
      </c>
      <c r="ES122" s="14">
        <v>7.1428571428571435E-3</v>
      </c>
      <c r="ET122" s="14">
        <v>7.1428571428571435E-3</v>
      </c>
      <c r="EU122" s="14">
        <v>7.1428571428571435E-3</v>
      </c>
      <c r="EV122" s="14">
        <v>7.1428571428571435E-3</v>
      </c>
      <c r="EW122" s="14">
        <v>7.1428571428571435E-3</v>
      </c>
      <c r="EX122" s="14">
        <v>7.1428571428571435E-3</v>
      </c>
      <c r="EY122" s="14">
        <v>7.1428571428571435E-3</v>
      </c>
      <c r="EZ122" s="14">
        <v>7.1428571428571435E-3</v>
      </c>
      <c r="FA122" s="14">
        <v>7.1428571428571435E-3</v>
      </c>
      <c r="FB122" s="14">
        <v>7.1428571428571435E-3</v>
      </c>
      <c r="FC122" s="14">
        <v>7.1428571428571435E-3</v>
      </c>
      <c r="FD122" s="14">
        <v>7.1428571428571435E-3</v>
      </c>
      <c r="FE122" s="14">
        <v>7.1428571428571435E-3</v>
      </c>
      <c r="FF122" s="14">
        <v>5.7142857142857143E-3</v>
      </c>
      <c r="FG122" s="14">
        <v>5.7142857142857143E-3</v>
      </c>
      <c r="FH122" s="14">
        <v>5.7142857142857143E-3</v>
      </c>
      <c r="FI122" s="14">
        <v>5.7142857142857143E-3</v>
      </c>
      <c r="FJ122" s="14">
        <v>5.7142857142857143E-3</v>
      </c>
      <c r="FK122" s="14">
        <v>5.7142857142857143E-3</v>
      </c>
      <c r="FL122" s="14">
        <v>5.7142857142857143E-3</v>
      </c>
      <c r="FM122" s="14">
        <v>4.7619047619047623E-3</v>
      </c>
      <c r="FN122" s="14">
        <v>4.7619047619047623E-3</v>
      </c>
      <c r="FO122" s="14">
        <v>4.7619047619047623E-3</v>
      </c>
      <c r="FP122" s="14">
        <v>5.7142857142857143E-3</v>
      </c>
      <c r="FQ122" s="14">
        <v>5.7142857142857143E-3</v>
      </c>
      <c r="FR122" s="14">
        <v>5.7142857142857143E-3</v>
      </c>
      <c r="FS122" s="14">
        <v>5.7142857142857143E-3</v>
      </c>
      <c r="FT122" s="14">
        <v>5.8823529411764705E-3</v>
      </c>
      <c r="FU122" s="14">
        <v>5.7142857142857143E-3</v>
      </c>
      <c r="FV122" s="14">
        <v>5.7142857142857143E-3</v>
      </c>
      <c r="FW122" s="14">
        <v>4.5454545454545461E-3</v>
      </c>
      <c r="FX122" s="14">
        <v>4.5454545454545461E-3</v>
      </c>
      <c r="FY122" s="14">
        <v>5.7142857142857143E-3</v>
      </c>
      <c r="FZ122" s="14">
        <v>7.1428571428571435E-3</v>
      </c>
      <c r="GA122" s="14">
        <v>5.7142857142857143E-3</v>
      </c>
      <c r="GB122" s="14">
        <v>5.7142857142857143E-3</v>
      </c>
      <c r="GC122" s="14">
        <v>5.7142857142857143E-3</v>
      </c>
      <c r="GD122" s="14">
        <v>7.1428571428571435E-3</v>
      </c>
      <c r="GE122" s="14">
        <v>7.1428571428571435E-3</v>
      </c>
      <c r="GF122" s="14">
        <v>4.6511627906976744E-3</v>
      </c>
      <c r="GG122" s="14">
        <v>4.6511627906976744E-3</v>
      </c>
      <c r="GH122" s="15">
        <v>4.6511627906976744E-3</v>
      </c>
    </row>
    <row r="123" spans="1:190" x14ac:dyDescent="0.3">
      <c r="A123" s="35" t="s">
        <v>13</v>
      </c>
      <c r="B123" s="11">
        <f>BN123*DZ123*B110*2</f>
        <v>525206.81440217386</v>
      </c>
      <c r="C123" s="13">
        <f t="shared" ref="C123:BJ123" si="19">BO123*EA123*C110*2</f>
        <v>525206.81440217386</v>
      </c>
      <c r="D123" s="13">
        <f t="shared" si="19"/>
        <v>525206.81440217386</v>
      </c>
      <c r="E123" s="13">
        <f t="shared" si="19"/>
        <v>525206.81440217386</v>
      </c>
      <c r="F123" s="13">
        <f t="shared" si="19"/>
        <v>525206.81440217386</v>
      </c>
      <c r="G123" s="13">
        <f t="shared" si="19"/>
        <v>525206.81440217386</v>
      </c>
      <c r="H123" s="13">
        <f t="shared" si="19"/>
        <v>525206.81440217386</v>
      </c>
      <c r="I123" s="13">
        <f t="shared" si="19"/>
        <v>525206.81440217386</v>
      </c>
      <c r="J123" s="13">
        <f t="shared" si="19"/>
        <v>8753.56884057971</v>
      </c>
      <c r="K123" s="13">
        <f t="shared" si="19"/>
        <v>8753.56884057971</v>
      </c>
      <c r="L123" s="13">
        <f t="shared" si="19"/>
        <v>8753.56884057971</v>
      </c>
      <c r="M123" s="13">
        <f t="shared" si="19"/>
        <v>8753.56884057971</v>
      </c>
      <c r="N123" s="12">
        <f t="shared" si="19"/>
        <v>0</v>
      </c>
      <c r="O123" s="14">
        <f t="shared" si="19"/>
        <v>5509.7876643073814</v>
      </c>
      <c r="P123" s="14">
        <f t="shared" si="19"/>
        <v>5509.7876643073814</v>
      </c>
      <c r="Q123" s="14">
        <f t="shared" si="19"/>
        <v>56769.036231884056</v>
      </c>
      <c r="R123" s="14">
        <f t="shared" si="19"/>
        <v>56769.036231884056</v>
      </c>
      <c r="S123" s="14">
        <f t="shared" si="19"/>
        <v>56769.036231884056</v>
      </c>
      <c r="T123" s="14">
        <f t="shared" si="19"/>
        <v>7667.2049689441001</v>
      </c>
      <c r="U123" s="14">
        <f t="shared" si="19"/>
        <v>7667.2049689441001</v>
      </c>
      <c r="V123" s="14">
        <f t="shared" si="19"/>
        <v>64270.200000000004</v>
      </c>
      <c r="W123" s="14">
        <f t="shared" si="19"/>
        <v>64270.200000000004</v>
      </c>
      <c r="X123" s="14">
        <f t="shared" si="19"/>
        <v>64270.200000000004</v>
      </c>
      <c r="Y123" s="14">
        <f t="shared" si="19"/>
        <v>64270.200000000004</v>
      </c>
      <c r="Z123" s="14">
        <f t="shared" si="19"/>
        <v>2083.0122670807455</v>
      </c>
      <c r="AA123" s="14">
        <f t="shared" si="19"/>
        <v>2083.0122670807455</v>
      </c>
      <c r="AB123" s="14">
        <f t="shared" si="19"/>
        <v>2078.7232919254657</v>
      </c>
      <c r="AC123" s="14">
        <f t="shared" si="19"/>
        <v>2078.7232919254657</v>
      </c>
      <c r="AD123" s="14">
        <f t="shared" si="19"/>
        <v>2154.495186335404</v>
      </c>
      <c r="AE123" s="14">
        <f t="shared" si="19"/>
        <v>2154.495186335404</v>
      </c>
      <c r="AF123" s="14">
        <f t="shared" si="19"/>
        <v>4183.1804347826092</v>
      </c>
      <c r="AG123" s="14">
        <f t="shared" si="19"/>
        <v>4260.3819875776398</v>
      </c>
      <c r="AH123" s="14">
        <f t="shared" si="19"/>
        <v>1063.0939751552794</v>
      </c>
      <c r="AI123" s="14">
        <f t="shared" si="19"/>
        <v>1063.0939751552794</v>
      </c>
      <c r="AJ123" s="14">
        <f t="shared" si="19"/>
        <v>1063.0939751552794</v>
      </c>
      <c r="AK123" s="14">
        <f t="shared" si="19"/>
        <v>1063.0939751552794</v>
      </c>
      <c r="AL123" s="14">
        <f t="shared" si="19"/>
        <v>48594.964472049694</v>
      </c>
      <c r="AM123" s="14">
        <f t="shared" si="19"/>
        <v>48594.964472049694</v>
      </c>
      <c r="AN123" s="14">
        <f t="shared" si="19"/>
        <v>48594.964472049694</v>
      </c>
      <c r="AO123" s="14">
        <f t="shared" si="19"/>
        <v>826.02484472049696</v>
      </c>
      <c r="AP123" s="14">
        <f t="shared" si="19"/>
        <v>826.02484472049696</v>
      </c>
      <c r="AQ123" s="14">
        <f t="shared" si="19"/>
        <v>826.02484472049696</v>
      </c>
      <c r="AR123" s="14">
        <f t="shared" si="19"/>
        <v>1048.416149068323</v>
      </c>
      <c r="AS123" s="14">
        <f t="shared" si="19"/>
        <v>1040.7913043478261</v>
      </c>
      <c r="AT123" s="14">
        <f t="shared" si="19"/>
        <v>1048.416149068323</v>
      </c>
      <c r="AU123" s="14">
        <f t="shared" si="19"/>
        <v>12165.863354037268</v>
      </c>
      <c r="AV123" s="14">
        <f t="shared" si="19"/>
        <v>4468.1756180733164</v>
      </c>
      <c r="AW123" s="14">
        <f t="shared" si="19"/>
        <v>4340.5134575569355</v>
      </c>
      <c r="AX123" s="14">
        <f t="shared" si="19"/>
        <v>4340.5134575569355</v>
      </c>
      <c r="AY123" s="14">
        <f t="shared" si="19"/>
        <v>2942.2369565217396</v>
      </c>
      <c r="AZ123" s="14">
        <f t="shared" si="19"/>
        <v>3515.4000000000005</v>
      </c>
      <c r="BA123" s="14">
        <f t="shared" si="19"/>
        <v>3762.8608695652174</v>
      </c>
      <c r="BB123" s="14">
        <f t="shared" si="19"/>
        <v>4091.6822981366458</v>
      </c>
      <c r="BC123" s="14">
        <f t="shared" si="19"/>
        <v>28426.193457556936</v>
      </c>
      <c r="BD123" s="14">
        <f t="shared" si="19"/>
        <v>28426.193457556936</v>
      </c>
      <c r="BE123" s="14">
        <f t="shared" si="19"/>
        <v>28426.193457556936</v>
      </c>
      <c r="BF123" s="14">
        <f t="shared" si="19"/>
        <v>4537.7357142857145</v>
      </c>
      <c r="BG123" s="14">
        <f t="shared" si="19"/>
        <v>4214.6329192546591</v>
      </c>
      <c r="BH123" s="14">
        <f t="shared" si="19"/>
        <v>2997.6279069767443</v>
      </c>
      <c r="BI123" s="14">
        <f t="shared" si="19"/>
        <v>2809.5779575328611</v>
      </c>
      <c r="BJ123" s="15">
        <f t="shared" si="19"/>
        <v>2997.6279069767443</v>
      </c>
      <c r="BM123" s="35" t="s">
        <v>13</v>
      </c>
      <c r="BN123" s="11">
        <v>1417</v>
      </c>
      <c r="BO123" s="13">
        <v>1417</v>
      </c>
      <c r="BP123" s="13">
        <v>1417</v>
      </c>
      <c r="BQ123" s="13">
        <v>1417</v>
      </c>
      <c r="BR123" s="13">
        <v>1417</v>
      </c>
      <c r="BS123" s="13">
        <v>1417</v>
      </c>
      <c r="BT123" s="13">
        <v>1417</v>
      </c>
      <c r="BU123" s="13">
        <v>1417</v>
      </c>
      <c r="BV123" s="13">
        <v>1417</v>
      </c>
      <c r="BW123" s="13">
        <v>1417</v>
      </c>
      <c r="BX123" s="13">
        <v>1417</v>
      </c>
      <c r="BY123" s="13">
        <v>1417</v>
      </c>
      <c r="BZ123" s="12"/>
      <c r="CA123" s="14">
        <v>1598</v>
      </c>
      <c r="CB123" s="14">
        <v>1598</v>
      </c>
      <c r="CC123" s="14">
        <v>1462</v>
      </c>
      <c r="CD123" s="14">
        <v>1462</v>
      </c>
      <c r="CE123" s="14">
        <v>1462</v>
      </c>
      <c r="CF123" s="14">
        <v>1448</v>
      </c>
      <c r="CG123" s="14">
        <v>1448</v>
      </c>
      <c r="CH123" s="14">
        <v>1428</v>
      </c>
      <c r="CI123" s="14">
        <v>1428</v>
      </c>
      <c r="CJ123" s="14">
        <v>1428</v>
      </c>
      <c r="CK123" s="14">
        <v>1428</v>
      </c>
      <c r="CL123" s="14">
        <v>1457</v>
      </c>
      <c r="CM123" s="14">
        <v>1457</v>
      </c>
      <c r="CN123" s="14">
        <v>1454</v>
      </c>
      <c r="CO123" s="14">
        <v>1454</v>
      </c>
      <c r="CP123" s="14">
        <v>1507</v>
      </c>
      <c r="CQ123" s="14">
        <v>1507</v>
      </c>
      <c r="CR123" s="14">
        <v>1463</v>
      </c>
      <c r="CS123" s="14">
        <v>1490</v>
      </c>
      <c r="CT123" s="14">
        <v>1859</v>
      </c>
      <c r="CU123" s="14">
        <v>1859</v>
      </c>
      <c r="CV123" s="14">
        <v>1859</v>
      </c>
      <c r="CW123" s="14">
        <v>1859</v>
      </c>
      <c r="CX123" s="14">
        <v>1434</v>
      </c>
      <c r="CY123" s="14">
        <v>1434</v>
      </c>
      <c r="CZ123" s="14">
        <v>1434</v>
      </c>
      <c r="DA123" s="14">
        <v>1300</v>
      </c>
      <c r="DB123" s="14">
        <v>1300</v>
      </c>
      <c r="DC123" s="14">
        <v>1300</v>
      </c>
      <c r="DD123" s="14">
        <v>1375</v>
      </c>
      <c r="DE123" s="14">
        <v>1365</v>
      </c>
      <c r="DF123" s="14">
        <v>1375</v>
      </c>
      <c r="DG123" s="14">
        <v>1436</v>
      </c>
      <c r="DH123" s="14">
        <v>1537</v>
      </c>
      <c r="DI123" s="14">
        <v>1537</v>
      </c>
      <c r="DJ123" s="14">
        <v>1537</v>
      </c>
      <c r="DK123" s="14">
        <v>1617</v>
      </c>
      <c r="DL123" s="14">
        <v>1932</v>
      </c>
      <c r="DM123" s="14">
        <v>1645</v>
      </c>
      <c r="DN123" s="14">
        <v>1431</v>
      </c>
      <c r="DO123" s="14">
        <v>1438</v>
      </c>
      <c r="DP123" s="14">
        <v>1438</v>
      </c>
      <c r="DQ123" s="14">
        <v>1438</v>
      </c>
      <c r="DR123" s="14">
        <v>1587</v>
      </c>
      <c r="DS123" s="14">
        <v>1474</v>
      </c>
      <c r="DT123" s="14">
        <v>1610</v>
      </c>
      <c r="DU123" s="14">
        <v>1509</v>
      </c>
      <c r="DV123" s="15">
        <v>1610</v>
      </c>
      <c r="DY123" s="35" t="s">
        <v>13</v>
      </c>
      <c r="DZ123" s="11">
        <f t="shared" si="7"/>
        <v>1.6666666666666666E-2</v>
      </c>
      <c r="EA123" s="13">
        <f t="shared" si="7"/>
        <v>1.6666666666666666E-2</v>
      </c>
      <c r="EB123" s="13">
        <f t="shared" si="7"/>
        <v>1.6666666666666666E-2</v>
      </c>
      <c r="EC123" s="13">
        <f t="shared" si="7"/>
        <v>1.6666666666666666E-2</v>
      </c>
      <c r="ED123" s="13">
        <f t="shared" si="7"/>
        <v>1.6666666666666666E-2</v>
      </c>
      <c r="EE123" s="13">
        <f t="shared" si="7"/>
        <v>1.6666666666666666E-2</v>
      </c>
      <c r="EF123" s="13">
        <f t="shared" si="7"/>
        <v>1.6666666666666666E-2</v>
      </c>
      <c r="EG123" s="13">
        <f t="shared" si="7"/>
        <v>1.6666666666666666E-2</v>
      </c>
      <c r="EH123" s="13">
        <f t="shared" si="7"/>
        <v>1.6666666666666666E-2</v>
      </c>
      <c r="EI123" s="13">
        <f t="shared" si="7"/>
        <v>1.6666666666666666E-2</v>
      </c>
      <c r="EJ123" s="13">
        <f t="shared" si="7"/>
        <v>1.6666666666666666E-2</v>
      </c>
      <c r="EK123" s="13">
        <f t="shared" si="7"/>
        <v>1.6666666666666666E-2</v>
      </c>
      <c r="EL123" s="12">
        <v>0.6</v>
      </c>
      <c r="EM123" s="14">
        <v>4.6511627906976744E-3</v>
      </c>
      <c r="EN123" s="14">
        <v>4.6511627906976744E-3</v>
      </c>
      <c r="EO123" s="14">
        <v>7.1428571428571435E-3</v>
      </c>
      <c r="EP123" s="14">
        <v>7.1428571428571435E-3</v>
      </c>
      <c r="EQ123" s="14">
        <v>7.1428571428571435E-3</v>
      </c>
      <c r="ER123" s="14">
        <v>7.1428571428571435E-3</v>
      </c>
      <c r="ES123" s="14">
        <v>7.1428571428571435E-3</v>
      </c>
      <c r="ET123" s="14">
        <v>7.1428571428571435E-3</v>
      </c>
      <c r="EU123" s="14">
        <v>7.1428571428571435E-3</v>
      </c>
      <c r="EV123" s="14">
        <v>7.1428571428571435E-3</v>
      </c>
      <c r="EW123" s="14">
        <v>7.1428571428571435E-3</v>
      </c>
      <c r="EX123" s="14">
        <v>7.1428571428571435E-3</v>
      </c>
      <c r="EY123" s="14">
        <v>7.1428571428571435E-3</v>
      </c>
      <c r="EZ123" s="14">
        <v>7.1428571428571435E-3</v>
      </c>
      <c r="FA123" s="14">
        <v>7.1428571428571435E-3</v>
      </c>
      <c r="FB123" s="14">
        <v>7.1428571428571435E-3</v>
      </c>
      <c r="FC123" s="14">
        <v>7.1428571428571435E-3</v>
      </c>
      <c r="FD123" s="14">
        <v>7.1428571428571435E-3</v>
      </c>
      <c r="FE123" s="14">
        <v>7.1428571428571435E-3</v>
      </c>
      <c r="FF123" s="14">
        <v>5.7142857142857143E-3</v>
      </c>
      <c r="FG123" s="14">
        <v>5.7142857142857143E-3</v>
      </c>
      <c r="FH123" s="14">
        <v>5.7142857142857143E-3</v>
      </c>
      <c r="FI123" s="14">
        <v>5.7142857142857143E-3</v>
      </c>
      <c r="FJ123" s="14">
        <v>5.7142857142857143E-3</v>
      </c>
      <c r="FK123" s="14">
        <v>5.7142857142857143E-3</v>
      </c>
      <c r="FL123" s="14">
        <v>5.7142857142857143E-3</v>
      </c>
      <c r="FM123" s="14">
        <v>4.7619047619047623E-3</v>
      </c>
      <c r="FN123" s="14">
        <v>4.7619047619047623E-3</v>
      </c>
      <c r="FO123" s="14">
        <v>4.7619047619047623E-3</v>
      </c>
      <c r="FP123" s="14">
        <v>5.7142857142857143E-3</v>
      </c>
      <c r="FQ123" s="14">
        <v>5.7142857142857143E-3</v>
      </c>
      <c r="FR123" s="14">
        <v>5.7142857142857143E-3</v>
      </c>
      <c r="FS123" s="14">
        <v>5.7142857142857143E-3</v>
      </c>
      <c r="FT123" s="14">
        <v>5.8823529411764705E-3</v>
      </c>
      <c r="FU123" s="14">
        <v>5.7142857142857143E-3</v>
      </c>
      <c r="FV123" s="14">
        <v>5.7142857142857143E-3</v>
      </c>
      <c r="FW123" s="14">
        <v>4.5454545454545461E-3</v>
      </c>
      <c r="FX123" s="14">
        <v>4.5454545454545461E-3</v>
      </c>
      <c r="FY123" s="14">
        <v>5.7142857142857143E-3</v>
      </c>
      <c r="FZ123" s="14">
        <v>7.1428571428571435E-3</v>
      </c>
      <c r="GA123" s="14">
        <v>5.7142857142857143E-3</v>
      </c>
      <c r="GB123" s="14">
        <v>5.7142857142857143E-3</v>
      </c>
      <c r="GC123" s="14">
        <v>5.7142857142857143E-3</v>
      </c>
      <c r="GD123" s="14">
        <v>7.1428571428571435E-3</v>
      </c>
      <c r="GE123" s="14">
        <v>7.1428571428571435E-3</v>
      </c>
      <c r="GF123" s="14">
        <v>4.6511627906976744E-3</v>
      </c>
      <c r="GG123" s="14">
        <v>4.6511627906976744E-3</v>
      </c>
      <c r="GH123" s="15">
        <v>4.6511627906976744E-3</v>
      </c>
    </row>
    <row r="124" spans="1:190" x14ac:dyDescent="0.3">
      <c r="A124" s="35" t="s">
        <v>14</v>
      </c>
      <c r="B124" s="16">
        <f>BN124*DZ124*B110*2</f>
        <v>203485.20896739131</v>
      </c>
      <c r="C124" s="14">
        <f t="shared" ref="C124:BJ124" si="20">BO124*EA124*C110*2</f>
        <v>203485.20896739131</v>
      </c>
      <c r="D124" s="14">
        <f t="shared" si="20"/>
        <v>203485.20896739131</v>
      </c>
      <c r="E124" s="14">
        <f t="shared" si="20"/>
        <v>203485.20896739131</v>
      </c>
      <c r="F124" s="14">
        <f t="shared" si="20"/>
        <v>203485.20896739131</v>
      </c>
      <c r="G124" s="14">
        <f t="shared" si="20"/>
        <v>203485.20896739131</v>
      </c>
      <c r="H124" s="14">
        <f t="shared" si="20"/>
        <v>203485.20896739131</v>
      </c>
      <c r="I124" s="14">
        <f t="shared" si="20"/>
        <v>203485.20896739131</v>
      </c>
      <c r="J124" s="14">
        <f t="shared" si="20"/>
        <v>3433.1657608695659</v>
      </c>
      <c r="K124" s="14">
        <f t="shared" si="20"/>
        <v>3433.1657608695659</v>
      </c>
      <c r="L124" s="14">
        <f t="shared" si="20"/>
        <v>3433.1657608695659</v>
      </c>
      <c r="M124" s="14">
        <f t="shared" si="20"/>
        <v>3433.1657608695659</v>
      </c>
      <c r="N124" s="14">
        <f t="shared" si="20"/>
        <v>3998.0396739130438</v>
      </c>
      <c r="O124" s="12">
        <f t="shared" si="20"/>
        <v>0</v>
      </c>
      <c r="P124" s="13">
        <f t="shared" si="20"/>
        <v>244037.39130434787</v>
      </c>
      <c r="Q124" s="14">
        <f t="shared" si="20"/>
        <v>58632.862318840584</v>
      </c>
      <c r="R124" s="14">
        <f t="shared" si="20"/>
        <v>58632.862318840584</v>
      </c>
      <c r="S124" s="14">
        <f t="shared" si="20"/>
        <v>58632.862318840584</v>
      </c>
      <c r="T124" s="14">
        <f t="shared" si="20"/>
        <v>7921.3664596273302</v>
      </c>
      <c r="U124" s="14">
        <f t="shared" si="20"/>
        <v>7921.3664596273302</v>
      </c>
      <c r="V124" s="14">
        <f t="shared" si="20"/>
        <v>66430.542857142864</v>
      </c>
      <c r="W124" s="14">
        <f t="shared" si="20"/>
        <v>66430.542857142864</v>
      </c>
      <c r="X124" s="14">
        <f t="shared" si="20"/>
        <v>66430.542857142864</v>
      </c>
      <c r="Y124" s="14">
        <f t="shared" si="20"/>
        <v>66430.542857142864</v>
      </c>
      <c r="Z124" s="14">
        <f t="shared" si="20"/>
        <v>2151.6358695652175</v>
      </c>
      <c r="AA124" s="14">
        <f t="shared" si="20"/>
        <v>2151.6358695652175</v>
      </c>
      <c r="AB124" s="14">
        <f t="shared" si="20"/>
        <v>2147.3468944099382</v>
      </c>
      <c r="AC124" s="14">
        <f t="shared" si="20"/>
        <v>2147.3468944099382</v>
      </c>
      <c r="AD124" s="14">
        <f t="shared" si="20"/>
        <v>2223.1187888198756</v>
      </c>
      <c r="AE124" s="14">
        <f t="shared" si="20"/>
        <v>2223.1187888198756</v>
      </c>
      <c r="AF124" s="14">
        <f t="shared" si="20"/>
        <v>4434.800310559006</v>
      </c>
      <c r="AG124" s="14">
        <f t="shared" si="20"/>
        <v>4397.6291925465848</v>
      </c>
      <c r="AH124" s="14">
        <f t="shared" si="20"/>
        <v>1089.9715527950309</v>
      </c>
      <c r="AI124" s="14">
        <f t="shared" si="20"/>
        <v>1089.9715527950309</v>
      </c>
      <c r="AJ124" s="14">
        <f t="shared" si="20"/>
        <v>1089.9715527950309</v>
      </c>
      <c r="AK124" s="14">
        <f t="shared" si="20"/>
        <v>1089.9715527950309</v>
      </c>
      <c r="AL124" s="14">
        <f t="shared" si="20"/>
        <v>50221.57416149068</v>
      </c>
      <c r="AM124" s="14">
        <f t="shared" si="20"/>
        <v>50221.57416149068</v>
      </c>
      <c r="AN124" s="14">
        <f t="shared" si="20"/>
        <v>50221.57416149068</v>
      </c>
      <c r="AO124" s="14">
        <f t="shared" si="20"/>
        <v>930.2310559006213</v>
      </c>
      <c r="AP124" s="14">
        <f t="shared" si="20"/>
        <v>930.2310559006213</v>
      </c>
      <c r="AQ124" s="14">
        <f t="shared" si="20"/>
        <v>930.2310559006213</v>
      </c>
      <c r="AR124" s="14">
        <f t="shared" si="20"/>
        <v>1187.1883229813664</v>
      </c>
      <c r="AS124" s="14">
        <f t="shared" si="20"/>
        <v>1187.1883229813664</v>
      </c>
      <c r="AT124" s="14">
        <f t="shared" si="20"/>
        <v>1187.1883229813664</v>
      </c>
      <c r="AU124" s="14">
        <f t="shared" si="20"/>
        <v>12572.521739130436</v>
      </c>
      <c r="AV124" s="14">
        <f t="shared" si="20"/>
        <v>4607.7152600170502</v>
      </c>
      <c r="AW124" s="14">
        <f t="shared" si="20"/>
        <v>4476.0662525879916</v>
      </c>
      <c r="AX124" s="14">
        <f t="shared" si="20"/>
        <v>4476.0662525879916</v>
      </c>
      <c r="AY124" s="14">
        <f t="shared" si="20"/>
        <v>3029.576086956522</v>
      </c>
      <c r="AZ124" s="14">
        <f t="shared" si="20"/>
        <v>3600.9195652173912</v>
      </c>
      <c r="BA124" s="14">
        <f t="shared" si="20"/>
        <v>3872.6586335403726</v>
      </c>
      <c r="BB124" s="14">
        <f t="shared" si="20"/>
        <v>4228.9295031055899</v>
      </c>
      <c r="BC124" s="14">
        <f t="shared" si="20"/>
        <v>29375.051097308489</v>
      </c>
      <c r="BD124" s="14">
        <f t="shared" si="20"/>
        <v>29375.051097308489</v>
      </c>
      <c r="BE124" s="14">
        <f t="shared" si="20"/>
        <v>29375.051097308489</v>
      </c>
      <c r="BF124" s="14">
        <f t="shared" si="20"/>
        <v>4672.123602484472</v>
      </c>
      <c r="BG124" s="14">
        <f t="shared" si="20"/>
        <v>4351.8801242236023</v>
      </c>
      <c r="BH124" s="12">
        <f t="shared" si="20"/>
        <v>398222.76521739125</v>
      </c>
      <c r="BI124" s="12">
        <f t="shared" si="20"/>
        <v>373724.13913043472</v>
      </c>
      <c r="BJ124" s="17">
        <f t="shared" si="20"/>
        <v>398222.76521739125</v>
      </c>
      <c r="BM124" s="35" t="s">
        <v>14</v>
      </c>
      <c r="BN124" s="16">
        <v>1464</v>
      </c>
      <c r="BO124" s="14">
        <v>1464</v>
      </c>
      <c r="BP124" s="14">
        <v>1464</v>
      </c>
      <c r="BQ124" s="14">
        <v>1464</v>
      </c>
      <c r="BR124" s="14">
        <v>1464</v>
      </c>
      <c r="BS124" s="14">
        <v>1464</v>
      </c>
      <c r="BT124" s="14">
        <v>1464</v>
      </c>
      <c r="BU124" s="14">
        <v>1464</v>
      </c>
      <c r="BV124" s="14">
        <v>1482</v>
      </c>
      <c r="BW124" s="14">
        <v>1482</v>
      </c>
      <c r="BX124" s="14">
        <v>1482</v>
      </c>
      <c r="BY124" s="14">
        <v>1482</v>
      </c>
      <c r="BZ124" s="14">
        <v>1598</v>
      </c>
      <c r="CA124" s="12"/>
      <c r="CB124" s="13">
        <v>1646</v>
      </c>
      <c r="CC124" s="14">
        <v>1510</v>
      </c>
      <c r="CD124" s="14">
        <v>1510</v>
      </c>
      <c r="CE124" s="14">
        <v>1510</v>
      </c>
      <c r="CF124" s="14">
        <v>1496</v>
      </c>
      <c r="CG124" s="14">
        <v>1496</v>
      </c>
      <c r="CH124" s="14">
        <v>1476</v>
      </c>
      <c r="CI124" s="14">
        <v>1476</v>
      </c>
      <c r="CJ124" s="14">
        <v>1476</v>
      </c>
      <c r="CK124" s="14">
        <v>1476</v>
      </c>
      <c r="CL124" s="14">
        <v>1505</v>
      </c>
      <c r="CM124" s="14">
        <v>1505</v>
      </c>
      <c r="CN124" s="14">
        <v>1502</v>
      </c>
      <c r="CO124" s="14">
        <v>1502</v>
      </c>
      <c r="CP124" s="14">
        <v>1555</v>
      </c>
      <c r="CQ124" s="14">
        <v>1555</v>
      </c>
      <c r="CR124" s="14">
        <v>1551</v>
      </c>
      <c r="CS124" s="14">
        <v>1538</v>
      </c>
      <c r="CT124" s="14">
        <v>1906</v>
      </c>
      <c r="CU124" s="14">
        <v>1906</v>
      </c>
      <c r="CV124" s="14">
        <v>1906</v>
      </c>
      <c r="CW124" s="14">
        <v>1906</v>
      </c>
      <c r="CX124" s="14">
        <v>1482</v>
      </c>
      <c r="CY124" s="14">
        <v>1482</v>
      </c>
      <c r="CZ124" s="14">
        <v>1482</v>
      </c>
      <c r="DA124" s="14">
        <v>1464</v>
      </c>
      <c r="DB124" s="14">
        <v>1464</v>
      </c>
      <c r="DC124" s="14">
        <v>1464</v>
      </c>
      <c r="DD124" s="14">
        <v>1557</v>
      </c>
      <c r="DE124" s="14">
        <v>1557</v>
      </c>
      <c r="DF124" s="14">
        <v>1557</v>
      </c>
      <c r="DG124" s="14">
        <v>1484</v>
      </c>
      <c r="DH124" s="14">
        <v>1585</v>
      </c>
      <c r="DI124" s="14">
        <v>1585</v>
      </c>
      <c r="DJ124" s="14">
        <v>1585</v>
      </c>
      <c r="DK124" s="14">
        <v>1665</v>
      </c>
      <c r="DL124" s="14">
        <v>1979</v>
      </c>
      <c r="DM124" s="14">
        <v>1693</v>
      </c>
      <c r="DN124" s="14">
        <v>1479</v>
      </c>
      <c r="DO124" s="14">
        <v>1486</v>
      </c>
      <c r="DP124" s="14">
        <v>1486</v>
      </c>
      <c r="DQ124" s="14">
        <v>1486</v>
      </c>
      <c r="DR124" s="14">
        <v>1634</v>
      </c>
      <c r="DS124" s="14">
        <v>1522</v>
      </c>
      <c r="DT124" s="12">
        <v>1658</v>
      </c>
      <c r="DU124" s="12">
        <v>1556</v>
      </c>
      <c r="DV124" s="17">
        <v>1658</v>
      </c>
      <c r="DY124" s="35" t="s">
        <v>14</v>
      </c>
      <c r="DZ124" s="16">
        <f>0.2/32</f>
        <v>6.2500000000000003E-3</v>
      </c>
      <c r="EA124" s="14">
        <v>6.2500000000000003E-3</v>
      </c>
      <c r="EB124" s="14">
        <v>6.2500000000000003E-3</v>
      </c>
      <c r="EC124" s="14">
        <v>6.2500000000000003E-3</v>
      </c>
      <c r="ED124" s="14">
        <v>6.2500000000000003E-3</v>
      </c>
      <c r="EE124" s="14">
        <v>6.2500000000000003E-3</v>
      </c>
      <c r="EF124" s="14">
        <v>6.2500000000000003E-3</v>
      </c>
      <c r="EG124" s="14">
        <v>6.2500000000000003E-3</v>
      </c>
      <c r="EH124" s="14">
        <v>6.2500000000000003E-3</v>
      </c>
      <c r="EI124" s="14">
        <v>6.2500000000000003E-3</v>
      </c>
      <c r="EJ124" s="14">
        <v>6.2500000000000003E-3</v>
      </c>
      <c r="EK124" s="14">
        <v>6.2500000000000003E-3</v>
      </c>
      <c r="EL124" s="14">
        <v>6.2500000000000003E-3</v>
      </c>
      <c r="EM124" s="12">
        <v>0.6</v>
      </c>
      <c r="EN124" s="13">
        <v>0.2</v>
      </c>
      <c r="EO124" s="14">
        <v>7.1428571428571435E-3</v>
      </c>
      <c r="EP124" s="14">
        <v>7.1428571428571435E-3</v>
      </c>
      <c r="EQ124" s="14">
        <v>7.1428571428571435E-3</v>
      </c>
      <c r="ER124" s="14">
        <v>7.1428571428571435E-3</v>
      </c>
      <c r="ES124" s="14">
        <v>7.1428571428571435E-3</v>
      </c>
      <c r="ET124" s="14">
        <v>7.1428571428571435E-3</v>
      </c>
      <c r="EU124" s="14">
        <v>7.1428571428571435E-3</v>
      </c>
      <c r="EV124" s="14">
        <v>7.1428571428571435E-3</v>
      </c>
      <c r="EW124" s="14">
        <v>7.1428571428571435E-3</v>
      </c>
      <c r="EX124" s="14">
        <v>7.1428571428571435E-3</v>
      </c>
      <c r="EY124" s="14">
        <v>7.1428571428571435E-3</v>
      </c>
      <c r="EZ124" s="14">
        <v>7.1428571428571435E-3</v>
      </c>
      <c r="FA124" s="14">
        <v>7.1428571428571435E-3</v>
      </c>
      <c r="FB124" s="14">
        <v>7.1428571428571435E-3</v>
      </c>
      <c r="FC124" s="14">
        <v>7.1428571428571435E-3</v>
      </c>
      <c r="FD124" s="14">
        <v>7.1428571428571435E-3</v>
      </c>
      <c r="FE124" s="14">
        <v>7.1428571428571435E-3</v>
      </c>
      <c r="FF124" s="14">
        <v>5.7142857142857143E-3</v>
      </c>
      <c r="FG124" s="14">
        <v>5.7142857142857143E-3</v>
      </c>
      <c r="FH124" s="14">
        <v>5.7142857142857143E-3</v>
      </c>
      <c r="FI124" s="14">
        <v>5.7142857142857143E-3</v>
      </c>
      <c r="FJ124" s="14">
        <v>5.7142857142857143E-3</v>
      </c>
      <c r="FK124" s="14">
        <v>5.7142857142857143E-3</v>
      </c>
      <c r="FL124" s="14">
        <v>5.7142857142857143E-3</v>
      </c>
      <c r="FM124" s="14">
        <v>4.7619047619047623E-3</v>
      </c>
      <c r="FN124" s="14">
        <v>4.7619047619047623E-3</v>
      </c>
      <c r="FO124" s="14">
        <v>4.7619047619047623E-3</v>
      </c>
      <c r="FP124" s="14">
        <v>5.7142857142857143E-3</v>
      </c>
      <c r="FQ124" s="14">
        <v>5.7142857142857143E-3</v>
      </c>
      <c r="FR124" s="14">
        <v>5.7142857142857143E-3</v>
      </c>
      <c r="FS124" s="14">
        <v>5.7142857142857143E-3</v>
      </c>
      <c r="FT124" s="14">
        <v>5.8823529411764705E-3</v>
      </c>
      <c r="FU124" s="14">
        <v>5.7142857142857143E-3</v>
      </c>
      <c r="FV124" s="14">
        <v>5.7142857142857143E-3</v>
      </c>
      <c r="FW124" s="14">
        <v>4.5454545454545461E-3</v>
      </c>
      <c r="FX124" s="14">
        <v>4.5454545454545461E-3</v>
      </c>
      <c r="FY124" s="14">
        <v>5.7142857142857143E-3</v>
      </c>
      <c r="FZ124" s="14">
        <v>7.1428571428571435E-3</v>
      </c>
      <c r="GA124" s="14">
        <v>5.7142857142857143E-3</v>
      </c>
      <c r="GB124" s="14">
        <v>5.7142857142857143E-3</v>
      </c>
      <c r="GC124" s="14">
        <v>5.7142857142857143E-3</v>
      </c>
      <c r="GD124" s="14">
        <v>7.1428571428571435E-3</v>
      </c>
      <c r="GE124" s="14">
        <v>7.1428571428571435E-3</v>
      </c>
      <c r="GF124" s="12">
        <v>0.6</v>
      </c>
      <c r="GG124" s="12">
        <v>0.6</v>
      </c>
      <c r="GH124" s="17">
        <v>0.6</v>
      </c>
    </row>
    <row r="125" spans="1:190" x14ac:dyDescent="0.3">
      <c r="A125" s="35" t="s">
        <v>15</v>
      </c>
      <c r="B125" s="16">
        <f>BN125*DZ125*B110*2</f>
        <v>203485.20896739131</v>
      </c>
      <c r="C125" s="14">
        <f t="shared" ref="C125:BJ125" si="21">BO125*EA125*C110*2</f>
        <v>203485.20896739131</v>
      </c>
      <c r="D125" s="14">
        <f t="shared" si="21"/>
        <v>203485.20896739131</v>
      </c>
      <c r="E125" s="14">
        <f t="shared" si="21"/>
        <v>203485.20896739131</v>
      </c>
      <c r="F125" s="14">
        <f t="shared" si="21"/>
        <v>203485.20896739131</v>
      </c>
      <c r="G125" s="14">
        <f t="shared" si="21"/>
        <v>203485.20896739131</v>
      </c>
      <c r="H125" s="14">
        <f t="shared" si="21"/>
        <v>203485.20896739131</v>
      </c>
      <c r="I125" s="14">
        <f t="shared" si="21"/>
        <v>203485.20896739131</v>
      </c>
      <c r="J125" s="14">
        <f t="shared" si="21"/>
        <v>3433.1657608695659</v>
      </c>
      <c r="K125" s="14">
        <f t="shared" si="21"/>
        <v>3433.1657608695659</v>
      </c>
      <c r="L125" s="14">
        <f t="shared" si="21"/>
        <v>3433.1657608695659</v>
      </c>
      <c r="M125" s="14">
        <f t="shared" si="21"/>
        <v>3433.1657608695659</v>
      </c>
      <c r="N125" s="14">
        <f t="shared" si="21"/>
        <v>3998.0396739130438</v>
      </c>
      <c r="O125" s="13">
        <f t="shared" si="21"/>
        <v>244037.39130434787</v>
      </c>
      <c r="P125" s="12">
        <f t="shared" si="21"/>
        <v>0</v>
      </c>
      <c r="Q125" s="14">
        <f t="shared" si="21"/>
        <v>58632.862318840584</v>
      </c>
      <c r="R125" s="14">
        <f t="shared" si="21"/>
        <v>58632.862318840584</v>
      </c>
      <c r="S125" s="14">
        <f t="shared" si="21"/>
        <v>58632.862318840584</v>
      </c>
      <c r="T125" s="14">
        <f t="shared" si="21"/>
        <v>7921.3664596273302</v>
      </c>
      <c r="U125" s="14">
        <f t="shared" si="21"/>
        <v>7921.3664596273302</v>
      </c>
      <c r="V125" s="14">
        <f t="shared" si="21"/>
        <v>66430.542857142864</v>
      </c>
      <c r="W125" s="14">
        <f t="shared" si="21"/>
        <v>66430.542857142864</v>
      </c>
      <c r="X125" s="14">
        <f t="shared" si="21"/>
        <v>66430.542857142864</v>
      </c>
      <c r="Y125" s="14">
        <f t="shared" si="21"/>
        <v>66430.542857142864</v>
      </c>
      <c r="Z125" s="14">
        <f t="shared" si="21"/>
        <v>2151.6358695652175</v>
      </c>
      <c r="AA125" s="14">
        <f t="shared" si="21"/>
        <v>2151.6358695652175</v>
      </c>
      <c r="AB125" s="14">
        <f t="shared" si="21"/>
        <v>2147.3468944099382</v>
      </c>
      <c r="AC125" s="14">
        <f t="shared" si="21"/>
        <v>2147.3468944099382</v>
      </c>
      <c r="AD125" s="14">
        <f t="shared" si="21"/>
        <v>2223.1187888198756</v>
      </c>
      <c r="AE125" s="14">
        <f t="shared" si="21"/>
        <v>2223.1187888198756</v>
      </c>
      <c r="AF125" s="14">
        <f t="shared" si="21"/>
        <v>4434.800310559006</v>
      </c>
      <c r="AG125" s="14">
        <f t="shared" si="21"/>
        <v>4397.6291925465848</v>
      </c>
      <c r="AH125" s="14">
        <f t="shared" si="21"/>
        <v>1089.9715527950309</v>
      </c>
      <c r="AI125" s="14">
        <f t="shared" si="21"/>
        <v>1089.9715527950309</v>
      </c>
      <c r="AJ125" s="14">
        <f t="shared" si="21"/>
        <v>1089.9715527950309</v>
      </c>
      <c r="AK125" s="14">
        <f t="shared" si="21"/>
        <v>1089.9715527950309</v>
      </c>
      <c r="AL125" s="14">
        <f t="shared" si="21"/>
        <v>50221.57416149068</v>
      </c>
      <c r="AM125" s="14">
        <f t="shared" si="21"/>
        <v>50221.57416149068</v>
      </c>
      <c r="AN125" s="14">
        <f t="shared" si="21"/>
        <v>50221.57416149068</v>
      </c>
      <c r="AO125" s="14">
        <f t="shared" si="21"/>
        <v>930.2310559006213</v>
      </c>
      <c r="AP125" s="14">
        <f t="shared" si="21"/>
        <v>930.2310559006213</v>
      </c>
      <c r="AQ125" s="14">
        <f t="shared" si="21"/>
        <v>930.2310559006213</v>
      </c>
      <c r="AR125" s="14">
        <f t="shared" si="21"/>
        <v>1187.1883229813664</v>
      </c>
      <c r="AS125" s="14">
        <f t="shared" si="21"/>
        <v>1187.1883229813664</v>
      </c>
      <c r="AT125" s="14">
        <f t="shared" si="21"/>
        <v>1187.1883229813664</v>
      </c>
      <c r="AU125" s="14">
        <f t="shared" si="21"/>
        <v>12572.521739130436</v>
      </c>
      <c r="AV125" s="14">
        <f t="shared" si="21"/>
        <v>4607.7152600170502</v>
      </c>
      <c r="AW125" s="14">
        <f t="shared" si="21"/>
        <v>4476.0662525879916</v>
      </c>
      <c r="AX125" s="14">
        <f t="shared" si="21"/>
        <v>4476.0662525879916</v>
      </c>
      <c r="AY125" s="14">
        <f t="shared" si="21"/>
        <v>3029.576086956522</v>
      </c>
      <c r="AZ125" s="14">
        <f t="shared" si="21"/>
        <v>3600.9195652173912</v>
      </c>
      <c r="BA125" s="14">
        <f t="shared" si="21"/>
        <v>3872.6586335403726</v>
      </c>
      <c r="BB125" s="14">
        <f t="shared" si="21"/>
        <v>4228.9295031055899</v>
      </c>
      <c r="BC125" s="14">
        <f t="shared" si="21"/>
        <v>29375.051097308489</v>
      </c>
      <c r="BD125" s="14">
        <f t="shared" si="21"/>
        <v>29375.051097308489</v>
      </c>
      <c r="BE125" s="14">
        <f t="shared" si="21"/>
        <v>29375.051097308489</v>
      </c>
      <c r="BF125" s="14">
        <f t="shared" si="21"/>
        <v>4672.123602484472</v>
      </c>
      <c r="BG125" s="14">
        <f t="shared" si="21"/>
        <v>4351.8801242236023</v>
      </c>
      <c r="BH125" s="13">
        <f t="shared" si="21"/>
        <v>132740.92173913043</v>
      </c>
      <c r="BI125" s="13">
        <f t="shared" si="21"/>
        <v>124574.71304347827</v>
      </c>
      <c r="BJ125" s="18">
        <f t="shared" si="21"/>
        <v>132740.92173913043</v>
      </c>
      <c r="BM125" s="35" t="s">
        <v>15</v>
      </c>
      <c r="BN125" s="16">
        <v>1464</v>
      </c>
      <c r="BO125" s="14">
        <v>1464</v>
      </c>
      <c r="BP125" s="14">
        <v>1464</v>
      </c>
      <c r="BQ125" s="14">
        <v>1464</v>
      </c>
      <c r="BR125" s="14">
        <v>1464</v>
      </c>
      <c r="BS125" s="14">
        <v>1464</v>
      </c>
      <c r="BT125" s="14">
        <v>1464</v>
      </c>
      <c r="BU125" s="14">
        <v>1464</v>
      </c>
      <c r="BV125" s="14">
        <v>1482</v>
      </c>
      <c r="BW125" s="14">
        <v>1482</v>
      </c>
      <c r="BX125" s="14">
        <v>1482</v>
      </c>
      <c r="BY125" s="14">
        <v>1482</v>
      </c>
      <c r="BZ125" s="14">
        <v>1598</v>
      </c>
      <c r="CA125" s="13">
        <v>1646</v>
      </c>
      <c r="CB125" s="12"/>
      <c r="CC125" s="14">
        <v>1510</v>
      </c>
      <c r="CD125" s="14">
        <v>1510</v>
      </c>
      <c r="CE125" s="14">
        <v>1510</v>
      </c>
      <c r="CF125" s="14">
        <v>1496</v>
      </c>
      <c r="CG125" s="14">
        <v>1496</v>
      </c>
      <c r="CH125" s="14">
        <v>1476</v>
      </c>
      <c r="CI125" s="14">
        <v>1476</v>
      </c>
      <c r="CJ125" s="14">
        <v>1476</v>
      </c>
      <c r="CK125" s="14">
        <v>1476</v>
      </c>
      <c r="CL125" s="14">
        <v>1505</v>
      </c>
      <c r="CM125" s="14">
        <v>1505</v>
      </c>
      <c r="CN125" s="14">
        <v>1502</v>
      </c>
      <c r="CO125" s="14">
        <v>1502</v>
      </c>
      <c r="CP125" s="14">
        <v>1555</v>
      </c>
      <c r="CQ125" s="14">
        <v>1555</v>
      </c>
      <c r="CR125" s="14">
        <v>1551</v>
      </c>
      <c r="CS125" s="14">
        <v>1538</v>
      </c>
      <c r="CT125" s="14">
        <v>1906</v>
      </c>
      <c r="CU125" s="14">
        <v>1906</v>
      </c>
      <c r="CV125" s="14">
        <v>1906</v>
      </c>
      <c r="CW125" s="14">
        <v>1906</v>
      </c>
      <c r="CX125" s="14">
        <v>1482</v>
      </c>
      <c r="CY125" s="14">
        <v>1482</v>
      </c>
      <c r="CZ125" s="14">
        <v>1482</v>
      </c>
      <c r="DA125" s="14">
        <v>1464</v>
      </c>
      <c r="DB125" s="14">
        <v>1464</v>
      </c>
      <c r="DC125" s="14">
        <v>1464</v>
      </c>
      <c r="DD125" s="14">
        <v>1557</v>
      </c>
      <c r="DE125" s="14">
        <v>1557</v>
      </c>
      <c r="DF125" s="14">
        <v>1557</v>
      </c>
      <c r="DG125" s="14">
        <v>1484</v>
      </c>
      <c r="DH125" s="14">
        <v>1585</v>
      </c>
      <c r="DI125" s="14">
        <v>1585</v>
      </c>
      <c r="DJ125" s="14">
        <v>1585</v>
      </c>
      <c r="DK125" s="14">
        <v>1665</v>
      </c>
      <c r="DL125" s="14">
        <v>1979</v>
      </c>
      <c r="DM125" s="14">
        <v>1693</v>
      </c>
      <c r="DN125" s="14">
        <v>1479</v>
      </c>
      <c r="DO125" s="14">
        <v>1486</v>
      </c>
      <c r="DP125" s="14">
        <v>1486</v>
      </c>
      <c r="DQ125" s="14">
        <v>1486</v>
      </c>
      <c r="DR125" s="14">
        <v>1634</v>
      </c>
      <c r="DS125" s="14">
        <v>1522</v>
      </c>
      <c r="DT125" s="13">
        <v>1658</v>
      </c>
      <c r="DU125" s="13">
        <v>1556</v>
      </c>
      <c r="DV125" s="18">
        <v>1658</v>
      </c>
      <c r="DY125" s="35" t="s">
        <v>15</v>
      </c>
      <c r="DZ125" s="16">
        <v>6.2500000000000003E-3</v>
      </c>
      <c r="EA125" s="14">
        <v>6.2500000000000003E-3</v>
      </c>
      <c r="EB125" s="14">
        <v>6.2500000000000003E-3</v>
      </c>
      <c r="EC125" s="14">
        <v>6.2500000000000003E-3</v>
      </c>
      <c r="ED125" s="14">
        <v>6.2500000000000003E-3</v>
      </c>
      <c r="EE125" s="14">
        <v>6.2500000000000003E-3</v>
      </c>
      <c r="EF125" s="14">
        <v>6.2500000000000003E-3</v>
      </c>
      <c r="EG125" s="14">
        <v>6.2500000000000003E-3</v>
      </c>
      <c r="EH125" s="14">
        <v>6.2500000000000003E-3</v>
      </c>
      <c r="EI125" s="14">
        <v>6.2500000000000003E-3</v>
      </c>
      <c r="EJ125" s="14">
        <v>6.2500000000000003E-3</v>
      </c>
      <c r="EK125" s="14">
        <v>6.2500000000000003E-3</v>
      </c>
      <c r="EL125" s="14">
        <v>6.2500000000000003E-3</v>
      </c>
      <c r="EM125" s="13">
        <v>0.2</v>
      </c>
      <c r="EN125" s="12">
        <v>0.6</v>
      </c>
      <c r="EO125" s="14">
        <v>7.1428571428571435E-3</v>
      </c>
      <c r="EP125" s="14">
        <v>7.1428571428571435E-3</v>
      </c>
      <c r="EQ125" s="14">
        <v>7.1428571428571435E-3</v>
      </c>
      <c r="ER125" s="14">
        <v>7.1428571428571435E-3</v>
      </c>
      <c r="ES125" s="14">
        <v>7.1428571428571435E-3</v>
      </c>
      <c r="ET125" s="14">
        <v>7.1428571428571435E-3</v>
      </c>
      <c r="EU125" s="14">
        <v>7.1428571428571435E-3</v>
      </c>
      <c r="EV125" s="14">
        <v>7.1428571428571435E-3</v>
      </c>
      <c r="EW125" s="14">
        <v>7.1428571428571435E-3</v>
      </c>
      <c r="EX125" s="14">
        <v>7.1428571428571435E-3</v>
      </c>
      <c r="EY125" s="14">
        <v>7.1428571428571435E-3</v>
      </c>
      <c r="EZ125" s="14">
        <v>7.1428571428571435E-3</v>
      </c>
      <c r="FA125" s="14">
        <v>7.1428571428571435E-3</v>
      </c>
      <c r="FB125" s="14">
        <v>7.1428571428571435E-3</v>
      </c>
      <c r="FC125" s="14">
        <v>7.1428571428571435E-3</v>
      </c>
      <c r="FD125" s="14">
        <v>7.1428571428571435E-3</v>
      </c>
      <c r="FE125" s="14">
        <v>7.1428571428571435E-3</v>
      </c>
      <c r="FF125" s="14">
        <v>5.7142857142857143E-3</v>
      </c>
      <c r="FG125" s="14">
        <v>5.7142857142857143E-3</v>
      </c>
      <c r="FH125" s="14">
        <v>5.7142857142857143E-3</v>
      </c>
      <c r="FI125" s="14">
        <v>5.7142857142857143E-3</v>
      </c>
      <c r="FJ125" s="14">
        <v>5.7142857142857143E-3</v>
      </c>
      <c r="FK125" s="14">
        <v>5.7142857142857143E-3</v>
      </c>
      <c r="FL125" s="14">
        <v>5.7142857142857143E-3</v>
      </c>
      <c r="FM125" s="14">
        <v>4.7619047619047623E-3</v>
      </c>
      <c r="FN125" s="14">
        <v>4.7619047619047623E-3</v>
      </c>
      <c r="FO125" s="14">
        <v>4.7619047619047623E-3</v>
      </c>
      <c r="FP125" s="14">
        <v>5.7142857142857143E-3</v>
      </c>
      <c r="FQ125" s="14">
        <v>5.7142857142857143E-3</v>
      </c>
      <c r="FR125" s="14">
        <v>5.7142857142857143E-3</v>
      </c>
      <c r="FS125" s="14">
        <v>5.7142857142857143E-3</v>
      </c>
      <c r="FT125" s="14">
        <v>5.8823529411764705E-3</v>
      </c>
      <c r="FU125" s="14">
        <v>5.7142857142857143E-3</v>
      </c>
      <c r="FV125" s="14">
        <v>5.7142857142857143E-3</v>
      </c>
      <c r="FW125" s="14">
        <v>4.5454545454545461E-3</v>
      </c>
      <c r="FX125" s="14">
        <v>4.5454545454545461E-3</v>
      </c>
      <c r="FY125" s="14">
        <v>5.7142857142857143E-3</v>
      </c>
      <c r="FZ125" s="14">
        <v>7.1428571428571435E-3</v>
      </c>
      <c r="GA125" s="14">
        <v>5.7142857142857143E-3</v>
      </c>
      <c r="GB125" s="14">
        <v>5.7142857142857143E-3</v>
      </c>
      <c r="GC125" s="14">
        <v>5.7142857142857143E-3</v>
      </c>
      <c r="GD125" s="14">
        <v>7.1428571428571435E-3</v>
      </c>
      <c r="GE125" s="14">
        <v>7.1428571428571435E-3</v>
      </c>
      <c r="GF125" s="13">
        <v>0.2</v>
      </c>
      <c r="GG125" s="13">
        <v>0.2</v>
      </c>
      <c r="GH125" s="18">
        <v>0.2</v>
      </c>
    </row>
    <row r="126" spans="1:190" x14ac:dyDescent="0.3">
      <c r="A126" s="35" t="s">
        <v>16</v>
      </c>
      <c r="B126" s="16">
        <f>BN126*DZ126*B110*2</f>
        <v>184582.21141304349</v>
      </c>
      <c r="C126" s="14">
        <f t="shared" ref="C126:BJ126" si="22">BO126*EA126*C110*2</f>
        <v>184582.21141304349</v>
      </c>
      <c r="D126" s="14">
        <f t="shared" si="22"/>
        <v>184582.21141304349</v>
      </c>
      <c r="E126" s="14">
        <f t="shared" si="22"/>
        <v>184582.21141304349</v>
      </c>
      <c r="F126" s="14">
        <f t="shared" si="22"/>
        <v>184582.21141304349</v>
      </c>
      <c r="G126" s="14">
        <f t="shared" si="22"/>
        <v>184582.21141304349</v>
      </c>
      <c r="H126" s="14">
        <f t="shared" si="22"/>
        <v>184582.21141304349</v>
      </c>
      <c r="I126" s="14">
        <f t="shared" si="22"/>
        <v>184582.21141304349</v>
      </c>
      <c r="J126" s="14">
        <f t="shared" si="22"/>
        <v>3118.1114130434785</v>
      </c>
      <c r="K126" s="14">
        <f t="shared" si="22"/>
        <v>3118.1114130434785</v>
      </c>
      <c r="L126" s="14">
        <f t="shared" si="22"/>
        <v>3118.1114130434785</v>
      </c>
      <c r="M126" s="14">
        <f t="shared" si="22"/>
        <v>3118.1114130434785</v>
      </c>
      <c r="N126" s="14">
        <f t="shared" si="22"/>
        <v>3657.7809782608697</v>
      </c>
      <c r="O126" s="14">
        <f t="shared" si="22"/>
        <v>5206.3700707785647</v>
      </c>
      <c r="P126" s="14">
        <f t="shared" si="22"/>
        <v>5206.3700707785647</v>
      </c>
      <c r="Q126" s="12">
        <f t="shared" si="22"/>
        <v>0</v>
      </c>
      <c r="R126" s="13">
        <f t="shared" si="22"/>
        <v>93298.08605072464</v>
      </c>
      <c r="S126" s="13">
        <f t="shared" si="22"/>
        <v>93298.08605072464</v>
      </c>
      <c r="T126" s="13">
        <f t="shared" si="22"/>
        <v>12602.17391304348</v>
      </c>
      <c r="U126" s="13">
        <f t="shared" si="22"/>
        <v>12602.17391304348</v>
      </c>
      <c r="V126" s="13">
        <f t="shared" si="22"/>
        <v>105541.75</v>
      </c>
      <c r="W126" s="13">
        <f t="shared" si="22"/>
        <v>105541.75</v>
      </c>
      <c r="X126" s="13">
        <f t="shared" si="22"/>
        <v>105541.75</v>
      </c>
      <c r="Y126" s="13">
        <f t="shared" si="22"/>
        <v>105541.75</v>
      </c>
      <c r="Z126" s="13">
        <f t="shared" si="22"/>
        <v>3425.1040760869564</v>
      </c>
      <c r="AA126" s="13">
        <f t="shared" si="22"/>
        <v>3425.1040760869564</v>
      </c>
      <c r="AB126" s="13">
        <f t="shared" si="22"/>
        <v>3417.5983695652171</v>
      </c>
      <c r="AC126" s="13">
        <f t="shared" si="22"/>
        <v>3417.5983695652171</v>
      </c>
      <c r="AD126" s="13">
        <f t="shared" si="22"/>
        <v>3550.1991847826089</v>
      </c>
      <c r="AE126" s="13">
        <f t="shared" si="22"/>
        <v>3550.1991847826089</v>
      </c>
      <c r="AF126" s="13">
        <f t="shared" si="22"/>
        <v>6880.2309782608691</v>
      </c>
      <c r="AG126" s="13">
        <f t="shared" si="22"/>
        <v>7015.3336956521744</v>
      </c>
      <c r="AH126" s="14">
        <f t="shared" si="22"/>
        <v>1012.1981366459627</v>
      </c>
      <c r="AI126" s="14">
        <f t="shared" si="22"/>
        <v>1012.1981366459627</v>
      </c>
      <c r="AJ126" s="14">
        <f t="shared" si="22"/>
        <v>1012.1981366459627</v>
      </c>
      <c r="AK126" s="14">
        <f t="shared" si="22"/>
        <v>1012.1981366459627</v>
      </c>
      <c r="AL126" s="14">
        <f t="shared" si="22"/>
        <v>45612.846708074539</v>
      </c>
      <c r="AM126" s="14">
        <f t="shared" si="22"/>
        <v>45612.846708074539</v>
      </c>
      <c r="AN126" s="14">
        <f t="shared" si="22"/>
        <v>45612.846708074539</v>
      </c>
      <c r="AO126" s="14">
        <f t="shared" si="22"/>
        <v>843.81614906832306</v>
      </c>
      <c r="AP126" s="14">
        <f t="shared" si="22"/>
        <v>843.81614906832306</v>
      </c>
      <c r="AQ126" s="14">
        <f t="shared" si="22"/>
        <v>843.81614906832306</v>
      </c>
      <c r="AR126" s="14">
        <f t="shared" si="22"/>
        <v>1083.4904347826086</v>
      </c>
      <c r="AS126" s="14">
        <f t="shared" si="22"/>
        <v>1083.4904347826086</v>
      </c>
      <c r="AT126" s="14">
        <f t="shared" si="22"/>
        <v>1083.4904347826086</v>
      </c>
      <c r="AU126" s="14">
        <f t="shared" si="22"/>
        <v>11420.32298136646</v>
      </c>
      <c r="AV126" s="14">
        <f t="shared" si="22"/>
        <v>4212.3529411764703</v>
      </c>
      <c r="AW126" s="14">
        <f t="shared" si="22"/>
        <v>4091.9999999999995</v>
      </c>
      <c r="AX126" s="14">
        <f t="shared" si="22"/>
        <v>4091.9999999999995</v>
      </c>
      <c r="AY126" s="14">
        <f t="shared" si="22"/>
        <v>2782.1152173913047</v>
      </c>
      <c r="AZ126" s="14">
        <f t="shared" si="22"/>
        <v>3353.4586956521744</v>
      </c>
      <c r="BA126" s="14">
        <f t="shared" si="22"/>
        <v>3561.5649689440993</v>
      </c>
      <c r="BB126" s="13">
        <f t="shared" si="22"/>
        <v>6720.1092391304346</v>
      </c>
      <c r="BC126" s="14">
        <f t="shared" si="22"/>
        <v>26686.621118012423</v>
      </c>
      <c r="BD126" s="14">
        <f t="shared" si="22"/>
        <v>26686.621118012423</v>
      </c>
      <c r="BE126" s="14">
        <f t="shared" si="22"/>
        <v>26686.621118012423</v>
      </c>
      <c r="BF126" s="13">
        <f t="shared" si="22"/>
        <v>7495.6989130434786</v>
      </c>
      <c r="BG126" s="13">
        <f t="shared" si="22"/>
        <v>6930.26902173913</v>
      </c>
      <c r="BH126" s="14">
        <f t="shared" si="22"/>
        <v>2833.7824064711831</v>
      </c>
      <c r="BI126" s="14">
        <f t="shared" si="22"/>
        <v>2643.870576339737</v>
      </c>
      <c r="BJ126" s="15">
        <f t="shared" si="22"/>
        <v>2833.7824064711831</v>
      </c>
      <c r="BM126" s="35" t="s">
        <v>16</v>
      </c>
      <c r="BN126" s="16">
        <v>1328</v>
      </c>
      <c r="BO126" s="14">
        <v>1328</v>
      </c>
      <c r="BP126" s="14">
        <v>1328</v>
      </c>
      <c r="BQ126" s="14">
        <v>1328</v>
      </c>
      <c r="BR126" s="14">
        <v>1328</v>
      </c>
      <c r="BS126" s="14">
        <v>1328</v>
      </c>
      <c r="BT126" s="14">
        <v>1328</v>
      </c>
      <c r="BU126" s="14">
        <v>1328</v>
      </c>
      <c r="BV126" s="14">
        <v>1346</v>
      </c>
      <c r="BW126" s="14">
        <v>1346</v>
      </c>
      <c r="BX126" s="14">
        <v>1346</v>
      </c>
      <c r="BY126" s="14">
        <v>1346</v>
      </c>
      <c r="BZ126" s="14">
        <v>1462</v>
      </c>
      <c r="CA126" s="14">
        <v>1510</v>
      </c>
      <c r="CB126" s="14">
        <v>1510</v>
      </c>
      <c r="CC126" s="12"/>
      <c r="CD126" s="13">
        <v>1373</v>
      </c>
      <c r="CE126" s="13">
        <v>1373</v>
      </c>
      <c r="CF126" s="13">
        <v>1360</v>
      </c>
      <c r="CG126" s="13">
        <v>1360</v>
      </c>
      <c r="CH126" s="13">
        <v>1340</v>
      </c>
      <c r="CI126" s="13">
        <v>1340</v>
      </c>
      <c r="CJ126" s="13">
        <v>1340</v>
      </c>
      <c r="CK126" s="13">
        <v>1340</v>
      </c>
      <c r="CL126" s="13">
        <v>1369</v>
      </c>
      <c r="CM126" s="13">
        <v>1369</v>
      </c>
      <c r="CN126" s="13">
        <v>1366</v>
      </c>
      <c r="CO126" s="13">
        <v>1366</v>
      </c>
      <c r="CP126" s="13">
        <v>1419</v>
      </c>
      <c r="CQ126" s="13">
        <v>1419</v>
      </c>
      <c r="CR126" s="13">
        <v>1375</v>
      </c>
      <c r="CS126" s="13">
        <v>1402</v>
      </c>
      <c r="CT126" s="14">
        <v>1770</v>
      </c>
      <c r="CU126" s="14">
        <v>1770</v>
      </c>
      <c r="CV126" s="14">
        <v>1770</v>
      </c>
      <c r="CW126" s="14">
        <v>1770</v>
      </c>
      <c r="CX126" s="14">
        <v>1346</v>
      </c>
      <c r="CY126" s="14">
        <v>1346</v>
      </c>
      <c r="CZ126" s="14">
        <v>1346</v>
      </c>
      <c r="DA126" s="14">
        <v>1328</v>
      </c>
      <c r="DB126" s="14">
        <v>1328</v>
      </c>
      <c r="DC126" s="14">
        <v>1328</v>
      </c>
      <c r="DD126" s="14">
        <v>1421</v>
      </c>
      <c r="DE126" s="14">
        <v>1421</v>
      </c>
      <c r="DF126" s="14">
        <v>1421</v>
      </c>
      <c r="DG126" s="14">
        <v>1348</v>
      </c>
      <c r="DH126" s="14">
        <v>1449</v>
      </c>
      <c r="DI126" s="14">
        <v>1449</v>
      </c>
      <c r="DJ126" s="14">
        <v>1449</v>
      </c>
      <c r="DK126" s="14">
        <v>1529</v>
      </c>
      <c r="DL126" s="14">
        <v>1843</v>
      </c>
      <c r="DM126" s="14">
        <v>1557</v>
      </c>
      <c r="DN126" s="13">
        <v>1343</v>
      </c>
      <c r="DO126" s="14">
        <v>1350</v>
      </c>
      <c r="DP126" s="14">
        <v>1350</v>
      </c>
      <c r="DQ126" s="14">
        <v>1350</v>
      </c>
      <c r="DR126" s="13">
        <v>1498</v>
      </c>
      <c r="DS126" s="13">
        <v>1385</v>
      </c>
      <c r="DT126" s="14">
        <v>1522</v>
      </c>
      <c r="DU126" s="14">
        <v>1420</v>
      </c>
      <c r="DV126" s="15">
        <v>1522</v>
      </c>
      <c r="DY126" s="35" t="s">
        <v>16</v>
      </c>
      <c r="DZ126" s="16">
        <v>6.2500000000000003E-3</v>
      </c>
      <c r="EA126" s="14">
        <v>6.2500000000000003E-3</v>
      </c>
      <c r="EB126" s="14">
        <v>6.2500000000000003E-3</v>
      </c>
      <c r="EC126" s="14">
        <v>6.2500000000000003E-3</v>
      </c>
      <c r="ED126" s="14">
        <v>6.2500000000000003E-3</v>
      </c>
      <c r="EE126" s="14">
        <v>6.2500000000000003E-3</v>
      </c>
      <c r="EF126" s="14">
        <v>6.2500000000000003E-3</v>
      </c>
      <c r="EG126" s="14">
        <v>6.2500000000000003E-3</v>
      </c>
      <c r="EH126" s="14">
        <v>6.2500000000000003E-3</v>
      </c>
      <c r="EI126" s="14">
        <v>6.2500000000000003E-3</v>
      </c>
      <c r="EJ126" s="14">
        <v>6.2500000000000003E-3</v>
      </c>
      <c r="EK126" s="14">
        <v>6.2500000000000003E-3</v>
      </c>
      <c r="EL126" s="14">
        <v>6.2500000000000003E-3</v>
      </c>
      <c r="EM126" s="14">
        <v>4.6511627906976744E-3</v>
      </c>
      <c r="EN126" s="14">
        <v>4.6511627906976744E-3</v>
      </c>
      <c r="EO126" s="12">
        <v>0.6</v>
      </c>
      <c r="EP126" s="13">
        <f t="shared" ref="EP126:FE141" si="23">0.2/16</f>
        <v>1.2500000000000001E-2</v>
      </c>
      <c r="EQ126" s="13">
        <f t="shared" si="23"/>
        <v>1.2500000000000001E-2</v>
      </c>
      <c r="ER126" s="13">
        <f t="shared" si="23"/>
        <v>1.2500000000000001E-2</v>
      </c>
      <c r="ES126" s="13">
        <f t="shared" si="23"/>
        <v>1.2500000000000001E-2</v>
      </c>
      <c r="ET126" s="13">
        <f t="shared" si="23"/>
        <v>1.2500000000000001E-2</v>
      </c>
      <c r="EU126" s="13">
        <f t="shared" si="23"/>
        <v>1.2500000000000001E-2</v>
      </c>
      <c r="EV126" s="13">
        <f t="shared" si="23"/>
        <v>1.2500000000000001E-2</v>
      </c>
      <c r="EW126" s="13">
        <f t="shared" si="23"/>
        <v>1.2500000000000001E-2</v>
      </c>
      <c r="EX126" s="13">
        <f t="shared" si="23"/>
        <v>1.2500000000000001E-2</v>
      </c>
      <c r="EY126" s="13">
        <f t="shared" si="23"/>
        <v>1.2500000000000001E-2</v>
      </c>
      <c r="EZ126" s="13">
        <f t="shared" si="23"/>
        <v>1.2500000000000001E-2</v>
      </c>
      <c r="FA126" s="13">
        <f t="shared" si="23"/>
        <v>1.2500000000000001E-2</v>
      </c>
      <c r="FB126" s="13">
        <f t="shared" si="23"/>
        <v>1.2500000000000001E-2</v>
      </c>
      <c r="FC126" s="13">
        <f t="shared" si="23"/>
        <v>1.2500000000000001E-2</v>
      </c>
      <c r="FD126" s="13">
        <f t="shared" si="23"/>
        <v>1.2500000000000001E-2</v>
      </c>
      <c r="FE126" s="13">
        <f t="shared" si="23"/>
        <v>1.2500000000000001E-2</v>
      </c>
      <c r="FF126" s="14">
        <v>5.7142857142857143E-3</v>
      </c>
      <c r="FG126" s="14">
        <v>5.7142857142857143E-3</v>
      </c>
      <c r="FH126" s="14">
        <v>5.7142857142857143E-3</v>
      </c>
      <c r="FI126" s="14">
        <v>5.7142857142857143E-3</v>
      </c>
      <c r="FJ126" s="14">
        <v>5.7142857142857143E-3</v>
      </c>
      <c r="FK126" s="14">
        <v>5.7142857142857143E-3</v>
      </c>
      <c r="FL126" s="14">
        <v>5.7142857142857143E-3</v>
      </c>
      <c r="FM126" s="14">
        <v>4.7619047619047623E-3</v>
      </c>
      <c r="FN126" s="14">
        <v>4.7619047619047623E-3</v>
      </c>
      <c r="FO126" s="14">
        <v>4.7619047619047623E-3</v>
      </c>
      <c r="FP126" s="14">
        <v>5.7142857142857143E-3</v>
      </c>
      <c r="FQ126" s="14">
        <v>5.7142857142857143E-3</v>
      </c>
      <c r="FR126" s="14">
        <v>5.7142857142857143E-3</v>
      </c>
      <c r="FS126" s="14">
        <v>5.7142857142857143E-3</v>
      </c>
      <c r="FT126" s="14">
        <v>5.8823529411764705E-3</v>
      </c>
      <c r="FU126" s="14">
        <v>5.7142857142857143E-3</v>
      </c>
      <c r="FV126" s="14">
        <v>5.7142857142857143E-3</v>
      </c>
      <c r="FW126" s="14">
        <v>4.5454545454545461E-3</v>
      </c>
      <c r="FX126" s="14">
        <v>4.5454545454545461E-3</v>
      </c>
      <c r="FY126" s="14">
        <v>5.7142857142857143E-3</v>
      </c>
      <c r="FZ126" s="13">
        <f t="shared" ref="FZ126:FZ131" si="24">0.2/16</f>
        <v>1.2500000000000001E-2</v>
      </c>
      <c r="GA126" s="14">
        <v>5.7142857142857143E-3</v>
      </c>
      <c r="GB126" s="14">
        <v>5.7142857142857143E-3</v>
      </c>
      <c r="GC126" s="14">
        <v>5.7142857142857143E-3</v>
      </c>
      <c r="GD126" s="13">
        <f t="shared" ref="GD126:GE141" si="25">0.2/16</f>
        <v>1.2500000000000001E-2</v>
      </c>
      <c r="GE126" s="13">
        <f t="shared" si="25"/>
        <v>1.2500000000000001E-2</v>
      </c>
      <c r="GF126" s="14">
        <v>4.6511627906976744E-3</v>
      </c>
      <c r="GG126" s="14">
        <v>4.6511627906976744E-3</v>
      </c>
      <c r="GH126" s="15">
        <v>4.6511627906976744E-3</v>
      </c>
    </row>
    <row r="127" spans="1:190" x14ac:dyDescent="0.3">
      <c r="A127" s="35" t="s">
        <v>17</v>
      </c>
      <c r="B127" s="16">
        <f>BN127*DZ127*B110*2</f>
        <v>184582.21141304349</v>
      </c>
      <c r="C127" s="14">
        <f t="shared" ref="C127:BJ127" si="26">BO127*EA127*C110*2</f>
        <v>184582.21141304349</v>
      </c>
      <c r="D127" s="14">
        <f t="shared" si="26"/>
        <v>184582.21141304349</v>
      </c>
      <c r="E127" s="14">
        <f t="shared" si="26"/>
        <v>184582.21141304349</v>
      </c>
      <c r="F127" s="14">
        <f t="shared" si="26"/>
        <v>184582.21141304349</v>
      </c>
      <c r="G127" s="14">
        <f t="shared" si="26"/>
        <v>184582.21141304349</v>
      </c>
      <c r="H127" s="14">
        <f t="shared" si="26"/>
        <v>184582.21141304349</v>
      </c>
      <c r="I127" s="14">
        <f t="shared" si="26"/>
        <v>184582.21141304349</v>
      </c>
      <c r="J127" s="14">
        <f t="shared" si="26"/>
        <v>3118.1114130434785</v>
      </c>
      <c r="K127" s="14">
        <f t="shared" si="26"/>
        <v>3118.1114130434785</v>
      </c>
      <c r="L127" s="14">
        <f t="shared" si="26"/>
        <v>3118.1114130434785</v>
      </c>
      <c r="M127" s="14">
        <f t="shared" si="26"/>
        <v>3118.1114130434785</v>
      </c>
      <c r="N127" s="14">
        <f t="shared" si="26"/>
        <v>3657.7809782608697</v>
      </c>
      <c r="O127" s="14">
        <f t="shared" si="26"/>
        <v>5206.3700707785647</v>
      </c>
      <c r="P127" s="14">
        <f t="shared" si="26"/>
        <v>5206.3700707785647</v>
      </c>
      <c r="Q127" s="13">
        <f t="shared" si="26"/>
        <v>93298.08605072464</v>
      </c>
      <c r="R127" s="12">
        <f t="shared" si="26"/>
        <v>0</v>
      </c>
      <c r="S127" s="13">
        <f t="shared" si="26"/>
        <v>93298.08605072464</v>
      </c>
      <c r="T127" s="13">
        <f t="shared" si="26"/>
        <v>12602.17391304348</v>
      </c>
      <c r="U127" s="13">
        <f t="shared" si="26"/>
        <v>12602.17391304348</v>
      </c>
      <c r="V127" s="13">
        <f t="shared" si="26"/>
        <v>105541.75</v>
      </c>
      <c r="W127" s="13">
        <f t="shared" si="26"/>
        <v>105541.75</v>
      </c>
      <c r="X127" s="13">
        <f t="shared" si="26"/>
        <v>105541.75</v>
      </c>
      <c r="Y127" s="13">
        <f t="shared" si="26"/>
        <v>105541.75</v>
      </c>
      <c r="Z127" s="13">
        <f t="shared" si="26"/>
        <v>3425.1040760869564</v>
      </c>
      <c r="AA127" s="13">
        <f t="shared" si="26"/>
        <v>3425.1040760869564</v>
      </c>
      <c r="AB127" s="13">
        <f t="shared" si="26"/>
        <v>3417.5983695652171</v>
      </c>
      <c r="AC127" s="13">
        <f t="shared" si="26"/>
        <v>3417.5983695652171</v>
      </c>
      <c r="AD127" s="13">
        <f t="shared" si="26"/>
        <v>3550.1991847826089</v>
      </c>
      <c r="AE127" s="13">
        <f t="shared" si="26"/>
        <v>3550.1991847826089</v>
      </c>
      <c r="AF127" s="13">
        <f t="shared" si="26"/>
        <v>6880.2309782608691</v>
      </c>
      <c r="AG127" s="13">
        <f t="shared" si="26"/>
        <v>7015.3336956521744</v>
      </c>
      <c r="AH127" s="14">
        <f t="shared" si="26"/>
        <v>1012.1981366459627</v>
      </c>
      <c r="AI127" s="14">
        <f t="shared" si="26"/>
        <v>1012.1981366459627</v>
      </c>
      <c r="AJ127" s="14">
        <f t="shared" si="26"/>
        <v>1012.1981366459627</v>
      </c>
      <c r="AK127" s="14">
        <f t="shared" si="26"/>
        <v>1012.1981366459627</v>
      </c>
      <c r="AL127" s="14">
        <f t="shared" si="26"/>
        <v>45612.846708074539</v>
      </c>
      <c r="AM127" s="14">
        <f t="shared" si="26"/>
        <v>45612.846708074539</v>
      </c>
      <c r="AN127" s="14">
        <f t="shared" si="26"/>
        <v>45612.846708074539</v>
      </c>
      <c r="AO127" s="14">
        <f t="shared" si="26"/>
        <v>843.81614906832306</v>
      </c>
      <c r="AP127" s="14">
        <f t="shared" si="26"/>
        <v>843.81614906832306</v>
      </c>
      <c r="AQ127" s="14">
        <f t="shared" si="26"/>
        <v>843.81614906832306</v>
      </c>
      <c r="AR127" s="14">
        <f t="shared" si="26"/>
        <v>1083.4904347826086</v>
      </c>
      <c r="AS127" s="14">
        <f t="shared" si="26"/>
        <v>1083.4904347826086</v>
      </c>
      <c r="AT127" s="14">
        <f t="shared" si="26"/>
        <v>1083.4904347826086</v>
      </c>
      <c r="AU127" s="14">
        <f t="shared" si="26"/>
        <v>11420.32298136646</v>
      </c>
      <c r="AV127" s="14">
        <f t="shared" si="26"/>
        <v>4212.3529411764703</v>
      </c>
      <c r="AW127" s="14">
        <f t="shared" si="26"/>
        <v>4091.9999999999995</v>
      </c>
      <c r="AX127" s="14">
        <f t="shared" si="26"/>
        <v>4091.9999999999995</v>
      </c>
      <c r="AY127" s="14">
        <f t="shared" si="26"/>
        <v>2782.1152173913047</v>
      </c>
      <c r="AZ127" s="14">
        <f t="shared" si="26"/>
        <v>3353.4586956521744</v>
      </c>
      <c r="BA127" s="14">
        <f t="shared" si="26"/>
        <v>3561.5649689440993</v>
      </c>
      <c r="BB127" s="13">
        <f t="shared" si="26"/>
        <v>6720.1092391304346</v>
      </c>
      <c r="BC127" s="14">
        <f t="shared" si="26"/>
        <v>26686.621118012423</v>
      </c>
      <c r="BD127" s="14">
        <f t="shared" si="26"/>
        <v>26686.621118012423</v>
      </c>
      <c r="BE127" s="14">
        <f t="shared" si="26"/>
        <v>26686.621118012423</v>
      </c>
      <c r="BF127" s="13">
        <f t="shared" si="26"/>
        <v>7495.6989130434786</v>
      </c>
      <c r="BG127" s="13">
        <f t="shared" si="26"/>
        <v>6930.26902173913</v>
      </c>
      <c r="BH127" s="14">
        <f t="shared" si="26"/>
        <v>2833.7824064711831</v>
      </c>
      <c r="BI127" s="14">
        <f t="shared" si="26"/>
        <v>2643.870576339737</v>
      </c>
      <c r="BJ127" s="15">
        <f t="shared" si="26"/>
        <v>2833.7824064711831</v>
      </c>
      <c r="BM127" s="35" t="s">
        <v>17</v>
      </c>
      <c r="BN127" s="16">
        <v>1328</v>
      </c>
      <c r="BO127" s="14">
        <v>1328</v>
      </c>
      <c r="BP127" s="14">
        <v>1328</v>
      </c>
      <c r="BQ127" s="14">
        <v>1328</v>
      </c>
      <c r="BR127" s="14">
        <v>1328</v>
      </c>
      <c r="BS127" s="14">
        <v>1328</v>
      </c>
      <c r="BT127" s="14">
        <v>1328</v>
      </c>
      <c r="BU127" s="14">
        <v>1328</v>
      </c>
      <c r="BV127" s="14">
        <v>1346</v>
      </c>
      <c r="BW127" s="14">
        <v>1346</v>
      </c>
      <c r="BX127" s="14">
        <v>1346</v>
      </c>
      <c r="BY127" s="14">
        <v>1346</v>
      </c>
      <c r="BZ127" s="14">
        <v>1462</v>
      </c>
      <c r="CA127" s="14">
        <v>1510</v>
      </c>
      <c r="CB127" s="14">
        <v>1510</v>
      </c>
      <c r="CC127" s="13">
        <v>1373</v>
      </c>
      <c r="CD127" s="12"/>
      <c r="CE127" s="13">
        <v>1373</v>
      </c>
      <c r="CF127" s="13">
        <v>1360</v>
      </c>
      <c r="CG127" s="13">
        <v>1360</v>
      </c>
      <c r="CH127" s="13">
        <v>1340</v>
      </c>
      <c r="CI127" s="13">
        <v>1340</v>
      </c>
      <c r="CJ127" s="13">
        <v>1340</v>
      </c>
      <c r="CK127" s="13">
        <v>1340</v>
      </c>
      <c r="CL127" s="13">
        <v>1369</v>
      </c>
      <c r="CM127" s="13">
        <v>1369</v>
      </c>
      <c r="CN127" s="13">
        <v>1366</v>
      </c>
      <c r="CO127" s="13">
        <v>1366</v>
      </c>
      <c r="CP127" s="13">
        <v>1419</v>
      </c>
      <c r="CQ127" s="13">
        <v>1419</v>
      </c>
      <c r="CR127" s="13">
        <v>1375</v>
      </c>
      <c r="CS127" s="13">
        <v>1402</v>
      </c>
      <c r="CT127" s="14">
        <v>1770</v>
      </c>
      <c r="CU127" s="14">
        <v>1770</v>
      </c>
      <c r="CV127" s="14">
        <v>1770</v>
      </c>
      <c r="CW127" s="14">
        <v>1770</v>
      </c>
      <c r="CX127" s="14">
        <v>1346</v>
      </c>
      <c r="CY127" s="14">
        <v>1346</v>
      </c>
      <c r="CZ127" s="14">
        <v>1346</v>
      </c>
      <c r="DA127" s="14">
        <v>1328</v>
      </c>
      <c r="DB127" s="14">
        <v>1328</v>
      </c>
      <c r="DC127" s="14">
        <v>1328</v>
      </c>
      <c r="DD127" s="14">
        <v>1421</v>
      </c>
      <c r="DE127" s="14">
        <v>1421</v>
      </c>
      <c r="DF127" s="14">
        <v>1421</v>
      </c>
      <c r="DG127" s="14">
        <v>1348</v>
      </c>
      <c r="DH127" s="14">
        <v>1449</v>
      </c>
      <c r="DI127" s="14">
        <v>1449</v>
      </c>
      <c r="DJ127" s="14">
        <v>1449</v>
      </c>
      <c r="DK127" s="14">
        <v>1529</v>
      </c>
      <c r="DL127" s="14">
        <v>1843</v>
      </c>
      <c r="DM127" s="14">
        <v>1557</v>
      </c>
      <c r="DN127" s="13">
        <v>1343</v>
      </c>
      <c r="DO127" s="14">
        <v>1350</v>
      </c>
      <c r="DP127" s="14">
        <v>1350</v>
      </c>
      <c r="DQ127" s="14">
        <v>1350</v>
      </c>
      <c r="DR127" s="13">
        <v>1498</v>
      </c>
      <c r="DS127" s="13">
        <v>1385</v>
      </c>
      <c r="DT127" s="14">
        <v>1522</v>
      </c>
      <c r="DU127" s="14">
        <v>1420</v>
      </c>
      <c r="DV127" s="15">
        <v>1522</v>
      </c>
      <c r="DY127" s="35" t="s">
        <v>17</v>
      </c>
      <c r="DZ127" s="16">
        <v>6.2500000000000003E-3</v>
      </c>
      <c r="EA127" s="14">
        <v>6.2500000000000003E-3</v>
      </c>
      <c r="EB127" s="14">
        <v>6.2500000000000003E-3</v>
      </c>
      <c r="EC127" s="14">
        <v>6.2500000000000003E-3</v>
      </c>
      <c r="ED127" s="14">
        <v>6.2500000000000003E-3</v>
      </c>
      <c r="EE127" s="14">
        <v>6.2500000000000003E-3</v>
      </c>
      <c r="EF127" s="14">
        <v>6.2500000000000003E-3</v>
      </c>
      <c r="EG127" s="14">
        <v>6.2500000000000003E-3</v>
      </c>
      <c r="EH127" s="14">
        <v>6.2500000000000003E-3</v>
      </c>
      <c r="EI127" s="14">
        <v>6.2500000000000003E-3</v>
      </c>
      <c r="EJ127" s="14">
        <v>6.2500000000000003E-3</v>
      </c>
      <c r="EK127" s="14">
        <v>6.2500000000000003E-3</v>
      </c>
      <c r="EL127" s="14">
        <v>6.2500000000000003E-3</v>
      </c>
      <c r="EM127" s="14">
        <v>4.6511627906976744E-3</v>
      </c>
      <c r="EN127" s="14">
        <v>4.6511627906976744E-3</v>
      </c>
      <c r="EO127" s="13">
        <f>0.2/16</f>
        <v>1.2500000000000001E-2</v>
      </c>
      <c r="EP127" s="12">
        <v>0.6</v>
      </c>
      <c r="EQ127" s="13">
        <f t="shared" si="23"/>
        <v>1.2500000000000001E-2</v>
      </c>
      <c r="ER127" s="13">
        <f t="shared" si="23"/>
        <v>1.2500000000000001E-2</v>
      </c>
      <c r="ES127" s="13">
        <f t="shared" si="23"/>
        <v>1.2500000000000001E-2</v>
      </c>
      <c r="ET127" s="13">
        <f t="shared" si="23"/>
        <v>1.2500000000000001E-2</v>
      </c>
      <c r="EU127" s="13">
        <f t="shared" si="23"/>
        <v>1.2500000000000001E-2</v>
      </c>
      <c r="EV127" s="13">
        <f t="shared" si="23"/>
        <v>1.2500000000000001E-2</v>
      </c>
      <c r="EW127" s="13">
        <f t="shared" si="23"/>
        <v>1.2500000000000001E-2</v>
      </c>
      <c r="EX127" s="13">
        <f t="shared" si="23"/>
        <v>1.2500000000000001E-2</v>
      </c>
      <c r="EY127" s="13">
        <f t="shared" si="23"/>
        <v>1.2500000000000001E-2</v>
      </c>
      <c r="EZ127" s="13">
        <f t="shared" si="23"/>
        <v>1.2500000000000001E-2</v>
      </c>
      <c r="FA127" s="13">
        <f t="shared" si="23"/>
        <v>1.2500000000000001E-2</v>
      </c>
      <c r="FB127" s="13">
        <f t="shared" si="23"/>
        <v>1.2500000000000001E-2</v>
      </c>
      <c r="FC127" s="13">
        <f t="shared" si="23"/>
        <v>1.2500000000000001E-2</v>
      </c>
      <c r="FD127" s="13">
        <f t="shared" si="23"/>
        <v>1.2500000000000001E-2</v>
      </c>
      <c r="FE127" s="13">
        <f t="shared" si="23"/>
        <v>1.2500000000000001E-2</v>
      </c>
      <c r="FF127" s="14">
        <v>5.7142857142857143E-3</v>
      </c>
      <c r="FG127" s="14">
        <v>5.7142857142857143E-3</v>
      </c>
      <c r="FH127" s="14">
        <v>5.7142857142857143E-3</v>
      </c>
      <c r="FI127" s="14">
        <v>5.7142857142857143E-3</v>
      </c>
      <c r="FJ127" s="14">
        <v>5.7142857142857143E-3</v>
      </c>
      <c r="FK127" s="14">
        <v>5.7142857142857143E-3</v>
      </c>
      <c r="FL127" s="14">
        <v>5.7142857142857143E-3</v>
      </c>
      <c r="FM127" s="14">
        <v>4.7619047619047623E-3</v>
      </c>
      <c r="FN127" s="14">
        <v>4.7619047619047623E-3</v>
      </c>
      <c r="FO127" s="14">
        <v>4.7619047619047623E-3</v>
      </c>
      <c r="FP127" s="14">
        <v>5.7142857142857143E-3</v>
      </c>
      <c r="FQ127" s="14">
        <v>5.7142857142857143E-3</v>
      </c>
      <c r="FR127" s="14">
        <v>5.7142857142857143E-3</v>
      </c>
      <c r="FS127" s="14">
        <v>5.7142857142857143E-3</v>
      </c>
      <c r="FT127" s="14">
        <v>5.8823529411764705E-3</v>
      </c>
      <c r="FU127" s="14">
        <v>5.7142857142857143E-3</v>
      </c>
      <c r="FV127" s="14">
        <v>5.7142857142857143E-3</v>
      </c>
      <c r="FW127" s="14">
        <v>4.5454545454545461E-3</v>
      </c>
      <c r="FX127" s="14">
        <v>4.5454545454545461E-3</v>
      </c>
      <c r="FY127" s="14">
        <v>5.7142857142857143E-3</v>
      </c>
      <c r="FZ127" s="13">
        <f t="shared" si="24"/>
        <v>1.2500000000000001E-2</v>
      </c>
      <c r="GA127" s="14">
        <v>5.7142857142857143E-3</v>
      </c>
      <c r="GB127" s="14">
        <v>5.7142857142857143E-3</v>
      </c>
      <c r="GC127" s="14">
        <v>5.7142857142857143E-3</v>
      </c>
      <c r="GD127" s="13">
        <f t="shared" si="25"/>
        <v>1.2500000000000001E-2</v>
      </c>
      <c r="GE127" s="13">
        <f t="shared" si="25"/>
        <v>1.2500000000000001E-2</v>
      </c>
      <c r="GF127" s="14">
        <v>4.6511627906976744E-3</v>
      </c>
      <c r="GG127" s="14">
        <v>4.6511627906976744E-3</v>
      </c>
      <c r="GH127" s="15">
        <v>4.6511627906976744E-3</v>
      </c>
    </row>
    <row r="128" spans="1:190" x14ac:dyDescent="0.3">
      <c r="A128" s="35" t="s">
        <v>18</v>
      </c>
      <c r="B128" s="16">
        <f>BN128*DZ128*B110*2</f>
        <v>184582.21141304349</v>
      </c>
      <c r="C128" s="14">
        <f t="shared" ref="C128:BJ128" si="27">BO128*EA128*C110*2</f>
        <v>184582.21141304349</v>
      </c>
      <c r="D128" s="14">
        <f t="shared" si="27"/>
        <v>184582.21141304349</v>
      </c>
      <c r="E128" s="14">
        <f t="shared" si="27"/>
        <v>184582.21141304349</v>
      </c>
      <c r="F128" s="14">
        <f t="shared" si="27"/>
        <v>184582.21141304349</v>
      </c>
      <c r="G128" s="14">
        <f t="shared" si="27"/>
        <v>184582.21141304349</v>
      </c>
      <c r="H128" s="14">
        <f t="shared" si="27"/>
        <v>184582.21141304349</v>
      </c>
      <c r="I128" s="14">
        <f t="shared" si="27"/>
        <v>184582.21141304349</v>
      </c>
      <c r="J128" s="14">
        <f t="shared" si="27"/>
        <v>3118.1114130434785</v>
      </c>
      <c r="K128" s="14">
        <f t="shared" si="27"/>
        <v>3118.1114130434785</v>
      </c>
      <c r="L128" s="14">
        <f t="shared" si="27"/>
        <v>3118.1114130434785</v>
      </c>
      <c r="M128" s="14">
        <f t="shared" si="27"/>
        <v>3118.1114130434785</v>
      </c>
      <c r="N128" s="14">
        <f t="shared" si="27"/>
        <v>3657.7809782608697</v>
      </c>
      <c r="O128" s="14">
        <f t="shared" si="27"/>
        <v>5206.3700707785647</v>
      </c>
      <c r="P128" s="14">
        <f t="shared" si="27"/>
        <v>5206.3700707785647</v>
      </c>
      <c r="Q128" s="13">
        <f t="shared" si="27"/>
        <v>93298.08605072464</v>
      </c>
      <c r="R128" s="13">
        <f t="shared" si="27"/>
        <v>93298.08605072464</v>
      </c>
      <c r="S128" s="12">
        <f t="shared" si="27"/>
        <v>0</v>
      </c>
      <c r="T128" s="13">
        <f t="shared" si="27"/>
        <v>12602.17391304348</v>
      </c>
      <c r="U128" s="13">
        <f t="shared" si="27"/>
        <v>12602.17391304348</v>
      </c>
      <c r="V128" s="13">
        <f t="shared" si="27"/>
        <v>105541.75</v>
      </c>
      <c r="W128" s="13">
        <f t="shared" si="27"/>
        <v>105541.75</v>
      </c>
      <c r="X128" s="13">
        <f t="shared" si="27"/>
        <v>105541.75</v>
      </c>
      <c r="Y128" s="13">
        <f t="shared" si="27"/>
        <v>105541.75</v>
      </c>
      <c r="Z128" s="13">
        <f t="shared" si="27"/>
        <v>3425.1040760869564</v>
      </c>
      <c r="AA128" s="13">
        <f t="shared" si="27"/>
        <v>3425.1040760869564</v>
      </c>
      <c r="AB128" s="13">
        <f t="shared" si="27"/>
        <v>3417.5983695652171</v>
      </c>
      <c r="AC128" s="13">
        <f t="shared" si="27"/>
        <v>3417.5983695652171</v>
      </c>
      <c r="AD128" s="13">
        <f t="shared" si="27"/>
        <v>3550.1991847826089</v>
      </c>
      <c r="AE128" s="13">
        <f t="shared" si="27"/>
        <v>3550.1991847826089</v>
      </c>
      <c r="AF128" s="13">
        <f t="shared" si="27"/>
        <v>6880.2309782608691</v>
      </c>
      <c r="AG128" s="13">
        <f t="shared" si="27"/>
        <v>7015.3336956521744</v>
      </c>
      <c r="AH128" s="14">
        <f t="shared" si="27"/>
        <v>1012.1981366459627</v>
      </c>
      <c r="AI128" s="14">
        <f t="shared" si="27"/>
        <v>1012.1981366459627</v>
      </c>
      <c r="AJ128" s="14">
        <f t="shared" si="27"/>
        <v>1012.1981366459627</v>
      </c>
      <c r="AK128" s="14">
        <f t="shared" si="27"/>
        <v>1012.1981366459627</v>
      </c>
      <c r="AL128" s="14">
        <f t="shared" si="27"/>
        <v>45612.846708074539</v>
      </c>
      <c r="AM128" s="14">
        <f t="shared" si="27"/>
        <v>45612.846708074539</v>
      </c>
      <c r="AN128" s="14">
        <f t="shared" si="27"/>
        <v>45612.846708074539</v>
      </c>
      <c r="AO128" s="14">
        <f t="shared" si="27"/>
        <v>843.81614906832306</v>
      </c>
      <c r="AP128" s="14">
        <f t="shared" si="27"/>
        <v>843.81614906832306</v>
      </c>
      <c r="AQ128" s="14">
        <f t="shared" si="27"/>
        <v>843.81614906832306</v>
      </c>
      <c r="AR128" s="14">
        <f t="shared" si="27"/>
        <v>1083.4904347826086</v>
      </c>
      <c r="AS128" s="14">
        <f t="shared" si="27"/>
        <v>1083.4904347826086</v>
      </c>
      <c r="AT128" s="14">
        <f t="shared" si="27"/>
        <v>1083.4904347826086</v>
      </c>
      <c r="AU128" s="14">
        <f t="shared" si="27"/>
        <v>11420.32298136646</v>
      </c>
      <c r="AV128" s="14">
        <f t="shared" si="27"/>
        <v>4212.3529411764703</v>
      </c>
      <c r="AW128" s="14">
        <f t="shared" si="27"/>
        <v>4091.9999999999995</v>
      </c>
      <c r="AX128" s="14">
        <f t="shared" si="27"/>
        <v>4091.9999999999995</v>
      </c>
      <c r="AY128" s="14">
        <f t="shared" si="27"/>
        <v>2782.1152173913047</v>
      </c>
      <c r="AZ128" s="14">
        <f t="shared" si="27"/>
        <v>3353.4586956521744</v>
      </c>
      <c r="BA128" s="14">
        <f t="shared" si="27"/>
        <v>3561.5649689440993</v>
      </c>
      <c r="BB128" s="13">
        <f t="shared" si="27"/>
        <v>6720.1092391304346</v>
      </c>
      <c r="BC128" s="14">
        <f t="shared" si="27"/>
        <v>26686.621118012423</v>
      </c>
      <c r="BD128" s="14">
        <f t="shared" si="27"/>
        <v>26686.621118012423</v>
      </c>
      <c r="BE128" s="14">
        <f t="shared" si="27"/>
        <v>26686.621118012423</v>
      </c>
      <c r="BF128" s="13">
        <f t="shared" si="27"/>
        <v>7495.6989130434786</v>
      </c>
      <c r="BG128" s="13">
        <f t="shared" si="27"/>
        <v>6930.26902173913</v>
      </c>
      <c r="BH128" s="14">
        <f t="shared" si="27"/>
        <v>2833.7824064711831</v>
      </c>
      <c r="BI128" s="14">
        <f t="shared" si="27"/>
        <v>2643.870576339737</v>
      </c>
      <c r="BJ128" s="15">
        <f t="shared" si="27"/>
        <v>2833.7824064711831</v>
      </c>
      <c r="BM128" s="35" t="s">
        <v>18</v>
      </c>
      <c r="BN128" s="16">
        <v>1328</v>
      </c>
      <c r="BO128" s="14">
        <v>1328</v>
      </c>
      <c r="BP128" s="14">
        <v>1328</v>
      </c>
      <c r="BQ128" s="14">
        <v>1328</v>
      </c>
      <c r="BR128" s="14">
        <v>1328</v>
      </c>
      <c r="BS128" s="14">
        <v>1328</v>
      </c>
      <c r="BT128" s="14">
        <v>1328</v>
      </c>
      <c r="BU128" s="14">
        <v>1328</v>
      </c>
      <c r="BV128" s="14">
        <v>1346</v>
      </c>
      <c r="BW128" s="14">
        <v>1346</v>
      </c>
      <c r="BX128" s="14">
        <v>1346</v>
      </c>
      <c r="BY128" s="14">
        <v>1346</v>
      </c>
      <c r="BZ128" s="14">
        <v>1462</v>
      </c>
      <c r="CA128" s="14">
        <v>1510</v>
      </c>
      <c r="CB128" s="14">
        <v>1510</v>
      </c>
      <c r="CC128" s="13">
        <v>1373</v>
      </c>
      <c r="CD128" s="13">
        <v>1373</v>
      </c>
      <c r="CE128" s="12"/>
      <c r="CF128" s="13">
        <v>1360</v>
      </c>
      <c r="CG128" s="13">
        <v>1360</v>
      </c>
      <c r="CH128" s="13">
        <v>1340</v>
      </c>
      <c r="CI128" s="13">
        <v>1340</v>
      </c>
      <c r="CJ128" s="13">
        <v>1340</v>
      </c>
      <c r="CK128" s="13">
        <v>1340</v>
      </c>
      <c r="CL128" s="13">
        <v>1369</v>
      </c>
      <c r="CM128" s="13">
        <v>1369</v>
      </c>
      <c r="CN128" s="13">
        <v>1366</v>
      </c>
      <c r="CO128" s="13">
        <v>1366</v>
      </c>
      <c r="CP128" s="13">
        <v>1419</v>
      </c>
      <c r="CQ128" s="13">
        <v>1419</v>
      </c>
      <c r="CR128" s="13">
        <v>1375</v>
      </c>
      <c r="CS128" s="13">
        <v>1402</v>
      </c>
      <c r="CT128" s="14">
        <v>1770</v>
      </c>
      <c r="CU128" s="14">
        <v>1770</v>
      </c>
      <c r="CV128" s="14">
        <v>1770</v>
      </c>
      <c r="CW128" s="14">
        <v>1770</v>
      </c>
      <c r="CX128" s="14">
        <v>1346</v>
      </c>
      <c r="CY128" s="14">
        <v>1346</v>
      </c>
      <c r="CZ128" s="14">
        <v>1346</v>
      </c>
      <c r="DA128" s="14">
        <v>1328</v>
      </c>
      <c r="DB128" s="14">
        <v>1328</v>
      </c>
      <c r="DC128" s="14">
        <v>1328</v>
      </c>
      <c r="DD128" s="14">
        <v>1421</v>
      </c>
      <c r="DE128" s="14">
        <v>1421</v>
      </c>
      <c r="DF128" s="14">
        <v>1421</v>
      </c>
      <c r="DG128" s="14">
        <v>1348</v>
      </c>
      <c r="DH128" s="14">
        <v>1449</v>
      </c>
      <c r="DI128" s="14">
        <v>1449</v>
      </c>
      <c r="DJ128" s="14">
        <v>1449</v>
      </c>
      <c r="DK128" s="14">
        <v>1529</v>
      </c>
      <c r="DL128" s="14">
        <v>1843</v>
      </c>
      <c r="DM128" s="14">
        <v>1557</v>
      </c>
      <c r="DN128" s="13">
        <v>1343</v>
      </c>
      <c r="DO128" s="14">
        <v>1350</v>
      </c>
      <c r="DP128" s="14">
        <v>1350</v>
      </c>
      <c r="DQ128" s="14">
        <v>1350</v>
      </c>
      <c r="DR128" s="13">
        <v>1498</v>
      </c>
      <c r="DS128" s="13">
        <v>1385</v>
      </c>
      <c r="DT128" s="14">
        <v>1522</v>
      </c>
      <c r="DU128" s="14">
        <v>1420</v>
      </c>
      <c r="DV128" s="15">
        <v>1522</v>
      </c>
      <c r="DY128" s="35" t="s">
        <v>18</v>
      </c>
      <c r="DZ128" s="16">
        <v>6.2500000000000003E-3</v>
      </c>
      <c r="EA128" s="14">
        <v>6.2500000000000003E-3</v>
      </c>
      <c r="EB128" s="14">
        <v>6.2500000000000003E-3</v>
      </c>
      <c r="EC128" s="14">
        <v>6.2500000000000003E-3</v>
      </c>
      <c r="ED128" s="14">
        <v>6.2500000000000003E-3</v>
      </c>
      <c r="EE128" s="14">
        <v>6.2500000000000003E-3</v>
      </c>
      <c r="EF128" s="14">
        <v>6.2500000000000003E-3</v>
      </c>
      <c r="EG128" s="14">
        <v>6.2500000000000003E-3</v>
      </c>
      <c r="EH128" s="14">
        <v>6.2500000000000003E-3</v>
      </c>
      <c r="EI128" s="14">
        <v>6.2500000000000003E-3</v>
      </c>
      <c r="EJ128" s="14">
        <v>6.2500000000000003E-3</v>
      </c>
      <c r="EK128" s="14">
        <v>6.2500000000000003E-3</v>
      </c>
      <c r="EL128" s="14">
        <v>6.2500000000000003E-3</v>
      </c>
      <c r="EM128" s="14">
        <v>4.6511627906976744E-3</v>
      </c>
      <c r="EN128" s="14">
        <v>4.6511627906976744E-3</v>
      </c>
      <c r="EO128" s="13">
        <f t="shared" ref="EO128:FC142" si="28">0.2/16</f>
        <v>1.2500000000000001E-2</v>
      </c>
      <c r="EP128" s="13">
        <f t="shared" si="28"/>
        <v>1.2500000000000001E-2</v>
      </c>
      <c r="EQ128" s="12">
        <v>0.6</v>
      </c>
      <c r="ER128" s="13">
        <f t="shared" si="23"/>
        <v>1.2500000000000001E-2</v>
      </c>
      <c r="ES128" s="13">
        <f t="shared" si="23"/>
        <v>1.2500000000000001E-2</v>
      </c>
      <c r="ET128" s="13">
        <f t="shared" si="23"/>
        <v>1.2500000000000001E-2</v>
      </c>
      <c r="EU128" s="13">
        <f t="shared" si="23"/>
        <v>1.2500000000000001E-2</v>
      </c>
      <c r="EV128" s="13">
        <f t="shared" si="23"/>
        <v>1.2500000000000001E-2</v>
      </c>
      <c r="EW128" s="13">
        <f t="shared" si="23"/>
        <v>1.2500000000000001E-2</v>
      </c>
      <c r="EX128" s="13">
        <f t="shared" si="23"/>
        <v>1.2500000000000001E-2</v>
      </c>
      <c r="EY128" s="13">
        <f t="shared" si="23"/>
        <v>1.2500000000000001E-2</v>
      </c>
      <c r="EZ128" s="13">
        <f t="shared" si="23"/>
        <v>1.2500000000000001E-2</v>
      </c>
      <c r="FA128" s="13">
        <f t="shared" si="23"/>
        <v>1.2500000000000001E-2</v>
      </c>
      <c r="FB128" s="13">
        <f t="shared" si="23"/>
        <v>1.2500000000000001E-2</v>
      </c>
      <c r="FC128" s="13">
        <f t="shared" si="23"/>
        <v>1.2500000000000001E-2</v>
      </c>
      <c r="FD128" s="13">
        <f t="shared" si="23"/>
        <v>1.2500000000000001E-2</v>
      </c>
      <c r="FE128" s="13">
        <f t="shared" si="23"/>
        <v>1.2500000000000001E-2</v>
      </c>
      <c r="FF128" s="14">
        <v>5.7142857142857143E-3</v>
      </c>
      <c r="FG128" s="14">
        <v>5.7142857142857143E-3</v>
      </c>
      <c r="FH128" s="14">
        <v>5.7142857142857143E-3</v>
      </c>
      <c r="FI128" s="14">
        <v>5.7142857142857143E-3</v>
      </c>
      <c r="FJ128" s="14">
        <v>5.7142857142857143E-3</v>
      </c>
      <c r="FK128" s="14">
        <v>5.7142857142857143E-3</v>
      </c>
      <c r="FL128" s="14">
        <v>5.7142857142857143E-3</v>
      </c>
      <c r="FM128" s="14">
        <v>4.7619047619047623E-3</v>
      </c>
      <c r="FN128" s="14">
        <v>4.7619047619047623E-3</v>
      </c>
      <c r="FO128" s="14">
        <v>4.7619047619047623E-3</v>
      </c>
      <c r="FP128" s="14">
        <v>5.7142857142857143E-3</v>
      </c>
      <c r="FQ128" s="14">
        <v>5.7142857142857143E-3</v>
      </c>
      <c r="FR128" s="14">
        <v>5.7142857142857143E-3</v>
      </c>
      <c r="FS128" s="14">
        <v>5.7142857142857143E-3</v>
      </c>
      <c r="FT128" s="14">
        <v>5.8823529411764705E-3</v>
      </c>
      <c r="FU128" s="14">
        <v>5.7142857142857143E-3</v>
      </c>
      <c r="FV128" s="14">
        <v>5.7142857142857143E-3</v>
      </c>
      <c r="FW128" s="14">
        <v>4.5454545454545461E-3</v>
      </c>
      <c r="FX128" s="14">
        <v>4.5454545454545461E-3</v>
      </c>
      <c r="FY128" s="14">
        <v>5.7142857142857143E-3</v>
      </c>
      <c r="FZ128" s="13">
        <f t="shared" si="24"/>
        <v>1.2500000000000001E-2</v>
      </c>
      <c r="GA128" s="14">
        <v>5.7142857142857143E-3</v>
      </c>
      <c r="GB128" s="14">
        <v>5.7142857142857143E-3</v>
      </c>
      <c r="GC128" s="14">
        <v>5.7142857142857143E-3</v>
      </c>
      <c r="GD128" s="13">
        <f t="shared" si="25"/>
        <v>1.2500000000000001E-2</v>
      </c>
      <c r="GE128" s="13">
        <f t="shared" si="25"/>
        <v>1.2500000000000001E-2</v>
      </c>
      <c r="GF128" s="14">
        <v>4.6511627906976744E-3</v>
      </c>
      <c r="GG128" s="14">
        <v>4.6511627906976744E-3</v>
      </c>
      <c r="GH128" s="15">
        <v>4.6511627906976744E-3</v>
      </c>
    </row>
    <row r="129" spans="1:190" x14ac:dyDescent="0.3">
      <c r="A129" s="35" t="s">
        <v>19</v>
      </c>
      <c r="B129" s="16">
        <f>BN129*DZ129*B110*2</f>
        <v>182636.31460597826</v>
      </c>
      <c r="C129" s="14">
        <f t="shared" ref="C129:BJ129" si="29">BO129*EA129*C110*2</f>
        <v>182636.31460597826</v>
      </c>
      <c r="D129" s="14">
        <f t="shared" si="29"/>
        <v>182636.31460597826</v>
      </c>
      <c r="E129" s="14">
        <f t="shared" si="29"/>
        <v>182636.31460597826</v>
      </c>
      <c r="F129" s="14">
        <f t="shared" si="29"/>
        <v>182636.31460597826</v>
      </c>
      <c r="G129" s="14">
        <f t="shared" si="29"/>
        <v>182636.31460597826</v>
      </c>
      <c r="H129" s="14">
        <f t="shared" si="29"/>
        <v>182636.31460597826</v>
      </c>
      <c r="I129" s="14">
        <f t="shared" si="29"/>
        <v>182636.31460597826</v>
      </c>
      <c r="J129" s="14">
        <f t="shared" si="29"/>
        <v>3087.995923913044</v>
      </c>
      <c r="K129" s="14">
        <f t="shared" si="29"/>
        <v>3087.995923913044</v>
      </c>
      <c r="L129" s="14">
        <f t="shared" si="29"/>
        <v>3087.995923913044</v>
      </c>
      <c r="M129" s="14">
        <f t="shared" si="29"/>
        <v>3087.995923913044</v>
      </c>
      <c r="N129" s="14">
        <f t="shared" si="29"/>
        <v>3622.7543478260873</v>
      </c>
      <c r="O129" s="14">
        <f t="shared" si="29"/>
        <v>5158.0990899898889</v>
      </c>
      <c r="P129" s="14">
        <f t="shared" si="29"/>
        <v>5158.0990899898889</v>
      </c>
      <c r="Q129" s="13">
        <f t="shared" si="29"/>
        <v>92414.710144927536</v>
      </c>
      <c r="R129" s="13">
        <f t="shared" si="29"/>
        <v>92414.710144927536</v>
      </c>
      <c r="S129" s="13">
        <f t="shared" si="29"/>
        <v>92414.710144927536</v>
      </c>
      <c r="T129" s="12">
        <f t="shared" si="29"/>
        <v>0</v>
      </c>
      <c r="U129" s="13">
        <f t="shared" si="29"/>
        <v>12472.445652173914</v>
      </c>
      <c r="V129" s="13">
        <f t="shared" si="29"/>
        <v>104439.075</v>
      </c>
      <c r="W129" s="13">
        <f t="shared" si="29"/>
        <v>104439.075</v>
      </c>
      <c r="X129" s="13">
        <f t="shared" si="29"/>
        <v>104439.075</v>
      </c>
      <c r="Y129" s="13">
        <f t="shared" si="29"/>
        <v>104439.075</v>
      </c>
      <c r="Z129" s="13">
        <f t="shared" si="29"/>
        <v>3390.077445652174</v>
      </c>
      <c r="AA129" s="13">
        <f t="shared" si="29"/>
        <v>3390.077445652174</v>
      </c>
      <c r="AB129" s="13">
        <f t="shared" si="29"/>
        <v>3382.5717391304352</v>
      </c>
      <c r="AC129" s="13">
        <f t="shared" si="29"/>
        <v>3382.5717391304352</v>
      </c>
      <c r="AD129" s="13">
        <f t="shared" si="29"/>
        <v>3515.172554347826</v>
      </c>
      <c r="AE129" s="13">
        <f t="shared" si="29"/>
        <v>3515.172554347826</v>
      </c>
      <c r="AF129" s="13">
        <f t="shared" si="29"/>
        <v>6810.1777173913042</v>
      </c>
      <c r="AG129" s="13">
        <f t="shared" si="29"/>
        <v>6945.2804347826086</v>
      </c>
      <c r="AH129" s="14">
        <f t="shared" si="29"/>
        <v>1004.1920496894409</v>
      </c>
      <c r="AI129" s="14">
        <f t="shared" si="29"/>
        <v>1004.1920496894409</v>
      </c>
      <c r="AJ129" s="14">
        <f t="shared" si="29"/>
        <v>1004.1920496894409</v>
      </c>
      <c r="AK129" s="14">
        <f t="shared" si="29"/>
        <v>1004.1920496894409</v>
      </c>
      <c r="AL129" s="14">
        <f t="shared" si="29"/>
        <v>45138.418881987578</v>
      </c>
      <c r="AM129" s="14">
        <f t="shared" si="29"/>
        <v>45138.418881987578</v>
      </c>
      <c r="AN129" s="14">
        <f t="shared" si="29"/>
        <v>45138.418881987578</v>
      </c>
      <c r="AO129" s="14">
        <f t="shared" si="29"/>
        <v>834.92049689441012</v>
      </c>
      <c r="AP129" s="14">
        <f t="shared" si="29"/>
        <v>834.92049689441012</v>
      </c>
      <c r="AQ129" s="14">
        <f t="shared" si="29"/>
        <v>834.92049689441012</v>
      </c>
      <c r="AR129" s="14">
        <f t="shared" si="29"/>
        <v>1072.8156521739129</v>
      </c>
      <c r="AS129" s="14">
        <f t="shared" si="29"/>
        <v>1072.8156521739129</v>
      </c>
      <c r="AT129" s="14">
        <f t="shared" si="29"/>
        <v>1072.8156521739129</v>
      </c>
      <c r="AU129" s="14">
        <f t="shared" si="29"/>
        <v>11301.714285714286</v>
      </c>
      <c r="AV129" s="14">
        <f t="shared" si="29"/>
        <v>4171.6538789428814</v>
      </c>
      <c r="AW129" s="14">
        <f t="shared" si="29"/>
        <v>4052.4637681159415</v>
      </c>
      <c r="AX129" s="14">
        <f t="shared" si="29"/>
        <v>4052.4637681159415</v>
      </c>
      <c r="AY129" s="14">
        <f t="shared" si="29"/>
        <v>2756.6413043478265</v>
      </c>
      <c r="AZ129" s="14">
        <f t="shared" si="29"/>
        <v>3329.8043478260875</v>
      </c>
      <c r="BA129" s="14">
        <f t="shared" si="29"/>
        <v>3529.540621118012</v>
      </c>
      <c r="BB129" s="13">
        <f t="shared" si="29"/>
        <v>6650.0559782608698</v>
      </c>
      <c r="BC129" s="14">
        <f t="shared" si="29"/>
        <v>26409.870973084886</v>
      </c>
      <c r="BD129" s="14">
        <f t="shared" si="29"/>
        <v>26409.870973084886</v>
      </c>
      <c r="BE129" s="14">
        <f t="shared" si="29"/>
        <v>26409.870973084886</v>
      </c>
      <c r="BF129" s="13">
        <f t="shared" si="29"/>
        <v>7430.649456521739</v>
      </c>
      <c r="BG129" s="13">
        <f t="shared" si="29"/>
        <v>6865.2195652173923</v>
      </c>
      <c r="BH129" s="14">
        <f t="shared" si="29"/>
        <v>2807.7160768452982</v>
      </c>
      <c r="BI129" s="14">
        <f t="shared" si="29"/>
        <v>2617.8042467138521</v>
      </c>
      <c r="BJ129" s="15">
        <f t="shared" si="29"/>
        <v>2807.7160768452982</v>
      </c>
      <c r="BM129" s="35" t="s">
        <v>19</v>
      </c>
      <c r="BN129" s="16">
        <v>1314</v>
      </c>
      <c r="BO129" s="14">
        <v>1314</v>
      </c>
      <c r="BP129" s="14">
        <v>1314</v>
      </c>
      <c r="BQ129" s="14">
        <v>1314</v>
      </c>
      <c r="BR129" s="14">
        <v>1314</v>
      </c>
      <c r="BS129" s="14">
        <v>1314</v>
      </c>
      <c r="BT129" s="14">
        <v>1314</v>
      </c>
      <c r="BU129" s="14">
        <v>1314</v>
      </c>
      <c r="BV129" s="14">
        <v>1333</v>
      </c>
      <c r="BW129" s="14">
        <v>1333</v>
      </c>
      <c r="BX129" s="14">
        <v>1333</v>
      </c>
      <c r="BY129" s="14">
        <v>1333</v>
      </c>
      <c r="BZ129" s="14">
        <v>1448</v>
      </c>
      <c r="CA129" s="14">
        <v>1496</v>
      </c>
      <c r="CB129" s="14">
        <v>1496</v>
      </c>
      <c r="CC129" s="13">
        <v>1360</v>
      </c>
      <c r="CD129" s="13">
        <v>1360</v>
      </c>
      <c r="CE129" s="13">
        <v>1360</v>
      </c>
      <c r="CF129" s="12"/>
      <c r="CG129" s="13">
        <v>1346</v>
      </c>
      <c r="CH129" s="13">
        <v>1326</v>
      </c>
      <c r="CI129" s="13">
        <v>1326</v>
      </c>
      <c r="CJ129" s="13">
        <v>1326</v>
      </c>
      <c r="CK129" s="13">
        <v>1326</v>
      </c>
      <c r="CL129" s="13">
        <v>1355</v>
      </c>
      <c r="CM129" s="13">
        <v>1355</v>
      </c>
      <c r="CN129" s="13">
        <v>1352</v>
      </c>
      <c r="CO129" s="13">
        <v>1352</v>
      </c>
      <c r="CP129" s="13">
        <v>1405</v>
      </c>
      <c r="CQ129" s="13">
        <v>1405</v>
      </c>
      <c r="CR129" s="13">
        <v>1361</v>
      </c>
      <c r="CS129" s="13">
        <v>1388</v>
      </c>
      <c r="CT129" s="14">
        <v>1756</v>
      </c>
      <c r="CU129" s="14">
        <v>1756</v>
      </c>
      <c r="CV129" s="14">
        <v>1756</v>
      </c>
      <c r="CW129" s="14">
        <v>1756</v>
      </c>
      <c r="CX129" s="14">
        <v>1332</v>
      </c>
      <c r="CY129" s="14">
        <v>1332</v>
      </c>
      <c r="CZ129" s="14">
        <v>1332</v>
      </c>
      <c r="DA129" s="14">
        <v>1314</v>
      </c>
      <c r="DB129" s="14">
        <v>1314</v>
      </c>
      <c r="DC129" s="14">
        <v>1314</v>
      </c>
      <c r="DD129" s="14">
        <v>1407</v>
      </c>
      <c r="DE129" s="14">
        <v>1407</v>
      </c>
      <c r="DF129" s="14">
        <v>1407</v>
      </c>
      <c r="DG129" s="14">
        <v>1334</v>
      </c>
      <c r="DH129" s="14">
        <v>1435</v>
      </c>
      <c r="DI129" s="14">
        <v>1435</v>
      </c>
      <c r="DJ129" s="14">
        <v>1435</v>
      </c>
      <c r="DK129" s="14">
        <v>1515</v>
      </c>
      <c r="DL129" s="14">
        <v>1830</v>
      </c>
      <c r="DM129" s="14">
        <v>1543</v>
      </c>
      <c r="DN129" s="13">
        <v>1329</v>
      </c>
      <c r="DO129" s="14">
        <v>1336</v>
      </c>
      <c r="DP129" s="14">
        <v>1336</v>
      </c>
      <c r="DQ129" s="14">
        <v>1336</v>
      </c>
      <c r="DR129" s="13">
        <v>1485</v>
      </c>
      <c r="DS129" s="13">
        <v>1372</v>
      </c>
      <c r="DT129" s="14">
        <v>1508</v>
      </c>
      <c r="DU129" s="14">
        <v>1406</v>
      </c>
      <c r="DV129" s="15">
        <v>1508</v>
      </c>
      <c r="DY129" s="35" t="s">
        <v>19</v>
      </c>
      <c r="DZ129" s="16">
        <v>6.2500000000000003E-3</v>
      </c>
      <c r="EA129" s="14">
        <v>6.2500000000000003E-3</v>
      </c>
      <c r="EB129" s="14">
        <v>6.2500000000000003E-3</v>
      </c>
      <c r="EC129" s="14">
        <v>6.2500000000000003E-3</v>
      </c>
      <c r="ED129" s="14">
        <v>6.2500000000000003E-3</v>
      </c>
      <c r="EE129" s="14">
        <v>6.2500000000000003E-3</v>
      </c>
      <c r="EF129" s="14">
        <v>6.2500000000000003E-3</v>
      </c>
      <c r="EG129" s="14">
        <v>6.2500000000000003E-3</v>
      </c>
      <c r="EH129" s="14">
        <v>6.2500000000000003E-3</v>
      </c>
      <c r="EI129" s="14">
        <v>6.2500000000000003E-3</v>
      </c>
      <c r="EJ129" s="14">
        <v>6.2500000000000003E-3</v>
      </c>
      <c r="EK129" s="14">
        <v>6.2500000000000003E-3</v>
      </c>
      <c r="EL129" s="14">
        <v>6.2500000000000003E-3</v>
      </c>
      <c r="EM129" s="14">
        <v>4.6511627906976744E-3</v>
      </c>
      <c r="EN129" s="14">
        <v>4.6511627906976744E-3</v>
      </c>
      <c r="EO129" s="13">
        <f t="shared" si="28"/>
        <v>1.2500000000000001E-2</v>
      </c>
      <c r="EP129" s="13">
        <f t="shared" si="28"/>
        <v>1.2500000000000001E-2</v>
      </c>
      <c r="EQ129" s="13">
        <f t="shared" si="28"/>
        <v>1.2500000000000001E-2</v>
      </c>
      <c r="ER129" s="12">
        <v>0.6</v>
      </c>
      <c r="ES129" s="13">
        <f t="shared" si="23"/>
        <v>1.2500000000000001E-2</v>
      </c>
      <c r="ET129" s="13">
        <f t="shared" si="23"/>
        <v>1.2500000000000001E-2</v>
      </c>
      <c r="EU129" s="13">
        <f t="shared" si="23"/>
        <v>1.2500000000000001E-2</v>
      </c>
      <c r="EV129" s="13">
        <f t="shared" si="23"/>
        <v>1.2500000000000001E-2</v>
      </c>
      <c r="EW129" s="13">
        <f t="shared" si="23"/>
        <v>1.2500000000000001E-2</v>
      </c>
      <c r="EX129" s="13">
        <f t="shared" si="23"/>
        <v>1.2500000000000001E-2</v>
      </c>
      <c r="EY129" s="13">
        <f t="shared" si="23"/>
        <v>1.2500000000000001E-2</v>
      </c>
      <c r="EZ129" s="13">
        <f t="shared" si="23"/>
        <v>1.2500000000000001E-2</v>
      </c>
      <c r="FA129" s="13">
        <f t="shared" si="23"/>
        <v>1.2500000000000001E-2</v>
      </c>
      <c r="FB129" s="13">
        <f t="shared" si="23"/>
        <v>1.2500000000000001E-2</v>
      </c>
      <c r="FC129" s="13">
        <f t="shared" si="23"/>
        <v>1.2500000000000001E-2</v>
      </c>
      <c r="FD129" s="13">
        <f t="shared" si="23"/>
        <v>1.2500000000000001E-2</v>
      </c>
      <c r="FE129" s="13">
        <f t="shared" si="23"/>
        <v>1.2500000000000001E-2</v>
      </c>
      <c r="FF129" s="14">
        <v>5.7142857142857143E-3</v>
      </c>
      <c r="FG129" s="14">
        <v>5.7142857142857143E-3</v>
      </c>
      <c r="FH129" s="14">
        <v>5.7142857142857143E-3</v>
      </c>
      <c r="FI129" s="14">
        <v>5.7142857142857143E-3</v>
      </c>
      <c r="FJ129" s="14">
        <v>5.7142857142857143E-3</v>
      </c>
      <c r="FK129" s="14">
        <v>5.7142857142857143E-3</v>
      </c>
      <c r="FL129" s="14">
        <v>5.7142857142857143E-3</v>
      </c>
      <c r="FM129" s="14">
        <v>4.7619047619047623E-3</v>
      </c>
      <c r="FN129" s="14">
        <v>4.7619047619047623E-3</v>
      </c>
      <c r="FO129" s="14">
        <v>4.7619047619047623E-3</v>
      </c>
      <c r="FP129" s="14">
        <v>5.7142857142857143E-3</v>
      </c>
      <c r="FQ129" s="14">
        <v>5.7142857142857143E-3</v>
      </c>
      <c r="FR129" s="14">
        <v>5.7142857142857143E-3</v>
      </c>
      <c r="FS129" s="14">
        <v>5.7142857142857143E-3</v>
      </c>
      <c r="FT129" s="14">
        <v>5.8823529411764705E-3</v>
      </c>
      <c r="FU129" s="14">
        <v>5.7142857142857143E-3</v>
      </c>
      <c r="FV129" s="14">
        <v>5.7142857142857143E-3</v>
      </c>
      <c r="FW129" s="14">
        <v>4.5454545454545461E-3</v>
      </c>
      <c r="FX129" s="14">
        <v>4.5454545454545461E-3</v>
      </c>
      <c r="FY129" s="14">
        <v>5.7142857142857143E-3</v>
      </c>
      <c r="FZ129" s="13">
        <f t="shared" si="24"/>
        <v>1.2500000000000001E-2</v>
      </c>
      <c r="GA129" s="14">
        <v>5.7142857142857143E-3</v>
      </c>
      <c r="GB129" s="14">
        <v>5.7142857142857143E-3</v>
      </c>
      <c r="GC129" s="14">
        <v>5.7142857142857143E-3</v>
      </c>
      <c r="GD129" s="13">
        <f t="shared" si="25"/>
        <v>1.2500000000000001E-2</v>
      </c>
      <c r="GE129" s="13">
        <f t="shared" si="25"/>
        <v>1.2500000000000001E-2</v>
      </c>
      <c r="GF129" s="14">
        <v>4.6511627906976744E-3</v>
      </c>
      <c r="GG129" s="14">
        <v>4.6511627906976744E-3</v>
      </c>
      <c r="GH129" s="15">
        <v>4.6511627906976744E-3</v>
      </c>
    </row>
    <row r="130" spans="1:190" x14ac:dyDescent="0.3">
      <c r="A130" s="35" t="s">
        <v>20</v>
      </c>
      <c r="B130" s="16">
        <f>BN130*DZ130*B110*2</f>
        <v>182636.31460597826</v>
      </c>
      <c r="C130" s="14">
        <f t="shared" ref="C130:BJ130" si="30">BO130*EA130*C110*2</f>
        <v>182636.31460597826</v>
      </c>
      <c r="D130" s="14">
        <f t="shared" si="30"/>
        <v>182636.31460597826</v>
      </c>
      <c r="E130" s="14">
        <f t="shared" si="30"/>
        <v>182636.31460597826</v>
      </c>
      <c r="F130" s="14">
        <f t="shared" si="30"/>
        <v>182636.31460597826</v>
      </c>
      <c r="G130" s="14">
        <f t="shared" si="30"/>
        <v>182636.31460597826</v>
      </c>
      <c r="H130" s="14">
        <f t="shared" si="30"/>
        <v>182636.31460597826</v>
      </c>
      <c r="I130" s="14">
        <f t="shared" si="30"/>
        <v>182636.31460597826</v>
      </c>
      <c r="J130" s="14">
        <f t="shared" si="30"/>
        <v>3087.995923913044</v>
      </c>
      <c r="K130" s="14">
        <f t="shared" si="30"/>
        <v>3087.995923913044</v>
      </c>
      <c r="L130" s="14">
        <f t="shared" si="30"/>
        <v>3087.995923913044</v>
      </c>
      <c r="M130" s="14">
        <f t="shared" si="30"/>
        <v>3087.995923913044</v>
      </c>
      <c r="N130" s="14">
        <f t="shared" si="30"/>
        <v>3622.7543478260873</v>
      </c>
      <c r="O130" s="14">
        <f t="shared" si="30"/>
        <v>5158.0990899898889</v>
      </c>
      <c r="P130" s="14">
        <f t="shared" si="30"/>
        <v>5158.0990899898889</v>
      </c>
      <c r="Q130" s="13">
        <f t="shared" si="30"/>
        <v>92414.710144927536</v>
      </c>
      <c r="R130" s="13">
        <f t="shared" si="30"/>
        <v>92414.710144927536</v>
      </c>
      <c r="S130" s="13">
        <f t="shared" si="30"/>
        <v>92414.710144927536</v>
      </c>
      <c r="T130" s="13">
        <f t="shared" si="30"/>
        <v>12472.445652173914</v>
      </c>
      <c r="U130" s="12">
        <f t="shared" si="30"/>
        <v>0</v>
      </c>
      <c r="V130" s="13">
        <f t="shared" si="30"/>
        <v>104439.075</v>
      </c>
      <c r="W130" s="13">
        <f t="shared" si="30"/>
        <v>104439.075</v>
      </c>
      <c r="X130" s="13">
        <f t="shared" si="30"/>
        <v>104439.075</v>
      </c>
      <c r="Y130" s="13">
        <f t="shared" si="30"/>
        <v>104439.075</v>
      </c>
      <c r="Z130" s="13">
        <f t="shared" si="30"/>
        <v>3390.077445652174</v>
      </c>
      <c r="AA130" s="13">
        <f t="shared" si="30"/>
        <v>3390.077445652174</v>
      </c>
      <c r="AB130" s="13">
        <f t="shared" si="30"/>
        <v>3382.5717391304352</v>
      </c>
      <c r="AC130" s="13">
        <f t="shared" si="30"/>
        <v>3382.5717391304352</v>
      </c>
      <c r="AD130" s="13">
        <f t="shared" si="30"/>
        <v>3515.172554347826</v>
      </c>
      <c r="AE130" s="13">
        <f t="shared" si="30"/>
        <v>3515.172554347826</v>
      </c>
      <c r="AF130" s="13">
        <f t="shared" si="30"/>
        <v>6810.1777173913042</v>
      </c>
      <c r="AG130" s="13">
        <f t="shared" si="30"/>
        <v>6945.2804347826086</v>
      </c>
      <c r="AH130" s="14">
        <f t="shared" si="30"/>
        <v>1004.1920496894409</v>
      </c>
      <c r="AI130" s="14">
        <f t="shared" si="30"/>
        <v>1004.1920496894409</v>
      </c>
      <c r="AJ130" s="14">
        <f t="shared" si="30"/>
        <v>1004.1920496894409</v>
      </c>
      <c r="AK130" s="14">
        <f t="shared" si="30"/>
        <v>1004.1920496894409</v>
      </c>
      <c r="AL130" s="14">
        <f t="shared" si="30"/>
        <v>45138.418881987578</v>
      </c>
      <c r="AM130" s="14">
        <f t="shared" si="30"/>
        <v>45138.418881987578</v>
      </c>
      <c r="AN130" s="14">
        <f t="shared" si="30"/>
        <v>45138.418881987578</v>
      </c>
      <c r="AO130" s="14">
        <f t="shared" si="30"/>
        <v>834.92049689441012</v>
      </c>
      <c r="AP130" s="14">
        <f t="shared" si="30"/>
        <v>834.92049689441012</v>
      </c>
      <c r="AQ130" s="14">
        <f t="shared" si="30"/>
        <v>834.92049689441012</v>
      </c>
      <c r="AR130" s="14">
        <f t="shared" si="30"/>
        <v>1072.8156521739129</v>
      </c>
      <c r="AS130" s="14">
        <f t="shared" si="30"/>
        <v>1072.8156521739129</v>
      </c>
      <c r="AT130" s="14">
        <f t="shared" si="30"/>
        <v>1072.8156521739129</v>
      </c>
      <c r="AU130" s="14">
        <f t="shared" si="30"/>
        <v>11301.714285714286</v>
      </c>
      <c r="AV130" s="14">
        <f t="shared" si="30"/>
        <v>4171.6538789428814</v>
      </c>
      <c r="AW130" s="14">
        <f t="shared" si="30"/>
        <v>4052.4637681159415</v>
      </c>
      <c r="AX130" s="14">
        <f t="shared" si="30"/>
        <v>4052.4637681159415</v>
      </c>
      <c r="AY130" s="14">
        <f t="shared" si="30"/>
        <v>2756.6413043478265</v>
      </c>
      <c r="AZ130" s="14">
        <f t="shared" si="30"/>
        <v>3329.8043478260875</v>
      </c>
      <c r="BA130" s="14">
        <f t="shared" si="30"/>
        <v>3529.540621118012</v>
      </c>
      <c r="BB130" s="13">
        <f t="shared" si="30"/>
        <v>6650.0559782608698</v>
      </c>
      <c r="BC130" s="14">
        <f t="shared" si="30"/>
        <v>26409.870973084886</v>
      </c>
      <c r="BD130" s="14">
        <f t="shared" si="30"/>
        <v>26409.870973084886</v>
      </c>
      <c r="BE130" s="14">
        <f t="shared" si="30"/>
        <v>26409.870973084886</v>
      </c>
      <c r="BF130" s="13">
        <f t="shared" si="30"/>
        <v>7430.649456521739</v>
      </c>
      <c r="BG130" s="13">
        <f t="shared" si="30"/>
        <v>6865.2195652173923</v>
      </c>
      <c r="BH130" s="14">
        <f t="shared" si="30"/>
        <v>2807.7160768452982</v>
      </c>
      <c r="BI130" s="14">
        <f t="shared" si="30"/>
        <v>2617.8042467138521</v>
      </c>
      <c r="BJ130" s="15">
        <f t="shared" si="30"/>
        <v>2807.7160768452982</v>
      </c>
      <c r="BM130" s="35" t="s">
        <v>20</v>
      </c>
      <c r="BN130" s="16">
        <v>1314</v>
      </c>
      <c r="BO130" s="14">
        <v>1314</v>
      </c>
      <c r="BP130" s="14">
        <v>1314</v>
      </c>
      <c r="BQ130" s="14">
        <v>1314</v>
      </c>
      <c r="BR130" s="14">
        <v>1314</v>
      </c>
      <c r="BS130" s="14">
        <v>1314</v>
      </c>
      <c r="BT130" s="14">
        <v>1314</v>
      </c>
      <c r="BU130" s="14">
        <v>1314</v>
      </c>
      <c r="BV130" s="14">
        <v>1333</v>
      </c>
      <c r="BW130" s="14">
        <v>1333</v>
      </c>
      <c r="BX130" s="14">
        <v>1333</v>
      </c>
      <c r="BY130" s="14">
        <v>1333</v>
      </c>
      <c r="BZ130" s="14">
        <v>1448</v>
      </c>
      <c r="CA130" s="14">
        <v>1496</v>
      </c>
      <c r="CB130" s="14">
        <v>1496</v>
      </c>
      <c r="CC130" s="13">
        <v>1360</v>
      </c>
      <c r="CD130" s="13">
        <v>1360</v>
      </c>
      <c r="CE130" s="13">
        <v>1360</v>
      </c>
      <c r="CF130" s="13">
        <v>1346</v>
      </c>
      <c r="CG130" s="12"/>
      <c r="CH130" s="13">
        <v>1326</v>
      </c>
      <c r="CI130" s="13">
        <v>1326</v>
      </c>
      <c r="CJ130" s="13">
        <v>1326</v>
      </c>
      <c r="CK130" s="13">
        <v>1326</v>
      </c>
      <c r="CL130" s="13">
        <v>1355</v>
      </c>
      <c r="CM130" s="13">
        <v>1355</v>
      </c>
      <c r="CN130" s="13">
        <v>1352</v>
      </c>
      <c r="CO130" s="13">
        <v>1352</v>
      </c>
      <c r="CP130" s="13">
        <v>1405</v>
      </c>
      <c r="CQ130" s="13">
        <v>1405</v>
      </c>
      <c r="CR130" s="13">
        <v>1361</v>
      </c>
      <c r="CS130" s="13">
        <v>1388</v>
      </c>
      <c r="CT130" s="14">
        <v>1756</v>
      </c>
      <c r="CU130" s="14">
        <v>1756</v>
      </c>
      <c r="CV130" s="14">
        <v>1756</v>
      </c>
      <c r="CW130" s="14">
        <v>1756</v>
      </c>
      <c r="CX130" s="14">
        <v>1332</v>
      </c>
      <c r="CY130" s="14">
        <v>1332</v>
      </c>
      <c r="CZ130" s="14">
        <v>1332</v>
      </c>
      <c r="DA130" s="14">
        <v>1314</v>
      </c>
      <c r="DB130" s="14">
        <v>1314</v>
      </c>
      <c r="DC130" s="14">
        <v>1314</v>
      </c>
      <c r="DD130" s="14">
        <v>1407</v>
      </c>
      <c r="DE130" s="14">
        <v>1407</v>
      </c>
      <c r="DF130" s="14">
        <v>1407</v>
      </c>
      <c r="DG130" s="14">
        <v>1334</v>
      </c>
      <c r="DH130" s="14">
        <v>1435</v>
      </c>
      <c r="DI130" s="14">
        <v>1435</v>
      </c>
      <c r="DJ130" s="14">
        <v>1435</v>
      </c>
      <c r="DK130" s="14">
        <v>1515</v>
      </c>
      <c r="DL130" s="14">
        <v>1830</v>
      </c>
      <c r="DM130" s="14">
        <v>1543</v>
      </c>
      <c r="DN130" s="13">
        <v>1329</v>
      </c>
      <c r="DO130" s="14">
        <v>1336</v>
      </c>
      <c r="DP130" s="14">
        <v>1336</v>
      </c>
      <c r="DQ130" s="14">
        <v>1336</v>
      </c>
      <c r="DR130" s="13">
        <v>1485</v>
      </c>
      <c r="DS130" s="13">
        <v>1372</v>
      </c>
      <c r="DT130" s="14">
        <v>1508</v>
      </c>
      <c r="DU130" s="14">
        <v>1406</v>
      </c>
      <c r="DV130" s="15">
        <v>1508</v>
      </c>
      <c r="DY130" s="35" t="s">
        <v>20</v>
      </c>
      <c r="DZ130" s="16">
        <v>6.2500000000000003E-3</v>
      </c>
      <c r="EA130" s="14">
        <v>6.2500000000000003E-3</v>
      </c>
      <c r="EB130" s="14">
        <v>6.2500000000000003E-3</v>
      </c>
      <c r="EC130" s="14">
        <v>6.2500000000000003E-3</v>
      </c>
      <c r="ED130" s="14">
        <v>6.2500000000000003E-3</v>
      </c>
      <c r="EE130" s="14">
        <v>6.2500000000000003E-3</v>
      </c>
      <c r="EF130" s="14">
        <v>6.2500000000000003E-3</v>
      </c>
      <c r="EG130" s="14">
        <v>6.2500000000000003E-3</v>
      </c>
      <c r="EH130" s="14">
        <v>6.2500000000000003E-3</v>
      </c>
      <c r="EI130" s="14">
        <v>6.2500000000000003E-3</v>
      </c>
      <c r="EJ130" s="14">
        <v>6.2500000000000003E-3</v>
      </c>
      <c r="EK130" s="14">
        <v>6.2500000000000003E-3</v>
      </c>
      <c r="EL130" s="14">
        <v>6.2500000000000003E-3</v>
      </c>
      <c r="EM130" s="14">
        <v>4.6511627906976744E-3</v>
      </c>
      <c r="EN130" s="14">
        <v>4.6511627906976744E-3</v>
      </c>
      <c r="EO130" s="13">
        <f t="shared" si="28"/>
        <v>1.2500000000000001E-2</v>
      </c>
      <c r="EP130" s="13">
        <f t="shared" si="28"/>
        <v>1.2500000000000001E-2</v>
      </c>
      <c r="EQ130" s="13">
        <f t="shared" si="28"/>
        <v>1.2500000000000001E-2</v>
      </c>
      <c r="ER130" s="13">
        <f t="shared" si="28"/>
        <v>1.2500000000000001E-2</v>
      </c>
      <c r="ES130" s="12">
        <v>0.6</v>
      </c>
      <c r="ET130" s="13">
        <f t="shared" si="23"/>
        <v>1.2500000000000001E-2</v>
      </c>
      <c r="EU130" s="13">
        <f t="shared" si="23"/>
        <v>1.2500000000000001E-2</v>
      </c>
      <c r="EV130" s="13">
        <f t="shared" si="23"/>
        <v>1.2500000000000001E-2</v>
      </c>
      <c r="EW130" s="13">
        <f t="shared" si="23"/>
        <v>1.2500000000000001E-2</v>
      </c>
      <c r="EX130" s="13">
        <f t="shared" si="23"/>
        <v>1.2500000000000001E-2</v>
      </c>
      <c r="EY130" s="13">
        <f t="shared" si="23"/>
        <v>1.2500000000000001E-2</v>
      </c>
      <c r="EZ130" s="13">
        <f t="shared" si="23"/>
        <v>1.2500000000000001E-2</v>
      </c>
      <c r="FA130" s="13">
        <f t="shared" si="23"/>
        <v>1.2500000000000001E-2</v>
      </c>
      <c r="FB130" s="13">
        <f t="shared" si="23"/>
        <v>1.2500000000000001E-2</v>
      </c>
      <c r="FC130" s="13">
        <f t="shared" si="23"/>
        <v>1.2500000000000001E-2</v>
      </c>
      <c r="FD130" s="13">
        <f t="shared" si="23"/>
        <v>1.2500000000000001E-2</v>
      </c>
      <c r="FE130" s="13">
        <f t="shared" si="23"/>
        <v>1.2500000000000001E-2</v>
      </c>
      <c r="FF130" s="14">
        <v>5.7142857142857143E-3</v>
      </c>
      <c r="FG130" s="14">
        <v>5.7142857142857143E-3</v>
      </c>
      <c r="FH130" s="14">
        <v>5.7142857142857143E-3</v>
      </c>
      <c r="FI130" s="14">
        <v>5.7142857142857143E-3</v>
      </c>
      <c r="FJ130" s="14">
        <v>5.7142857142857143E-3</v>
      </c>
      <c r="FK130" s="14">
        <v>5.7142857142857143E-3</v>
      </c>
      <c r="FL130" s="14">
        <v>5.7142857142857143E-3</v>
      </c>
      <c r="FM130" s="14">
        <v>4.7619047619047623E-3</v>
      </c>
      <c r="FN130" s="14">
        <v>4.7619047619047623E-3</v>
      </c>
      <c r="FO130" s="14">
        <v>4.7619047619047623E-3</v>
      </c>
      <c r="FP130" s="14">
        <v>5.7142857142857143E-3</v>
      </c>
      <c r="FQ130" s="14">
        <v>5.7142857142857143E-3</v>
      </c>
      <c r="FR130" s="14">
        <v>5.7142857142857143E-3</v>
      </c>
      <c r="FS130" s="14">
        <v>5.7142857142857143E-3</v>
      </c>
      <c r="FT130" s="14">
        <v>5.8823529411764705E-3</v>
      </c>
      <c r="FU130" s="14">
        <v>5.7142857142857143E-3</v>
      </c>
      <c r="FV130" s="14">
        <v>5.7142857142857143E-3</v>
      </c>
      <c r="FW130" s="14">
        <v>4.5454545454545461E-3</v>
      </c>
      <c r="FX130" s="14">
        <v>4.5454545454545461E-3</v>
      </c>
      <c r="FY130" s="14">
        <v>5.7142857142857143E-3</v>
      </c>
      <c r="FZ130" s="13">
        <f t="shared" si="24"/>
        <v>1.2500000000000001E-2</v>
      </c>
      <c r="GA130" s="14">
        <v>5.7142857142857143E-3</v>
      </c>
      <c r="GB130" s="14">
        <v>5.7142857142857143E-3</v>
      </c>
      <c r="GC130" s="14">
        <v>5.7142857142857143E-3</v>
      </c>
      <c r="GD130" s="13">
        <f t="shared" si="25"/>
        <v>1.2500000000000001E-2</v>
      </c>
      <c r="GE130" s="13">
        <f t="shared" si="25"/>
        <v>1.2500000000000001E-2</v>
      </c>
      <c r="GF130" s="14">
        <v>4.6511627906976744E-3</v>
      </c>
      <c r="GG130" s="14">
        <v>4.6511627906976744E-3</v>
      </c>
      <c r="GH130" s="15">
        <v>4.6511627906976744E-3</v>
      </c>
    </row>
    <row r="131" spans="1:190" x14ac:dyDescent="0.3">
      <c r="A131" s="35" t="s">
        <v>21</v>
      </c>
      <c r="B131" s="16">
        <f>BN131*DZ131*B110*2</f>
        <v>179995.45465353259</v>
      </c>
      <c r="C131" s="14">
        <f t="shared" ref="C131:BJ131" si="31">BO131*EA131*C110*2</f>
        <v>179995.45465353259</v>
      </c>
      <c r="D131" s="14">
        <f t="shared" si="31"/>
        <v>179995.45465353259</v>
      </c>
      <c r="E131" s="14">
        <f t="shared" si="31"/>
        <v>179995.45465353259</v>
      </c>
      <c r="F131" s="14">
        <f t="shared" si="31"/>
        <v>179995.45465353259</v>
      </c>
      <c r="G131" s="14">
        <f t="shared" si="31"/>
        <v>179995.45465353259</v>
      </c>
      <c r="H131" s="14">
        <f t="shared" si="31"/>
        <v>179995.45465353259</v>
      </c>
      <c r="I131" s="14">
        <f t="shared" si="31"/>
        <v>179995.45465353259</v>
      </c>
      <c r="J131" s="14">
        <f t="shared" si="31"/>
        <v>3041.6644021739135</v>
      </c>
      <c r="K131" s="14">
        <f t="shared" si="31"/>
        <v>3041.6644021739135</v>
      </c>
      <c r="L131" s="14">
        <f t="shared" si="31"/>
        <v>3041.6644021739135</v>
      </c>
      <c r="M131" s="14">
        <f t="shared" si="31"/>
        <v>3041.6644021739135</v>
      </c>
      <c r="N131" s="14">
        <f t="shared" si="31"/>
        <v>3572.7163043478263</v>
      </c>
      <c r="O131" s="14">
        <f t="shared" si="31"/>
        <v>5089.1405460060669</v>
      </c>
      <c r="P131" s="14">
        <f t="shared" si="31"/>
        <v>5089.1405460060669</v>
      </c>
      <c r="Q131" s="13">
        <f t="shared" si="31"/>
        <v>91055.670289855072</v>
      </c>
      <c r="R131" s="13">
        <f t="shared" si="31"/>
        <v>91055.670289855072</v>
      </c>
      <c r="S131" s="13">
        <f t="shared" si="31"/>
        <v>91055.670289855072</v>
      </c>
      <c r="T131" s="13">
        <f t="shared" si="31"/>
        <v>12287.119565217392</v>
      </c>
      <c r="U131" s="13">
        <f t="shared" si="31"/>
        <v>12287.119565217392</v>
      </c>
      <c r="V131" s="12">
        <f t="shared" si="31"/>
        <v>0</v>
      </c>
      <c r="W131" s="13">
        <f t="shared" si="31"/>
        <v>102863.825</v>
      </c>
      <c r="X131" s="13">
        <f t="shared" si="31"/>
        <v>102863.825</v>
      </c>
      <c r="Y131" s="13">
        <f t="shared" si="31"/>
        <v>102863.825</v>
      </c>
      <c r="Z131" s="13">
        <f t="shared" si="31"/>
        <v>3340.039402173913</v>
      </c>
      <c r="AA131" s="13">
        <f t="shared" si="31"/>
        <v>3340.039402173913</v>
      </c>
      <c r="AB131" s="13">
        <f t="shared" si="31"/>
        <v>3332.5336956521742</v>
      </c>
      <c r="AC131" s="13">
        <f t="shared" si="31"/>
        <v>3332.5336956521742</v>
      </c>
      <c r="AD131" s="13">
        <f t="shared" si="31"/>
        <v>3465.134510869565</v>
      </c>
      <c r="AE131" s="13">
        <f t="shared" si="31"/>
        <v>3465.134510869565</v>
      </c>
      <c r="AF131" s="13">
        <f t="shared" si="31"/>
        <v>6715.1054347826093</v>
      </c>
      <c r="AG131" s="13">
        <f t="shared" si="31"/>
        <v>6850.2081521739128</v>
      </c>
      <c r="AH131" s="14">
        <f t="shared" si="31"/>
        <v>993.32664596273287</v>
      </c>
      <c r="AI131" s="14">
        <f t="shared" si="31"/>
        <v>993.32664596273287</v>
      </c>
      <c r="AJ131" s="14">
        <f t="shared" si="31"/>
        <v>993.32664596273287</v>
      </c>
      <c r="AK131" s="14">
        <f t="shared" si="31"/>
        <v>993.32664596273287</v>
      </c>
      <c r="AL131" s="14">
        <f t="shared" si="31"/>
        <v>44460.664844720501</v>
      </c>
      <c r="AM131" s="14">
        <f t="shared" si="31"/>
        <v>44460.664844720501</v>
      </c>
      <c r="AN131" s="14">
        <f t="shared" si="31"/>
        <v>44460.664844720501</v>
      </c>
      <c r="AO131" s="14">
        <f t="shared" si="31"/>
        <v>822.21242236024852</v>
      </c>
      <c r="AP131" s="14">
        <f t="shared" si="31"/>
        <v>822.21242236024852</v>
      </c>
      <c r="AQ131" s="14">
        <f t="shared" si="31"/>
        <v>822.21242236024852</v>
      </c>
      <c r="AR131" s="14">
        <f t="shared" si="31"/>
        <v>1058.3284472049691</v>
      </c>
      <c r="AS131" s="14">
        <f t="shared" si="31"/>
        <v>1058.3284472049691</v>
      </c>
      <c r="AT131" s="14">
        <f t="shared" si="31"/>
        <v>1058.3284472049691</v>
      </c>
      <c r="AU131" s="14">
        <f t="shared" si="31"/>
        <v>11132.273291925467</v>
      </c>
      <c r="AV131" s="14">
        <f t="shared" si="31"/>
        <v>4116.4194373401533</v>
      </c>
      <c r="AW131" s="14">
        <f t="shared" si="31"/>
        <v>3998.8074534161487</v>
      </c>
      <c r="AX131" s="14">
        <f t="shared" si="31"/>
        <v>3998.8074534161487</v>
      </c>
      <c r="AY131" s="14">
        <f t="shared" si="31"/>
        <v>2722.0695652173913</v>
      </c>
      <c r="AZ131" s="14">
        <f t="shared" si="31"/>
        <v>3293.413043478261</v>
      </c>
      <c r="BA131" s="14">
        <f t="shared" si="31"/>
        <v>3486.0790062111796</v>
      </c>
      <c r="BB131" s="13">
        <f t="shared" si="31"/>
        <v>6549.9798913043478</v>
      </c>
      <c r="BC131" s="14">
        <f t="shared" si="31"/>
        <v>26034.281490683232</v>
      </c>
      <c r="BD131" s="14">
        <f t="shared" si="31"/>
        <v>26034.281490683232</v>
      </c>
      <c r="BE131" s="14">
        <f t="shared" si="31"/>
        <v>26034.281490683232</v>
      </c>
      <c r="BF131" s="13">
        <f t="shared" si="31"/>
        <v>7330.573369565217</v>
      </c>
      <c r="BG131" s="13">
        <f t="shared" si="31"/>
        <v>6765.1434782608703</v>
      </c>
      <c r="BH131" s="14">
        <f t="shared" si="31"/>
        <v>2772.3403437815978</v>
      </c>
      <c r="BI131" s="14">
        <f t="shared" si="31"/>
        <v>2582.4285136501517</v>
      </c>
      <c r="BJ131" s="15">
        <f t="shared" si="31"/>
        <v>2772.3403437815978</v>
      </c>
      <c r="BM131" s="35" t="s">
        <v>21</v>
      </c>
      <c r="BN131" s="16">
        <v>1295</v>
      </c>
      <c r="BO131" s="14">
        <v>1295</v>
      </c>
      <c r="BP131" s="14">
        <v>1295</v>
      </c>
      <c r="BQ131" s="14">
        <v>1295</v>
      </c>
      <c r="BR131" s="14">
        <v>1295</v>
      </c>
      <c r="BS131" s="14">
        <v>1295</v>
      </c>
      <c r="BT131" s="14">
        <v>1295</v>
      </c>
      <c r="BU131" s="14">
        <v>1295</v>
      </c>
      <c r="BV131" s="14">
        <v>1313</v>
      </c>
      <c r="BW131" s="14">
        <v>1313</v>
      </c>
      <c r="BX131" s="14">
        <v>1313</v>
      </c>
      <c r="BY131" s="14">
        <v>1313</v>
      </c>
      <c r="BZ131" s="14">
        <v>1428</v>
      </c>
      <c r="CA131" s="14">
        <v>1476</v>
      </c>
      <c r="CB131" s="14">
        <v>1476</v>
      </c>
      <c r="CC131" s="13">
        <v>1340</v>
      </c>
      <c r="CD131" s="13">
        <v>1340</v>
      </c>
      <c r="CE131" s="13">
        <v>1340</v>
      </c>
      <c r="CF131" s="13">
        <v>1326</v>
      </c>
      <c r="CG131" s="13">
        <v>1326</v>
      </c>
      <c r="CH131" s="12"/>
      <c r="CI131" s="13">
        <v>1306</v>
      </c>
      <c r="CJ131" s="13">
        <v>1306</v>
      </c>
      <c r="CK131" s="13">
        <v>1306</v>
      </c>
      <c r="CL131" s="13">
        <v>1335</v>
      </c>
      <c r="CM131" s="13">
        <v>1335</v>
      </c>
      <c r="CN131" s="13">
        <v>1332</v>
      </c>
      <c r="CO131" s="13">
        <v>1332</v>
      </c>
      <c r="CP131" s="13">
        <v>1385</v>
      </c>
      <c r="CQ131" s="13">
        <v>1385</v>
      </c>
      <c r="CR131" s="13">
        <v>1342</v>
      </c>
      <c r="CS131" s="13">
        <v>1369</v>
      </c>
      <c r="CT131" s="14">
        <v>1737</v>
      </c>
      <c r="CU131" s="14">
        <v>1737</v>
      </c>
      <c r="CV131" s="14">
        <v>1737</v>
      </c>
      <c r="CW131" s="14">
        <v>1737</v>
      </c>
      <c r="CX131" s="14">
        <v>1312</v>
      </c>
      <c r="CY131" s="14">
        <v>1312</v>
      </c>
      <c r="CZ131" s="14">
        <v>1312</v>
      </c>
      <c r="DA131" s="14">
        <v>1294</v>
      </c>
      <c r="DB131" s="14">
        <v>1294</v>
      </c>
      <c r="DC131" s="14">
        <v>1294</v>
      </c>
      <c r="DD131" s="14">
        <v>1388</v>
      </c>
      <c r="DE131" s="14">
        <v>1388</v>
      </c>
      <c r="DF131" s="14">
        <v>1388</v>
      </c>
      <c r="DG131" s="14">
        <v>1314</v>
      </c>
      <c r="DH131" s="14">
        <v>1416</v>
      </c>
      <c r="DI131" s="14">
        <v>1416</v>
      </c>
      <c r="DJ131" s="14">
        <v>1416</v>
      </c>
      <c r="DK131" s="14">
        <v>1496</v>
      </c>
      <c r="DL131" s="14">
        <v>1810</v>
      </c>
      <c r="DM131" s="14">
        <v>1524</v>
      </c>
      <c r="DN131" s="13">
        <v>1309</v>
      </c>
      <c r="DO131" s="14">
        <v>1317</v>
      </c>
      <c r="DP131" s="14">
        <v>1317</v>
      </c>
      <c r="DQ131" s="14">
        <v>1317</v>
      </c>
      <c r="DR131" s="13">
        <v>1465</v>
      </c>
      <c r="DS131" s="13">
        <v>1352</v>
      </c>
      <c r="DT131" s="14">
        <v>1489</v>
      </c>
      <c r="DU131" s="14">
        <v>1387</v>
      </c>
      <c r="DV131" s="15">
        <v>1489</v>
      </c>
      <c r="DY131" s="35" t="s">
        <v>21</v>
      </c>
      <c r="DZ131" s="16">
        <v>6.2500000000000003E-3</v>
      </c>
      <c r="EA131" s="14">
        <v>6.2500000000000003E-3</v>
      </c>
      <c r="EB131" s="14">
        <v>6.2500000000000003E-3</v>
      </c>
      <c r="EC131" s="14">
        <v>6.2500000000000003E-3</v>
      </c>
      <c r="ED131" s="14">
        <v>6.2500000000000003E-3</v>
      </c>
      <c r="EE131" s="14">
        <v>6.2500000000000003E-3</v>
      </c>
      <c r="EF131" s="14">
        <v>6.2500000000000003E-3</v>
      </c>
      <c r="EG131" s="14">
        <v>6.2500000000000003E-3</v>
      </c>
      <c r="EH131" s="14">
        <v>6.2500000000000003E-3</v>
      </c>
      <c r="EI131" s="14">
        <v>6.2500000000000003E-3</v>
      </c>
      <c r="EJ131" s="14">
        <v>6.2500000000000003E-3</v>
      </c>
      <c r="EK131" s="14">
        <v>6.2500000000000003E-3</v>
      </c>
      <c r="EL131" s="14">
        <v>6.2500000000000003E-3</v>
      </c>
      <c r="EM131" s="14">
        <v>4.6511627906976744E-3</v>
      </c>
      <c r="EN131" s="14">
        <v>4.6511627906976744E-3</v>
      </c>
      <c r="EO131" s="13">
        <f t="shared" si="28"/>
        <v>1.2500000000000001E-2</v>
      </c>
      <c r="EP131" s="13">
        <f t="shared" si="28"/>
        <v>1.2500000000000001E-2</v>
      </c>
      <c r="EQ131" s="13">
        <f t="shared" si="28"/>
        <v>1.2500000000000001E-2</v>
      </c>
      <c r="ER131" s="13">
        <f t="shared" si="28"/>
        <v>1.2500000000000001E-2</v>
      </c>
      <c r="ES131" s="13">
        <f t="shared" si="28"/>
        <v>1.2500000000000001E-2</v>
      </c>
      <c r="ET131" s="12">
        <v>0.6</v>
      </c>
      <c r="EU131" s="13">
        <f t="shared" si="23"/>
        <v>1.2500000000000001E-2</v>
      </c>
      <c r="EV131" s="13">
        <f t="shared" si="23"/>
        <v>1.2500000000000001E-2</v>
      </c>
      <c r="EW131" s="13">
        <f t="shared" si="23"/>
        <v>1.2500000000000001E-2</v>
      </c>
      <c r="EX131" s="13">
        <f t="shared" si="23"/>
        <v>1.2500000000000001E-2</v>
      </c>
      <c r="EY131" s="13">
        <f t="shared" si="23"/>
        <v>1.2500000000000001E-2</v>
      </c>
      <c r="EZ131" s="13">
        <f t="shared" si="23"/>
        <v>1.2500000000000001E-2</v>
      </c>
      <c r="FA131" s="13">
        <f t="shared" si="23"/>
        <v>1.2500000000000001E-2</v>
      </c>
      <c r="FB131" s="13">
        <f t="shared" si="23"/>
        <v>1.2500000000000001E-2</v>
      </c>
      <c r="FC131" s="13">
        <f t="shared" si="23"/>
        <v>1.2500000000000001E-2</v>
      </c>
      <c r="FD131" s="13">
        <f t="shared" si="23"/>
        <v>1.2500000000000001E-2</v>
      </c>
      <c r="FE131" s="13">
        <f t="shared" si="23"/>
        <v>1.2500000000000001E-2</v>
      </c>
      <c r="FF131" s="14">
        <v>5.7142857142857143E-3</v>
      </c>
      <c r="FG131" s="14">
        <v>5.7142857142857143E-3</v>
      </c>
      <c r="FH131" s="14">
        <v>5.7142857142857143E-3</v>
      </c>
      <c r="FI131" s="14">
        <v>5.7142857142857143E-3</v>
      </c>
      <c r="FJ131" s="14">
        <v>5.7142857142857143E-3</v>
      </c>
      <c r="FK131" s="14">
        <v>5.7142857142857143E-3</v>
      </c>
      <c r="FL131" s="14">
        <v>5.7142857142857143E-3</v>
      </c>
      <c r="FM131" s="14">
        <v>4.7619047619047623E-3</v>
      </c>
      <c r="FN131" s="14">
        <v>4.7619047619047623E-3</v>
      </c>
      <c r="FO131" s="14">
        <v>4.7619047619047623E-3</v>
      </c>
      <c r="FP131" s="14">
        <v>5.7142857142857143E-3</v>
      </c>
      <c r="FQ131" s="14">
        <v>5.7142857142857143E-3</v>
      </c>
      <c r="FR131" s="14">
        <v>5.7142857142857143E-3</v>
      </c>
      <c r="FS131" s="14">
        <v>5.7142857142857143E-3</v>
      </c>
      <c r="FT131" s="14">
        <v>5.8823529411764705E-3</v>
      </c>
      <c r="FU131" s="14">
        <v>5.7142857142857143E-3</v>
      </c>
      <c r="FV131" s="14">
        <v>5.7142857142857143E-3</v>
      </c>
      <c r="FW131" s="14">
        <v>4.5454545454545461E-3</v>
      </c>
      <c r="FX131" s="14">
        <v>4.5454545454545461E-3</v>
      </c>
      <c r="FY131" s="14">
        <v>5.7142857142857143E-3</v>
      </c>
      <c r="FZ131" s="13">
        <f t="shared" si="24"/>
        <v>1.2500000000000001E-2</v>
      </c>
      <c r="GA131" s="14">
        <v>5.7142857142857143E-3</v>
      </c>
      <c r="GB131" s="14">
        <v>5.7142857142857143E-3</v>
      </c>
      <c r="GC131" s="14">
        <v>5.7142857142857143E-3</v>
      </c>
      <c r="GD131" s="13">
        <f t="shared" si="25"/>
        <v>1.2500000000000001E-2</v>
      </c>
      <c r="GE131" s="13">
        <f t="shared" si="25"/>
        <v>1.2500000000000001E-2</v>
      </c>
      <c r="GF131" s="14">
        <v>4.6511627906976744E-3</v>
      </c>
      <c r="GG131" s="14">
        <v>4.6511627906976744E-3</v>
      </c>
      <c r="GH131" s="15">
        <v>4.6511627906976744E-3</v>
      </c>
    </row>
    <row r="132" spans="1:190" x14ac:dyDescent="0.3">
      <c r="A132" s="35" t="s">
        <v>22</v>
      </c>
      <c r="B132" s="16">
        <f>BN132*DZ132*B110*2</f>
        <v>179995.45465353259</v>
      </c>
      <c r="C132" s="14">
        <f t="shared" ref="C132:BJ132" si="32">BO132*EA132*C110*2</f>
        <v>179995.45465353259</v>
      </c>
      <c r="D132" s="14">
        <f t="shared" si="32"/>
        <v>179995.45465353259</v>
      </c>
      <c r="E132" s="14">
        <f t="shared" si="32"/>
        <v>179995.45465353259</v>
      </c>
      <c r="F132" s="14">
        <f t="shared" si="32"/>
        <v>179995.45465353259</v>
      </c>
      <c r="G132" s="14">
        <f t="shared" si="32"/>
        <v>179995.45465353259</v>
      </c>
      <c r="H132" s="14">
        <f t="shared" si="32"/>
        <v>179995.45465353259</v>
      </c>
      <c r="I132" s="14">
        <f t="shared" si="32"/>
        <v>179995.45465353259</v>
      </c>
      <c r="J132" s="14">
        <f t="shared" si="32"/>
        <v>3041.6644021739135</v>
      </c>
      <c r="K132" s="14">
        <f t="shared" si="32"/>
        <v>3041.6644021739135</v>
      </c>
      <c r="L132" s="14">
        <f t="shared" si="32"/>
        <v>3041.6644021739135</v>
      </c>
      <c r="M132" s="14">
        <f t="shared" si="32"/>
        <v>3041.6644021739135</v>
      </c>
      <c r="N132" s="14">
        <f t="shared" si="32"/>
        <v>3572.7163043478263</v>
      </c>
      <c r="O132" s="14">
        <f t="shared" si="32"/>
        <v>5089.1405460060669</v>
      </c>
      <c r="P132" s="14">
        <f t="shared" si="32"/>
        <v>5089.1405460060669</v>
      </c>
      <c r="Q132" s="13">
        <f t="shared" si="32"/>
        <v>91055.670289855072</v>
      </c>
      <c r="R132" s="13">
        <f t="shared" si="32"/>
        <v>91055.670289855072</v>
      </c>
      <c r="S132" s="13">
        <f t="shared" si="32"/>
        <v>91055.670289855072</v>
      </c>
      <c r="T132" s="13">
        <f t="shared" si="32"/>
        <v>12287.119565217392</v>
      </c>
      <c r="U132" s="13">
        <f t="shared" si="32"/>
        <v>12287.119565217392</v>
      </c>
      <c r="V132" s="13">
        <f t="shared" si="32"/>
        <v>102863.825</v>
      </c>
      <c r="W132" s="12">
        <f t="shared" si="32"/>
        <v>0</v>
      </c>
      <c r="X132" s="13">
        <f t="shared" si="32"/>
        <v>102863.825</v>
      </c>
      <c r="Y132" s="13">
        <f t="shared" si="32"/>
        <v>102863.825</v>
      </c>
      <c r="Z132" s="13">
        <f t="shared" si="32"/>
        <v>3340.039402173913</v>
      </c>
      <c r="AA132" s="13">
        <f t="shared" si="32"/>
        <v>3340.039402173913</v>
      </c>
      <c r="AB132" s="13">
        <f t="shared" si="32"/>
        <v>3332.5336956521742</v>
      </c>
      <c r="AC132" s="13">
        <f t="shared" si="32"/>
        <v>3332.5336956521742</v>
      </c>
      <c r="AD132" s="13">
        <f t="shared" si="32"/>
        <v>3465.134510869565</v>
      </c>
      <c r="AE132" s="13">
        <f t="shared" si="32"/>
        <v>3465.134510869565</v>
      </c>
      <c r="AF132" s="13">
        <f t="shared" si="32"/>
        <v>6715.1054347826093</v>
      </c>
      <c r="AG132" s="13">
        <f t="shared" si="32"/>
        <v>6850.2081521739128</v>
      </c>
      <c r="AH132" s="14">
        <f t="shared" si="32"/>
        <v>993.32664596273287</v>
      </c>
      <c r="AI132" s="14">
        <f t="shared" si="32"/>
        <v>993.32664596273287</v>
      </c>
      <c r="AJ132" s="14">
        <f t="shared" si="32"/>
        <v>993.32664596273287</v>
      </c>
      <c r="AK132" s="14">
        <f t="shared" si="32"/>
        <v>993.32664596273287</v>
      </c>
      <c r="AL132" s="14">
        <f t="shared" si="32"/>
        <v>44460.664844720501</v>
      </c>
      <c r="AM132" s="14">
        <f t="shared" si="32"/>
        <v>44460.664844720501</v>
      </c>
      <c r="AN132" s="14">
        <f t="shared" si="32"/>
        <v>44460.664844720501</v>
      </c>
      <c r="AO132" s="14">
        <f t="shared" si="32"/>
        <v>822.21242236024852</v>
      </c>
      <c r="AP132" s="14">
        <f t="shared" si="32"/>
        <v>822.21242236024852</v>
      </c>
      <c r="AQ132" s="14">
        <f t="shared" si="32"/>
        <v>822.21242236024852</v>
      </c>
      <c r="AR132" s="14">
        <f t="shared" si="32"/>
        <v>1058.3284472049691</v>
      </c>
      <c r="AS132" s="14">
        <f t="shared" si="32"/>
        <v>1058.3284472049691</v>
      </c>
      <c r="AT132" s="14">
        <f t="shared" si="32"/>
        <v>1058.3284472049691</v>
      </c>
      <c r="AU132" s="14">
        <f t="shared" si="32"/>
        <v>11132.273291925467</v>
      </c>
      <c r="AV132" s="14">
        <f t="shared" si="32"/>
        <v>4116.4194373401533</v>
      </c>
      <c r="AW132" s="14">
        <f t="shared" si="32"/>
        <v>3998.8074534161487</v>
      </c>
      <c r="AX132" s="14">
        <f t="shared" si="32"/>
        <v>3998.8074534161487</v>
      </c>
      <c r="AY132" s="14">
        <f t="shared" si="32"/>
        <v>2722.0695652173913</v>
      </c>
      <c r="AZ132" s="14">
        <f t="shared" si="32"/>
        <v>3293.413043478261</v>
      </c>
      <c r="BA132" s="14">
        <f t="shared" si="32"/>
        <v>3486.0790062111796</v>
      </c>
      <c r="BB132" s="12">
        <f t="shared" si="32"/>
        <v>314399.03478260868</v>
      </c>
      <c r="BC132" s="14">
        <f t="shared" si="32"/>
        <v>26034.281490683232</v>
      </c>
      <c r="BD132" s="14">
        <f t="shared" si="32"/>
        <v>26034.281490683232</v>
      </c>
      <c r="BE132" s="14">
        <f t="shared" si="32"/>
        <v>26034.281490683232</v>
      </c>
      <c r="BF132" s="13">
        <f t="shared" si="32"/>
        <v>7330.573369565217</v>
      </c>
      <c r="BG132" s="13">
        <f t="shared" si="32"/>
        <v>6765.1434782608703</v>
      </c>
      <c r="BH132" s="14">
        <f t="shared" si="32"/>
        <v>2772.3403437815978</v>
      </c>
      <c r="BI132" s="14">
        <f t="shared" si="32"/>
        <v>2582.4285136501517</v>
      </c>
      <c r="BJ132" s="15">
        <f t="shared" si="32"/>
        <v>2772.3403437815978</v>
      </c>
      <c r="BM132" s="35" t="s">
        <v>22</v>
      </c>
      <c r="BN132" s="16">
        <v>1295</v>
      </c>
      <c r="BO132" s="14">
        <v>1295</v>
      </c>
      <c r="BP132" s="14">
        <v>1295</v>
      </c>
      <c r="BQ132" s="14">
        <v>1295</v>
      </c>
      <c r="BR132" s="14">
        <v>1295</v>
      </c>
      <c r="BS132" s="14">
        <v>1295</v>
      </c>
      <c r="BT132" s="14">
        <v>1295</v>
      </c>
      <c r="BU132" s="14">
        <v>1295</v>
      </c>
      <c r="BV132" s="14">
        <v>1313</v>
      </c>
      <c r="BW132" s="14">
        <v>1313</v>
      </c>
      <c r="BX132" s="14">
        <v>1313</v>
      </c>
      <c r="BY132" s="14">
        <v>1313</v>
      </c>
      <c r="BZ132" s="14">
        <v>1428</v>
      </c>
      <c r="CA132" s="14">
        <v>1476</v>
      </c>
      <c r="CB132" s="14">
        <v>1476</v>
      </c>
      <c r="CC132" s="13">
        <v>1340</v>
      </c>
      <c r="CD132" s="13">
        <v>1340</v>
      </c>
      <c r="CE132" s="13">
        <v>1340</v>
      </c>
      <c r="CF132" s="13">
        <v>1326</v>
      </c>
      <c r="CG132" s="13">
        <v>1326</v>
      </c>
      <c r="CH132" s="13">
        <v>1306</v>
      </c>
      <c r="CI132" s="12"/>
      <c r="CJ132" s="13">
        <v>1306</v>
      </c>
      <c r="CK132" s="13">
        <v>1306</v>
      </c>
      <c r="CL132" s="13">
        <v>1335</v>
      </c>
      <c r="CM132" s="13">
        <v>1335</v>
      </c>
      <c r="CN132" s="13">
        <v>1332</v>
      </c>
      <c r="CO132" s="13">
        <v>1332</v>
      </c>
      <c r="CP132" s="13">
        <v>1385</v>
      </c>
      <c r="CQ132" s="13">
        <v>1385</v>
      </c>
      <c r="CR132" s="13">
        <v>1342</v>
      </c>
      <c r="CS132" s="13">
        <v>1369</v>
      </c>
      <c r="CT132" s="14">
        <v>1737</v>
      </c>
      <c r="CU132" s="14">
        <v>1737</v>
      </c>
      <c r="CV132" s="14">
        <v>1737</v>
      </c>
      <c r="CW132" s="14">
        <v>1737</v>
      </c>
      <c r="CX132" s="14">
        <v>1312</v>
      </c>
      <c r="CY132" s="14">
        <v>1312</v>
      </c>
      <c r="CZ132" s="14">
        <v>1312</v>
      </c>
      <c r="DA132" s="14">
        <v>1294</v>
      </c>
      <c r="DB132" s="14">
        <v>1294</v>
      </c>
      <c r="DC132" s="14">
        <v>1294</v>
      </c>
      <c r="DD132" s="14">
        <v>1388</v>
      </c>
      <c r="DE132" s="14">
        <v>1388</v>
      </c>
      <c r="DF132" s="14">
        <v>1388</v>
      </c>
      <c r="DG132" s="14">
        <v>1314</v>
      </c>
      <c r="DH132" s="14">
        <v>1416</v>
      </c>
      <c r="DI132" s="14">
        <v>1416</v>
      </c>
      <c r="DJ132" s="14">
        <v>1416</v>
      </c>
      <c r="DK132" s="14">
        <v>1496</v>
      </c>
      <c r="DL132" s="14">
        <v>1810</v>
      </c>
      <c r="DM132" s="14">
        <v>1524</v>
      </c>
      <c r="DN132" s="12">
        <v>1309</v>
      </c>
      <c r="DO132" s="14">
        <v>1317</v>
      </c>
      <c r="DP132" s="14">
        <v>1317</v>
      </c>
      <c r="DQ132" s="14">
        <v>1317</v>
      </c>
      <c r="DR132" s="13">
        <v>1465</v>
      </c>
      <c r="DS132" s="13">
        <v>1352</v>
      </c>
      <c r="DT132" s="14">
        <v>1489</v>
      </c>
      <c r="DU132" s="14">
        <v>1387</v>
      </c>
      <c r="DV132" s="15">
        <v>1489</v>
      </c>
      <c r="DY132" s="35" t="s">
        <v>22</v>
      </c>
      <c r="DZ132" s="16">
        <v>6.2500000000000003E-3</v>
      </c>
      <c r="EA132" s="14">
        <v>6.2500000000000003E-3</v>
      </c>
      <c r="EB132" s="14">
        <v>6.2500000000000003E-3</v>
      </c>
      <c r="EC132" s="14">
        <v>6.2500000000000003E-3</v>
      </c>
      <c r="ED132" s="14">
        <v>6.2500000000000003E-3</v>
      </c>
      <c r="EE132" s="14">
        <v>6.2500000000000003E-3</v>
      </c>
      <c r="EF132" s="14">
        <v>6.2500000000000003E-3</v>
      </c>
      <c r="EG132" s="14">
        <v>6.2500000000000003E-3</v>
      </c>
      <c r="EH132" s="14">
        <v>6.2500000000000003E-3</v>
      </c>
      <c r="EI132" s="14">
        <v>6.2500000000000003E-3</v>
      </c>
      <c r="EJ132" s="14">
        <v>6.2500000000000003E-3</v>
      </c>
      <c r="EK132" s="14">
        <v>6.2500000000000003E-3</v>
      </c>
      <c r="EL132" s="14">
        <v>6.2500000000000003E-3</v>
      </c>
      <c r="EM132" s="14">
        <v>4.6511627906976744E-3</v>
      </c>
      <c r="EN132" s="14">
        <v>4.6511627906976744E-3</v>
      </c>
      <c r="EO132" s="13">
        <f t="shared" si="28"/>
        <v>1.2500000000000001E-2</v>
      </c>
      <c r="EP132" s="13">
        <f t="shared" si="28"/>
        <v>1.2500000000000001E-2</v>
      </c>
      <c r="EQ132" s="13">
        <f t="shared" si="28"/>
        <v>1.2500000000000001E-2</v>
      </c>
      <c r="ER132" s="13">
        <f t="shared" si="28"/>
        <v>1.2500000000000001E-2</v>
      </c>
      <c r="ES132" s="13">
        <f t="shared" si="28"/>
        <v>1.2500000000000001E-2</v>
      </c>
      <c r="ET132" s="13">
        <f t="shared" si="28"/>
        <v>1.2500000000000001E-2</v>
      </c>
      <c r="EU132" s="12">
        <v>0.6</v>
      </c>
      <c r="EV132" s="13">
        <f t="shared" si="23"/>
        <v>1.2500000000000001E-2</v>
      </c>
      <c r="EW132" s="13">
        <f t="shared" si="23"/>
        <v>1.2500000000000001E-2</v>
      </c>
      <c r="EX132" s="13">
        <f t="shared" si="23"/>
        <v>1.2500000000000001E-2</v>
      </c>
      <c r="EY132" s="13">
        <f t="shared" si="23"/>
        <v>1.2500000000000001E-2</v>
      </c>
      <c r="EZ132" s="13">
        <f t="shared" si="23"/>
        <v>1.2500000000000001E-2</v>
      </c>
      <c r="FA132" s="13">
        <f t="shared" si="23"/>
        <v>1.2500000000000001E-2</v>
      </c>
      <c r="FB132" s="13">
        <f t="shared" si="23"/>
        <v>1.2500000000000001E-2</v>
      </c>
      <c r="FC132" s="13">
        <f t="shared" si="23"/>
        <v>1.2500000000000001E-2</v>
      </c>
      <c r="FD132" s="13">
        <f t="shared" si="23"/>
        <v>1.2500000000000001E-2</v>
      </c>
      <c r="FE132" s="13">
        <f t="shared" si="23"/>
        <v>1.2500000000000001E-2</v>
      </c>
      <c r="FF132" s="14">
        <v>5.7142857142857143E-3</v>
      </c>
      <c r="FG132" s="14">
        <v>5.7142857142857143E-3</v>
      </c>
      <c r="FH132" s="14">
        <v>5.7142857142857143E-3</v>
      </c>
      <c r="FI132" s="14">
        <v>5.7142857142857143E-3</v>
      </c>
      <c r="FJ132" s="14">
        <v>5.7142857142857143E-3</v>
      </c>
      <c r="FK132" s="14">
        <v>5.7142857142857143E-3</v>
      </c>
      <c r="FL132" s="14">
        <v>5.7142857142857143E-3</v>
      </c>
      <c r="FM132" s="14">
        <v>4.7619047619047623E-3</v>
      </c>
      <c r="FN132" s="14">
        <v>4.7619047619047623E-3</v>
      </c>
      <c r="FO132" s="14">
        <v>4.7619047619047623E-3</v>
      </c>
      <c r="FP132" s="14">
        <v>5.7142857142857143E-3</v>
      </c>
      <c r="FQ132" s="14">
        <v>5.7142857142857143E-3</v>
      </c>
      <c r="FR132" s="14">
        <v>5.7142857142857143E-3</v>
      </c>
      <c r="FS132" s="14">
        <v>5.7142857142857143E-3</v>
      </c>
      <c r="FT132" s="14">
        <v>5.8823529411764705E-3</v>
      </c>
      <c r="FU132" s="14">
        <v>5.7142857142857143E-3</v>
      </c>
      <c r="FV132" s="14">
        <v>5.7142857142857143E-3</v>
      </c>
      <c r="FW132" s="14">
        <v>4.5454545454545461E-3</v>
      </c>
      <c r="FX132" s="14">
        <v>4.5454545454545461E-3</v>
      </c>
      <c r="FY132" s="14">
        <v>5.7142857142857143E-3</v>
      </c>
      <c r="FZ132" s="12">
        <v>0.6</v>
      </c>
      <c r="GA132" s="14">
        <v>5.7142857142857143E-3</v>
      </c>
      <c r="GB132" s="14">
        <v>5.7142857142857143E-3</v>
      </c>
      <c r="GC132" s="14">
        <v>5.7142857142857143E-3</v>
      </c>
      <c r="GD132" s="13">
        <f t="shared" si="25"/>
        <v>1.2500000000000001E-2</v>
      </c>
      <c r="GE132" s="13">
        <f t="shared" si="25"/>
        <v>1.2500000000000001E-2</v>
      </c>
      <c r="GF132" s="14">
        <v>4.6511627906976744E-3</v>
      </c>
      <c r="GG132" s="14">
        <v>4.6511627906976744E-3</v>
      </c>
      <c r="GH132" s="15">
        <v>4.6511627906976744E-3</v>
      </c>
    </row>
    <row r="133" spans="1:190" x14ac:dyDescent="0.3">
      <c r="A133" s="35" t="s">
        <v>23</v>
      </c>
      <c r="B133" s="16">
        <f>BN133*DZ133*B110*2</f>
        <v>179995.45465353259</v>
      </c>
      <c r="C133" s="14">
        <f t="shared" ref="C133:BJ133" si="33">BO133*EA133*C110*2</f>
        <v>179995.45465353259</v>
      </c>
      <c r="D133" s="14">
        <f t="shared" si="33"/>
        <v>179995.45465353259</v>
      </c>
      <c r="E133" s="14">
        <f t="shared" si="33"/>
        <v>179995.45465353259</v>
      </c>
      <c r="F133" s="14">
        <f t="shared" si="33"/>
        <v>179995.45465353259</v>
      </c>
      <c r="G133" s="14">
        <f t="shared" si="33"/>
        <v>179995.45465353259</v>
      </c>
      <c r="H133" s="14">
        <f t="shared" si="33"/>
        <v>179995.45465353259</v>
      </c>
      <c r="I133" s="14">
        <f t="shared" si="33"/>
        <v>179995.45465353259</v>
      </c>
      <c r="J133" s="14">
        <f t="shared" si="33"/>
        <v>3041.6644021739135</v>
      </c>
      <c r="K133" s="14">
        <f t="shared" si="33"/>
        <v>3041.6644021739135</v>
      </c>
      <c r="L133" s="14">
        <f t="shared" si="33"/>
        <v>3041.6644021739135</v>
      </c>
      <c r="M133" s="14">
        <f t="shared" si="33"/>
        <v>3041.6644021739135</v>
      </c>
      <c r="N133" s="14">
        <f t="shared" si="33"/>
        <v>3572.7163043478263</v>
      </c>
      <c r="O133" s="14">
        <f t="shared" si="33"/>
        <v>5089.1405460060669</v>
      </c>
      <c r="P133" s="14">
        <f t="shared" si="33"/>
        <v>5089.1405460060669</v>
      </c>
      <c r="Q133" s="13">
        <f t="shared" si="33"/>
        <v>91055.670289855072</v>
      </c>
      <c r="R133" s="13">
        <f t="shared" si="33"/>
        <v>91055.670289855072</v>
      </c>
      <c r="S133" s="13">
        <f t="shared" si="33"/>
        <v>91055.670289855072</v>
      </c>
      <c r="T133" s="13">
        <f t="shared" si="33"/>
        <v>12287.119565217392</v>
      </c>
      <c r="U133" s="13">
        <f t="shared" si="33"/>
        <v>12287.119565217392</v>
      </c>
      <c r="V133" s="13">
        <f t="shared" si="33"/>
        <v>102863.825</v>
      </c>
      <c r="W133" s="13">
        <f t="shared" si="33"/>
        <v>102863.825</v>
      </c>
      <c r="X133" s="12">
        <f t="shared" si="33"/>
        <v>0</v>
      </c>
      <c r="Y133" s="13">
        <f t="shared" si="33"/>
        <v>102863.825</v>
      </c>
      <c r="Z133" s="13">
        <f t="shared" si="33"/>
        <v>3340.039402173913</v>
      </c>
      <c r="AA133" s="13">
        <f t="shared" si="33"/>
        <v>3340.039402173913</v>
      </c>
      <c r="AB133" s="13">
        <f t="shared" si="33"/>
        <v>3332.5336956521742</v>
      </c>
      <c r="AC133" s="13">
        <f t="shared" si="33"/>
        <v>3332.5336956521742</v>
      </c>
      <c r="AD133" s="13">
        <f t="shared" si="33"/>
        <v>3465.134510869565</v>
      </c>
      <c r="AE133" s="13">
        <f t="shared" si="33"/>
        <v>3465.134510869565</v>
      </c>
      <c r="AF133" s="13">
        <f t="shared" si="33"/>
        <v>6715.1054347826093</v>
      </c>
      <c r="AG133" s="13">
        <f t="shared" si="33"/>
        <v>6850.2081521739128</v>
      </c>
      <c r="AH133" s="14">
        <f t="shared" si="33"/>
        <v>993.32664596273287</v>
      </c>
      <c r="AI133" s="14">
        <f t="shared" si="33"/>
        <v>993.32664596273287</v>
      </c>
      <c r="AJ133" s="14">
        <f t="shared" si="33"/>
        <v>993.32664596273287</v>
      </c>
      <c r="AK133" s="14">
        <f t="shared" si="33"/>
        <v>993.32664596273287</v>
      </c>
      <c r="AL133" s="14">
        <f t="shared" si="33"/>
        <v>44460.664844720501</v>
      </c>
      <c r="AM133" s="14">
        <f t="shared" si="33"/>
        <v>44460.664844720501</v>
      </c>
      <c r="AN133" s="14">
        <f t="shared" si="33"/>
        <v>44460.664844720501</v>
      </c>
      <c r="AO133" s="14">
        <f t="shared" si="33"/>
        <v>822.21242236024852</v>
      </c>
      <c r="AP133" s="14">
        <f t="shared" si="33"/>
        <v>822.21242236024852</v>
      </c>
      <c r="AQ133" s="14">
        <f t="shared" si="33"/>
        <v>822.21242236024852</v>
      </c>
      <c r="AR133" s="14">
        <f t="shared" si="33"/>
        <v>1058.3284472049691</v>
      </c>
      <c r="AS133" s="14">
        <f t="shared" si="33"/>
        <v>1058.3284472049691</v>
      </c>
      <c r="AT133" s="14">
        <f t="shared" si="33"/>
        <v>1058.3284472049691</v>
      </c>
      <c r="AU133" s="14">
        <f t="shared" si="33"/>
        <v>11132.273291925467</v>
      </c>
      <c r="AV133" s="14">
        <f t="shared" si="33"/>
        <v>4116.4194373401533</v>
      </c>
      <c r="AW133" s="14">
        <f t="shared" si="33"/>
        <v>3998.8074534161487</v>
      </c>
      <c r="AX133" s="14">
        <f t="shared" si="33"/>
        <v>3998.8074534161487</v>
      </c>
      <c r="AY133" s="14">
        <f t="shared" si="33"/>
        <v>2722.0695652173913</v>
      </c>
      <c r="AZ133" s="14">
        <f t="shared" si="33"/>
        <v>3293.413043478261</v>
      </c>
      <c r="BA133" s="14">
        <f t="shared" si="33"/>
        <v>3486.0790062111796</v>
      </c>
      <c r="BB133" s="13">
        <f t="shared" si="33"/>
        <v>6549.9798913043478</v>
      </c>
      <c r="BC133" s="14">
        <f t="shared" si="33"/>
        <v>26034.281490683232</v>
      </c>
      <c r="BD133" s="14">
        <f t="shared" si="33"/>
        <v>26034.281490683232</v>
      </c>
      <c r="BE133" s="14">
        <f t="shared" si="33"/>
        <v>26034.281490683232</v>
      </c>
      <c r="BF133" s="13">
        <f t="shared" si="33"/>
        <v>7330.573369565217</v>
      </c>
      <c r="BG133" s="13">
        <f t="shared" si="33"/>
        <v>6765.1434782608703</v>
      </c>
      <c r="BH133" s="14">
        <f t="shared" si="33"/>
        <v>2772.3403437815978</v>
      </c>
      <c r="BI133" s="14">
        <f t="shared" si="33"/>
        <v>2582.4285136501517</v>
      </c>
      <c r="BJ133" s="15">
        <f t="shared" si="33"/>
        <v>2772.3403437815978</v>
      </c>
      <c r="BM133" s="35" t="s">
        <v>23</v>
      </c>
      <c r="BN133" s="16">
        <v>1295</v>
      </c>
      <c r="BO133" s="14">
        <v>1295</v>
      </c>
      <c r="BP133" s="14">
        <v>1295</v>
      </c>
      <c r="BQ133" s="14">
        <v>1295</v>
      </c>
      <c r="BR133" s="14">
        <v>1295</v>
      </c>
      <c r="BS133" s="14">
        <v>1295</v>
      </c>
      <c r="BT133" s="14">
        <v>1295</v>
      </c>
      <c r="BU133" s="14">
        <v>1295</v>
      </c>
      <c r="BV133" s="14">
        <v>1313</v>
      </c>
      <c r="BW133" s="14">
        <v>1313</v>
      </c>
      <c r="BX133" s="14">
        <v>1313</v>
      </c>
      <c r="BY133" s="14">
        <v>1313</v>
      </c>
      <c r="BZ133" s="14">
        <v>1428</v>
      </c>
      <c r="CA133" s="14">
        <v>1476</v>
      </c>
      <c r="CB133" s="14">
        <v>1476</v>
      </c>
      <c r="CC133" s="13">
        <v>1340</v>
      </c>
      <c r="CD133" s="13">
        <v>1340</v>
      </c>
      <c r="CE133" s="13">
        <v>1340</v>
      </c>
      <c r="CF133" s="13">
        <v>1326</v>
      </c>
      <c r="CG133" s="13">
        <v>1326</v>
      </c>
      <c r="CH133" s="13">
        <v>1306</v>
      </c>
      <c r="CI133" s="13">
        <v>1306</v>
      </c>
      <c r="CJ133" s="12"/>
      <c r="CK133" s="13">
        <v>1306</v>
      </c>
      <c r="CL133" s="13">
        <v>1335</v>
      </c>
      <c r="CM133" s="13">
        <v>1335</v>
      </c>
      <c r="CN133" s="13">
        <v>1332</v>
      </c>
      <c r="CO133" s="13">
        <v>1332</v>
      </c>
      <c r="CP133" s="13">
        <v>1385</v>
      </c>
      <c r="CQ133" s="13">
        <v>1385</v>
      </c>
      <c r="CR133" s="13">
        <v>1342</v>
      </c>
      <c r="CS133" s="13">
        <v>1369</v>
      </c>
      <c r="CT133" s="14">
        <v>1737</v>
      </c>
      <c r="CU133" s="14">
        <v>1737</v>
      </c>
      <c r="CV133" s="14">
        <v>1737</v>
      </c>
      <c r="CW133" s="14">
        <v>1737</v>
      </c>
      <c r="CX133" s="14">
        <v>1312</v>
      </c>
      <c r="CY133" s="14">
        <v>1312</v>
      </c>
      <c r="CZ133" s="14">
        <v>1312</v>
      </c>
      <c r="DA133" s="14">
        <v>1294</v>
      </c>
      <c r="DB133" s="14">
        <v>1294</v>
      </c>
      <c r="DC133" s="14">
        <v>1294</v>
      </c>
      <c r="DD133" s="14">
        <v>1388</v>
      </c>
      <c r="DE133" s="14">
        <v>1388</v>
      </c>
      <c r="DF133" s="14">
        <v>1388</v>
      </c>
      <c r="DG133" s="14">
        <v>1314</v>
      </c>
      <c r="DH133" s="14">
        <v>1416</v>
      </c>
      <c r="DI133" s="14">
        <v>1416</v>
      </c>
      <c r="DJ133" s="14">
        <v>1416</v>
      </c>
      <c r="DK133" s="14">
        <v>1496</v>
      </c>
      <c r="DL133" s="14">
        <v>1810</v>
      </c>
      <c r="DM133" s="14">
        <v>1524</v>
      </c>
      <c r="DN133" s="13">
        <v>1309</v>
      </c>
      <c r="DO133" s="14">
        <v>1317</v>
      </c>
      <c r="DP133" s="14">
        <v>1317</v>
      </c>
      <c r="DQ133" s="14">
        <v>1317</v>
      </c>
      <c r="DR133" s="13">
        <v>1465</v>
      </c>
      <c r="DS133" s="13">
        <v>1352</v>
      </c>
      <c r="DT133" s="14">
        <v>1489</v>
      </c>
      <c r="DU133" s="14">
        <v>1387</v>
      </c>
      <c r="DV133" s="15">
        <v>1489</v>
      </c>
      <c r="DY133" s="35" t="s">
        <v>23</v>
      </c>
      <c r="DZ133" s="16">
        <v>6.2500000000000003E-3</v>
      </c>
      <c r="EA133" s="14">
        <v>6.2500000000000003E-3</v>
      </c>
      <c r="EB133" s="14">
        <v>6.2500000000000003E-3</v>
      </c>
      <c r="EC133" s="14">
        <v>6.2500000000000003E-3</v>
      </c>
      <c r="ED133" s="14">
        <v>6.2500000000000003E-3</v>
      </c>
      <c r="EE133" s="14">
        <v>6.2500000000000003E-3</v>
      </c>
      <c r="EF133" s="14">
        <v>6.2500000000000003E-3</v>
      </c>
      <c r="EG133" s="14">
        <v>6.2500000000000003E-3</v>
      </c>
      <c r="EH133" s="14">
        <v>6.2500000000000003E-3</v>
      </c>
      <c r="EI133" s="14">
        <v>6.2500000000000003E-3</v>
      </c>
      <c r="EJ133" s="14">
        <v>6.2500000000000003E-3</v>
      </c>
      <c r="EK133" s="14">
        <v>6.2500000000000003E-3</v>
      </c>
      <c r="EL133" s="14">
        <v>6.2500000000000003E-3</v>
      </c>
      <c r="EM133" s="14">
        <v>4.6511627906976744E-3</v>
      </c>
      <c r="EN133" s="14">
        <v>4.6511627906976744E-3</v>
      </c>
      <c r="EO133" s="13">
        <f t="shared" si="28"/>
        <v>1.2500000000000001E-2</v>
      </c>
      <c r="EP133" s="13">
        <f t="shared" si="28"/>
        <v>1.2500000000000001E-2</v>
      </c>
      <c r="EQ133" s="13">
        <f t="shared" si="28"/>
        <v>1.2500000000000001E-2</v>
      </c>
      <c r="ER133" s="13">
        <f t="shared" si="28"/>
        <v>1.2500000000000001E-2</v>
      </c>
      <c r="ES133" s="13">
        <f t="shared" si="28"/>
        <v>1.2500000000000001E-2</v>
      </c>
      <c r="ET133" s="13">
        <f t="shared" si="28"/>
        <v>1.2500000000000001E-2</v>
      </c>
      <c r="EU133" s="13">
        <f t="shared" si="28"/>
        <v>1.2500000000000001E-2</v>
      </c>
      <c r="EV133" s="12">
        <v>0.6</v>
      </c>
      <c r="EW133" s="13">
        <f t="shared" si="23"/>
        <v>1.2500000000000001E-2</v>
      </c>
      <c r="EX133" s="13">
        <f t="shared" si="23"/>
        <v>1.2500000000000001E-2</v>
      </c>
      <c r="EY133" s="13">
        <f t="shared" si="23"/>
        <v>1.2500000000000001E-2</v>
      </c>
      <c r="EZ133" s="13">
        <f t="shared" si="23"/>
        <v>1.2500000000000001E-2</v>
      </c>
      <c r="FA133" s="13">
        <f t="shared" si="23"/>
        <v>1.2500000000000001E-2</v>
      </c>
      <c r="FB133" s="13">
        <f t="shared" si="23"/>
        <v>1.2500000000000001E-2</v>
      </c>
      <c r="FC133" s="13">
        <f t="shared" si="23"/>
        <v>1.2500000000000001E-2</v>
      </c>
      <c r="FD133" s="13">
        <f t="shared" si="23"/>
        <v>1.2500000000000001E-2</v>
      </c>
      <c r="FE133" s="13">
        <f t="shared" si="23"/>
        <v>1.2500000000000001E-2</v>
      </c>
      <c r="FF133" s="14">
        <v>5.7142857142857143E-3</v>
      </c>
      <c r="FG133" s="14">
        <v>5.7142857142857143E-3</v>
      </c>
      <c r="FH133" s="14">
        <v>5.7142857142857143E-3</v>
      </c>
      <c r="FI133" s="14">
        <v>5.7142857142857143E-3</v>
      </c>
      <c r="FJ133" s="14">
        <v>5.7142857142857143E-3</v>
      </c>
      <c r="FK133" s="14">
        <v>5.7142857142857143E-3</v>
      </c>
      <c r="FL133" s="14">
        <v>5.7142857142857143E-3</v>
      </c>
      <c r="FM133" s="14">
        <v>4.7619047619047623E-3</v>
      </c>
      <c r="FN133" s="14">
        <v>4.7619047619047623E-3</v>
      </c>
      <c r="FO133" s="14">
        <v>4.7619047619047623E-3</v>
      </c>
      <c r="FP133" s="14">
        <v>5.7142857142857143E-3</v>
      </c>
      <c r="FQ133" s="14">
        <v>5.7142857142857143E-3</v>
      </c>
      <c r="FR133" s="14">
        <v>5.7142857142857143E-3</v>
      </c>
      <c r="FS133" s="14">
        <v>5.7142857142857143E-3</v>
      </c>
      <c r="FT133" s="14">
        <v>5.8823529411764705E-3</v>
      </c>
      <c r="FU133" s="14">
        <v>5.7142857142857143E-3</v>
      </c>
      <c r="FV133" s="14">
        <v>5.7142857142857143E-3</v>
      </c>
      <c r="FW133" s="14">
        <v>4.5454545454545461E-3</v>
      </c>
      <c r="FX133" s="14">
        <v>4.5454545454545461E-3</v>
      </c>
      <c r="FY133" s="14">
        <v>5.7142857142857143E-3</v>
      </c>
      <c r="FZ133" s="13">
        <f t="shared" ref="FZ133:FZ142" si="34">0.2/16</f>
        <v>1.2500000000000001E-2</v>
      </c>
      <c r="GA133" s="14">
        <v>5.7142857142857143E-3</v>
      </c>
      <c r="GB133" s="14">
        <v>5.7142857142857143E-3</v>
      </c>
      <c r="GC133" s="14">
        <v>5.7142857142857143E-3</v>
      </c>
      <c r="GD133" s="13">
        <f t="shared" si="25"/>
        <v>1.2500000000000001E-2</v>
      </c>
      <c r="GE133" s="13">
        <f t="shared" si="25"/>
        <v>1.2500000000000001E-2</v>
      </c>
      <c r="GF133" s="14">
        <v>4.6511627906976744E-3</v>
      </c>
      <c r="GG133" s="14">
        <v>4.6511627906976744E-3</v>
      </c>
      <c r="GH133" s="15">
        <v>4.6511627906976744E-3</v>
      </c>
    </row>
    <row r="134" spans="1:190" x14ac:dyDescent="0.3">
      <c r="A134" s="35" t="s">
        <v>24</v>
      </c>
      <c r="B134" s="16">
        <f>BN134*DZ134*B110*2</f>
        <v>179995.45465353259</v>
      </c>
      <c r="C134" s="14">
        <f t="shared" ref="C134:BJ134" si="35">BO134*EA134*C110*2</f>
        <v>179995.45465353259</v>
      </c>
      <c r="D134" s="14">
        <f t="shared" si="35"/>
        <v>179995.45465353259</v>
      </c>
      <c r="E134" s="14">
        <f t="shared" si="35"/>
        <v>179995.45465353259</v>
      </c>
      <c r="F134" s="14">
        <f t="shared" si="35"/>
        <v>179995.45465353259</v>
      </c>
      <c r="G134" s="14">
        <f t="shared" si="35"/>
        <v>179995.45465353259</v>
      </c>
      <c r="H134" s="14">
        <f t="shared" si="35"/>
        <v>179995.45465353259</v>
      </c>
      <c r="I134" s="14">
        <f t="shared" si="35"/>
        <v>179995.45465353259</v>
      </c>
      <c r="J134" s="14">
        <f t="shared" si="35"/>
        <v>3041.6644021739135</v>
      </c>
      <c r="K134" s="14">
        <f t="shared" si="35"/>
        <v>3041.6644021739135</v>
      </c>
      <c r="L134" s="14">
        <f t="shared" si="35"/>
        <v>3041.6644021739135</v>
      </c>
      <c r="M134" s="14">
        <f t="shared" si="35"/>
        <v>3041.6644021739135</v>
      </c>
      <c r="N134" s="14">
        <f t="shared" si="35"/>
        <v>3572.7163043478263</v>
      </c>
      <c r="O134" s="14">
        <f t="shared" si="35"/>
        <v>5089.1405460060669</v>
      </c>
      <c r="P134" s="14">
        <f t="shared" si="35"/>
        <v>5089.1405460060669</v>
      </c>
      <c r="Q134" s="13">
        <f t="shared" si="35"/>
        <v>91055.670289855072</v>
      </c>
      <c r="R134" s="13">
        <f t="shared" si="35"/>
        <v>91055.670289855072</v>
      </c>
      <c r="S134" s="13">
        <f t="shared" si="35"/>
        <v>91055.670289855072</v>
      </c>
      <c r="T134" s="13">
        <f t="shared" si="35"/>
        <v>12287.119565217392</v>
      </c>
      <c r="U134" s="13">
        <f t="shared" si="35"/>
        <v>12287.119565217392</v>
      </c>
      <c r="V134" s="13">
        <f t="shared" si="35"/>
        <v>102863.825</v>
      </c>
      <c r="W134" s="13">
        <f t="shared" si="35"/>
        <v>102863.825</v>
      </c>
      <c r="X134" s="13">
        <f t="shared" si="35"/>
        <v>102863.825</v>
      </c>
      <c r="Y134" s="12">
        <f t="shared" si="35"/>
        <v>0</v>
      </c>
      <c r="Z134" s="13">
        <f t="shared" si="35"/>
        <v>3340.039402173913</v>
      </c>
      <c r="AA134" s="13">
        <f t="shared" si="35"/>
        <v>3340.039402173913</v>
      </c>
      <c r="AB134" s="13">
        <f t="shared" si="35"/>
        <v>3332.5336956521742</v>
      </c>
      <c r="AC134" s="13">
        <f t="shared" si="35"/>
        <v>3332.5336956521742</v>
      </c>
      <c r="AD134" s="13">
        <f t="shared" si="35"/>
        <v>3465.134510869565</v>
      </c>
      <c r="AE134" s="13">
        <f t="shared" si="35"/>
        <v>3465.134510869565</v>
      </c>
      <c r="AF134" s="13">
        <f t="shared" si="35"/>
        <v>6715.1054347826093</v>
      </c>
      <c r="AG134" s="13">
        <f t="shared" si="35"/>
        <v>6850.2081521739128</v>
      </c>
      <c r="AH134" s="14">
        <f t="shared" si="35"/>
        <v>993.32664596273287</v>
      </c>
      <c r="AI134" s="14">
        <f t="shared" si="35"/>
        <v>993.32664596273287</v>
      </c>
      <c r="AJ134" s="14">
        <f t="shared" si="35"/>
        <v>993.32664596273287</v>
      </c>
      <c r="AK134" s="14">
        <f t="shared" si="35"/>
        <v>993.32664596273287</v>
      </c>
      <c r="AL134" s="14">
        <f t="shared" si="35"/>
        <v>44460.664844720501</v>
      </c>
      <c r="AM134" s="14">
        <f t="shared" si="35"/>
        <v>44460.664844720501</v>
      </c>
      <c r="AN134" s="14">
        <f t="shared" si="35"/>
        <v>44460.664844720501</v>
      </c>
      <c r="AO134" s="14">
        <f t="shared" si="35"/>
        <v>822.21242236024852</v>
      </c>
      <c r="AP134" s="14">
        <f t="shared" si="35"/>
        <v>822.21242236024852</v>
      </c>
      <c r="AQ134" s="14">
        <f t="shared" si="35"/>
        <v>822.21242236024852</v>
      </c>
      <c r="AR134" s="14">
        <f t="shared" si="35"/>
        <v>1058.3284472049691</v>
      </c>
      <c r="AS134" s="14">
        <f t="shared" si="35"/>
        <v>1058.3284472049691</v>
      </c>
      <c r="AT134" s="14">
        <f t="shared" si="35"/>
        <v>1058.3284472049691</v>
      </c>
      <c r="AU134" s="14">
        <f t="shared" si="35"/>
        <v>11132.273291925467</v>
      </c>
      <c r="AV134" s="14">
        <f t="shared" si="35"/>
        <v>4116.4194373401533</v>
      </c>
      <c r="AW134" s="14">
        <f t="shared" si="35"/>
        <v>3998.8074534161487</v>
      </c>
      <c r="AX134" s="14">
        <f t="shared" si="35"/>
        <v>3998.8074534161487</v>
      </c>
      <c r="AY134" s="14">
        <f t="shared" si="35"/>
        <v>2722.0695652173913</v>
      </c>
      <c r="AZ134" s="14">
        <f t="shared" si="35"/>
        <v>3293.413043478261</v>
      </c>
      <c r="BA134" s="14">
        <f t="shared" si="35"/>
        <v>3486.0790062111796</v>
      </c>
      <c r="BB134" s="13">
        <f t="shared" si="35"/>
        <v>6549.9798913043478</v>
      </c>
      <c r="BC134" s="14">
        <f t="shared" si="35"/>
        <v>26034.281490683232</v>
      </c>
      <c r="BD134" s="14">
        <f t="shared" si="35"/>
        <v>26034.281490683232</v>
      </c>
      <c r="BE134" s="14">
        <f t="shared" si="35"/>
        <v>26034.281490683232</v>
      </c>
      <c r="BF134" s="13">
        <f t="shared" si="35"/>
        <v>7330.573369565217</v>
      </c>
      <c r="BG134" s="13">
        <f t="shared" si="35"/>
        <v>6765.1434782608703</v>
      </c>
      <c r="BH134" s="14">
        <f t="shared" si="35"/>
        <v>2772.3403437815978</v>
      </c>
      <c r="BI134" s="14">
        <f t="shared" si="35"/>
        <v>2582.4285136501517</v>
      </c>
      <c r="BJ134" s="15">
        <f t="shared" si="35"/>
        <v>2772.3403437815978</v>
      </c>
      <c r="BM134" s="35" t="s">
        <v>24</v>
      </c>
      <c r="BN134" s="16">
        <v>1295</v>
      </c>
      <c r="BO134" s="14">
        <v>1295</v>
      </c>
      <c r="BP134" s="14">
        <v>1295</v>
      </c>
      <c r="BQ134" s="14">
        <v>1295</v>
      </c>
      <c r="BR134" s="14">
        <v>1295</v>
      </c>
      <c r="BS134" s="14">
        <v>1295</v>
      </c>
      <c r="BT134" s="14">
        <v>1295</v>
      </c>
      <c r="BU134" s="14">
        <v>1295</v>
      </c>
      <c r="BV134" s="14">
        <v>1313</v>
      </c>
      <c r="BW134" s="14">
        <v>1313</v>
      </c>
      <c r="BX134" s="14">
        <v>1313</v>
      </c>
      <c r="BY134" s="14">
        <v>1313</v>
      </c>
      <c r="BZ134" s="14">
        <v>1428</v>
      </c>
      <c r="CA134" s="14">
        <v>1476</v>
      </c>
      <c r="CB134" s="14">
        <v>1476</v>
      </c>
      <c r="CC134" s="13">
        <v>1340</v>
      </c>
      <c r="CD134" s="13">
        <v>1340</v>
      </c>
      <c r="CE134" s="13">
        <v>1340</v>
      </c>
      <c r="CF134" s="13">
        <v>1326</v>
      </c>
      <c r="CG134" s="13">
        <v>1326</v>
      </c>
      <c r="CH134" s="13">
        <v>1306</v>
      </c>
      <c r="CI134" s="13">
        <v>1306</v>
      </c>
      <c r="CJ134" s="13">
        <v>1306</v>
      </c>
      <c r="CK134" s="12"/>
      <c r="CL134" s="13">
        <v>1335</v>
      </c>
      <c r="CM134" s="13">
        <v>1335</v>
      </c>
      <c r="CN134" s="13">
        <v>1332</v>
      </c>
      <c r="CO134" s="13">
        <v>1332</v>
      </c>
      <c r="CP134" s="13">
        <v>1385</v>
      </c>
      <c r="CQ134" s="13">
        <v>1385</v>
      </c>
      <c r="CR134" s="13">
        <v>1342</v>
      </c>
      <c r="CS134" s="13">
        <v>1369</v>
      </c>
      <c r="CT134" s="14">
        <v>1737</v>
      </c>
      <c r="CU134" s="14">
        <v>1737</v>
      </c>
      <c r="CV134" s="14">
        <v>1737</v>
      </c>
      <c r="CW134" s="14">
        <v>1737</v>
      </c>
      <c r="CX134" s="14">
        <v>1312</v>
      </c>
      <c r="CY134" s="14">
        <v>1312</v>
      </c>
      <c r="CZ134" s="14">
        <v>1312</v>
      </c>
      <c r="DA134" s="14">
        <v>1294</v>
      </c>
      <c r="DB134" s="14">
        <v>1294</v>
      </c>
      <c r="DC134" s="14">
        <v>1294</v>
      </c>
      <c r="DD134" s="14">
        <v>1388</v>
      </c>
      <c r="DE134" s="14">
        <v>1388</v>
      </c>
      <c r="DF134" s="14">
        <v>1388</v>
      </c>
      <c r="DG134" s="14">
        <v>1314</v>
      </c>
      <c r="DH134" s="14">
        <v>1416</v>
      </c>
      <c r="DI134" s="14">
        <v>1416</v>
      </c>
      <c r="DJ134" s="14">
        <v>1416</v>
      </c>
      <c r="DK134" s="14">
        <v>1496</v>
      </c>
      <c r="DL134" s="14">
        <v>1810</v>
      </c>
      <c r="DM134" s="14">
        <v>1524</v>
      </c>
      <c r="DN134" s="13">
        <v>1309</v>
      </c>
      <c r="DO134" s="14">
        <v>1317</v>
      </c>
      <c r="DP134" s="14">
        <v>1317</v>
      </c>
      <c r="DQ134" s="14">
        <v>1317</v>
      </c>
      <c r="DR134" s="13">
        <v>1465</v>
      </c>
      <c r="DS134" s="13">
        <v>1352</v>
      </c>
      <c r="DT134" s="14">
        <v>1489</v>
      </c>
      <c r="DU134" s="14">
        <v>1387</v>
      </c>
      <c r="DV134" s="15">
        <v>1489</v>
      </c>
      <c r="DY134" s="35" t="s">
        <v>24</v>
      </c>
      <c r="DZ134" s="16">
        <v>6.2500000000000003E-3</v>
      </c>
      <c r="EA134" s="14">
        <v>6.2500000000000003E-3</v>
      </c>
      <c r="EB134" s="14">
        <v>6.2500000000000003E-3</v>
      </c>
      <c r="EC134" s="14">
        <v>6.2500000000000003E-3</v>
      </c>
      <c r="ED134" s="14">
        <v>6.2500000000000003E-3</v>
      </c>
      <c r="EE134" s="14">
        <v>6.2500000000000003E-3</v>
      </c>
      <c r="EF134" s="14">
        <v>6.2500000000000003E-3</v>
      </c>
      <c r="EG134" s="14">
        <v>6.2500000000000003E-3</v>
      </c>
      <c r="EH134" s="14">
        <v>6.2500000000000003E-3</v>
      </c>
      <c r="EI134" s="14">
        <v>6.2500000000000003E-3</v>
      </c>
      <c r="EJ134" s="14">
        <v>6.2500000000000003E-3</v>
      </c>
      <c r="EK134" s="14">
        <v>6.2500000000000003E-3</v>
      </c>
      <c r="EL134" s="14">
        <v>6.2500000000000003E-3</v>
      </c>
      <c r="EM134" s="14">
        <v>4.6511627906976744E-3</v>
      </c>
      <c r="EN134" s="14">
        <v>4.6511627906976744E-3</v>
      </c>
      <c r="EO134" s="13">
        <f t="shared" si="28"/>
        <v>1.2500000000000001E-2</v>
      </c>
      <c r="EP134" s="13">
        <f t="shared" si="28"/>
        <v>1.2500000000000001E-2</v>
      </c>
      <c r="EQ134" s="13">
        <f t="shared" si="28"/>
        <v>1.2500000000000001E-2</v>
      </c>
      <c r="ER134" s="13">
        <f t="shared" si="28"/>
        <v>1.2500000000000001E-2</v>
      </c>
      <c r="ES134" s="13">
        <f t="shared" si="28"/>
        <v>1.2500000000000001E-2</v>
      </c>
      <c r="ET134" s="13">
        <f t="shared" si="28"/>
        <v>1.2500000000000001E-2</v>
      </c>
      <c r="EU134" s="13">
        <f t="shared" si="28"/>
        <v>1.2500000000000001E-2</v>
      </c>
      <c r="EV134" s="13">
        <f t="shared" si="28"/>
        <v>1.2500000000000001E-2</v>
      </c>
      <c r="EW134" s="12">
        <v>0.6</v>
      </c>
      <c r="EX134" s="13">
        <f t="shared" si="23"/>
        <v>1.2500000000000001E-2</v>
      </c>
      <c r="EY134" s="13">
        <f t="shared" si="23"/>
        <v>1.2500000000000001E-2</v>
      </c>
      <c r="EZ134" s="13">
        <f t="shared" si="23"/>
        <v>1.2500000000000001E-2</v>
      </c>
      <c r="FA134" s="13">
        <f t="shared" si="23"/>
        <v>1.2500000000000001E-2</v>
      </c>
      <c r="FB134" s="13">
        <f t="shared" si="23"/>
        <v>1.2500000000000001E-2</v>
      </c>
      <c r="FC134" s="13">
        <f t="shared" si="23"/>
        <v>1.2500000000000001E-2</v>
      </c>
      <c r="FD134" s="13">
        <f t="shared" si="23"/>
        <v>1.2500000000000001E-2</v>
      </c>
      <c r="FE134" s="13">
        <f t="shared" si="23"/>
        <v>1.2500000000000001E-2</v>
      </c>
      <c r="FF134" s="14">
        <v>5.7142857142857143E-3</v>
      </c>
      <c r="FG134" s="14">
        <v>5.7142857142857143E-3</v>
      </c>
      <c r="FH134" s="14">
        <v>5.7142857142857143E-3</v>
      </c>
      <c r="FI134" s="14">
        <v>5.7142857142857143E-3</v>
      </c>
      <c r="FJ134" s="14">
        <v>5.7142857142857143E-3</v>
      </c>
      <c r="FK134" s="14">
        <v>5.7142857142857143E-3</v>
      </c>
      <c r="FL134" s="14">
        <v>5.7142857142857143E-3</v>
      </c>
      <c r="FM134" s="14">
        <v>4.7619047619047623E-3</v>
      </c>
      <c r="FN134" s="14">
        <v>4.7619047619047623E-3</v>
      </c>
      <c r="FO134" s="14">
        <v>4.7619047619047623E-3</v>
      </c>
      <c r="FP134" s="14">
        <v>5.7142857142857143E-3</v>
      </c>
      <c r="FQ134" s="14">
        <v>5.7142857142857143E-3</v>
      </c>
      <c r="FR134" s="14">
        <v>5.7142857142857143E-3</v>
      </c>
      <c r="FS134" s="14">
        <v>5.7142857142857143E-3</v>
      </c>
      <c r="FT134" s="14">
        <v>5.8823529411764705E-3</v>
      </c>
      <c r="FU134" s="14">
        <v>5.7142857142857143E-3</v>
      </c>
      <c r="FV134" s="14">
        <v>5.7142857142857143E-3</v>
      </c>
      <c r="FW134" s="14">
        <v>4.5454545454545461E-3</v>
      </c>
      <c r="FX134" s="14">
        <v>4.5454545454545461E-3</v>
      </c>
      <c r="FY134" s="14">
        <v>5.7142857142857143E-3</v>
      </c>
      <c r="FZ134" s="13">
        <f t="shared" si="34"/>
        <v>1.2500000000000001E-2</v>
      </c>
      <c r="GA134" s="14">
        <v>5.7142857142857143E-3</v>
      </c>
      <c r="GB134" s="14">
        <v>5.7142857142857143E-3</v>
      </c>
      <c r="GC134" s="14">
        <v>5.7142857142857143E-3</v>
      </c>
      <c r="GD134" s="13">
        <f t="shared" si="25"/>
        <v>1.2500000000000001E-2</v>
      </c>
      <c r="GE134" s="13">
        <f t="shared" si="25"/>
        <v>1.2500000000000001E-2</v>
      </c>
      <c r="GF134" s="14">
        <v>4.6511627906976744E-3</v>
      </c>
      <c r="GG134" s="14">
        <v>4.6511627906976744E-3</v>
      </c>
      <c r="GH134" s="15">
        <v>4.6511627906976744E-3</v>
      </c>
    </row>
    <row r="135" spans="1:190" x14ac:dyDescent="0.3">
      <c r="A135" s="35" t="s">
        <v>25</v>
      </c>
      <c r="B135" s="16">
        <f>BN135*DZ135*B110*2</f>
        <v>183887.24826766306</v>
      </c>
      <c r="C135" s="14">
        <f t="shared" ref="C135:BJ135" si="36">BO135*EA135*C110*2</f>
        <v>183887.24826766306</v>
      </c>
      <c r="D135" s="14">
        <f t="shared" si="36"/>
        <v>183887.24826766306</v>
      </c>
      <c r="E135" s="14">
        <f t="shared" si="36"/>
        <v>183887.24826766306</v>
      </c>
      <c r="F135" s="14">
        <f t="shared" si="36"/>
        <v>183887.24826766306</v>
      </c>
      <c r="G135" s="14">
        <f t="shared" si="36"/>
        <v>183887.24826766306</v>
      </c>
      <c r="H135" s="14">
        <f t="shared" si="36"/>
        <v>183887.24826766306</v>
      </c>
      <c r="I135" s="14">
        <f t="shared" si="36"/>
        <v>183887.24826766306</v>
      </c>
      <c r="J135" s="14">
        <f t="shared" si="36"/>
        <v>3108.8451086956529</v>
      </c>
      <c r="K135" s="14">
        <f t="shared" si="36"/>
        <v>3108.8451086956529</v>
      </c>
      <c r="L135" s="14">
        <f t="shared" si="36"/>
        <v>3108.8451086956529</v>
      </c>
      <c r="M135" s="14">
        <f t="shared" si="36"/>
        <v>3108.8451086956529</v>
      </c>
      <c r="N135" s="14">
        <f t="shared" si="36"/>
        <v>3645.2714673913047</v>
      </c>
      <c r="O135" s="14">
        <f t="shared" si="36"/>
        <v>5189.130434782609</v>
      </c>
      <c r="P135" s="14">
        <f t="shared" si="36"/>
        <v>5189.130434782609</v>
      </c>
      <c r="Q135" s="13">
        <f t="shared" si="36"/>
        <v>93026.278079710144</v>
      </c>
      <c r="R135" s="13">
        <f t="shared" si="36"/>
        <v>93026.278079710144</v>
      </c>
      <c r="S135" s="13">
        <f t="shared" si="36"/>
        <v>93026.278079710144</v>
      </c>
      <c r="T135" s="13">
        <f t="shared" si="36"/>
        <v>12555.842391304348</v>
      </c>
      <c r="U135" s="13">
        <f t="shared" si="36"/>
        <v>12555.842391304348</v>
      </c>
      <c r="V135" s="13">
        <f t="shared" si="36"/>
        <v>105147.9375</v>
      </c>
      <c r="W135" s="13">
        <f t="shared" si="36"/>
        <v>105147.9375</v>
      </c>
      <c r="X135" s="13">
        <f t="shared" si="36"/>
        <v>105147.9375</v>
      </c>
      <c r="Y135" s="13">
        <f t="shared" si="36"/>
        <v>105147.9375</v>
      </c>
      <c r="Z135" s="12">
        <f t="shared" si="36"/>
        <v>0</v>
      </c>
      <c r="AA135" s="13">
        <f t="shared" si="36"/>
        <v>3412.5945652173914</v>
      </c>
      <c r="AB135" s="13">
        <f t="shared" si="36"/>
        <v>3405.0888586956521</v>
      </c>
      <c r="AC135" s="13">
        <f t="shared" si="36"/>
        <v>3405.0888586956521</v>
      </c>
      <c r="AD135" s="13">
        <f t="shared" si="36"/>
        <v>3537.6896739130434</v>
      </c>
      <c r="AE135" s="13">
        <f t="shared" si="36"/>
        <v>3537.6896739130434</v>
      </c>
      <c r="AF135" s="13">
        <f t="shared" si="36"/>
        <v>6855.211956521739</v>
      </c>
      <c r="AG135" s="13">
        <f t="shared" si="36"/>
        <v>6990.3146739130443</v>
      </c>
      <c r="AH135" s="14">
        <f t="shared" si="36"/>
        <v>1009.9106832298136</v>
      </c>
      <c r="AI135" s="14">
        <f t="shared" si="36"/>
        <v>1009.9106832298136</v>
      </c>
      <c r="AJ135" s="14">
        <f t="shared" si="36"/>
        <v>1009.9106832298136</v>
      </c>
      <c r="AK135" s="14">
        <f t="shared" si="36"/>
        <v>1009.9106832298136</v>
      </c>
      <c r="AL135" s="14">
        <f t="shared" si="36"/>
        <v>45443.408198757767</v>
      </c>
      <c r="AM135" s="14">
        <f t="shared" si="36"/>
        <v>45443.408198757767</v>
      </c>
      <c r="AN135" s="14">
        <f t="shared" si="36"/>
        <v>45443.408198757767</v>
      </c>
      <c r="AO135" s="14">
        <f t="shared" si="36"/>
        <v>840.63913043478271</v>
      </c>
      <c r="AP135" s="14">
        <f t="shared" si="36"/>
        <v>840.63913043478271</v>
      </c>
      <c r="AQ135" s="14">
        <f t="shared" si="36"/>
        <v>840.63913043478271</v>
      </c>
      <c r="AR135" s="14">
        <f t="shared" si="36"/>
        <v>1080.44049689441</v>
      </c>
      <c r="AS135" s="14">
        <f t="shared" si="36"/>
        <v>1080.44049689441</v>
      </c>
      <c r="AT135" s="14">
        <f t="shared" si="36"/>
        <v>1080.44049689441</v>
      </c>
      <c r="AU135" s="14">
        <f t="shared" si="36"/>
        <v>11377.962732919255</v>
      </c>
      <c r="AV135" s="14">
        <f t="shared" si="36"/>
        <v>4197.8175618073319</v>
      </c>
      <c r="AW135" s="14">
        <f t="shared" si="36"/>
        <v>4077.8799171842647</v>
      </c>
      <c r="AX135" s="14">
        <f t="shared" si="36"/>
        <v>4077.8799171842647</v>
      </c>
      <c r="AY135" s="14">
        <f t="shared" si="36"/>
        <v>2774.8369565217395</v>
      </c>
      <c r="AZ135" s="14">
        <f t="shared" si="36"/>
        <v>3346.1804347826092</v>
      </c>
      <c r="BA135" s="14">
        <f t="shared" si="36"/>
        <v>3550.1277018633536</v>
      </c>
      <c r="BB135" s="13">
        <f t="shared" si="36"/>
        <v>6695.0902173913046</v>
      </c>
      <c r="BC135" s="14">
        <f t="shared" si="36"/>
        <v>26587.781780538302</v>
      </c>
      <c r="BD135" s="14">
        <f t="shared" si="36"/>
        <v>26587.781780538302</v>
      </c>
      <c r="BE135" s="14">
        <f t="shared" si="36"/>
        <v>26587.781780538302</v>
      </c>
      <c r="BF135" s="13">
        <f t="shared" si="36"/>
        <v>7475.6836956521738</v>
      </c>
      <c r="BG135" s="13">
        <f t="shared" si="36"/>
        <v>6910.2538043478253</v>
      </c>
      <c r="BH135" s="14">
        <f t="shared" si="36"/>
        <v>2824.4730030333671</v>
      </c>
      <c r="BI135" s="14">
        <f t="shared" si="36"/>
        <v>2636.423053589484</v>
      </c>
      <c r="BJ135" s="15">
        <f t="shared" si="36"/>
        <v>2824.4730030333671</v>
      </c>
      <c r="BM135" s="35" t="s">
        <v>25</v>
      </c>
      <c r="BN135" s="16">
        <v>1323</v>
      </c>
      <c r="BO135" s="14">
        <v>1323</v>
      </c>
      <c r="BP135" s="14">
        <v>1323</v>
      </c>
      <c r="BQ135" s="14">
        <v>1323</v>
      </c>
      <c r="BR135" s="14">
        <v>1323</v>
      </c>
      <c r="BS135" s="14">
        <v>1323</v>
      </c>
      <c r="BT135" s="14">
        <v>1323</v>
      </c>
      <c r="BU135" s="14">
        <v>1323</v>
      </c>
      <c r="BV135" s="14">
        <v>1342</v>
      </c>
      <c r="BW135" s="14">
        <v>1342</v>
      </c>
      <c r="BX135" s="14">
        <v>1342</v>
      </c>
      <c r="BY135" s="14">
        <v>1342</v>
      </c>
      <c r="BZ135" s="14">
        <v>1457</v>
      </c>
      <c r="CA135" s="14">
        <v>1505</v>
      </c>
      <c r="CB135" s="14">
        <v>1505</v>
      </c>
      <c r="CC135" s="13">
        <v>1369</v>
      </c>
      <c r="CD135" s="13">
        <v>1369</v>
      </c>
      <c r="CE135" s="13">
        <v>1369</v>
      </c>
      <c r="CF135" s="13">
        <v>1355</v>
      </c>
      <c r="CG135" s="13">
        <v>1355</v>
      </c>
      <c r="CH135" s="13">
        <v>1335</v>
      </c>
      <c r="CI135" s="13">
        <v>1335</v>
      </c>
      <c r="CJ135" s="13">
        <v>1335</v>
      </c>
      <c r="CK135" s="13">
        <v>1335</v>
      </c>
      <c r="CL135" s="12"/>
      <c r="CM135" s="13">
        <v>1364</v>
      </c>
      <c r="CN135" s="13">
        <v>1361</v>
      </c>
      <c r="CO135" s="13">
        <v>1361</v>
      </c>
      <c r="CP135" s="13">
        <v>1414</v>
      </c>
      <c r="CQ135" s="13">
        <v>1414</v>
      </c>
      <c r="CR135" s="13">
        <v>1370</v>
      </c>
      <c r="CS135" s="13">
        <v>1397</v>
      </c>
      <c r="CT135" s="14">
        <v>1766</v>
      </c>
      <c r="CU135" s="14">
        <v>1766</v>
      </c>
      <c r="CV135" s="14">
        <v>1766</v>
      </c>
      <c r="CW135" s="14">
        <v>1766</v>
      </c>
      <c r="CX135" s="14">
        <v>1341</v>
      </c>
      <c r="CY135" s="14">
        <v>1341</v>
      </c>
      <c r="CZ135" s="14">
        <v>1341</v>
      </c>
      <c r="DA135" s="14">
        <v>1323</v>
      </c>
      <c r="DB135" s="14">
        <v>1323</v>
      </c>
      <c r="DC135" s="14">
        <v>1323</v>
      </c>
      <c r="DD135" s="14">
        <v>1417</v>
      </c>
      <c r="DE135" s="14">
        <v>1417</v>
      </c>
      <c r="DF135" s="14">
        <v>1417</v>
      </c>
      <c r="DG135" s="14">
        <v>1343</v>
      </c>
      <c r="DH135" s="14">
        <v>1444</v>
      </c>
      <c r="DI135" s="14">
        <v>1444</v>
      </c>
      <c r="DJ135" s="14">
        <v>1444</v>
      </c>
      <c r="DK135" s="14">
        <v>1525</v>
      </c>
      <c r="DL135" s="14">
        <v>1839</v>
      </c>
      <c r="DM135" s="14">
        <v>1552</v>
      </c>
      <c r="DN135" s="13">
        <v>1338</v>
      </c>
      <c r="DO135" s="14">
        <v>1345</v>
      </c>
      <c r="DP135" s="14">
        <v>1345</v>
      </c>
      <c r="DQ135" s="14">
        <v>1345</v>
      </c>
      <c r="DR135" s="13">
        <v>1494</v>
      </c>
      <c r="DS135" s="13">
        <v>1381</v>
      </c>
      <c r="DT135" s="14">
        <v>1517</v>
      </c>
      <c r="DU135" s="14">
        <v>1416</v>
      </c>
      <c r="DV135" s="15">
        <v>1517</v>
      </c>
      <c r="DY135" s="35" t="s">
        <v>25</v>
      </c>
      <c r="DZ135" s="16">
        <v>6.2500000000000003E-3</v>
      </c>
      <c r="EA135" s="14">
        <v>6.2500000000000003E-3</v>
      </c>
      <c r="EB135" s="14">
        <v>6.2500000000000003E-3</v>
      </c>
      <c r="EC135" s="14">
        <v>6.2500000000000003E-3</v>
      </c>
      <c r="ED135" s="14">
        <v>6.2500000000000003E-3</v>
      </c>
      <c r="EE135" s="14">
        <v>6.2500000000000003E-3</v>
      </c>
      <c r="EF135" s="14">
        <v>6.2500000000000003E-3</v>
      </c>
      <c r="EG135" s="14">
        <v>6.2500000000000003E-3</v>
      </c>
      <c r="EH135" s="14">
        <v>6.2500000000000003E-3</v>
      </c>
      <c r="EI135" s="14">
        <v>6.2500000000000003E-3</v>
      </c>
      <c r="EJ135" s="14">
        <v>6.2500000000000003E-3</v>
      </c>
      <c r="EK135" s="14">
        <v>6.2500000000000003E-3</v>
      </c>
      <c r="EL135" s="14">
        <v>6.2500000000000003E-3</v>
      </c>
      <c r="EM135" s="14">
        <v>4.6511627906976744E-3</v>
      </c>
      <c r="EN135" s="14">
        <v>4.6511627906976744E-3</v>
      </c>
      <c r="EO135" s="13">
        <f t="shared" si="28"/>
        <v>1.2500000000000001E-2</v>
      </c>
      <c r="EP135" s="13">
        <f t="shared" si="28"/>
        <v>1.2500000000000001E-2</v>
      </c>
      <c r="EQ135" s="13">
        <f t="shared" si="28"/>
        <v>1.2500000000000001E-2</v>
      </c>
      <c r="ER135" s="13">
        <f t="shared" si="28"/>
        <v>1.2500000000000001E-2</v>
      </c>
      <c r="ES135" s="13">
        <f t="shared" si="28"/>
        <v>1.2500000000000001E-2</v>
      </c>
      <c r="ET135" s="13">
        <f t="shared" si="28"/>
        <v>1.2500000000000001E-2</v>
      </c>
      <c r="EU135" s="13">
        <f t="shared" si="28"/>
        <v>1.2500000000000001E-2</v>
      </c>
      <c r="EV135" s="13">
        <f t="shared" si="28"/>
        <v>1.2500000000000001E-2</v>
      </c>
      <c r="EW135" s="13">
        <f t="shared" si="28"/>
        <v>1.2500000000000001E-2</v>
      </c>
      <c r="EX135" s="12">
        <v>0.6</v>
      </c>
      <c r="EY135" s="13">
        <f t="shared" si="23"/>
        <v>1.2500000000000001E-2</v>
      </c>
      <c r="EZ135" s="13">
        <f t="shared" si="23"/>
        <v>1.2500000000000001E-2</v>
      </c>
      <c r="FA135" s="13">
        <f t="shared" si="23"/>
        <v>1.2500000000000001E-2</v>
      </c>
      <c r="FB135" s="13">
        <f t="shared" si="23"/>
        <v>1.2500000000000001E-2</v>
      </c>
      <c r="FC135" s="13">
        <f t="shared" si="23"/>
        <v>1.2500000000000001E-2</v>
      </c>
      <c r="FD135" s="13">
        <f t="shared" si="23"/>
        <v>1.2500000000000001E-2</v>
      </c>
      <c r="FE135" s="13">
        <f t="shared" si="23"/>
        <v>1.2500000000000001E-2</v>
      </c>
      <c r="FF135" s="14">
        <v>5.7142857142857143E-3</v>
      </c>
      <c r="FG135" s="14">
        <v>5.7142857142857143E-3</v>
      </c>
      <c r="FH135" s="14">
        <v>5.7142857142857143E-3</v>
      </c>
      <c r="FI135" s="14">
        <v>5.7142857142857143E-3</v>
      </c>
      <c r="FJ135" s="14">
        <v>5.7142857142857143E-3</v>
      </c>
      <c r="FK135" s="14">
        <v>5.7142857142857143E-3</v>
      </c>
      <c r="FL135" s="14">
        <v>5.7142857142857143E-3</v>
      </c>
      <c r="FM135" s="14">
        <v>4.7619047619047623E-3</v>
      </c>
      <c r="FN135" s="14">
        <v>4.7619047619047623E-3</v>
      </c>
      <c r="FO135" s="14">
        <v>4.7619047619047623E-3</v>
      </c>
      <c r="FP135" s="14">
        <v>5.7142857142857143E-3</v>
      </c>
      <c r="FQ135" s="14">
        <v>5.7142857142857143E-3</v>
      </c>
      <c r="FR135" s="14">
        <v>5.7142857142857143E-3</v>
      </c>
      <c r="FS135" s="14">
        <v>5.7142857142857143E-3</v>
      </c>
      <c r="FT135" s="14">
        <v>5.8823529411764705E-3</v>
      </c>
      <c r="FU135" s="14">
        <v>5.7142857142857143E-3</v>
      </c>
      <c r="FV135" s="14">
        <v>5.7142857142857143E-3</v>
      </c>
      <c r="FW135" s="14">
        <v>4.5454545454545461E-3</v>
      </c>
      <c r="FX135" s="14">
        <v>4.5454545454545461E-3</v>
      </c>
      <c r="FY135" s="14">
        <v>5.7142857142857143E-3</v>
      </c>
      <c r="FZ135" s="13">
        <f t="shared" si="34"/>
        <v>1.2500000000000001E-2</v>
      </c>
      <c r="GA135" s="14">
        <v>5.7142857142857143E-3</v>
      </c>
      <c r="GB135" s="14">
        <v>5.7142857142857143E-3</v>
      </c>
      <c r="GC135" s="14">
        <v>5.7142857142857143E-3</v>
      </c>
      <c r="GD135" s="13">
        <f t="shared" si="25"/>
        <v>1.2500000000000001E-2</v>
      </c>
      <c r="GE135" s="13">
        <f t="shared" si="25"/>
        <v>1.2500000000000001E-2</v>
      </c>
      <c r="GF135" s="14">
        <v>4.6511627906976744E-3</v>
      </c>
      <c r="GG135" s="14">
        <v>4.6511627906976744E-3</v>
      </c>
      <c r="GH135" s="15">
        <v>4.6511627906976744E-3</v>
      </c>
    </row>
    <row r="136" spans="1:190" x14ac:dyDescent="0.3">
      <c r="A136" s="35" t="s">
        <v>26</v>
      </c>
      <c r="B136" s="16">
        <f>BN136*DZ136*B110*2</f>
        <v>183887.24826766306</v>
      </c>
      <c r="C136" s="14">
        <f t="shared" ref="C136:BJ136" si="37">BO136*EA136*C110*2</f>
        <v>183887.24826766306</v>
      </c>
      <c r="D136" s="14">
        <f t="shared" si="37"/>
        <v>183887.24826766306</v>
      </c>
      <c r="E136" s="14">
        <f t="shared" si="37"/>
        <v>183887.24826766306</v>
      </c>
      <c r="F136" s="14">
        <f t="shared" si="37"/>
        <v>183887.24826766306</v>
      </c>
      <c r="G136" s="14">
        <f t="shared" si="37"/>
        <v>183887.24826766306</v>
      </c>
      <c r="H136" s="14">
        <f t="shared" si="37"/>
        <v>183887.24826766306</v>
      </c>
      <c r="I136" s="14">
        <f t="shared" si="37"/>
        <v>183887.24826766306</v>
      </c>
      <c r="J136" s="14">
        <f t="shared" si="37"/>
        <v>3108.8451086956529</v>
      </c>
      <c r="K136" s="14">
        <f t="shared" si="37"/>
        <v>3108.8451086956529</v>
      </c>
      <c r="L136" s="14">
        <f t="shared" si="37"/>
        <v>3108.8451086956529</v>
      </c>
      <c r="M136" s="14">
        <f t="shared" si="37"/>
        <v>3108.8451086956529</v>
      </c>
      <c r="N136" s="14">
        <f t="shared" si="37"/>
        <v>3645.2714673913047</v>
      </c>
      <c r="O136" s="14">
        <f t="shared" si="37"/>
        <v>5189.130434782609</v>
      </c>
      <c r="P136" s="14">
        <f t="shared" si="37"/>
        <v>5189.130434782609</v>
      </c>
      <c r="Q136" s="13">
        <f t="shared" si="37"/>
        <v>93026.278079710144</v>
      </c>
      <c r="R136" s="13">
        <f t="shared" si="37"/>
        <v>93026.278079710144</v>
      </c>
      <c r="S136" s="13">
        <f t="shared" si="37"/>
        <v>93026.278079710144</v>
      </c>
      <c r="T136" s="13">
        <f t="shared" si="37"/>
        <v>12555.842391304348</v>
      </c>
      <c r="U136" s="13">
        <f t="shared" si="37"/>
        <v>12555.842391304348</v>
      </c>
      <c r="V136" s="13">
        <f t="shared" si="37"/>
        <v>105147.9375</v>
      </c>
      <c r="W136" s="13">
        <f t="shared" si="37"/>
        <v>105147.9375</v>
      </c>
      <c r="X136" s="13">
        <f t="shared" si="37"/>
        <v>105147.9375</v>
      </c>
      <c r="Y136" s="13">
        <f t="shared" si="37"/>
        <v>105147.9375</v>
      </c>
      <c r="Z136" s="13">
        <f t="shared" si="37"/>
        <v>3412.5945652173914</v>
      </c>
      <c r="AA136" s="12">
        <f t="shared" si="37"/>
        <v>0</v>
      </c>
      <c r="AB136" s="13">
        <f t="shared" si="37"/>
        <v>3405.0888586956521</v>
      </c>
      <c r="AC136" s="13">
        <f t="shared" si="37"/>
        <v>3405.0888586956521</v>
      </c>
      <c r="AD136" s="13">
        <f t="shared" si="37"/>
        <v>3537.6896739130434</v>
      </c>
      <c r="AE136" s="13">
        <f t="shared" si="37"/>
        <v>3537.6896739130434</v>
      </c>
      <c r="AF136" s="13">
        <f t="shared" si="37"/>
        <v>6855.211956521739</v>
      </c>
      <c r="AG136" s="13">
        <f t="shared" si="37"/>
        <v>6990.3146739130443</v>
      </c>
      <c r="AH136" s="14">
        <f t="shared" si="37"/>
        <v>1009.9106832298136</v>
      </c>
      <c r="AI136" s="14">
        <f t="shared" si="37"/>
        <v>1009.9106832298136</v>
      </c>
      <c r="AJ136" s="14">
        <f t="shared" si="37"/>
        <v>1009.9106832298136</v>
      </c>
      <c r="AK136" s="14">
        <f t="shared" si="37"/>
        <v>1009.9106832298136</v>
      </c>
      <c r="AL136" s="14">
        <f t="shared" si="37"/>
        <v>45443.408198757767</v>
      </c>
      <c r="AM136" s="14">
        <f t="shared" si="37"/>
        <v>45443.408198757767</v>
      </c>
      <c r="AN136" s="14">
        <f t="shared" si="37"/>
        <v>45443.408198757767</v>
      </c>
      <c r="AO136" s="14">
        <f t="shared" si="37"/>
        <v>840.63913043478271</v>
      </c>
      <c r="AP136" s="14">
        <f t="shared" si="37"/>
        <v>840.63913043478271</v>
      </c>
      <c r="AQ136" s="14">
        <f t="shared" si="37"/>
        <v>840.63913043478271</v>
      </c>
      <c r="AR136" s="14">
        <f t="shared" si="37"/>
        <v>1080.44049689441</v>
      </c>
      <c r="AS136" s="14">
        <f t="shared" si="37"/>
        <v>1080.44049689441</v>
      </c>
      <c r="AT136" s="14">
        <f t="shared" si="37"/>
        <v>1080.44049689441</v>
      </c>
      <c r="AU136" s="14">
        <f t="shared" si="37"/>
        <v>11377.962732919255</v>
      </c>
      <c r="AV136" s="14">
        <f t="shared" si="37"/>
        <v>4197.8175618073319</v>
      </c>
      <c r="AW136" s="14">
        <f t="shared" si="37"/>
        <v>4077.8799171842647</v>
      </c>
      <c r="AX136" s="14">
        <f t="shared" si="37"/>
        <v>4077.8799171842647</v>
      </c>
      <c r="AY136" s="14">
        <f t="shared" si="37"/>
        <v>2774.8369565217395</v>
      </c>
      <c r="AZ136" s="14">
        <f t="shared" si="37"/>
        <v>3346.1804347826092</v>
      </c>
      <c r="BA136" s="14">
        <f t="shared" si="37"/>
        <v>3550.1277018633536</v>
      </c>
      <c r="BB136" s="13">
        <f t="shared" si="37"/>
        <v>6695.0902173913046</v>
      </c>
      <c r="BC136" s="14">
        <f t="shared" si="37"/>
        <v>26587.781780538302</v>
      </c>
      <c r="BD136" s="14">
        <f t="shared" si="37"/>
        <v>26587.781780538302</v>
      </c>
      <c r="BE136" s="14">
        <f t="shared" si="37"/>
        <v>26587.781780538302</v>
      </c>
      <c r="BF136" s="13">
        <f t="shared" si="37"/>
        <v>7475.6836956521738</v>
      </c>
      <c r="BG136" s="13">
        <f t="shared" si="37"/>
        <v>6910.2538043478253</v>
      </c>
      <c r="BH136" s="14">
        <f t="shared" si="37"/>
        <v>2824.4730030333671</v>
      </c>
      <c r="BI136" s="14">
        <f t="shared" si="37"/>
        <v>2636.423053589484</v>
      </c>
      <c r="BJ136" s="15">
        <f t="shared" si="37"/>
        <v>2824.4730030333671</v>
      </c>
      <c r="BM136" s="35" t="s">
        <v>26</v>
      </c>
      <c r="BN136" s="16">
        <v>1323</v>
      </c>
      <c r="BO136" s="14">
        <v>1323</v>
      </c>
      <c r="BP136" s="14">
        <v>1323</v>
      </c>
      <c r="BQ136" s="14">
        <v>1323</v>
      </c>
      <c r="BR136" s="14">
        <v>1323</v>
      </c>
      <c r="BS136" s="14">
        <v>1323</v>
      </c>
      <c r="BT136" s="14">
        <v>1323</v>
      </c>
      <c r="BU136" s="14">
        <v>1323</v>
      </c>
      <c r="BV136" s="14">
        <v>1342</v>
      </c>
      <c r="BW136" s="14">
        <v>1342</v>
      </c>
      <c r="BX136" s="14">
        <v>1342</v>
      </c>
      <c r="BY136" s="14">
        <v>1342</v>
      </c>
      <c r="BZ136" s="14">
        <v>1457</v>
      </c>
      <c r="CA136" s="14">
        <v>1505</v>
      </c>
      <c r="CB136" s="14">
        <v>1505</v>
      </c>
      <c r="CC136" s="13">
        <v>1369</v>
      </c>
      <c r="CD136" s="13">
        <v>1369</v>
      </c>
      <c r="CE136" s="13">
        <v>1369</v>
      </c>
      <c r="CF136" s="13">
        <v>1355</v>
      </c>
      <c r="CG136" s="13">
        <v>1355</v>
      </c>
      <c r="CH136" s="13">
        <v>1335</v>
      </c>
      <c r="CI136" s="13">
        <v>1335</v>
      </c>
      <c r="CJ136" s="13">
        <v>1335</v>
      </c>
      <c r="CK136" s="13">
        <v>1335</v>
      </c>
      <c r="CL136" s="13">
        <v>1364</v>
      </c>
      <c r="CM136" s="12"/>
      <c r="CN136" s="13">
        <v>1361</v>
      </c>
      <c r="CO136" s="13">
        <v>1361</v>
      </c>
      <c r="CP136" s="13">
        <v>1414</v>
      </c>
      <c r="CQ136" s="13">
        <v>1414</v>
      </c>
      <c r="CR136" s="13">
        <v>1370</v>
      </c>
      <c r="CS136" s="13">
        <v>1397</v>
      </c>
      <c r="CT136" s="14">
        <v>1766</v>
      </c>
      <c r="CU136" s="14">
        <v>1766</v>
      </c>
      <c r="CV136" s="14">
        <v>1766</v>
      </c>
      <c r="CW136" s="14">
        <v>1766</v>
      </c>
      <c r="CX136" s="14">
        <v>1341</v>
      </c>
      <c r="CY136" s="14">
        <v>1341</v>
      </c>
      <c r="CZ136" s="14">
        <v>1341</v>
      </c>
      <c r="DA136" s="14">
        <v>1323</v>
      </c>
      <c r="DB136" s="14">
        <v>1323</v>
      </c>
      <c r="DC136" s="14">
        <v>1323</v>
      </c>
      <c r="DD136" s="14">
        <v>1417</v>
      </c>
      <c r="DE136" s="14">
        <v>1417</v>
      </c>
      <c r="DF136" s="14">
        <v>1417</v>
      </c>
      <c r="DG136" s="14">
        <v>1343</v>
      </c>
      <c r="DH136" s="14">
        <v>1444</v>
      </c>
      <c r="DI136" s="14">
        <v>1444</v>
      </c>
      <c r="DJ136" s="14">
        <v>1444</v>
      </c>
      <c r="DK136" s="14">
        <v>1525</v>
      </c>
      <c r="DL136" s="14">
        <v>1839</v>
      </c>
      <c r="DM136" s="14">
        <v>1552</v>
      </c>
      <c r="DN136" s="13">
        <v>1338</v>
      </c>
      <c r="DO136" s="14">
        <v>1345</v>
      </c>
      <c r="DP136" s="14">
        <v>1345</v>
      </c>
      <c r="DQ136" s="14">
        <v>1345</v>
      </c>
      <c r="DR136" s="13">
        <v>1494</v>
      </c>
      <c r="DS136" s="13">
        <v>1381</v>
      </c>
      <c r="DT136" s="14">
        <v>1517</v>
      </c>
      <c r="DU136" s="14">
        <v>1416</v>
      </c>
      <c r="DV136" s="15">
        <v>1517</v>
      </c>
      <c r="DY136" s="35" t="s">
        <v>26</v>
      </c>
      <c r="DZ136" s="16">
        <v>6.2500000000000003E-3</v>
      </c>
      <c r="EA136" s="14">
        <v>6.2500000000000003E-3</v>
      </c>
      <c r="EB136" s="14">
        <v>6.2500000000000003E-3</v>
      </c>
      <c r="EC136" s="14">
        <v>6.2500000000000003E-3</v>
      </c>
      <c r="ED136" s="14">
        <v>6.2500000000000003E-3</v>
      </c>
      <c r="EE136" s="14">
        <v>6.2500000000000003E-3</v>
      </c>
      <c r="EF136" s="14">
        <v>6.2500000000000003E-3</v>
      </c>
      <c r="EG136" s="14">
        <v>6.2500000000000003E-3</v>
      </c>
      <c r="EH136" s="14">
        <v>6.2500000000000003E-3</v>
      </c>
      <c r="EI136" s="14">
        <v>6.2500000000000003E-3</v>
      </c>
      <c r="EJ136" s="14">
        <v>6.2500000000000003E-3</v>
      </c>
      <c r="EK136" s="14">
        <v>6.2500000000000003E-3</v>
      </c>
      <c r="EL136" s="14">
        <v>6.2500000000000003E-3</v>
      </c>
      <c r="EM136" s="14">
        <v>4.6511627906976744E-3</v>
      </c>
      <c r="EN136" s="14">
        <v>4.6511627906976744E-3</v>
      </c>
      <c r="EO136" s="13">
        <f t="shared" si="28"/>
        <v>1.2500000000000001E-2</v>
      </c>
      <c r="EP136" s="13">
        <f t="shared" si="28"/>
        <v>1.2500000000000001E-2</v>
      </c>
      <c r="EQ136" s="13">
        <f t="shared" si="28"/>
        <v>1.2500000000000001E-2</v>
      </c>
      <c r="ER136" s="13">
        <f t="shared" si="28"/>
        <v>1.2500000000000001E-2</v>
      </c>
      <c r="ES136" s="13">
        <f t="shared" si="28"/>
        <v>1.2500000000000001E-2</v>
      </c>
      <c r="ET136" s="13">
        <f t="shared" si="28"/>
        <v>1.2500000000000001E-2</v>
      </c>
      <c r="EU136" s="13">
        <f t="shared" si="28"/>
        <v>1.2500000000000001E-2</v>
      </c>
      <c r="EV136" s="13">
        <f t="shared" si="28"/>
        <v>1.2500000000000001E-2</v>
      </c>
      <c r="EW136" s="13">
        <f t="shared" si="28"/>
        <v>1.2500000000000001E-2</v>
      </c>
      <c r="EX136" s="13">
        <f t="shared" si="28"/>
        <v>1.2500000000000001E-2</v>
      </c>
      <c r="EY136" s="12">
        <v>0.6</v>
      </c>
      <c r="EZ136" s="13">
        <f t="shared" si="23"/>
        <v>1.2500000000000001E-2</v>
      </c>
      <c r="FA136" s="13">
        <f t="shared" si="23"/>
        <v>1.2500000000000001E-2</v>
      </c>
      <c r="FB136" s="13">
        <f t="shared" si="23"/>
        <v>1.2500000000000001E-2</v>
      </c>
      <c r="FC136" s="13">
        <f t="shared" si="23"/>
        <v>1.2500000000000001E-2</v>
      </c>
      <c r="FD136" s="13">
        <f t="shared" si="23"/>
        <v>1.2500000000000001E-2</v>
      </c>
      <c r="FE136" s="13">
        <f t="shared" si="23"/>
        <v>1.2500000000000001E-2</v>
      </c>
      <c r="FF136" s="14">
        <v>5.7142857142857143E-3</v>
      </c>
      <c r="FG136" s="14">
        <v>5.7142857142857143E-3</v>
      </c>
      <c r="FH136" s="14">
        <v>5.7142857142857143E-3</v>
      </c>
      <c r="FI136" s="14">
        <v>5.7142857142857143E-3</v>
      </c>
      <c r="FJ136" s="14">
        <v>5.7142857142857143E-3</v>
      </c>
      <c r="FK136" s="14">
        <v>5.7142857142857143E-3</v>
      </c>
      <c r="FL136" s="14">
        <v>5.7142857142857143E-3</v>
      </c>
      <c r="FM136" s="14">
        <v>4.7619047619047623E-3</v>
      </c>
      <c r="FN136" s="14">
        <v>4.7619047619047623E-3</v>
      </c>
      <c r="FO136" s="14">
        <v>4.7619047619047623E-3</v>
      </c>
      <c r="FP136" s="14">
        <v>5.7142857142857143E-3</v>
      </c>
      <c r="FQ136" s="14">
        <v>5.7142857142857143E-3</v>
      </c>
      <c r="FR136" s="14">
        <v>5.7142857142857143E-3</v>
      </c>
      <c r="FS136" s="14">
        <v>5.7142857142857143E-3</v>
      </c>
      <c r="FT136" s="14">
        <v>5.8823529411764705E-3</v>
      </c>
      <c r="FU136" s="14">
        <v>5.7142857142857143E-3</v>
      </c>
      <c r="FV136" s="14">
        <v>5.7142857142857143E-3</v>
      </c>
      <c r="FW136" s="14">
        <v>4.5454545454545461E-3</v>
      </c>
      <c r="FX136" s="14">
        <v>4.5454545454545461E-3</v>
      </c>
      <c r="FY136" s="14">
        <v>5.7142857142857143E-3</v>
      </c>
      <c r="FZ136" s="13">
        <f t="shared" si="34"/>
        <v>1.2500000000000001E-2</v>
      </c>
      <c r="GA136" s="14">
        <v>5.7142857142857143E-3</v>
      </c>
      <c r="GB136" s="14">
        <v>5.7142857142857143E-3</v>
      </c>
      <c r="GC136" s="14">
        <v>5.7142857142857143E-3</v>
      </c>
      <c r="GD136" s="13">
        <f t="shared" si="25"/>
        <v>1.2500000000000001E-2</v>
      </c>
      <c r="GE136" s="13">
        <f t="shared" si="25"/>
        <v>1.2500000000000001E-2</v>
      </c>
      <c r="GF136" s="14">
        <v>4.6511627906976744E-3</v>
      </c>
      <c r="GG136" s="14">
        <v>4.6511627906976744E-3</v>
      </c>
      <c r="GH136" s="15">
        <v>4.6511627906976744E-3</v>
      </c>
    </row>
    <row r="137" spans="1:190" x14ac:dyDescent="0.3">
      <c r="A137" s="35" t="s">
        <v>27</v>
      </c>
      <c r="B137" s="16">
        <f>BN137*DZ137*B110*2</f>
        <v>183470.27038043478</v>
      </c>
      <c r="C137" s="14">
        <f t="shared" ref="C137:BJ137" si="38">BO137*EA137*C110*2</f>
        <v>183470.27038043478</v>
      </c>
      <c r="D137" s="14">
        <f t="shared" si="38"/>
        <v>183470.27038043478</v>
      </c>
      <c r="E137" s="14">
        <f t="shared" si="38"/>
        <v>183470.27038043478</v>
      </c>
      <c r="F137" s="14">
        <f t="shared" si="38"/>
        <v>183470.27038043478</v>
      </c>
      <c r="G137" s="14">
        <f t="shared" si="38"/>
        <v>183470.27038043478</v>
      </c>
      <c r="H137" s="14">
        <f t="shared" si="38"/>
        <v>183470.27038043478</v>
      </c>
      <c r="I137" s="14">
        <f t="shared" si="38"/>
        <v>183470.27038043478</v>
      </c>
      <c r="J137" s="14">
        <f t="shared" si="38"/>
        <v>3099.5788043478265</v>
      </c>
      <c r="K137" s="14">
        <f t="shared" si="38"/>
        <v>3099.5788043478265</v>
      </c>
      <c r="L137" s="14">
        <f t="shared" si="38"/>
        <v>3099.5788043478265</v>
      </c>
      <c r="M137" s="14">
        <f t="shared" si="38"/>
        <v>3099.5788043478265</v>
      </c>
      <c r="N137" s="14">
        <f t="shared" si="38"/>
        <v>3637.7657608695654</v>
      </c>
      <c r="O137" s="14">
        <f t="shared" si="38"/>
        <v>5178.7866531850359</v>
      </c>
      <c r="P137" s="14">
        <f t="shared" si="38"/>
        <v>5178.7866531850359</v>
      </c>
      <c r="Q137" s="13">
        <f t="shared" si="38"/>
        <v>92822.422101449265</v>
      </c>
      <c r="R137" s="13">
        <f t="shared" si="38"/>
        <v>92822.422101449265</v>
      </c>
      <c r="S137" s="13">
        <f t="shared" si="38"/>
        <v>92822.422101449265</v>
      </c>
      <c r="T137" s="13">
        <f t="shared" si="38"/>
        <v>12528.043478260872</v>
      </c>
      <c r="U137" s="13">
        <f t="shared" si="38"/>
        <v>12528.043478260872</v>
      </c>
      <c r="V137" s="13">
        <f t="shared" si="38"/>
        <v>104911.65000000001</v>
      </c>
      <c r="W137" s="13">
        <f t="shared" si="38"/>
        <v>104911.65000000001</v>
      </c>
      <c r="X137" s="13">
        <f t="shared" si="38"/>
        <v>104911.65000000001</v>
      </c>
      <c r="Y137" s="13">
        <f t="shared" si="38"/>
        <v>104911.65000000001</v>
      </c>
      <c r="Z137" s="13">
        <f t="shared" si="38"/>
        <v>3405.0888586956521</v>
      </c>
      <c r="AA137" s="13">
        <f t="shared" si="38"/>
        <v>3405.0888586956521</v>
      </c>
      <c r="AB137" s="12">
        <f t="shared" si="38"/>
        <v>0</v>
      </c>
      <c r="AC137" s="13">
        <f t="shared" si="38"/>
        <v>3397.5831521739133</v>
      </c>
      <c r="AD137" s="13">
        <f t="shared" si="38"/>
        <v>3530.1839673913041</v>
      </c>
      <c r="AE137" s="13">
        <f t="shared" si="38"/>
        <v>3530.1839673913041</v>
      </c>
      <c r="AF137" s="13">
        <f t="shared" si="38"/>
        <v>6840.2005434782614</v>
      </c>
      <c r="AG137" s="13">
        <f t="shared" si="38"/>
        <v>6975.3032608695648</v>
      </c>
      <c r="AH137" s="14">
        <f t="shared" si="38"/>
        <v>1008.1950931677019</v>
      </c>
      <c r="AI137" s="14">
        <f t="shared" si="38"/>
        <v>1008.1950931677019</v>
      </c>
      <c r="AJ137" s="14">
        <f t="shared" si="38"/>
        <v>1008.1950931677019</v>
      </c>
      <c r="AK137" s="14">
        <f t="shared" si="38"/>
        <v>1008.1950931677019</v>
      </c>
      <c r="AL137" s="14">
        <f t="shared" si="38"/>
        <v>45341.745093167709</v>
      </c>
      <c r="AM137" s="14">
        <f t="shared" si="38"/>
        <v>45341.745093167709</v>
      </c>
      <c r="AN137" s="14">
        <f t="shared" si="38"/>
        <v>45341.745093167709</v>
      </c>
      <c r="AO137" s="14">
        <f t="shared" si="38"/>
        <v>838.73291925465855</v>
      </c>
      <c r="AP137" s="14">
        <f t="shared" si="38"/>
        <v>838.73291925465855</v>
      </c>
      <c r="AQ137" s="14">
        <f t="shared" si="38"/>
        <v>838.73291925465855</v>
      </c>
      <c r="AR137" s="14">
        <f t="shared" si="38"/>
        <v>1077.3905590062113</v>
      </c>
      <c r="AS137" s="14">
        <f t="shared" si="38"/>
        <v>1077.3905590062113</v>
      </c>
      <c r="AT137" s="14">
        <f t="shared" si="38"/>
        <v>1077.3905590062113</v>
      </c>
      <c r="AU137" s="14">
        <f t="shared" si="38"/>
        <v>11352.546583850934</v>
      </c>
      <c r="AV137" s="14">
        <f t="shared" si="38"/>
        <v>4189.0963341858478</v>
      </c>
      <c r="AW137" s="14">
        <f t="shared" si="38"/>
        <v>4069.4078674948241</v>
      </c>
      <c r="AX137" s="14">
        <f t="shared" si="38"/>
        <v>4069.4078674948241</v>
      </c>
      <c r="AY137" s="14">
        <f t="shared" si="38"/>
        <v>2767.5586956521743</v>
      </c>
      <c r="AZ137" s="14">
        <f t="shared" si="38"/>
        <v>3340.7217391304353</v>
      </c>
      <c r="BA137" s="14">
        <f t="shared" si="38"/>
        <v>3543.2653416149064</v>
      </c>
      <c r="BB137" s="13">
        <f t="shared" si="38"/>
        <v>6680.078804347826</v>
      </c>
      <c r="BC137" s="14">
        <f t="shared" si="38"/>
        <v>26528.478178053829</v>
      </c>
      <c r="BD137" s="14">
        <f t="shared" si="38"/>
        <v>26528.478178053829</v>
      </c>
      <c r="BE137" s="14">
        <f t="shared" si="38"/>
        <v>26528.478178053829</v>
      </c>
      <c r="BF137" s="13">
        <f t="shared" si="38"/>
        <v>7460.6722826086952</v>
      </c>
      <c r="BG137" s="13">
        <f t="shared" si="38"/>
        <v>6895.2423913043485</v>
      </c>
      <c r="BH137" s="14">
        <f t="shared" si="38"/>
        <v>2818.887360970677</v>
      </c>
      <c r="BI137" s="14">
        <f t="shared" si="38"/>
        <v>2630.8374115267948</v>
      </c>
      <c r="BJ137" s="15">
        <f t="shared" si="38"/>
        <v>2818.887360970677</v>
      </c>
      <c r="BM137" s="35" t="s">
        <v>27</v>
      </c>
      <c r="BN137" s="16">
        <v>1320</v>
      </c>
      <c r="BO137" s="14">
        <v>1320</v>
      </c>
      <c r="BP137" s="14">
        <v>1320</v>
      </c>
      <c r="BQ137" s="14">
        <v>1320</v>
      </c>
      <c r="BR137" s="14">
        <v>1320</v>
      </c>
      <c r="BS137" s="14">
        <v>1320</v>
      </c>
      <c r="BT137" s="14">
        <v>1320</v>
      </c>
      <c r="BU137" s="14">
        <v>1320</v>
      </c>
      <c r="BV137" s="14">
        <v>1338</v>
      </c>
      <c r="BW137" s="14">
        <v>1338</v>
      </c>
      <c r="BX137" s="14">
        <v>1338</v>
      </c>
      <c r="BY137" s="14">
        <v>1338</v>
      </c>
      <c r="BZ137" s="14">
        <v>1454</v>
      </c>
      <c r="CA137" s="14">
        <v>1502</v>
      </c>
      <c r="CB137" s="14">
        <v>1502</v>
      </c>
      <c r="CC137" s="13">
        <v>1366</v>
      </c>
      <c r="CD137" s="13">
        <v>1366</v>
      </c>
      <c r="CE137" s="13">
        <v>1366</v>
      </c>
      <c r="CF137" s="13">
        <v>1352</v>
      </c>
      <c r="CG137" s="13">
        <v>1352</v>
      </c>
      <c r="CH137" s="13">
        <v>1332</v>
      </c>
      <c r="CI137" s="13">
        <v>1332</v>
      </c>
      <c r="CJ137" s="13">
        <v>1332</v>
      </c>
      <c r="CK137" s="13">
        <v>1332</v>
      </c>
      <c r="CL137" s="13">
        <v>1361</v>
      </c>
      <c r="CM137" s="13">
        <v>1361</v>
      </c>
      <c r="CN137" s="12"/>
      <c r="CO137" s="13">
        <v>1358</v>
      </c>
      <c r="CP137" s="13">
        <v>1411</v>
      </c>
      <c r="CQ137" s="13">
        <v>1411</v>
      </c>
      <c r="CR137" s="13">
        <v>1367</v>
      </c>
      <c r="CS137" s="13">
        <v>1394</v>
      </c>
      <c r="CT137" s="14">
        <v>1763</v>
      </c>
      <c r="CU137" s="14">
        <v>1763</v>
      </c>
      <c r="CV137" s="14">
        <v>1763</v>
      </c>
      <c r="CW137" s="14">
        <v>1763</v>
      </c>
      <c r="CX137" s="14">
        <v>1338</v>
      </c>
      <c r="CY137" s="14">
        <v>1338</v>
      </c>
      <c r="CZ137" s="14">
        <v>1338</v>
      </c>
      <c r="DA137" s="14">
        <v>1320</v>
      </c>
      <c r="DB137" s="14">
        <v>1320</v>
      </c>
      <c r="DC137" s="14">
        <v>1320</v>
      </c>
      <c r="DD137" s="14">
        <v>1413</v>
      </c>
      <c r="DE137" s="14">
        <v>1413</v>
      </c>
      <c r="DF137" s="14">
        <v>1413</v>
      </c>
      <c r="DG137" s="14">
        <v>1340</v>
      </c>
      <c r="DH137" s="14">
        <v>1441</v>
      </c>
      <c r="DI137" s="14">
        <v>1441</v>
      </c>
      <c r="DJ137" s="14">
        <v>1441</v>
      </c>
      <c r="DK137" s="14">
        <v>1521</v>
      </c>
      <c r="DL137" s="14">
        <v>1836</v>
      </c>
      <c r="DM137" s="14">
        <v>1549</v>
      </c>
      <c r="DN137" s="13">
        <v>1335</v>
      </c>
      <c r="DO137" s="14">
        <v>1342</v>
      </c>
      <c r="DP137" s="14">
        <v>1342</v>
      </c>
      <c r="DQ137" s="14">
        <v>1342</v>
      </c>
      <c r="DR137" s="13">
        <v>1491</v>
      </c>
      <c r="DS137" s="13">
        <v>1378</v>
      </c>
      <c r="DT137" s="14">
        <v>1514</v>
      </c>
      <c r="DU137" s="14">
        <v>1413</v>
      </c>
      <c r="DV137" s="15">
        <v>1514</v>
      </c>
      <c r="DY137" s="35" t="s">
        <v>27</v>
      </c>
      <c r="DZ137" s="16">
        <v>6.2500000000000003E-3</v>
      </c>
      <c r="EA137" s="14">
        <v>6.2500000000000003E-3</v>
      </c>
      <c r="EB137" s="14">
        <v>6.2500000000000003E-3</v>
      </c>
      <c r="EC137" s="14">
        <v>6.2500000000000003E-3</v>
      </c>
      <c r="ED137" s="14">
        <v>6.2500000000000003E-3</v>
      </c>
      <c r="EE137" s="14">
        <v>6.2500000000000003E-3</v>
      </c>
      <c r="EF137" s="14">
        <v>6.2500000000000003E-3</v>
      </c>
      <c r="EG137" s="14">
        <v>6.2500000000000003E-3</v>
      </c>
      <c r="EH137" s="14">
        <v>6.2500000000000003E-3</v>
      </c>
      <c r="EI137" s="14">
        <v>6.2500000000000003E-3</v>
      </c>
      <c r="EJ137" s="14">
        <v>6.2500000000000003E-3</v>
      </c>
      <c r="EK137" s="14">
        <v>6.2500000000000003E-3</v>
      </c>
      <c r="EL137" s="14">
        <v>6.2500000000000003E-3</v>
      </c>
      <c r="EM137" s="14">
        <v>4.6511627906976744E-3</v>
      </c>
      <c r="EN137" s="14">
        <v>4.6511627906976744E-3</v>
      </c>
      <c r="EO137" s="13">
        <f t="shared" si="28"/>
        <v>1.2500000000000001E-2</v>
      </c>
      <c r="EP137" s="13">
        <f t="shared" si="28"/>
        <v>1.2500000000000001E-2</v>
      </c>
      <c r="EQ137" s="13">
        <f t="shared" si="28"/>
        <v>1.2500000000000001E-2</v>
      </c>
      <c r="ER137" s="13">
        <f t="shared" si="28"/>
        <v>1.2500000000000001E-2</v>
      </c>
      <c r="ES137" s="13">
        <f t="shared" si="28"/>
        <v>1.2500000000000001E-2</v>
      </c>
      <c r="ET137" s="13">
        <f t="shared" si="28"/>
        <v>1.2500000000000001E-2</v>
      </c>
      <c r="EU137" s="13">
        <f t="shared" si="28"/>
        <v>1.2500000000000001E-2</v>
      </c>
      <c r="EV137" s="13">
        <f t="shared" si="28"/>
        <v>1.2500000000000001E-2</v>
      </c>
      <c r="EW137" s="13">
        <f t="shared" si="28"/>
        <v>1.2500000000000001E-2</v>
      </c>
      <c r="EX137" s="13">
        <f t="shared" si="28"/>
        <v>1.2500000000000001E-2</v>
      </c>
      <c r="EY137" s="13">
        <f t="shared" si="28"/>
        <v>1.2500000000000001E-2</v>
      </c>
      <c r="EZ137" s="12">
        <v>0.6</v>
      </c>
      <c r="FA137" s="13">
        <f t="shared" si="23"/>
        <v>1.2500000000000001E-2</v>
      </c>
      <c r="FB137" s="13">
        <f t="shared" si="23"/>
        <v>1.2500000000000001E-2</v>
      </c>
      <c r="FC137" s="13">
        <f t="shared" si="23"/>
        <v>1.2500000000000001E-2</v>
      </c>
      <c r="FD137" s="13">
        <f t="shared" si="23"/>
        <v>1.2500000000000001E-2</v>
      </c>
      <c r="FE137" s="13">
        <f t="shared" si="23"/>
        <v>1.2500000000000001E-2</v>
      </c>
      <c r="FF137" s="14">
        <v>5.7142857142857143E-3</v>
      </c>
      <c r="FG137" s="14">
        <v>5.7142857142857143E-3</v>
      </c>
      <c r="FH137" s="14">
        <v>5.7142857142857143E-3</v>
      </c>
      <c r="FI137" s="14">
        <v>5.7142857142857143E-3</v>
      </c>
      <c r="FJ137" s="14">
        <v>5.7142857142857143E-3</v>
      </c>
      <c r="FK137" s="14">
        <v>5.7142857142857143E-3</v>
      </c>
      <c r="FL137" s="14">
        <v>5.7142857142857143E-3</v>
      </c>
      <c r="FM137" s="14">
        <v>4.7619047619047623E-3</v>
      </c>
      <c r="FN137" s="14">
        <v>4.7619047619047623E-3</v>
      </c>
      <c r="FO137" s="14">
        <v>4.7619047619047623E-3</v>
      </c>
      <c r="FP137" s="14">
        <v>5.7142857142857143E-3</v>
      </c>
      <c r="FQ137" s="14">
        <v>5.7142857142857143E-3</v>
      </c>
      <c r="FR137" s="14">
        <v>5.7142857142857143E-3</v>
      </c>
      <c r="FS137" s="14">
        <v>5.7142857142857143E-3</v>
      </c>
      <c r="FT137" s="14">
        <v>5.8823529411764705E-3</v>
      </c>
      <c r="FU137" s="14">
        <v>5.7142857142857143E-3</v>
      </c>
      <c r="FV137" s="14">
        <v>5.7142857142857143E-3</v>
      </c>
      <c r="FW137" s="14">
        <v>4.5454545454545461E-3</v>
      </c>
      <c r="FX137" s="14">
        <v>4.5454545454545461E-3</v>
      </c>
      <c r="FY137" s="14">
        <v>5.7142857142857143E-3</v>
      </c>
      <c r="FZ137" s="13">
        <f t="shared" si="34"/>
        <v>1.2500000000000001E-2</v>
      </c>
      <c r="GA137" s="14">
        <v>5.7142857142857143E-3</v>
      </c>
      <c r="GB137" s="14">
        <v>5.7142857142857143E-3</v>
      </c>
      <c r="GC137" s="14">
        <v>5.7142857142857143E-3</v>
      </c>
      <c r="GD137" s="13">
        <f t="shared" si="25"/>
        <v>1.2500000000000001E-2</v>
      </c>
      <c r="GE137" s="13">
        <f t="shared" si="25"/>
        <v>1.2500000000000001E-2</v>
      </c>
      <c r="GF137" s="14">
        <v>4.6511627906976744E-3</v>
      </c>
      <c r="GG137" s="14">
        <v>4.6511627906976744E-3</v>
      </c>
      <c r="GH137" s="15">
        <v>4.6511627906976744E-3</v>
      </c>
    </row>
    <row r="138" spans="1:190" x14ac:dyDescent="0.3">
      <c r="A138" s="35" t="s">
        <v>65</v>
      </c>
      <c r="B138" s="16">
        <f>BN138*DZ138*B110*2</f>
        <v>183470.27038043478</v>
      </c>
      <c r="C138" s="14">
        <f t="shared" ref="C138:BJ138" si="39">BO138*EA138*C110*2</f>
        <v>183470.27038043478</v>
      </c>
      <c r="D138" s="14">
        <f t="shared" si="39"/>
        <v>183470.27038043478</v>
      </c>
      <c r="E138" s="14">
        <f t="shared" si="39"/>
        <v>183470.27038043478</v>
      </c>
      <c r="F138" s="14">
        <f t="shared" si="39"/>
        <v>183470.27038043478</v>
      </c>
      <c r="G138" s="14">
        <f t="shared" si="39"/>
        <v>183470.27038043478</v>
      </c>
      <c r="H138" s="14">
        <f t="shared" si="39"/>
        <v>183470.27038043478</v>
      </c>
      <c r="I138" s="14">
        <f t="shared" si="39"/>
        <v>183470.27038043478</v>
      </c>
      <c r="J138" s="14">
        <f t="shared" si="39"/>
        <v>3099.5788043478265</v>
      </c>
      <c r="K138" s="14">
        <f t="shared" si="39"/>
        <v>3099.5788043478265</v>
      </c>
      <c r="L138" s="14">
        <f t="shared" si="39"/>
        <v>3099.5788043478265</v>
      </c>
      <c r="M138" s="14">
        <f t="shared" si="39"/>
        <v>3099.5788043478265</v>
      </c>
      <c r="N138" s="14">
        <f t="shared" si="39"/>
        <v>3637.7657608695654</v>
      </c>
      <c r="O138" s="14">
        <f t="shared" si="39"/>
        <v>5178.7866531850359</v>
      </c>
      <c r="P138" s="14">
        <f t="shared" si="39"/>
        <v>5178.7866531850359</v>
      </c>
      <c r="Q138" s="13">
        <f t="shared" si="39"/>
        <v>92822.422101449265</v>
      </c>
      <c r="R138" s="13">
        <f t="shared" si="39"/>
        <v>92822.422101449265</v>
      </c>
      <c r="S138" s="13">
        <f t="shared" si="39"/>
        <v>92822.422101449265</v>
      </c>
      <c r="T138" s="13">
        <f t="shared" si="39"/>
        <v>12528.043478260872</v>
      </c>
      <c r="U138" s="13">
        <f t="shared" si="39"/>
        <v>12528.043478260872</v>
      </c>
      <c r="V138" s="13">
        <f t="shared" si="39"/>
        <v>104911.65000000001</v>
      </c>
      <c r="W138" s="13">
        <f t="shared" si="39"/>
        <v>104911.65000000001</v>
      </c>
      <c r="X138" s="13">
        <f t="shared" si="39"/>
        <v>104911.65000000001</v>
      </c>
      <c r="Y138" s="13">
        <f t="shared" si="39"/>
        <v>104911.65000000001</v>
      </c>
      <c r="Z138" s="13">
        <f t="shared" si="39"/>
        <v>3405.0888586956521</v>
      </c>
      <c r="AA138" s="13">
        <f t="shared" si="39"/>
        <v>3405.0888586956521</v>
      </c>
      <c r="AB138" s="13">
        <f t="shared" si="39"/>
        <v>3397.5831521739133</v>
      </c>
      <c r="AC138" s="12">
        <f t="shared" si="39"/>
        <v>0</v>
      </c>
      <c r="AD138" s="13">
        <f t="shared" si="39"/>
        <v>3530.1839673913041</v>
      </c>
      <c r="AE138" s="13">
        <f t="shared" si="39"/>
        <v>3530.1839673913041</v>
      </c>
      <c r="AF138" s="13">
        <f t="shared" si="39"/>
        <v>6840.2005434782614</v>
      </c>
      <c r="AG138" s="13">
        <f t="shared" si="39"/>
        <v>6975.3032608695648</v>
      </c>
      <c r="AH138" s="14">
        <f t="shared" si="39"/>
        <v>1008.1950931677019</v>
      </c>
      <c r="AI138" s="14">
        <f t="shared" si="39"/>
        <v>1008.1950931677019</v>
      </c>
      <c r="AJ138" s="14">
        <f t="shared" si="39"/>
        <v>1008.1950931677019</v>
      </c>
      <c r="AK138" s="14">
        <f t="shared" si="39"/>
        <v>1008.1950931677019</v>
      </c>
      <c r="AL138" s="14">
        <f t="shared" si="39"/>
        <v>45341.745093167709</v>
      </c>
      <c r="AM138" s="14">
        <f t="shared" si="39"/>
        <v>45341.745093167709</v>
      </c>
      <c r="AN138" s="14">
        <f t="shared" si="39"/>
        <v>45341.745093167709</v>
      </c>
      <c r="AO138" s="14">
        <f t="shared" si="39"/>
        <v>838.73291925465855</v>
      </c>
      <c r="AP138" s="14">
        <f t="shared" si="39"/>
        <v>838.73291925465855</v>
      </c>
      <c r="AQ138" s="14">
        <f t="shared" si="39"/>
        <v>838.73291925465855</v>
      </c>
      <c r="AR138" s="14">
        <f t="shared" si="39"/>
        <v>1077.3905590062113</v>
      </c>
      <c r="AS138" s="14">
        <f t="shared" si="39"/>
        <v>1077.3905590062113</v>
      </c>
      <c r="AT138" s="14">
        <f t="shared" si="39"/>
        <v>1077.3905590062113</v>
      </c>
      <c r="AU138" s="14">
        <f t="shared" si="39"/>
        <v>11352.546583850934</v>
      </c>
      <c r="AV138" s="14">
        <f t="shared" si="39"/>
        <v>4189.0963341858478</v>
      </c>
      <c r="AW138" s="14">
        <f t="shared" si="39"/>
        <v>4069.4078674948241</v>
      </c>
      <c r="AX138" s="14">
        <f t="shared" si="39"/>
        <v>4069.4078674948241</v>
      </c>
      <c r="AY138" s="14">
        <f t="shared" si="39"/>
        <v>2767.5586956521743</v>
      </c>
      <c r="AZ138" s="14">
        <f t="shared" si="39"/>
        <v>3340.7217391304353</v>
      </c>
      <c r="BA138" s="14">
        <f t="shared" si="39"/>
        <v>3543.2653416149064</v>
      </c>
      <c r="BB138" s="13">
        <f t="shared" si="39"/>
        <v>6680.078804347826</v>
      </c>
      <c r="BC138" s="14">
        <f t="shared" si="39"/>
        <v>26528.478178053829</v>
      </c>
      <c r="BD138" s="14">
        <f t="shared" si="39"/>
        <v>26528.478178053829</v>
      </c>
      <c r="BE138" s="14">
        <f t="shared" si="39"/>
        <v>26528.478178053829</v>
      </c>
      <c r="BF138" s="13">
        <f t="shared" si="39"/>
        <v>7460.6722826086952</v>
      </c>
      <c r="BG138" s="13">
        <f t="shared" si="39"/>
        <v>6895.2423913043485</v>
      </c>
      <c r="BH138" s="14">
        <f t="shared" si="39"/>
        <v>2818.887360970677</v>
      </c>
      <c r="BI138" s="14">
        <f t="shared" si="39"/>
        <v>2630.8374115267948</v>
      </c>
      <c r="BJ138" s="15">
        <f t="shared" si="39"/>
        <v>2818.887360970677</v>
      </c>
      <c r="BM138" s="35" t="s">
        <v>65</v>
      </c>
      <c r="BN138" s="16">
        <v>1320</v>
      </c>
      <c r="BO138" s="14">
        <v>1320</v>
      </c>
      <c r="BP138" s="14">
        <v>1320</v>
      </c>
      <c r="BQ138" s="14">
        <v>1320</v>
      </c>
      <c r="BR138" s="14">
        <v>1320</v>
      </c>
      <c r="BS138" s="14">
        <v>1320</v>
      </c>
      <c r="BT138" s="14">
        <v>1320</v>
      </c>
      <c r="BU138" s="14">
        <v>1320</v>
      </c>
      <c r="BV138" s="14">
        <v>1338</v>
      </c>
      <c r="BW138" s="14">
        <v>1338</v>
      </c>
      <c r="BX138" s="14">
        <v>1338</v>
      </c>
      <c r="BY138" s="14">
        <v>1338</v>
      </c>
      <c r="BZ138" s="14">
        <v>1454</v>
      </c>
      <c r="CA138" s="14">
        <v>1502</v>
      </c>
      <c r="CB138" s="14">
        <v>1502</v>
      </c>
      <c r="CC138" s="13">
        <v>1366</v>
      </c>
      <c r="CD138" s="13">
        <v>1366</v>
      </c>
      <c r="CE138" s="13">
        <v>1366</v>
      </c>
      <c r="CF138" s="13">
        <v>1352</v>
      </c>
      <c r="CG138" s="13">
        <v>1352</v>
      </c>
      <c r="CH138" s="13">
        <v>1332</v>
      </c>
      <c r="CI138" s="13">
        <v>1332</v>
      </c>
      <c r="CJ138" s="13">
        <v>1332</v>
      </c>
      <c r="CK138" s="13">
        <v>1332</v>
      </c>
      <c r="CL138" s="13">
        <v>1361</v>
      </c>
      <c r="CM138" s="13">
        <v>1361</v>
      </c>
      <c r="CN138" s="13">
        <v>1358</v>
      </c>
      <c r="CO138" s="12"/>
      <c r="CP138" s="13">
        <v>1411</v>
      </c>
      <c r="CQ138" s="13">
        <v>1411</v>
      </c>
      <c r="CR138" s="13">
        <v>1367</v>
      </c>
      <c r="CS138" s="13">
        <v>1394</v>
      </c>
      <c r="CT138" s="14">
        <v>1763</v>
      </c>
      <c r="CU138" s="14">
        <v>1763</v>
      </c>
      <c r="CV138" s="14">
        <v>1763</v>
      </c>
      <c r="CW138" s="14">
        <v>1763</v>
      </c>
      <c r="CX138" s="14">
        <v>1338</v>
      </c>
      <c r="CY138" s="14">
        <v>1338</v>
      </c>
      <c r="CZ138" s="14">
        <v>1338</v>
      </c>
      <c r="DA138" s="14">
        <v>1320</v>
      </c>
      <c r="DB138" s="14">
        <v>1320</v>
      </c>
      <c r="DC138" s="14">
        <v>1320</v>
      </c>
      <c r="DD138" s="14">
        <v>1413</v>
      </c>
      <c r="DE138" s="14">
        <v>1413</v>
      </c>
      <c r="DF138" s="14">
        <v>1413</v>
      </c>
      <c r="DG138" s="14">
        <v>1340</v>
      </c>
      <c r="DH138" s="14">
        <v>1441</v>
      </c>
      <c r="DI138" s="14">
        <v>1441</v>
      </c>
      <c r="DJ138" s="14">
        <v>1441</v>
      </c>
      <c r="DK138" s="14">
        <v>1521</v>
      </c>
      <c r="DL138" s="14">
        <v>1836</v>
      </c>
      <c r="DM138" s="14">
        <v>1549</v>
      </c>
      <c r="DN138" s="13">
        <v>1335</v>
      </c>
      <c r="DO138" s="14">
        <v>1342</v>
      </c>
      <c r="DP138" s="14">
        <v>1342</v>
      </c>
      <c r="DQ138" s="14">
        <v>1342</v>
      </c>
      <c r="DR138" s="13">
        <v>1491</v>
      </c>
      <c r="DS138" s="13">
        <v>1378</v>
      </c>
      <c r="DT138" s="14">
        <v>1514</v>
      </c>
      <c r="DU138" s="14">
        <v>1413</v>
      </c>
      <c r="DV138" s="15">
        <v>1514</v>
      </c>
      <c r="DY138" s="35" t="s">
        <v>65</v>
      </c>
      <c r="DZ138" s="16">
        <v>6.2500000000000003E-3</v>
      </c>
      <c r="EA138" s="14">
        <v>6.2500000000000003E-3</v>
      </c>
      <c r="EB138" s="14">
        <v>6.2500000000000003E-3</v>
      </c>
      <c r="EC138" s="14">
        <v>6.2500000000000003E-3</v>
      </c>
      <c r="ED138" s="14">
        <v>6.2500000000000003E-3</v>
      </c>
      <c r="EE138" s="14">
        <v>6.2500000000000003E-3</v>
      </c>
      <c r="EF138" s="14">
        <v>6.2500000000000003E-3</v>
      </c>
      <c r="EG138" s="14">
        <v>6.2500000000000003E-3</v>
      </c>
      <c r="EH138" s="14">
        <v>6.2500000000000003E-3</v>
      </c>
      <c r="EI138" s="14">
        <v>6.2500000000000003E-3</v>
      </c>
      <c r="EJ138" s="14">
        <v>6.2500000000000003E-3</v>
      </c>
      <c r="EK138" s="14">
        <v>6.2500000000000003E-3</v>
      </c>
      <c r="EL138" s="14">
        <v>6.2500000000000003E-3</v>
      </c>
      <c r="EM138" s="14">
        <v>4.6511627906976744E-3</v>
      </c>
      <c r="EN138" s="14">
        <v>4.6511627906976744E-3</v>
      </c>
      <c r="EO138" s="13">
        <f t="shared" si="28"/>
        <v>1.2500000000000001E-2</v>
      </c>
      <c r="EP138" s="13">
        <f t="shared" si="28"/>
        <v>1.2500000000000001E-2</v>
      </c>
      <c r="EQ138" s="13">
        <f t="shared" si="28"/>
        <v>1.2500000000000001E-2</v>
      </c>
      <c r="ER138" s="13">
        <f t="shared" si="28"/>
        <v>1.2500000000000001E-2</v>
      </c>
      <c r="ES138" s="13">
        <f t="shared" si="28"/>
        <v>1.2500000000000001E-2</v>
      </c>
      <c r="ET138" s="13">
        <f t="shared" si="28"/>
        <v>1.2500000000000001E-2</v>
      </c>
      <c r="EU138" s="13">
        <f t="shared" si="28"/>
        <v>1.2500000000000001E-2</v>
      </c>
      <c r="EV138" s="13">
        <f t="shared" si="28"/>
        <v>1.2500000000000001E-2</v>
      </c>
      <c r="EW138" s="13">
        <f t="shared" si="28"/>
        <v>1.2500000000000001E-2</v>
      </c>
      <c r="EX138" s="13">
        <f t="shared" si="28"/>
        <v>1.2500000000000001E-2</v>
      </c>
      <c r="EY138" s="13">
        <f t="shared" si="28"/>
        <v>1.2500000000000001E-2</v>
      </c>
      <c r="EZ138" s="13">
        <f t="shared" si="28"/>
        <v>1.2500000000000001E-2</v>
      </c>
      <c r="FA138" s="12">
        <v>0.6</v>
      </c>
      <c r="FB138" s="13">
        <f t="shared" si="23"/>
        <v>1.2500000000000001E-2</v>
      </c>
      <c r="FC138" s="13">
        <f t="shared" si="23"/>
        <v>1.2500000000000001E-2</v>
      </c>
      <c r="FD138" s="13">
        <f t="shared" si="23"/>
        <v>1.2500000000000001E-2</v>
      </c>
      <c r="FE138" s="13">
        <f t="shared" si="23"/>
        <v>1.2500000000000001E-2</v>
      </c>
      <c r="FF138" s="14">
        <v>5.7142857142857143E-3</v>
      </c>
      <c r="FG138" s="14">
        <v>5.7142857142857143E-3</v>
      </c>
      <c r="FH138" s="14">
        <v>5.7142857142857143E-3</v>
      </c>
      <c r="FI138" s="14">
        <v>5.7142857142857143E-3</v>
      </c>
      <c r="FJ138" s="14">
        <v>5.7142857142857143E-3</v>
      </c>
      <c r="FK138" s="14">
        <v>5.7142857142857143E-3</v>
      </c>
      <c r="FL138" s="14">
        <v>5.7142857142857143E-3</v>
      </c>
      <c r="FM138" s="14">
        <v>4.7619047619047623E-3</v>
      </c>
      <c r="FN138" s="14">
        <v>4.7619047619047623E-3</v>
      </c>
      <c r="FO138" s="14">
        <v>4.7619047619047623E-3</v>
      </c>
      <c r="FP138" s="14">
        <v>5.7142857142857143E-3</v>
      </c>
      <c r="FQ138" s="14">
        <v>5.7142857142857143E-3</v>
      </c>
      <c r="FR138" s="14">
        <v>5.7142857142857143E-3</v>
      </c>
      <c r="FS138" s="14">
        <v>5.7142857142857143E-3</v>
      </c>
      <c r="FT138" s="14">
        <v>5.8823529411764705E-3</v>
      </c>
      <c r="FU138" s="14">
        <v>5.7142857142857143E-3</v>
      </c>
      <c r="FV138" s="14">
        <v>5.7142857142857143E-3</v>
      </c>
      <c r="FW138" s="14">
        <v>4.5454545454545461E-3</v>
      </c>
      <c r="FX138" s="14">
        <v>4.5454545454545461E-3</v>
      </c>
      <c r="FY138" s="14">
        <v>5.7142857142857143E-3</v>
      </c>
      <c r="FZ138" s="13">
        <f t="shared" si="34"/>
        <v>1.2500000000000001E-2</v>
      </c>
      <c r="GA138" s="14">
        <v>5.7142857142857143E-3</v>
      </c>
      <c r="GB138" s="14">
        <v>5.7142857142857143E-3</v>
      </c>
      <c r="GC138" s="14">
        <v>5.7142857142857143E-3</v>
      </c>
      <c r="GD138" s="13">
        <f t="shared" si="25"/>
        <v>1.2500000000000001E-2</v>
      </c>
      <c r="GE138" s="13">
        <f t="shared" si="25"/>
        <v>1.2500000000000001E-2</v>
      </c>
      <c r="GF138" s="14">
        <v>4.6511627906976744E-3</v>
      </c>
      <c r="GG138" s="14">
        <v>4.6511627906976744E-3</v>
      </c>
      <c r="GH138" s="15">
        <v>4.6511627906976744E-3</v>
      </c>
    </row>
    <row r="139" spans="1:190" x14ac:dyDescent="0.3">
      <c r="A139" s="35" t="s">
        <v>29</v>
      </c>
      <c r="B139" s="16">
        <f>BN139*DZ139*B110*2</f>
        <v>190836.87972146741</v>
      </c>
      <c r="C139" s="14">
        <f t="shared" ref="C139:BJ139" si="40">BO139*EA139*C110*2</f>
        <v>190836.87972146741</v>
      </c>
      <c r="D139" s="14">
        <f t="shared" si="40"/>
        <v>190836.87972146741</v>
      </c>
      <c r="E139" s="14">
        <f t="shared" si="40"/>
        <v>190836.87972146741</v>
      </c>
      <c r="F139" s="14">
        <f t="shared" si="40"/>
        <v>190836.87972146741</v>
      </c>
      <c r="G139" s="14">
        <f t="shared" si="40"/>
        <v>190836.87972146741</v>
      </c>
      <c r="H139" s="14">
        <f t="shared" si="40"/>
        <v>190836.87972146741</v>
      </c>
      <c r="I139" s="14">
        <f t="shared" si="40"/>
        <v>190836.87972146741</v>
      </c>
      <c r="J139" s="14">
        <f t="shared" si="40"/>
        <v>3222.357336956522</v>
      </c>
      <c r="K139" s="14">
        <f t="shared" si="40"/>
        <v>3222.357336956522</v>
      </c>
      <c r="L139" s="14">
        <f t="shared" si="40"/>
        <v>3222.357336956522</v>
      </c>
      <c r="M139" s="14">
        <f t="shared" si="40"/>
        <v>3222.357336956522</v>
      </c>
      <c r="N139" s="14">
        <f t="shared" si="40"/>
        <v>3770.3665760869567</v>
      </c>
      <c r="O139" s="14">
        <f t="shared" si="40"/>
        <v>5361.5267947421635</v>
      </c>
      <c r="P139" s="14">
        <f t="shared" si="40"/>
        <v>5361.5267947421635</v>
      </c>
      <c r="Q139" s="13">
        <f t="shared" si="40"/>
        <v>96423.877717391311</v>
      </c>
      <c r="R139" s="13">
        <f t="shared" si="40"/>
        <v>96423.877717391311</v>
      </c>
      <c r="S139" s="13">
        <f t="shared" si="40"/>
        <v>96423.877717391311</v>
      </c>
      <c r="T139" s="13">
        <f t="shared" si="40"/>
        <v>13019.157608695652</v>
      </c>
      <c r="U139" s="13">
        <f t="shared" si="40"/>
        <v>13019.157608695652</v>
      </c>
      <c r="V139" s="13">
        <f t="shared" si="40"/>
        <v>109086.0625</v>
      </c>
      <c r="W139" s="13">
        <f t="shared" si="40"/>
        <v>109086.0625</v>
      </c>
      <c r="X139" s="13">
        <f t="shared" si="40"/>
        <v>109086.0625</v>
      </c>
      <c r="Y139" s="13">
        <f t="shared" si="40"/>
        <v>109086.0625</v>
      </c>
      <c r="Z139" s="13">
        <f t="shared" si="40"/>
        <v>3537.6896739130434</v>
      </c>
      <c r="AA139" s="13">
        <f t="shared" si="40"/>
        <v>3537.6896739130434</v>
      </c>
      <c r="AB139" s="13">
        <f t="shared" si="40"/>
        <v>3530.1839673913041</v>
      </c>
      <c r="AC139" s="13">
        <f t="shared" si="40"/>
        <v>3530.1839673913041</v>
      </c>
      <c r="AD139" s="12">
        <f t="shared" si="40"/>
        <v>0</v>
      </c>
      <c r="AE139" s="13">
        <f t="shared" si="40"/>
        <v>3662.7847826086954</v>
      </c>
      <c r="AF139" s="13">
        <f t="shared" si="40"/>
        <v>7105.402173913043</v>
      </c>
      <c r="AG139" s="13">
        <f t="shared" si="40"/>
        <v>7235.5010869565212</v>
      </c>
      <c r="AH139" s="14">
        <f t="shared" si="40"/>
        <v>1037.9319875776398</v>
      </c>
      <c r="AI139" s="14">
        <f t="shared" si="40"/>
        <v>1037.9319875776398</v>
      </c>
      <c r="AJ139" s="14">
        <f t="shared" si="40"/>
        <v>1037.9319875776398</v>
      </c>
      <c r="AK139" s="14">
        <f t="shared" si="40"/>
        <v>1037.9319875776398</v>
      </c>
      <c r="AL139" s="14">
        <f t="shared" si="40"/>
        <v>47137.793291925467</v>
      </c>
      <c r="AM139" s="14">
        <f t="shared" si="40"/>
        <v>47137.793291925467</v>
      </c>
      <c r="AN139" s="14">
        <f t="shared" si="40"/>
        <v>47137.793291925467</v>
      </c>
      <c r="AO139" s="14">
        <f t="shared" si="40"/>
        <v>872.40931677018648</v>
      </c>
      <c r="AP139" s="14">
        <f t="shared" si="40"/>
        <v>872.40931677018648</v>
      </c>
      <c r="AQ139" s="14">
        <f t="shared" si="40"/>
        <v>872.40931677018648</v>
      </c>
      <c r="AR139" s="14">
        <f t="shared" si="40"/>
        <v>1117.8022360248447</v>
      </c>
      <c r="AS139" s="14">
        <f t="shared" si="40"/>
        <v>1117.8022360248447</v>
      </c>
      <c r="AT139" s="14">
        <f t="shared" si="40"/>
        <v>1117.8022360248447</v>
      </c>
      <c r="AU139" s="14">
        <f t="shared" si="40"/>
        <v>11801.565217391304</v>
      </c>
      <c r="AV139" s="14">
        <f t="shared" si="40"/>
        <v>4343.1713554987218</v>
      </c>
      <c r="AW139" s="14">
        <f t="shared" si="40"/>
        <v>4219.0807453416146</v>
      </c>
      <c r="AX139" s="14">
        <f t="shared" si="40"/>
        <v>4219.0807453416146</v>
      </c>
      <c r="AY139" s="14">
        <f t="shared" si="40"/>
        <v>2863.9956521739132</v>
      </c>
      <c r="AZ139" s="14">
        <f t="shared" si="40"/>
        <v>3435.3391304347833</v>
      </c>
      <c r="BA139" s="14">
        <f t="shared" si="40"/>
        <v>3664.5003726708073</v>
      </c>
      <c r="BB139" s="13">
        <f t="shared" si="40"/>
        <v>6945.2804347826086</v>
      </c>
      <c r="BC139" s="14">
        <f t="shared" si="40"/>
        <v>27576.175155279503</v>
      </c>
      <c r="BD139" s="14">
        <f t="shared" si="40"/>
        <v>27576.175155279503</v>
      </c>
      <c r="BE139" s="14">
        <f t="shared" si="40"/>
        <v>27576.175155279503</v>
      </c>
      <c r="BF139" s="13">
        <f t="shared" si="40"/>
        <v>7720.8701086956526</v>
      </c>
      <c r="BG139" s="13">
        <f t="shared" si="40"/>
        <v>7155.440217391304</v>
      </c>
      <c r="BH139" s="14">
        <f t="shared" si="40"/>
        <v>2917.5670374115266</v>
      </c>
      <c r="BI139" s="14">
        <f t="shared" si="40"/>
        <v>2727.6552072800805</v>
      </c>
      <c r="BJ139" s="15">
        <f t="shared" si="40"/>
        <v>2917.5670374115266</v>
      </c>
      <c r="BM139" s="35" t="s">
        <v>29</v>
      </c>
      <c r="BN139" s="16">
        <v>1373</v>
      </c>
      <c r="BO139" s="14">
        <v>1373</v>
      </c>
      <c r="BP139" s="14">
        <v>1373</v>
      </c>
      <c r="BQ139" s="14">
        <v>1373</v>
      </c>
      <c r="BR139" s="14">
        <v>1373</v>
      </c>
      <c r="BS139" s="14">
        <v>1373</v>
      </c>
      <c r="BT139" s="14">
        <v>1373</v>
      </c>
      <c r="BU139" s="14">
        <v>1373</v>
      </c>
      <c r="BV139" s="14">
        <v>1391</v>
      </c>
      <c r="BW139" s="14">
        <v>1391</v>
      </c>
      <c r="BX139" s="14">
        <v>1391</v>
      </c>
      <c r="BY139" s="14">
        <v>1391</v>
      </c>
      <c r="BZ139" s="14">
        <v>1507</v>
      </c>
      <c r="CA139" s="14">
        <v>1555</v>
      </c>
      <c r="CB139" s="14">
        <v>1555</v>
      </c>
      <c r="CC139" s="13">
        <v>1419</v>
      </c>
      <c r="CD139" s="13">
        <v>1419</v>
      </c>
      <c r="CE139" s="13">
        <v>1419</v>
      </c>
      <c r="CF139" s="13">
        <v>1405</v>
      </c>
      <c r="CG139" s="13">
        <v>1405</v>
      </c>
      <c r="CH139" s="13">
        <v>1385</v>
      </c>
      <c r="CI139" s="13">
        <v>1385</v>
      </c>
      <c r="CJ139" s="13">
        <v>1385</v>
      </c>
      <c r="CK139" s="13">
        <v>1385</v>
      </c>
      <c r="CL139" s="13">
        <v>1414</v>
      </c>
      <c r="CM139" s="13">
        <v>1414</v>
      </c>
      <c r="CN139" s="13">
        <v>1411</v>
      </c>
      <c r="CO139" s="13">
        <v>1411</v>
      </c>
      <c r="CP139" s="12"/>
      <c r="CQ139" s="13">
        <v>1464</v>
      </c>
      <c r="CR139" s="13">
        <v>1420</v>
      </c>
      <c r="CS139" s="13">
        <v>1446</v>
      </c>
      <c r="CT139" s="14">
        <v>1815</v>
      </c>
      <c r="CU139" s="14">
        <v>1815</v>
      </c>
      <c r="CV139" s="14">
        <v>1815</v>
      </c>
      <c r="CW139" s="14">
        <v>1815</v>
      </c>
      <c r="CX139" s="14">
        <v>1391</v>
      </c>
      <c r="CY139" s="14">
        <v>1391</v>
      </c>
      <c r="CZ139" s="14">
        <v>1391</v>
      </c>
      <c r="DA139" s="14">
        <v>1373</v>
      </c>
      <c r="DB139" s="14">
        <v>1373</v>
      </c>
      <c r="DC139" s="14">
        <v>1373</v>
      </c>
      <c r="DD139" s="14">
        <v>1466</v>
      </c>
      <c r="DE139" s="14">
        <v>1466</v>
      </c>
      <c r="DF139" s="14">
        <v>1466</v>
      </c>
      <c r="DG139" s="14">
        <v>1393</v>
      </c>
      <c r="DH139" s="14">
        <v>1494</v>
      </c>
      <c r="DI139" s="14">
        <v>1494</v>
      </c>
      <c r="DJ139" s="14">
        <v>1494</v>
      </c>
      <c r="DK139" s="14">
        <v>1574</v>
      </c>
      <c r="DL139" s="14">
        <v>1888</v>
      </c>
      <c r="DM139" s="14">
        <v>1602</v>
      </c>
      <c r="DN139" s="13">
        <v>1388</v>
      </c>
      <c r="DO139" s="14">
        <v>1395</v>
      </c>
      <c r="DP139" s="14">
        <v>1395</v>
      </c>
      <c r="DQ139" s="14">
        <v>1395</v>
      </c>
      <c r="DR139" s="13">
        <v>1543</v>
      </c>
      <c r="DS139" s="13">
        <v>1430</v>
      </c>
      <c r="DT139" s="14">
        <v>1567</v>
      </c>
      <c r="DU139" s="14">
        <v>1465</v>
      </c>
      <c r="DV139" s="15">
        <v>1567</v>
      </c>
      <c r="DY139" s="35" t="s">
        <v>29</v>
      </c>
      <c r="DZ139" s="16">
        <v>6.2500000000000003E-3</v>
      </c>
      <c r="EA139" s="14">
        <v>6.2500000000000003E-3</v>
      </c>
      <c r="EB139" s="14">
        <v>6.2500000000000003E-3</v>
      </c>
      <c r="EC139" s="14">
        <v>6.2500000000000003E-3</v>
      </c>
      <c r="ED139" s="14">
        <v>6.2500000000000003E-3</v>
      </c>
      <c r="EE139" s="14">
        <v>6.2500000000000003E-3</v>
      </c>
      <c r="EF139" s="14">
        <v>6.2500000000000003E-3</v>
      </c>
      <c r="EG139" s="14">
        <v>6.2500000000000003E-3</v>
      </c>
      <c r="EH139" s="14">
        <v>6.2500000000000003E-3</v>
      </c>
      <c r="EI139" s="14">
        <v>6.2500000000000003E-3</v>
      </c>
      <c r="EJ139" s="14">
        <v>6.2500000000000003E-3</v>
      </c>
      <c r="EK139" s="14">
        <v>6.2500000000000003E-3</v>
      </c>
      <c r="EL139" s="14">
        <v>6.2500000000000003E-3</v>
      </c>
      <c r="EM139" s="14">
        <v>4.6511627906976744E-3</v>
      </c>
      <c r="EN139" s="14">
        <v>4.6511627906976744E-3</v>
      </c>
      <c r="EO139" s="13">
        <f t="shared" si="28"/>
        <v>1.2500000000000001E-2</v>
      </c>
      <c r="EP139" s="13">
        <f t="shared" si="28"/>
        <v>1.2500000000000001E-2</v>
      </c>
      <c r="EQ139" s="13">
        <f t="shared" si="28"/>
        <v>1.2500000000000001E-2</v>
      </c>
      <c r="ER139" s="13">
        <f t="shared" si="28"/>
        <v>1.2500000000000001E-2</v>
      </c>
      <c r="ES139" s="13">
        <f t="shared" si="28"/>
        <v>1.2500000000000001E-2</v>
      </c>
      <c r="ET139" s="13">
        <f t="shared" si="28"/>
        <v>1.2500000000000001E-2</v>
      </c>
      <c r="EU139" s="13">
        <f t="shared" si="28"/>
        <v>1.2500000000000001E-2</v>
      </c>
      <c r="EV139" s="13">
        <f t="shared" si="28"/>
        <v>1.2500000000000001E-2</v>
      </c>
      <c r="EW139" s="13">
        <f t="shared" si="28"/>
        <v>1.2500000000000001E-2</v>
      </c>
      <c r="EX139" s="13">
        <f t="shared" si="28"/>
        <v>1.2500000000000001E-2</v>
      </c>
      <c r="EY139" s="13">
        <f t="shared" si="28"/>
        <v>1.2500000000000001E-2</v>
      </c>
      <c r="EZ139" s="13">
        <f t="shared" si="28"/>
        <v>1.2500000000000001E-2</v>
      </c>
      <c r="FA139" s="13">
        <f t="shared" si="28"/>
        <v>1.2500000000000001E-2</v>
      </c>
      <c r="FB139" s="12">
        <v>0.6</v>
      </c>
      <c r="FC139" s="13">
        <f t="shared" si="23"/>
        <v>1.2500000000000001E-2</v>
      </c>
      <c r="FD139" s="13">
        <f t="shared" si="23"/>
        <v>1.2500000000000001E-2</v>
      </c>
      <c r="FE139" s="13">
        <f t="shared" si="23"/>
        <v>1.2500000000000001E-2</v>
      </c>
      <c r="FF139" s="14">
        <v>5.7142857142857143E-3</v>
      </c>
      <c r="FG139" s="14">
        <v>5.7142857142857143E-3</v>
      </c>
      <c r="FH139" s="14">
        <v>5.7142857142857143E-3</v>
      </c>
      <c r="FI139" s="14">
        <v>5.7142857142857143E-3</v>
      </c>
      <c r="FJ139" s="14">
        <v>5.7142857142857143E-3</v>
      </c>
      <c r="FK139" s="14">
        <v>5.7142857142857143E-3</v>
      </c>
      <c r="FL139" s="14">
        <v>5.7142857142857143E-3</v>
      </c>
      <c r="FM139" s="14">
        <v>4.7619047619047623E-3</v>
      </c>
      <c r="FN139" s="14">
        <v>4.7619047619047623E-3</v>
      </c>
      <c r="FO139" s="14">
        <v>4.7619047619047623E-3</v>
      </c>
      <c r="FP139" s="14">
        <v>5.7142857142857143E-3</v>
      </c>
      <c r="FQ139" s="14">
        <v>5.7142857142857143E-3</v>
      </c>
      <c r="FR139" s="14">
        <v>5.7142857142857143E-3</v>
      </c>
      <c r="FS139" s="14">
        <v>5.7142857142857143E-3</v>
      </c>
      <c r="FT139" s="14">
        <v>5.8823529411764705E-3</v>
      </c>
      <c r="FU139" s="14">
        <v>5.7142857142857143E-3</v>
      </c>
      <c r="FV139" s="14">
        <v>5.7142857142857143E-3</v>
      </c>
      <c r="FW139" s="14">
        <v>4.5454545454545461E-3</v>
      </c>
      <c r="FX139" s="14">
        <v>4.5454545454545461E-3</v>
      </c>
      <c r="FY139" s="14">
        <v>5.7142857142857143E-3</v>
      </c>
      <c r="FZ139" s="13">
        <f t="shared" si="34"/>
        <v>1.2500000000000001E-2</v>
      </c>
      <c r="GA139" s="14">
        <v>5.7142857142857143E-3</v>
      </c>
      <c r="GB139" s="14">
        <v>5.7142857142857143E-3</v>
      </c>
      <c r="GC139" s="14">
        <v>5.7142857142857143E-3</v>
      </c>
      <c r="GD139" s="13">
        <f t="shared" si="25"/>
        <v>1.2500000000000001E-2</v>
      </c>
      <c r="GE139" s="13">
        <f t="shared" si="25"/>
        <v>1.2500000000000001E-2</v>
      </c>
      <c r="GF139" s="14">
        <v>4.6511627906976744E-3</v>
      </c>
      <c r="GG139" s="14">
        <v>4.6511627906976744E-3</v>
      </c>
      <c r="GH139" s="15">
        <v>4.6511627906976744E-3</v>
      </c>
    </row>
    <row r="140" spans="1:190" x14ac:dyDescent="0.3">
      <c r="A140" s="35" t="s">
        <v>30</v>
      </c>
      <c r="B140" s="16">
        <f>BN140*DZ140*B110*2</f>
        <v>190836.87972146741</v>
      </c>
      <c r="C140" s="14">
        <f t="shared" ref="C140:BJ140" si="41">BO140*EA140*C110*2</f>
        <v>190836.87972146741</v>
      </c>
      <c r="D140" s="14">
        <f t="shared" si="41"/>
        <v>190836.87972146741</v>
      </c>
      <c r="E140" s="14">
        <f t="shared" si="41"/>
        <v>190836.87972146741</v>
      </c>
      <c r="F140" s="14">
        <f t="shared" si="41"/>
        <v>190836.87972146741</v>
      </c>
      <c r="G140" s="14">
        <f t="shared" si="41"/>
        <v>190836.87972146741</v>
      </c>
      <c r="H140" s="14">
        <f t="shared" si="41"/>
        <v>190836.87972146741</v>
      </c>
      <c r="I140" s="14">
        <f t="shared" si="41"/>
        <v>190836.87972146741</v>
      </c>
      <c r="J140" s="14">
        <f t="shared" si="41"/>
        <v>3222.357336956522</v>
      </c>
      <c r="K140" s="14">
        <f t="shared" si="41"/>
        <v>3222.357336956522</v>
      </c>
      <c r="L140" s="14">
        <f t="shared" si="41"/>
        <v>3222.357336956522</v>
      </c>
      <c r="M140" s="14">
        <f t="shared" si="41"/>
        <v>3222.357336956522</v>
      </c>
      <c r="N140" s="14">
        <f t="shared" si="41"/>
        <v>3770.3665760869567</v>
      </c>
      <c r="O140" s="14">
        <f t="shared" si="41"/>
        <v>5361.5267947421635</v>
      </c>
      <c r="P140" s="14">
        <f t="shared" si="41"/>
        <v>5361.5267947421635</v>
      </c>
      <c r="Q140" s="13">
        <f t="shared" si="41"/>
        <v>96423.877717391311</v>
      </c>
      <c r="R140" s="13">
        <f t="shared" si="41"/>
        <v>96423.877717391311</v>
      </c>
      <c r="S140" s="13">
        <f t="shared" si="41"/>
        <v>96423.877717391311</v>
      </c>
      <c r="T140" s="13">
        <f t="shared" si="41"/>
        <v>13019.157608695652</v>
      </c>
      <c r="U140" s="13">
        <f t="shared" si="41"/>
        <v>13019.157608695652</v>
      </c>
      <c r="V140" s="13">
        <f t="shared" si="41"/>
        <v>109086.0625</v>
      </c>
      <c r="W140" s="13">
        <f t="shared" si="41"/>
        <v>109086.0625</v>
      </c>
      <c r="X140" s="13">
        <f t="shared" si="41"/>
        <v>109086.0625</v>
      </c>
      <c r="Y140" s="13">
        <f t="shared" si="41"/>
        <v>109086.0625</v>
      </c>
      <c r="Z140" s="13">
        <f t="shared" si="41"/>
        <v>3537.6896739130434</v>
      </c>
      <c r="AA140" s="13">
        <f t="shared" si="41"/>
        <v>3537.6896739130434</v>
      </c>
      <c r="AB140" s="13">
        <f t="shared" si="41"/>
        <v>3530.1839673913041</v>
      </c>
      <c r="AC140" s="13">
        <f t="shared" si="41"/>
        <v>3530.1839673913041</v>
      </c>
      <c r="AD140" s="13">
        <f t="shared" si="41"/>
        <v>3662.7847826086954</v>
      </c>
      <c r="AE140" s="12">
        <f t="shared" si="41"/>
        <v>0</v>
      </c>
      <c r="AF140" s="13">
        <f t="shared" si="41"/>
        <v>7105.402173913043</v>
      </c>
      <c r="AG140" s="13">
        <f t="shared" si="41"/>
        <v>7235.5010869565212</v>
      </c>
      <c r="AH140" s="14">
        <f t="shared" si="41"/>
        <v>1037.9319875776398</v>
      </c>
      <c r="AI140" s="14">
        <f t="shared" si="41"/>
        <v>1037.9319875776398</v>
      </c>
      <c r="AJ140" s="14">
        <f t="shared" si="41"/>
        <v>1037.9319875776398</v>
      </c>
      <c r="AK140" s="14">
        <f t="shared" si="41"/>
        <v>1037.9319875776398</v>
      </c>
      <c r="AL140" s="14">
        <f t="shared" si="41"/>
        <v>47137.793291925467</v>
      </c>
      <c r="AM140" s="14">
        <f t="shared" si="41"/>
        <v>47137.793291925467</v>
      </c>
      <c r="AN140" s="14">
        <f t="shared" si="41"/>
        <v>47137.793291925467</v>
      </c>
      <c r="AO140" s="14">
        <f t="shared" si="41"/>
        <v>872.40931677018648</v>
      </c>
      <c r="AP140" s="14">
        <f t="shared" si="41"/>
        <v>872.40931677018648</v>
      </c>
      <c r="AQ140" s="14">
        <f t="shared" si="41"/>
        <v>872.40931677018648</v>
      </c>
      <c r="AR140" s="14">
        <f t="shared" si="41"/>
        <v>1117.8022360248447</v>
      </c>
      <c r="AS140" s="14">
        <f t="shared" si="41"/>
        <v>1117.8022360248447</v>
      </c>
      <c r="AT140" s="14">
        <f t="shared" si="41"/>
        <v>1117.8022360248447</v>
      </c>
      <c r="AU140" s="14">
        <f t="shared" si="41"/>
        <v>11801.565217391304</v>
      </c>
      <c r="AV140" s="12">
        <f t="shared" si="41"/>
        <v>443003.47826086957</v>
      </c>
      <c r="AW140" s="14">
        <f t="shared" si="41"/>
        <v>4219.0807453416146</v>
      </c>
      <c r="AX140" s="14">
        <f t="shared" si="41"/>
        <v>4219.0807453416146</v>
      </c>
      <c r="AY140" s="14">
        <f t="shared" si="41"/>
        <v>2863.9956521739132</v>
      </c>
      <c r="AZ140" s="14">
        <f t="shared" si="41"/>
        <v>3435.3391304347833</v>
      </c>
      <c r="BA140" s="14">
        <f t="shared" si="41"/>
        <v>3664.5003726708073</v>
      </c>
      <c r="BB140" s="13">
        <f t="shared" si="41"/>
        <v>6945.2804347826086</v>
      </c>
      <c r="BC140" s="14">
        <f t="shared" si="41"/>
        <v>27576.175155279503</v>
      </c>
      <c r="BD140" s="14">
        <f t="shared" si="41"/>
        <v>27576.175155279503</v>
      </c>
      <c r="BE140" s="14">
        <f t="shared" si="41"/>
        <v>27576.175155279503</v>
      </c>
      <c r="BF140" s="12">
        <f t="shared" si="41"/>
        <v>370601.76521739125</v>
      </c>
      <c r="BG140" s="13">
        <f t="shared" si="41"/>
        <v>7155.440217391304</v>
      </c>
      <c r="BH140" s="14">
        <f t="shared" si="41"/>
        <v>2917.5670374115266</v>
      </c>
      <c r="BI140" s="14">
        <f t="shared" si="41"/>
        <v>2727.6552072800805</v>
      </c>
      <c r="BJ140" s="15">
        <f t="shared" si="41"/>
        <v>2917.5670374115266</v>
      </c>
      <c r="BM140" s="35" t="s">
        <v>30</v>
      </c>
      <c r="BN140" s="16">
        <v>1373</v>
      </c>
      <c r="BO140" s="14">
        <v>1373</v>
      </c>
      <c r="BP140" s="14">
        <v>1373</v>
      </c>
      <c r="BQ140" s="14">
        <v>1373</v>
      </c>
      <c r="BR140" s="14">
        <v>1373</v>
      </c>
      <c r="BS140" s="14">
        <v>1373</v>
      </c>
      <c r="BT140" s="14">
        <v>1373</v>
      </c>
      <c r="BU140" s="14">
        <v>1373</v>
      </c>
      <c r="BV140" s="14">
        <v>1391</v>
      </c>
      <c r="BW140" s="14">
        <v>1391</v>
      </c>
      <c r="BX140" s="14">
        <v>1391</v>
      </c>
      <c r="BY140" s="14">
        <v>1391</v>
      </c>
      <c r="BZ140" s="14">
        <v>1507</v>
      </c>
      <c r="CA140" s="14">
        <v>1555</v>
      </c>
      <c r="CB140" s="14">
        <v>1555</v>
      </c>
      <c r="CC140" s="13">
        <v>1419</v>
      </c>
      <c r="CD140" s="13">
        <v>1419</v>
      </c>
      <c r="CE140" s="13">
        <v>1419</v>
      </c>
      <c r="CF140" s="13">
        <v>1405</v>
      </c>
      <c r="CG140" s="13">
        <v>1405</v>
      </c>
      <c r="CH140" s="13">
        <v>1385</v>
      </c>
      <c r="CI140" s="13">
        <v>1385</v>
      </c>
      <c r="CJ140" s="13">
        <v>1385</v>
      </c>
      <c r="CK140" s="13">
        <v>1385</v>
      </c>
      <c r="CL140" s="13">
        <v>1414</v>
      </c>
      <c r="CM140" s="13">
        <v>1414</v>
      </c>
      <c r="CN140" s="13">
        <v>1411</v>
      </c>
      <c r="CO140" s="13">
        <v>1411</v>
      </c>
      <c r="CP140" s="13">
        <v>1464</v>
      </c>
      <c r="CQ140" s="12"/>
      <c r="CR140" s="13">
        <v>1420</v>
      </c>
      <c r="CS140" s="13">
        <v>1446</v>
      </c>
      <c r="CT140" s="14">
        <v>1815</v>
      </c>
      <c r="CU140" s="14">
        <v>1815</v>
      </c>
      <c r="CV140" s="14">
        <v>1815</v>
      </c>
      <c r="CW140" s="14">
        <v>1815</v>
      </c>
      <c r="CX140" s="14">
        <v>1391</v>
      </c>
      <c r="CY140" s="14">
        <v>1391</v>
      </c>
      <c r="CZ140" s="14">
        <v>1391</v>
      </c>
      <c r="DA140" s="14">
        <v>1373</v>
      </c>
      <c r="DB140" s="14">
        <v>1373</v>
      </c>
      <c r="DC140" s="14">
        <v>1373</v>
      </c>
      <c r="DD140" s="14">
        <v>1466</v>
      </c>
      <c r="DE140" s="14">
        <v>1466</v>
      </c>
      <c r="DF140" s="14">
        <v>1466</v>
      </c>
      <c r="DG140" s="14">
        <v>1393</v>
      </c>
      <c r="DH140" s="12">
        <v>1494</v>
      </c>
      <c r="DI140" s="14">
        <v>1494</v>
      </c>
      <c r="DJ140" s="14">
        <v>1494</v>
      </c>
      <c r="DK140" s="14">
        <v>1574</v>
      </c>
      <c r="DL140" s="14">
        <v>1888</v>
      </c>
      <c r="DM140" s="14">
        <v>1602</v>
      </c>
      <c r="DN140" s="13">
        <v>1388</v>
      </c>
      <c r="DO140" s="14">
        <v>1395</v>
      </c>
      <c r="DP140" s="14">
        <v>1395</v>
      </c>
      <c r="DQ140" s="14">
        <v>1395</v>
      </c>
      <c r="DR140" s="12">
        <v>1543</v>
      </c>
      <c r="DS140" s="13">
        <v>1430</v>
      </c>
      <c r="DT140" s="14">
        <v>1567</v>
      </c>
      <c r="DU140" s="14">
        <v>1465</v>
      </c>
      <c r="DV140" s="15">
        <v>1567</v>
      </c>
      <c r="DY140" s="35" t="s">
        <v>30</v>
      </c>
      <c r="DZ140" s="16">
        <v>6.2500000000000003E-3</v>
      </c>
      <c r="EA140" s="14">
        <v>6.2500000000000003E-3</v>
      </c>
      <c r="EB140" s="14">
        <v>6.2500000000000003E-3</v>
      </c>
      <c r="EC140" s="14">
        <v>6.2500000000000003E-3</v>
      </c>
      <c r="ED140" s="14">
        <v>6.2500000000000003E-3</v>
      </c>
      <c r="EE140" s="14">
        <v>6.2500000000000003E-3</v>
      </c>
      <c r="EF140" s="14">
        <v>6.2500000000000003E-3</v>
      </c>
      <c r="EG140" s="14">
        <v>6.2500000000000003E-3</v>
      </c>
      <c r="EH140" s="14">
        <v>6.2500000000000003E-3</v>
      </c>
      <c r="EI140" s="14">
        <v>6.2500000000000003E-3</v>
      </c>
      <c r="EJ140" s="14">
        <v>6.2500000000000003E-3</v>
      </c>
      <c r="EK140" s="14">
        <v>6.2500000000000003E-3</v>
      </c>
      <c r="EL140" s="14">
        <v>6.2500000000000003E-3</v>
      </c>
      <c r="EM140" s="14">
        <v>4.6511627906976744E-3</v>
      </c>
      <c r="EN140" s="14">
        <v>4.6511627906976744E-3</v>
      </c>
      <c r="EO140" s="13">
        <f t="shared" si="28"/>
        <v>1.2500000000000001E-2</v>
      </c>
      <c r="EP140" s="13">
        <f t="shared" si="28"/>
        <v>1.2500000000000001E-2</v>
      </c>
      <c r="EQ140" s="13">
        <f t="shared" si="28"/>
        <v>1.2500000000000001E-2</v>
      </c>
      <c r="ER140" s="13">
        <f t="shared" si="28"/>
        <v>1.2500000000000001E-2</v>
      </c>
      <c r="ES140" s="13">
        <f t="shared" si="28"/>
        <v>1.2500000000000001E-2</v>
      </c>
      <c r="ET140" s="13">
        <f t="shared" si="28"/>
        <v>1.2500000000000001E-2</v>
      </c>
      <c r="EU140" s="13">
        <f t="shared" si="28"/>
        <v>1.2500000000000001E-2</v>
      </c>
      <c r="EV140" s="13">
        <f t="shared" si="28"/>
        <v>1.2500000000000001E-2</v>
      </c>
      <c r="EW140" s="13">
        <f t="shared" si="28"/>
        <v>1.2500000000000001E-2</v>
      </c>
      <c r="EX140" s="13">
        <f t="shared" si="28"/>
        <v>1.2500000000000001E-2</v>
      </c>
      <c r="EY140" s="13">
        <f t="shared" si="28"/>
        <v>1.2500000000000001E-2</v>
      </c>
      <c r="EZ140" s="13">
        <f t="shared" si="28"/>
        <v>1.2500000000000001E-2</v>
      </c>
      <c r="FA140" s="13">
        <f t="shared" si="28"/>
        <v>1.2500000000000001E-2</v>
      </c>
      <c r="FB140" s="13">
        <f t="shared" si="28"/>
        <v>1.2500000000000001E-2</v>
      </c>
      <c r="FC140" s="12">
        <v>0.6</v>
      </c>
      <c r="FD140" s="13">
        <f t="shared" si="23"/>
        <v>1.2500000000000001E-2</v>
      </c>
      <c r="FE140" s="13">
        <f t="shared" si="23"/>
        <v>1.2500000000000001E-2</v>
      </c>
      <c r="FF140" s="14">
        <v>5.7142857142857143E-3</v>
      </c>
      <c r="FG140" s="14">
        <v>5.7142857142857143E-3</v>
      </c>
      <c r="FH140" s="14">
        <v>5.7142857142857143E-3</v>
      </c>
      <c r="FI140" s="14">
        <v>5.7142857142857143E-3</v>
      </c>
      <c r="FJ140" s="14">
        <v>5.7142857142857143E-3</v>
      </c>
      <c r="FK140" s="14">
        <v>5.7142857142857143E-3</v>
      </c>
      <c r="FL140" s="14">
        <v>5.7142857142857143E-3</v>
      </c>
      <c r="FM140" s="14">
        <v>4.7619047619047623E-3</v>
      </c>
      <c r="FN140" s="14">
        <v>4.7619047619047623E-3</v>
      </c>
      <c r="FO140" s="14">
        <v>4.7619047619047623E-3</v>
      </c>
      <c r="FP140" s="14">
        <v>5.7142857142857143E-3</v>
      </c>
      <c r="FQ140" s="14">
        <v>5.7142857142857143E-3</v>
      </c>
      <c r="FR140" s="14">
        <v>5.7142857142857143E-3</v>
      </c>
      <c r="FS140" s="14">
        <v>5.7142857142857143E-3</v>
      </c>
      <c r="FT140" s="12">
        <v>0.6</v>
      </c>
      <c r="FU140" s="14">
        <v>5.7142857142857143E-3</v>
      </c>
      <c r="FV140" s="14">
        <v>5.7142857142857143E-3</v>
      </c>
      <c r="FW140" s="14">
        <v>4.5454545454545461E-3</v>
      </c>
      <c r="FX140" s="14">
        <v>4.5454545454545461E-3</v>
      </c>
      <c r="FY140" s="14">
        <v>5.7142857142857143E-3</v>
      </c>
      <c r="FZ140" s="13">
        <f t="shared" si="34"/>
        <v>1.2500000000000001E-2</v>
      </c>
      <c r="GA140" s="14">
        <v>5.7142857142857143E-3</v>
      </c>
      <c r="GB140" s="14">
        <v>5.7142857142857143E-3</v>
      </c>
      <c r="GC140" s="14">
        <v>5.7142857142857143E-3</v>
      </c>
      <c r="GD140" s="12">
        <v>0.6</v>
      </c>
      <c r="GE140" s="13">
        <f t="shared" si="25"/>
        <v>1.2500000000000001E-2</v>
      </c>
      <c r="GF140" s="14">
        <v>4.6511627906976744E-3</v>
      </c>
      <c r="GG140" s="14">
        <v>4.6511627906976744E-3</v>
      </c>
      <c r="GH140" s="15">
        <v>4.6511627906976744E-3</v>
      </c>
    </row>
    <row r="141" spans="1:190" x14ac:dyDescent="0.3">
      <c r="A141" s="35" t="s">
        <v>31</v>
      </c>
      <c r="B141" s="16">
        <f>BN141*DZ141*B110*2</f>
        <v>184860.19667119565</v>
      </c>
      <c r="C141" s="14">
        <f t="shared" ref="C141:BJ141" si="42">BO141*EA141*C110*2</f>
        <v>184860.19667119565</v>
      </c>
      <c r="D141" s="14">
        <f t="shared" si="42"/>
        <v>184860.19667119565</v>
      </c>
      <c r="E141" s="14">
        <f t="shared" si="42"/>
        <v>184860.19667119565</v>
      </c>
      <c r="F141" s="14">
        <f t="shared" si="42"/>
        <v>184860.19667119565</v>
      </c>
      <c r="G141" s="14">
        <f t="shared" si="42"/>
        <v>184860.19667119565</v>
      </c>
      <c r="H141" s="14">
        <f t="shared" si="42"/>
        <v>184860.19667119565</v>
      </c>
      <c r="I141" s="14">
        <f t="shared" si="42"/>
        <v>184860.19667119565</v>
      </c>
      <c r="J141" s="14">
        <f t="shared" si="42"/>
        <v>3122.7445652173919</v>
      </c>
      <c r="K141" s="14">
        <f t="shared" si="42"/>
        <v>3122.7445652173919</v>
      </c>
      <c r="L141" s="14">
        <f t="shared" si="42"/>
        <v>3122.7445652173919</v>
      </c>
      <c r="M141" s="14">
        <f t="shared" si="42"/>
        <v>3122.7445652173919</v>
      </c>
      <c r="N141" s="14">
        <f t="shared" si="42"/>
        <v>3660.2828804347828</v>
      </c>
      <c r="O141" s="14">
        <f t="shared" si="42"/>
        <v>5347.7350859454</v>
      </c>
      <c r="P141" s="14">
        <f t="shared" si="42"/>
        <v>5347.7350859454</v>
      </c>
      <c r="Q141" s="13">
        <f t="shared" si="42"/>
        <v>93433.990036231888</v>
      </c>
      <c r="R141" s="13">
        <f t="shared" si="42"/>
        <v>93433.990036231888</v>
      </c>
      <c r="S141" s="13">
        <f t="shared" si="42"/>
        <v>93433.990036231888</v>
      </c>
      <c r="T141" s="13">
        <f t="shared" si="42"/>
        <v>12611.440217391304</v>
      </c>
      <c r="U141" s="13">
        <f t="shared" si="42"/>
        <v>12611.440217391304</v>
      </c>
      <c r="V141" s="13">
        <f t="shared" si="42"/>
        <v>105699.27500000001</v>
      </c>
      <c r="W141" s="13">
        <f t="shared" si="42"/>
        <v>105699.27500000001</v>
      </c>
      <c r="X141" s="13">
        <f t="shared" si="42"/>
        <v>105699.27500000001</v>
      </c>
      <c r="Y141" s="13">
        <f t="shared" si="42"/>
        <v>105699.27500000001</v>
      </c>
      <c r="Z141" s="13">
        <f t="shared" si="42"/>
        <v>3427.6059782608695</v>
      </c>
      <c r="AA141" s="13">
        <f t="shared" si="42"/>
        <v>3427.6059782608695</v>
      </c>
      <c r="AB141" s="13">
        <f t="shared" si="42"/>
        <v>3420.1002717391307</v>
      </c>
      <c r="AC141" s="13">
        <f t="shared" si="42"/>
        <v>3420.1002717391307</v>
      </c>
      <c r="AD141" s="13">
        <f t="shared" si="42"/>
        <v>3552.7010869565215</v>
      </c>
      <c r="AE141" s="13">
        <f t="shared" si="42"/>
        <v>3552.7010869565215</v>
      </c>
      <c r="AF141" s="12">
        <f t="shared" si="42"/>
        <v>0</v>
      </c>
      <c r="AG141" s="13">
        <f t="shared" si="42"/>
        <v>7025.3413043478258</v>
      </c>
      <c r="AH141" s="14">
        <f t="shared" si="42"/>
        <v>1013.3418633540373</v>
      </c>
      <c r="AI141" s="14">
        <f t="shared" si="42"/>
        <v>1013.3418633540373</v>
      </c>
      <c r="AJ141" s="14">
        <f t="shared" si="42"/>
        <v>1013.3418633540373</v>
      </c>
      <c r="AK141" s="14">
        <f t="shared" si="42"/>
        <v>1013.3418633540373</v>
      </c>
      <c r="AL141" s="14">
        <f t="shared" si="42"/>
        <v>45646.734409937897</v>
      </c>
      <c r="AM141" s="14">
        <f t="shared" si="42"/>
        <v>45646.734409937897</v>
      </c>
      <c r="AN141" s="14">
        <f t="shared" si="42"/>
        <v>45646.734409937897</v>
      </c>
      <c r="AO141" s="14">
        <f t="shared" si="42"/>
        <v>844.45155279503115</v>
      </c>
      <c r="AP141" s="14">
        <f t="shared" si="42"/>
        <v>844.45155279503115</v>
      </c>
      <c r="AQ141" s="14">
        <f t="shared" si="42"/>
        <v>844.45155279503115</v>
      </c>
      <c r="AR141" s="14">
        <f t="shared" si="42"/>
        <v>1085.0154037267082</v>
      </c>
      <c r="AS141" s="14">
        <f t="shared" si="42"/>
        <v>1085.0154037267082</v>
      </c>
      <c r="AT141" s="14">
        <f t="shared" si="42"/>
        <v>1085.0154037267082</v>
      </c>
      <c r="AU141" s="14">
        <f t="shared" si="42"/>
        <v>11428.795031055901</v>
      </c>
      <c r="AV141" s="14">
        <f t="shared" si="42"/>
        <v>4218.1670929241263</v>
      </c>
      <c r="AW141" s="14">
        <f t="shared" si="42"/>
        <v>4097.6480331262937</v>
      </c>
      <c r="AX141" s="14">
        <f t="shared" si="42"/>
        <v>4097.6480331262937</v>
      </c>
      <c r="AY141" s="14">
        <f t="shared" si="42"/>
        <v>2785.7543478260873</v>
      </c>
      <c r="AZ141" s="14">
        <f t="shared" si="42"/>
        <v>3357.0978260869565</v>
      </c>
      <c r="BA141" s="14">
        <f t="shared" si="42"/>
        <v>3566.1398757763977</v>
      </c>
      <c r="BB141" s="13">
        <f t="shared" si="42"/>
        <v>6725.1130434782608</v>
      </c>
      <c r="BC141" s="14">
        <f t="shared" si="42"/>
        <v>26726.15685300207</v>
      </c>
      <c r="BD141" s="14">
        <f t="shared" si="42"/>
        <v>26726.15685300207</v>
      </c>
      <c r="BE141" s="14">
        <f t="shared" si="42"/>
        <v>26726.15685300207</v>
      </c>
      <c r="BF141" s="13">
        <f t="shared" si="42"/>
        <v>7505.70652173913</v>
      </c>
      <c r="BG141" s="13">
        <f t="shared" si="42"/>
        <v>6940.2766304347833</v>
      </c>
      <c r="BH141" s="14">
        <f t="shared" si="42"/>
        <v>2837.5061678463089</v>
      </c>
      <c r="BI141" s="14">
        <f t="shared" si="42"/>
        <v>2647.5943377148633</v>
      </c>
      <c r="BJ141" s="15">
        <f t="shared" si="42"/>
        <v>2837.5061678463089</v>
      </c>
      <c r="BM141" s="35" t="s">
        <v>31</v>
      </c>
      <c r="BN141" s="16">
        <v>1330</v>
      </c>
      <c r="BO141" s="14">
        <v>1330</v>
      </c>
      <c r="BP141" s="14">
        <v>1330</v>
      </c>
      <c r="BQ141" s="14">
        <v>1330</v>
      </c>
      <c r="BR141" s="14">
        <v>1330</v>
      </c>
      <c r="BS141" s="14">
        <v>1330</v>
      </c>
      <c r="BT141" s="14">
        <v>1330</v>
      </c>
      <c r="BU141" s="14">
        <v>1330</v>
      </c>
      <c r="BV141" s="14">
        <v>1348</v>
      </c>
      <c r="BW141" s="14">
        <v>1348</v>
      </c>
      <c r="BX141" s="14">
        <v>1348</v>
      </c>
      <c r="BY141" s="14">
        <v>1348</v>
      </c>
      <c r="BZ141" s="14">
        <v>1463</v>
      </c>
      <c r="CA141" s="14">
        <v>1551</v>
      </c>
      <c r="CB141" s="14">
        <v>1551</v>
      </c>
      <c r="CC141" s="13">
        <v>1375</v>
      </c>
      <c r="CD141" s="13">
        <v>1375</v>
      </c>
      <c r="CE141" s="13">
        <v>1375</v>
      </c>
      <c r="CF141" s="13">
        <v>1361</v>
      </c>
      <c r="CG141" s="13">
        <v>1361</v>
      </c>
      <c r="CH141" s="13">
        <v>1342</v>
      </c>
      <c r="CI141" s="13">
        <v>1342</v>
      </c>
      <c r="CJ141" s="13">
        <v>1342</v>
      </c>
      <c r="CK141" s="13">
        <v>1342</v>
      </c>
      <c r="CL141" s="13">
        <v>1370</v>
      </c>
      <c r="CM141" s="13">
        <v>1370</v>
      </c>
      <c r="CN141" s="13">
        <v>1367</v>
      </c>
      <c r="CO141" s="13">
        <v>1367</v>
      </c>
      <c r="CP141" s="13">
        <v>1420</v>
      </c>
      <c r="CQ141" s="13">
        <v>1420</v>
      </c>
      <c r="CR141" s="12"/>
      <c r="CS141" s="13">
        <v>1404</v>
      </c>
      <c r="CT141" s="14">
        <v>1772</v>
      </c>
      <c r="CU141" s="14">
        <v>1772</v>
      </c>
      <c r="CV141" s="14">
        <v>1772</v>
      </c>
      <c r="CW141" s="14">
        <v>1772</v>
      </c>
      <c r="CX141" s="14">
        <v>1347</v>
      </c>
      <c r="CY141" s="14">
        <v>1347</v>
      </c>
      <c r="CZ141" s="14">
        <v>1347</v>
      </c>
      <c r="DA141" s="14">
        <v>1329</v>
      </c>
      <c r="DB141" s="14">
        <v>1329</v>
      </c>
      <c r="DC141" s="14">
        <v>1329</v>
      </c>
      <c r="DD141" s="14">
        <v>1423</v>
      </c>
      <c r="DE141" s="14">
        <v>1423</v>
      </c>
      <c r="DF141" s="14">
        <v>1423</v>
      </c>
      <c r="DG141" s="14">
        <v>1349</v>
      </c>
      <c r="DH141" s="14">
        <v>1451</v>
      </c>
      <c r="DI141" s="14">
        <v>1451</v>
      </c>
      <c r="DJ141" s="14">
        <v>1451</v>
      </c>
      <c r="DK141" s="14">
        <v>1531</v>
      </c>
      <c r="DL141" s="14">
        <v>1845</v>
      </c>
      <c r="DM141" s="14">
        <v>1559</v>
      </c>
      <c r="DN141" s="13">
        <v>1344</v>
      </c>
      <c r="DO141" s="14">
        <v>1352</v>
      </c>
      <c r="DP141" s="14">
        <v>1352</v>
      </c>
      <c r="DQ141" s="14">
        <v>1352</v>
      </c>
      <c r="DR141" s="13">
        <v>1500</v>
      </c>
      <c r="DS141" s="13">
        <v>1387</v>
      </c>
      <c r="DT141" s="14">
        <v>1524</v>
      </c>
      <c r="DU141" s="14">
        <v>1422</v>
      </c>
      <c r="DV141" s="15">
        <v>1524</v>
      </c>
      <c r="DY141" s="35" t="s">
        <v>31</v>
      </c>
      <c r="DZ141" s="16">
        <v>6.2500000000000003E-3</v>
      </c>
      <c r="EA141" s="14">
        <v>6.2500000000000003E-3</v>
      </c>
      <c r="EB141" s="14">
        <v>6.2500000000000003E-3</v>
      </c>
      <c r="EC141" s="14">
        <v>6.2500000000000003E-3</v>
      </c>
      <c r="ED141" s="14">
        <v>6.2500000000000003E-3</v>
      </c>
      <c r="EE141" s="14">
        <v>6.2500000000000003E-3</v>
      </c>
      <c r="EF141" s="14">
        <v>6.2500000000000003E-3</v>
      </c>
      <c r="EG141" s="14">
        <v>6.2500000000000003E-3</v>
      </c>
      <c r="EH141" s="14">
        <v>6.2500000000000003E-3</v>
      </c>
      <c r="EI141" s="14">
        <v>6.2500000000000003E-3</v>
      </c>
      <c r="EJ141" s="14">
        <v>6.2500000000000003E-3</v>
      </c>
      <c r="EK141" s="14">
        <v>6.2500000000000003E-3</v>
      </c>
      <c r="EL141" s="14">
        <v>6.2500000000000003E-3</v>
      </c>
      <c r="EM141" s="14">
        <v>4.6511627906976744E-3</v>
      </c>
      <c r="EN141" s="14">
        <v>4.6511627906976744E-3</v>
      </c>
      <c r="EO141" s="13">
        <f t="shared" si="28"/>
        <v>1.2500000000000001E-2</v>
      </c>
      <c r="EP141" s="13">
        <f t="shared" si="28"/>
        <v>1.2500000000000001E-2</v>
      </c>
      <c r="EQ141" s="13">
        <f t="shared" si="28"/>
        <v>1.2500000000000001E-2</v>
      </c>
      <c r="ER141" s="13">
        <f t="shared" si="28"/>
        <v>1.2500000000000001E-2</v>
      </c>
      <c r="ES141" s="13">
        <f t="shared" si="28"/>
        <v>1.2500000000000001E-2</v>
      </c>
      <c r="ET141" s="13">
        <f t="shared" si="28"/>
        <v>1.2500000000000001E-2</v>
      </c>
      <c r="EU141" s="13">
        <f t="shared" si="28"/>
        <v>1.2500000000000001E-2</v>
      </c>
      <c r="EV141" s="13">
        <f t="shared" si="28"/>
        <v>1.2500000000000001E-2</v>
      </c>
      <c r="EW141" s="13">
        <f t="shared" si="28"/>
        <v>1.2500000000000001E-2</v>
      </c>
      <c r="EX141" s="13">
        <f t="shared" si="28"/>
        <v>1.2500000000000001E-2</v>
      </c>
      <c r="EY141" s="13">
        <f t="shared" si="28"/>
        <v>1.2500000000000001E-2</v>
      </c>
      <c r="EZ141" s="13">
        <f t="shared" si="28"/>
        <v>1.2500000000000001E-2</v>
      </c>
      <c r="FA141" s="13">
        <f t="shared" si="28"/>
        <v>1.2500000000000001E-2</v>
      </c>
      <c r="FB141" s="13">
        <f t="shared" si="28"/>
        <v>1.2500000000000001E-2</v>
      </c>
      <c r="FC141" s="13">
        <f t="shared" si="28"/>
        <v>1.2500000000000001E-2</v>
      </c>
      <c r="FD141" s="12">
        <v>0.6</v>
      </c>
      <c r="FE141" s="13">
        <f t="shared" si="23"/>
        <v>1.2500000000000001E-2</v>
      </c>
      <c r="FF141" s="14">
        <v>5.7142857142857143E-3</v>
      </c>
      <c r="FG141" s="14">
        <v>5.7142857142857143E-3</v>
      </c>
      <c r="FH141" s="14">
        <v>5.7142857142857143E-3</v>
      </c>
      <c r="FI141" s="14">
        <v>5.7142857142857143E-3</v>
      </c>
      <c r="FJ141" s="14">
        <v>5.7142857142857143E-3</v>
      </c>
      <c r="FK141" s="14">
        <v>5.7142857142857143E-3</v>
      </c>
      <c r="FL141" s="14">
        <v>5.7142857142857143E-3</v>
      </c>
      <c r="FM141" s="14">
        <v>4.7619047619047623E-3</v>
      </c>
      <c r="FN141" s="14">
        <v>4.7619047619047623E-3</v>
      </c>
      <c r="FO141" s="14">
        <v>4.7619047619047623E-3</v>
      </c>
      <c r="FP141" s="14">
        <v>5.7142857142857143E-3</v>
      </c>
      <c r="FQ141" s="14">
        <v>5.7142857142857143E-3</v>
      </c>
      <c r="FR141" s="14">
        <v>5.7142857142857143E-3</v>
      </c>
      <c r="FS141" s="14">
        <v>5.7142857142857143E-3</v>
      </c>
      <c r="FT141" s="14">
        <v>5.8823529411764705E-3</v>
      </c>
      <c r="FU141" s="14">
        <v>5.7142857142857143E-3</v>
      </c>
      <c r="FV141" s="14">
        <v>5.7142857142857143E-3</v>
      </c>
      <c r="FW141" s="14">
        <v>4.5454545454545461E-3</v>
      </c>
      <c r="FX141" s="14">
        <v>4.5454545454545461E-3</v>
      </c>
      <c r="FY141" s="14">
        <v>5.7142857142857143E-3</v>
      </c>
      <c r="FZ141" s="13">
        <f t="shared" si="34"/>
        <v>1.2500000000000001E-2</v>
      </c>
      <c r="GA141" s="14">
        <v>5.7142857142857143E-3</v>
      </c>
      <c r="GB141" s="14">
        <v>5.7142857142857143E-3</v>
      </c>
      <c r="GC141" s="14">
        <v>5.7142857142857143E-3</v>
      </c>
      <c r="GD141" s="13">
        <f>0.2/16</f>
        <v>1.2500000000000001E-2</v>
      </c>
      <c r="GE141" s="13">
        <f t="shared" si="25"/>
        <v>1.2500000000000001E-2</v>
      </c>
      <c r="GF141" s="14">
        <v>4.6511627906976744E-3</v>
      </c>
      <c r="GG141" s="14">
        <v>4.6511627906976744E-3</v>
      </c>
      <c r="GH141" s="15">
        <v>4.6511627906976744E-3</v>
      </c>
    </row>
    <row r="142" spans="1:190" x14ac:dyDescent="0.3">
      <c r="A142" s="35" t="s">
        <v>32</v>
      </c>
      <c r="B142" s="16">
        <f>BN142*DZ142*B110*2</f>
        <v>188612.99765625002</v>
      </c>
      <c r="C142" s="14">
        <f t="shared" ref="C142:BJ142" si="43">BO142*EA142*C110*2</f>
        <v>188612.99765625002</v>
      </c>
      <c r="D142" s="14">
        <f t="shared" si="43"/>
        <v>188612.99765625002</v>
      </c>
      <c r="E142" s="14">
        <f t="shared" si="43"/>
        <v>188612.99765625002</v>
      </c>
      <c r="F142" s="14">
        <f t="shared" si="43"/>
        <v>188612.99765625002</v>
      </c>
      <c r="G142" s="14">
        <f t="shared" si="43"/>
        <v>188612.99765625002</v>
      </c>
      <c r="H142" s="14">
        <f t="shared" si="43"/>
        <v>188612.99765625002</v>
      </c>
      <c r="I142" s="14">
        <f t="shared" si="43"/>
        <v>188612.99765625002</v>
      </c>
      <c r="J142" s="14">
        <f t="shared" si="43"/>
        <v>3185.2921195652175</v>
      </c>
      <c r="K142" s="14">
        <f t="shared" si="43"/>
        <v>3185.2921195652175</v>
      </c>
      <c r="L142" s="14">
        <f t="shared" si="43"/>
        <v>3185.2921195652175</v>
      </c>
      <c r="M142" s="14">
        <f t="shared" si="43"/>
        <v>3185.2921195652175</v>
      </c>
      <c r="N142" s="14">
        <f t="shared" si="43"/>
        <v>3727.8342391304345</v>
      </c>
      <c r="O142" s="14">
        <f t="shared" si="43"/>
        <v>5302.9120323559155</v>
      </c>
      <c r="P142" s="14">
        <f t="shared" si="43"/>
        <v>5302.9120323559155</v>
      </c>
      <c r="Q142" s="13">
        <f t="shared" si="43"/>
        <v>95268.693840579726</v>
      </c>
      <c r="R142" s="13">
        <f t="shared" si="43"/>
        <v>95268.693840579726</v>
      </c>
      <c r="S142" s="13">
        <f t="shared" si="43"/>
        <v>95268.693840579726</v>
      </c>
      <c r="T142" s="13">
        <f t="shared" si="43"/>
        <v>12861.63043478261</v>
      </c>
      <c r="U142" s="13">
        <f t="shared" si="43"/>
        <v>12861.63043478261</v>
      </c>
      <c r="V142" s="13">
        <f t="shared" si="43"/>
        <v>107825.8625</v>
      </c>
      <c r="W142" s="13">
        <f t="shared" si="43"/>
        <v>107825.8625</v>
      </c>
      <c r="X142" s="13">
        <f t="shared" si="43"/>
        <v>107825.8625</v>
      </c>
      <c r="Y142" s="13">
        <f t="shared" si="43"/>
        <v>107825.8625</v>
      </c>
      <c r="Z142" s="13">
        <f t="shared" si="43"/>
        <v>3495.1573369565222</v>
      </c>
      <c r="AA142" s="13">
        <f t="shared" si="43"/>
        <v>3495.1573369565222</v>
      </c>
      <c r="AB142" s="13">
        <f t="shared" si="43"/>
        <v>3487.6516304347824</v>
      </c>
      <c r="AC142" s="13">
        <f t="shared" si="43"/>
        <v>3487.6516304347824</v>
      </c>
      <c r="AD142" s="13">
        <f t="shared" si="43"/>
        <v>3617.7505434782606</v>
      </c>
      <c r="AE142" s="13">
        <f t="shared" si="43"/>
        <v>3617.7505434782606</v>
      </c>
      <c r="AF142" s="13">
        <f t="shared" si="43"/>
        <v>7025.3413043478258</v>
      </c>
      <c r="AG142" s="12">
        <f t="shared" si="43"/>
        <v>0</v>
      </c>
      <c r="AH142" s="14">
        <f t="shared" si="43"/>
        <v>1028.7821739130434</v>
      </c>
      <c r="AI142" s="14">
        <f t="shared" si="43"/>
        <v>1028.7821739130434</v>
      </c>
      <c r="AJ142" s="14">
        <f t="shared" si="43"/>
        <v>1028.7821739130434</v>
      </c>
      <c r="AK142" s="14">
        <f t="shared" si="43"/>
        <v>1028.7821739130434</v>
      </c>
      <c r="AL142" s="14">
        <f t="shared" si="43"/>
        <v>46561.702360248448</v>
      </c>
      <c r="AM142" s="14">
        <f t="shared" si="43"/>
        <v>46561.702360248448</v>
      </c>
      <c r="AN142" s="14">
        <f t="shared" si="43"/>
        <v>46561.702360248448</v>
      </c>
      <c r="AO142" s="14">
        <f t="shared" si="43"/>
        <v>861.60745341614916</v>
      </c>
      <c r="AP142" s="14">
        <f t="shared" si="43"/>
        <v>861.60745341614916</v>
      </c>
      <c r="AQ142" s="14">
        <f t="shared" si="43"/>
        <v>861.60745341614916</v>
      </c>
      <c r="AR142" s="14">
        <f t="shared" si="43"/>
        <v>1105.6024844720498</v>
      </c>
      <c r="AS142" s="14">
        <f t="shared" si="43"/>
        <v>1105.6024844720498</v>
      </c>
      <c r="AT142" s="14">
        <f t="shared" si="43"/>
        <v>1105.6024844720498</v>
      </c>
      <c r="AU142" s="14">
        <f t="shared" si="43"/>
        <v>11657.540372670808</v>
      </c>
      <c r="AV142" s="14">
        <f t="shared" si="43"/>
        <v>4296.658141517476</v>
      </c>
      <c r="AW142" s="14">
        <f t="shared" si="43"/>
        <v>4173.8964803312629</v>
      </c>
      <c r="AX142" s="14">
        <f t="shared" si="43"/>
        <v>4173.8964803312629</v>
      </c>
      <c r="AY142" s="14">
        <f t="shared" si="43"/>
        <v>2834.8826086956524</v>
      </c>
      <c r="AZ142" s="14">
        <f t="shared" si="43"/>
        <v>3406.2260869565216</v>
      </c>
      <c r="BA142" s="14">
        <f t="shared" si="43"/>
        <v>3627.9011180124221</v>
      </c>
      <c r="BB142" s="13">
        <f t="shared" si="43"/>
        <v>6860.2157608695643</v>
      </c>
      <c r="BC142" s="14">
        <f t="shared" si="43"/>
        <v>27259.889275362319</v>
      </c>
      <c r="BD142" s="14">
        <f t="shared" si="43"/>
        <v>27259.889275362319</v>
      </c>
      <c r="BE142" s="14">
        <f t="shared" si="43"/>
        <v>27259.889275362319</v>
      </c>
      <c r="BF142" s="13">
        <f t="shared" si="43"/>
        <v>7640.8092391304353</v>
      </c>
      <c r="BG142" s="12">
        <f t="shared" si="43"/>
        <v>339618.20869565214</v>
      </c>
      <c r="BH142" s="14">
        <f t="shared" si="43"/>
        <v>2887.7769464105154</v>
      </c>
      <c r="BI142" s="14">
        <f t="shared" si="43"/>
        <v>2697.8651162790698</v>
      </c>
      <c r="BJ142" s="15">
        <f t="shared" si="43"/>
        <v>2887.7769464105154</v>
      </c>
      <c r="BM142" s="35" t="s">
        <v>32</v>
      </c>
      <c r="BN142" s="16">
        <v>1357</v>
      </c>
      <c r="BO142" s="14">
        <v>1357</v>
      </c>
      <c r="BP142" s="14">
        <v>1357</v>
      </c>
      <c r="BQ142" s="14">
        <v>1357</v>
      </c>
      <c r="BR142" s="14">
        <v>1357</v>
      </c>
      <c r="BS142" s="14">
        <v>1357</v>
      </c>
      <c r="BT142" s="14">
        <v>1357</v>
      </c>
      <c r="BU142" s="14">
        <v>1357</v>
      </c>
      <c r="BV142" s="14">
        <v>1375</v>
      </c>
      <c r="BW142" s="14">
        <v>1375</v>
      </c>
      <c r="BX142" s="14">
        <v>1375</v>
      </c>
      <c r="BY142" s="14">
        <v>1375</v>
      </c>
      <c r="BZ142" s="14">
        <v>1490</v>
      </c>
      <c r="CA142" s="14">
        <v>1538</v>
      </c>
      <c r="CB142" s="14">
        <v>1538</v>
      </c>
      <c r="CC142" s="13">
        <v>1402</v>
      </c>
      <c r="CD142" s="13">
        <v>1402</v>
      </c>
      <c r="CE142" s="13">
        <v>1402</v>
      </c>
      <c r="CF142" s="13">
        <v>1388</v>
      </c>
      <c r="CG142" s="13">
        <v>1388</v>
      </c>
      <c r="CH142" s="13">
        <v>1369</v>
      </c>
      <c r="CI142" s="13">
        <v>1369</v>
      </c>
      <c r="CJ142" s="13">
        <v>1369</v>
      </c>
      <c r="CK142" s="13">
        <v>1369</v>
      </c>
      <c r="CL142" s="13">
        <v>1397</v>
      </c>
      <c r="CM142" s="13">
        <v>1397</v>
      </c>
      <c r="CN142" s="13">
        <v>1394</v>
      </c>
      <c r="CO142" s="13">
        <v>1394</v>
      </c>
      <c r="CP142" s="13">
        <v>1446</v>
      </c>
      <c r="CQ142" s="13">
        <v>1446</v>
      </c>
      <c r="CR142" s="13">
        <v>1404</v>
      </c>
      <c r="CS142" s="12"/>
      <c r="CT142" s="14">
        <v>1799</v>
      </c>
      <c r="CU142" s="14">
        <v>1799</v>
      </c>
      <c r="CV142" s="14">
        <v>1799</v>
      </c>
      <c r="CW142" s="14">
        <v>1799</v>
      </c>
      <c r="CX142" s="14">
        <v>1374</v>
      </c>
      <c r="CY142" s="14">
        <v>1374</v>
      </c>
      <c r="CZ142" s="14">
        <v>1374</v>
      </c>
      <c r="DA142" s="14">
        <v>1356</v>
      </c>
      <c r="DB142" s="14">
        <v>1356</v>
      </c>
      <c r="DC142" s="14">
        <v>1356</v>
      </c>
      <c r="DD142" s="14">
        <v>1450</v>
      </c>
      <c r="DE142" s="14">
        <v>1450</v>
      </c>
      <c r="DF142" s="14">
        <v>1450</v>
      </c>
      <c r="DG142" s="14">
        <v>1376</v>
      </c>
      <c r="DH142" s="14">
        <v>1478</v>
      </c>
      <c r="DI142" s="14">
        <v>1478</v>
      </c>
      <c r="DJ142" s="14">
        <v>1478</v>
      </c>
      <c r="DK142" s="14">
        <v>1558</v>
      </c>
      <c r="DL142" s="14">
        <v>1872</v>
      </c>
      <c r="DM142" s="14">
        <v>1586</v>
      </c>
      <c r="DN142" s="13">
        <v>1371</v>
      </c>
      <c r="DO142" s="14">
        <v>1379</v>
      </c>
      <c r="DP142" s="14">
        <v>1379</v>
      </c>
      <c r="DQ142" s="14">
        <v>1379</v>
      </c>
      <c r="DR142" s="13">
        <v>1527</v>
      </c>
      <c r="DS142" s="12">
        <v>1414</v>
      </c>
      <c r="DT142" s="14">
        <v>1551</v>
      </c>
      <c r="DU142" s="14">
        <v>1449</v>
      </c>
      <c r="DV142" s="15">
        <v>1551</v>
      </c>
      <c r="DY142" s="35" t="s">
        <v>32</v>
      </c>
      <c r="DZ142" s="16">
        <v>6.2500000000000003E-3</v>
      </c>
      <c r="EA142" s="14">
        <v>6.2500000000000003E-3</v>
      </c>
      <c r="EB142" s="14">
        <v>6.2500000000000003E-3</v>
      </c>
      <c r="EC142" s="14">
        <v>6.2500000000000003E-3</v>
      </c>
      <c r="ED142" s="14">
        <v>6.2500000000000003E-3</v>
      </c>
      <c r="EE142" s="14">
        <v>6.2500000000000003E-3</v>
      </c>
      <c r="EF142" s="14">
        <v>6.2500000000000003E-3</v>
      </c>
      <c r="EG142" s="14">
        <v>6.2500000000000003E-3</v>
      </c>
      <c r="EH142" s="14">
        <v>6.2500000000000003E-3</v>
      </c>
      <c r="EI142" s="14">
        <v>6.2500000000000003E-3</v>
      </c>
      <c r="EJ142" s="14">
        <v>6.2500000000000003E-3</v>
      </c>
      <c r="EK142" s="14">
        <v>6.2500000000000003E-3</v>
      </c>
      <c r="EL142" s="14">
        <v>6.2500000000000003E-3</v>
      </c>
      <c r="EM142" s="14">
        <v>4.6511627906976744E-3</v>
      </c>
      <c r="EN142" s="14">
        <v>4.6511627906976744E-3</v>
      </c>
      <c r="EO142" s="13">
        <f t="shared" si="28"/>
        <v>1.2500000000000001E-2</v>
      </c>
      <c r="EP142" s="13">
        <f t="shared" si="28"/>
        <v>1.2500000000000001E-2</v>
      </c>
      <c r="EQ142" s="13">
        <f t="shared" si="28"/>
        <v>1.2500000000000001E-2</v>
      </c>
      <c r="ER142" s="13">
        <f t="shared" si="28"/>
        <v>1.2500000000000001E-2</v>
      </c>
      <c r="ES142" s="13">
        <f t="shared" si="28"/>
        <v>1.2500000000000001E-2</v>
      </c>
      <c r="ET142" s="13">
        <f t="shared" si="28"/>
        <v>1.2500000000000001E-2</v>
      </c>
      <c r="EU142" s="13">
        <f t="shared" si="28"/>
        <v>1.2500000000000001E-2</v>
      </c>
      <c r="EV142" s="13">
        <f t="shared" si="28"/>
        <v>1.2500000000000001E-2</v>
      </c>
      <c r="EW142" s="13">
        <f t="shared" si="28"/>
        <v>1.2500000000000001E-2</v>
      </c>
      <c r="EX142" s="13">
        <f t="shared" si="28"/>
        <v>1.2500000000000001E-2</v>
      </c>
      <c r="EY142" s="13">
        <f t="shared" si="28"/>
        <v>1.2500000000000001E-2</v>
      </c>
      <c r="EZ142" s="13">
        <f t="shared" si="28"/>
        <v>1.2500000000000001E-2</v>
      </c>
      <c r="FA142" s="13">
        <f t="shared" si="28"/>
        <v>1.2500000000000001E-2</v>
      </c>
      <c r="FB142" s="13">
        <f t="shared" si="28"/>
        <v>1.2500000000000001E-2</v>
      </c>
      <c r="FC142" s="13">
        <f t="shared" si="28"/>
        <v>1.2500000000000001E-2</v>
      </c>
      <c r="FD142" s="13">
        <f>0.2/16</f>
        <v>1.2500000000000001E-2</v>
      </c>
      <c r="FE142" s="12">
        <v>0.6</v>
      </c>
      <c r="FF142" s="14">
        <v>5.7142857142857143E-3</v>
      </c>
      <c r="FG142" s="14">
        <v>5.7142857142857143E-3</v>
      </c>
      <c r="FH142" s="14">
        <v>5.7142857142857143E-3</v>
      </c>
      <c r="FI142" s="14">
        <v>5.7142857142857143E-3</v>
      </c>
      <c r="FJ142" s="14">
        <v>5.7142857142857143E-3</v>
      </c>
      <c r="FK142" s="14">
        <v>5.7142857142857143E-3</v>
      </c>
      <c r="FL142" s="14">
        <v>5.7142857142857143E-3</v>
      </c>
      <c r="FM142" s="14">
        <v>4.7619047619047623E-3</v>
      </c>
      <c r="FN142" s="14">
        <v>4.7619047619047623E-3</v>
      </c>
      <c r="FO142" s="14">
        <v>4.7619047619047623E-3</v>
      </c>
      <c r="FP142" s="14">
        <v>5.7142857142857143E-3</v>
      </c>
      <c r="FQ142" s="14">
        <v>5.7142857142857143E-3</v>
      </c>
      <c r="FR142" s="14">
        <v>5.7142857142857143E-3</v>
      </c>
      <c r="FS142" s="14">
        <v>5.7142857142857143E-3</v>
      </c>
      <c r="FT142" s="14">
        <v>5.8823529411764705E-3</v>
      </c>
      <c r="FU142" s="14">
        <v>5.7142857142857143E-3</v>
      </c>
      <c r="FV142" s="14">
        <v>5.7142857142857143E-3</v>
      </c>
      <c r="FW142" s="14">
        <v>4.5454545454545461E-3</v>
      </c>
      <c r="FX142" s="14">
        <v>4.5454545454545461E-3</v>
      </c>
      <c r="FY142" s="14">
        <v>5.7142857142857143E-3</v>
      </c>
      <c r="FZ142" s="13">
        <f t="shared" si="34"/>
        <v>1.2500000000000001E-2</v>
      </c>
      <c r="GA142" s="14">
        <v>5.7142857142857143E-3</v>
      </c>
      <c r="GB142" s="14">
        <v>5.7142857142857143E-3</v>
      </c>
      <c r="GC142" s="14">
        <v>5.7142857142857143E-3</v>
      </c>
      <c r="GD142" s="13">
        <f>0.2/16</f>
        <v>1.2500000000000001E-2</v>
      </c>
      <c r="GE142" s="12">
        <v>0.6</v>
      </c>
      <c r="GF142" s="14">
        <v>4.6511627906976744E-3</v>
      </c>
      <c r="GG142" s="14">
        <v>4.6511627906976744E-3</v>
      </c>
      <c r="GH142" s="15">
        <v>4.6511627906976744E-3</v>
      </c>
    </row>
    <row r="143" spans="1:190" x14ac:dyDescent="0.3">
      <c r="A143" s="35" t="s">
        <v>33</v>
      </c>
      <c r="B143" s="16">
        <f>BN143*DZ143*B110*2</f>
        <v>239762.28515625</v>
      </c>
      <c r="C143" s="14">
        <f t="shared" ref="C143:BJ143" si="44">BO143*EA143*C110*2</f>
        <v>239762.28515625</v>
      </c>
      <c r="D143" s="14">
        <f t="shared" si="44"/>
        <v>239762.28515625</v>
      </c>
      <c r="E143" s="14">
        <f t="shared" si="44"/>
        <v>239762.28515625</v>
      </c>
      <c r="F143" s="14">
        <f t="shared" si="44"/>
        <v>239762.28515625</v>
      </c>
      <c r="G143" s="14">
        <f t="shared" si="44"/>
        <v>239762.28515625</v>
      </c>
      <c r="H143" s="14">
        <f t="shared" si="44"/>
        <v>239762.28515625</v>
      </c>
      <c r="I143" s="14">
        <f t="shared" si="44"/>
        <v>239762.28515625</v>
      </c>
      <c r="J143" s="14">
        <f t="shared" si="44"/>
        <v>4037.7921195652179</v>
      </c>
      <c r="K143" s="14">
        <f t="shared" si="44"/>
        <v>4037.7921195652179</v>
      </c>
      <c r="L143" s="14">
        <f t="shared" si="44"/>
        <v>4037.7921195652179</v>
      </c>
      <c r="M143" s="14">
        <f t="shared" si="44"/>
        <v>4037.7921195652179</v>
      </c>
      <c r="N143" s="14">
        <f t="shared" si="44"/>
        <v>4651.0361413043474</v>
      </c>
      <c r="O143" s="14">
        <f t="shared" si="44"/>
        <v>6571.7492416582409</v>
      </c>
      <c r="P143" s="14">
        <f t="shared" si="44"/>
        <v>6571.7492416582409</v>
      </c>
      <c r="Q143" s="14">
        <f t="shared" si="44"/>
        <v>68728.586956521744</v>
      </c>
      <c r="R143" s="14">
        <f t="shared" si="44"/>
        <v>68728.586956521744</v>
      </c>
      <c r="S143" s="14">
        <f t="shared" si="44"/>
        <v>68728.586956521744</v>
      </c>
      <c r="T143" s="14">
        <f t="shared" si="44"/>
        <v>9298.0745341614929</v>
      </c>
      <c r="U143" s="14">
        <f t="shared" si="44"/>
        <v>9298.0745341614929</v>
      </c>
      <c r="V143" s="14">
        <f t="shared" si="44"/>
        <v>78177.407142857148</v>
      </c>
      <c r="W143" s="14">
        <f t="shared" si="44"/>
        <v>78177.407142857148</v>
      </c>
      <c r="X143" s="14">
        <f t="shared" si="44"/>
        <v>78177.407142857148</v>
      </c>
      <c r="Y143" s="14">
        <f t="shared" si="44"/>
        <v>78177.407142857148</v>
      </c>
      <c r="Z143" s="14">
        <f t="shared" si="44"/>
        <v>2524.7767080745343</v>
      </c>
      <c r="AA143" s="14">
        <f t="shared" si="44"/>
        <v>2524.7767080745343</v>
      </c>
      <c r="AB143" s="14">
        <f t="shared" si="44"/>
        <v>2520.4877329192545</v>
      </c>
      <c r="AC143" s="14">
        <f t="shared" si="44"/>
        <v>2520.4877329192545</v>
      </c>
      <c r="AD143" s="14">
        <f t="shared" si="44"/>
        <v>2594.8299689440996</v>
      </c>
      <c r="AE143" s="14">
        <f t="shared" si="44"/>
        <v>2594.8299689440996</v>
      </c>
      <c r="AF143" s="14">
        <f t="shared" si="44"/>
        <v>5066.7093167701869</v>
      </c>
      <c r="AG143" s="14">
        <f t="shared" si="44"/>
        <v>5143.9108695652176</v>
      </c>
      <c r="AH143" s="12">
        <f t="shared" si="44"/>
        <v>0</v>
      </c>
      <c r="AI143" s="13">
        <f t="shared" si="44"/>
        <v>4819.2195652173914</v>
      </c>
      <c r="AJ143" s="13">
        <f t="shared" si="44"/>
        <v>4819.2195652173914</v>
      </c>
      <c r="AK143" s="13">
        <f t="shared" si="44"/>
        <v>4819.2195652173914</v>
      </c>
      <c r="AL143" s="13">
        <f t="shared" si="44"/>
        <v>229702.13913043481</v>
      </c>
      <c r="AM143" s="13">
        <f t="shared" si="44"/>
        <v>229702.13913043481</v>
      </c>
      <c r="AN143" s="13">
        <f t="shared" si="44"/>
        <v>229702.13913043481</v>
      </c>
      <c r="AO143" s="14">
        <f t="shared" si="44"/>
        <v>1095.4360248447206</v>
      </c>
      <c r="AP143" s="14">
        <f t="shared" si="44"/>
        <v>1095.4360248447206</v>
      </c>
      <c r="AQ143" s="14">
        <f t="shared" si="44"/>
        <v>1095.4360248447206</v>
      </c>
      <c r="AR143" s="13">
        <f t="shared" si="44"/>
        <v>5390.7652173913048</v>
      </c>
      <c r="AS143" s="13">
        <f t="shared" si="44"/>
        <v>5390.7652173913048</v>
      </c>
      <c r="AT143" s="13">
        <f t="shared" si="44"/>
        <v>5390.7652173913048</v>
      </c>
      <c r="AU143" s="13">
        <f t="shared" si="44"/>
        <v>57492.270531400973</v>
      </c>
      <c r="AV143" s="13">
        <f t="shared" si="44"/>
        <v>18245.971014492756</v>
      </c>
      <c r="AW143" s="12">
        <f t="shared" si="44"/>
        <v>547379.13043478259</v>
      </c>
      <c r="AX143" s="13">
        <f t="shared" si="44"/>
        <v>20273.30112721417</v>
      </c>
      <c r="AY143" s="14">
        <f t="shared" si="44"/>
        <v>3504.4826086956523</v>
      </c>
      <c r="AZ143" s="14">
        <f t="shared" si="44"/>
        <v>4075.8260869565224</v>
      </c>
      <c r="BA143" s="13">
        <f t="shared" si="44"/>
        <v>17382.104347826087</v>
      </c>
      <c r="BB143" s="14">
        <f t="shared" si="44"/>
        <v>4975.2111801242236</v>
      </c>
      <c r="BC143" s="13">
        <f t="shared" si="44"/>
        <v>134300.69533011274</v>
      </c>
      <c r="BD143" s="13">
        <f t="shared" si="44"/>
        <v>134300.69533011274</v>
      </c>
      <c r="BE143" s="13">
        <f t="shared" si="44"/>
        <v>134300.69533011274</v>
      </c>
      <c r="BF143" s="14">
        <f t="shared" si="44"/>
        <v>5418.4052795031057</v>
      </c>
      <c r="BG143" s="14">
        <f t="shared" si="44"/>
        <v>5095.3024844720503</v>
      </c>
      <c r="BH143" s="14">
        <f t="shared" si="44"/>
        <v>3572.9490394337713</v>
      </c>
      <c r="BI143" s="14">
        <f t="shared" si="44"/>
        <v>3383.0372093023257</v>
      </c>
      <c r="BJ143" s="15">
        <f t="shared" si="44"/>
        <v>3572.9490394337713</v>
      </c>
      <c r="BM143" s="35" t="s">
        <v>33</v>
      </c>
      <c r="BN143" s="16">
        <v>1725</v>
      </c>
      <c r="BO143" s="14">
        <v>1725</v>
      </c>
      <c r="BP143" s="14">
        <v>1725</v>
      </c>
      <c r="BQ143" s="14">
        <v>1725</v>
      </c>
      <c r="BR143" s="14">
        <v>1725</v>
      </c>
      <c r="BS143" s="14">
        <v>1725</v>
      </c>
      <c r="BT143" s="14">
        <v>1725</v>
      </c>
      <c r="BU143" s="14">
        <v>1725</v>
      </c>
      <c r="BV143" s="14">
        <v>1743</v>
      </c>
      <c r="BW143" s="14">
        <v>1743</v>
      </c>
      <c r="BX143" s="14">
        <v>1743</v>
      </c>
      <c r="BY143" s="14">
        <v>1743</v>
      </c>
      <c r="BZ143" s="14">
        <v>1859</v>
      </c>
      <c r="CA143" s="14">
        <v>1906</v>
      </c>
      <c r="CB143" s="14">
        <v>1906</v>
      </c>
      <c r="CC143" s="14">
        <v>1770</v>
      </c>
      <c r="CD143" s="14">
        <v>1770</v>
      </c>
      <c r="CE143" s="14">
        <v>1770</v>
      </c>
      <c r="CF143" s="14">
        <v>1756</v>
      </c>
      <c r="CG143" s="14">
        <v>1756</v>
      </c>
      <c r="CH143" s="14">
        <v>1737</v>
      </c>
      <c r="CI143" s="14">
        <v>1737</v>
      </c>
      <c r="CJ143" s="14">
        <v>1737</v>
      </c>
      <c r="CK143" s="14">
        <v>1737</v>
      </c>
      <c r="CL143" s="14">
        <v>1766</v>
      </c>
      <c r="CM143" s="14">
        <v>1766</v>
      </c>
      <c r="CN143" s="14">
        <v>1763</v>
      </c>
      <c r="CO143" s="14">
        <v>1763</v>
      </c>
      <c r="CP143" s="14">
        <v>1815</v>
      </c>
      <c r="CQ143" s="14">
        <v>1815</v>
      </c>
      <c r="CR143" s="14">
        <v>1772</v>
      </c>
      <c r="CS143" s="14">
        <v>1799</v>
      </c>
      <c r="CT143" s="12"/>
      <c r="CU143" s="13">
        <v>2167</v>
      </c>
      <c r="CV143" s="13">
        <v>2167</v>
      </c>
      <c r="CW143" s="13">
        <v>2167</v>
      </c>
      <c r="CX143" s="13">
        <v>1743</v>
      </c>
      <c r="CY143" s="13">
        <v>1743</v>
      </c>
      <c r="CZ143" s="13">
        <v>1743</v>
      </c>
      <c r="DA143" s="14">
        <v>1724</v>
      </c>
      <c r="DB143" s="14">
        <v>1724</v>
      </c>
      <c r="DC143" s="14">
        <v>1724</v>
      </c>
      <c r="DD143" s="13">
        <v>1818</v>
      </c>
      <c r="DE143" s="13">
        <v>1818</v>
      </c>
      <c r="DF143" s="13">
        <v>1818</v>
      </c>
      <c r="DG143" s="13">
        <v>1745</v>
      </c>
      <c r="DH143" s="13">
        <v>1846</v>
      </c>
      <c r="DI143" s="12">
        <v>1846</v>
      </c>
      <c r="DJ143" s="13">
        <v>1846</v>
      </c>
      <c r="DK143" s="14">
        <v>1926</v>
      </c>
      <c r="DL143" s="14">
        <v>2240</v>
      </c>
      <c r="DM143" s="13">
        <v>1954</v>
      </c>
      <c r="DN143" s="14">
        <v>1740</v>
      </c>
      <c r="DO143" s="13">
        <v>1747</v>
      </c>
      <c r="DP143" s="13">
        <v>1747</v>
      </c>
      <c r="DQ143" s="13">
        <v>1747</v>
      </c>
      <c r="DR143" s="14">
        <v>1895</v>
      </c>
      <c r="DS143" s="14">
        <v>1782</v>
      </c>
      <c r="DT143" s="14">
        <v>1919</v>
      </c>
      <c r="DU143" s="14">
        <v>1817</v>
      </c>
      <c r="DV143" s="15">
        <v>1919</v>
      </c>
      <c r="DY143" s="35" t="s">
        <v>33</v>
      </c>
      <c r="DZ143" s="16">
        <v>6.2500000000000003E-3</v>
      </c>
      <c r="EA143" s="14">
        <v>6.2500000000000003E-3</v>
      </c>
      <c r="EB143" s="14">
        <v>6.2500000000000003E-3</v>
      </c>
      <c r="EC143" s="14">
        <v>6.2500000000000003E-3</v>
      </c>
      <c r="ED143" s="14">
        <v>6.2500000000000003E-3</v>
      </c>
      <c r="EE143" s="14">
        <v>6.2500000000000003E-3</v>
      </c>
      <c r="EF143" s="14">
        <v>6.2500000000000003E-3</v>
      </c>
      <c r="EG143" s="14">
        <v>6.2500000000000003E-3</v>
      </c>
      <c r="EH143" s="14">
        <v>6.2500000000000003E-3</v>
      </c>
      <c r="EI143" s="14">
        <v>6.2500000000000003E-3</v>
      </c>
      <c r="EJ143" s="14">
        <v>6.2500000000000003E-3</v>
      </c>
      <c r="EK143" s="14">
        <v>6.2500000000000003E-3</v>
      </c>
      <c r="EL143" s="14">
        <v>6.2500000000000003E-3</v>
      </c>
      <c r="EM143" s="14">
        <v>4.6511627906976744E-3</v>
      </c>
      <c r="EN143" s="14">
        <v>4.6511627906976744E-3</v>
      </c>
      <c r="EO143" s="14">
        <v>7.1428571428571435E-3</v>
      </c>
      <c r="EP143" s="14">
        <v>7.1428571428571435E-3</v>
      </c>
      <c r="EQ143" s="14">
        <v>7.1428571428571435E-3</v>
      </c>
      <c r="ER143" s="14">
        <v>7.1428571428571435E-3</v>
      </c>
      <c r="ES143" s="14">
        <v>7.1428571428571435E-3</v>
      </c>
      <c r="ET143" s="14">
        <v>7.1428571428571435E-3</v>
      </c>
      <c r="EU143" s="14">
        <v>7.1428571428571435E-3</v>
      </c>
      <c r="EV143" s="14">
        <v>7.1428571428571435E-3</v>
      </c>
      <c r="EW143" s="14">
        <v>7.1428571428571435E-3</v>
      </c>
      <c r="EX143" s="14">
        <v>7.1428571428571435E-3</v>
      </c>
      <c r="EY143" s="14">
        <v>7.1428571428571435E-3</v>
      </c>
      <c r="EZ143" s="14">
        <v>7.1428571428571435E-3</v>
      </c>
      <c r="FA143" s="14">
        <v>7.1428571428571435E-3</v>
      </c>
      <c r="FB143" s="14">
        <v>7.1428571428571435E-3</v>
      </c>
      <c r="FC143" s="14">
        <v>7.1428571428571435E-3</v>
      </c>
      <c r="FD143" s="14">
        <v>7.1428571428571435E-3</v>
      </c>
      <c r="FE143" s="14">
        <v>7.1428571428571435E-3</v>
      </c>
      <c r="FF143" s="12">
        <v>0.6</v>
      </c>
      <c r="FG143" s="13">
        <f>0.2/9</f>
        <v>2.2222222222222223E-2</v>
      </c>
      <c r="FH143" s="13">
        <f t="shared" ref="FH143:FL148" si="45">0.2/9</f>
        <v>2.2222222222222223E-2</v>
      </c>
      <c r="FI143" s="13">
        <f t="shared" si="45"/>
        <v>2.2222222222222223E-2</v>
      </c>
      <c r="FJ143" s="13">
        <f t="shared" si="45"/>
        <v>2.2222222222222223E-2</v>
      </c>
      <c r="FK143" s="13">
        <f t="shared" si="45"/>
        <v>2.2222222222222223E-2</v>
      </c>
      <c r="FL143" s="13">
        <f t="shared" si="45"/>
        <v>2.2222222222222223E-2</v>
      </c>
      <c r="FM143" s="14">
        <v>4.7619047619047623E-3</v>
      </c>
      <c r="FN143" s="14">
        <v>4.7619047619047623E-3</v>
      </c>
      <c r="FO143" s="14">
        <v>4.7619047619047623E-3</v>
      </c>
      <c r="FP143" s="13">
        <f>0.2/9</f>
        <v>2.2222222222222223E-2</v>
      </c>
      <c r="FQ143" s="13">
        <f t="shared" ref="FQ143:FS149" si="46">0.2/9</f>
        <v>2.2222222222222223E-2</v>
      </c>
      <c r="FR143" s="13">
        <f t="shared" si="46"/>
        <v>2.2222222222222223E-2</v>
      </c>
      <c r="FS143" s="13">
        <f>0.2/9</f>
        <v>2.2222222222222223E-2</v>
      </c>
      <c r="FT143" s="13">
        <f>0.2/10</f>
        <v>0.02</v>
      </c>
      <c r="FU143" s="12">
        <v>0.6</v>
      </c>
      <c r="FV143" s="13">
        <f>0.2/9</f>
        <v>2.2222222222222223E-2</v>
      </c>
      <c r="FW143" s="14">
        <v>4.5454545454545461E-3</v>
      </c>
      <c r="FX143" s="14">
        <v>4.5454545454545461E-3</v>
      </c>
      <c r="FY143" s="13">
        <f>0.2/9</f>
        <v>2.2222222222222223E-2</v>
      </c>
      <c r="FZ143" s="14">
        <v>7.1428571428571435E-3</v>
      </c>
      <c r="GA143" s="13">
        <f>0.2/9</f>
        <v>2.2222222222222223E-2</v>
      </c>
      <c r="GB143" s="13">
        <f>0.2/9</f>
        <v>2.2222222222222223E-2</v>
      </c>
      <c r="GC143" s="13">
        <f>0.2/9</f>
        <v>2.2222222222222223E-2</v>
      </c>
      <c r="GD143" s="14">
        <v>7.1428571428571435E-3</v>
      </c>
      <c r="GE143" s="14">
        <v>7.1428571428571435E-3</v>
      </c>
      <c r="GF143" s="14">
        <v>4.6511627906976744E-3</v>
      </c>
      <c r="GG143" s="14">
        <v>4.6511627906976744E-3</v>
      </c>
      <c r="GH143" s="15">
        <v>4.6511627906976744E-3</v>
      </c>
    </row>
    <row r="144" spans="1:190" x14ac:dyDescent="0.3">
      <c r="A144" s="35" t="s">
        <v>34</v>
      </c>
      <c r="B144" s="16">
        <f>BN144*DZ144*B110*2</f>
        <v>239762.28515625</v>
      </c>
      <c r="C144" s="14">
        <f t="shared" ref="C144:BJ144" si="47">BO144*EA144*C110*2</f>
        <v>239762.28515625</v>
      </c>
      <c r="D144" s="14">
        <f t="shared" si="47"/>
        <v>239762.28515625</v>
      </c>
      <c r="E144" s="14">
        <f t="shared" si="47"/>
        <v>239762.28515625</v>
      </c>
      <c r="F144" s="14">
        <f t="shared" si="47"/>
        <v>239762.28515625</v>
      </c>
      <c r="G144" s="14">
        <f t="shared" si="47"/>
        <v>239762.28515625</v>
      </c>
      <c r="H144" s="14">
        <f t="shared" si="47"/>
        <v>239762.28515625</v>
      </c>
      <c r="I144" s="14">
        <f t="shared" si="47"/>
        <v>239762.28515625</v>
      </c>
      <c r="J144" s="14">
        <f t="shared" si="47"/>
        <v>4037.7921195652179</v>
      </c>
      <c r="K144" s="14">
        <f t="shared" si="47"/>
        <v>4037.7921195652179</v>
      </c>
      <c r="L144" s="14">
        <f t="shared" si="47"/>
        <v>4037.7921195652179</v>
      </c>
      <c r="M144" s="14">
        <f t="shared" si="47"/>
        <v>4037.7921195652179</v>
      </c>
      <c r="N144" s="14">
        <f t="shared" si="47"/>
        <v>4651.0361413043474</v>
      </c>
      <c r="O144" s="14">
        <f t="shared" si="47"/>
        <v>6571.7492416582409</v>
      </c>
      <c r="P144" s="14">
        <f t="shared" si="47"/>
        <v>6571.7492416582409</v>
      </c>
      <c r="Q144" s="14">
        <f t="shared" si="47"/>
        <v>68728.586956521744</v>
      </c>
      <c r="R144" s="14">
        <f t="shared" si="47"/>
        <v>68728.586956521744</v>
      </c>
      <c r="S144" s="14">
        <f t="shared" si="47"/>
        <v>68728.586956521744</v>
      </c>
      <c r="T144" s="14">
        <f t="shared" si="47"/>
        <v>9298.0745341614929</v>
      </c>
      <c r="U144" s="14">
        <f t="shared" si="47"/>
        <v>9298.0745341614929</v>
      </c>
      <c r="V144" s="14">
        <f t="shared" si="47"/>
        <v>78177.407142857148</v>
      </c>
      <c r="W144" s="14">
        <f t="shared" si="47"/>
        <v>78177.407142857148</v>
      </c>
      <c r="X144" s="14">
        <f t="shared" si="47"/>
        <v>78177.407142857148</v>
      </c>
      <c r="Y144" s="14">
        <f t="shared" si="47"/>
        <v>78177.407142857148</v>
      </c>
      <c r="Z144" s="14">
        <f t="shared" si="47"/>
        <v>2524.7767080745343</v>
      </c>
      <c r="AA144" s="14">
        <f t="shared" si="47"/>
        <v>2524.7767080745343</v>
      </c>
      <c r="AB144" s="14">
        <f t="shared" si="47"/>
        <v>2520.4877329192545</v>
      </c>
      <c r="AC144" s="14">
        <f t="shared" si="47"/>
        <v>2520.4877329192545</v>
      </c>
      <c r="AD144" s="14">
        <f t="shared" si="47"/>
        <v>2594.8299689440996</v>
      </c>
      <c r="AE144" s="14">
        <f t="shared" si="47"/>
        <v>2594.8299689440996</v>
      </c>
      <c r="AF144" s="14">
        <f t="shared" si="47"/>
        <v>5066.7093167701869</v>
      </c>
      <c r="AG144" s="14">
        <f t="shared" si="47"/>
        <v>5143.9108695652176</v>
      </c>
      <c r="AH144" s="13">
        <f t="shared" si="47"/>
        <v>4819.2195652173914</v>
      </c>
      <c r="AI144" s="12">
        <f t="shared" si="47"/>
        <v>0</v>
      </c>
      <c r="AJ144" s="13">
        <f t="shared" si="47"/>
        <v>4819.2195652173914</v>
      </c>
      <c r="AK144" s="13">
        <f t="shared" si="47"/>
        <v>4819.2195652173914</v>
      </c>
      <c r="AL144" s="13">
        <f t="shared" si="47"/>
        <v>229702.13913043481</v>
      </c>
      <c r="AM144" s="13">
        <f t="shared" si="47"/>
        <v>229702.13913043481</v>
      </c>
      <c r="AN144" s="13">
        <f t="shared" si="47"/>
        <v>229702.13913043481</v>
      </c>
      <c r="AO144" s="14">
        <f t="shared" si="47"/>
        <v>1095.4360248447206</v>
      </c>
      <c r="AP144" s="14">
        <f t="shared" si="47"/>
        <v>1095.4360248447206</v>
      </c>
      <c r="AQ144" s="14">
        <f t="shared" si="47"/>
        <v>1095.4360248447206</v>
      </c>
      <c r="AR144" s="13">
        <f t="shared" si="47"/>
        <v>5390.7652173913048</v>
      </c>
      <c r="AS144" s="13">
        <f t="shared" si="47"/>
        <v>5390.7652173913048</v>
      </c>
      <c r="AT144" s="13">
        <f t="shared" si="47"/>
        <v>5390.7652173913048</v>
      </c>
      <c r="AU144" s="12">
        <f t="shared" si="47"/>
        <v>1552291.3043478262</v>
      </c>
      <c r="AV144" s="13">
        <f t="shared" si="47"/>
        <v>18245.971014492756</v>
      </c>
      <c r="AW144" s="13">
        <f t="shared" si="47"/>
        <v>20273.30112721417</v>
      </c>
      <c r="AX144" s="12">
        <f t="shared" si="47"/>
        <v>547379.13043478259</v>
      </c>
      <c r="AY144" s="14">
        <f t="shared" si="47"/>
        <v>3504.4826086956523</v>
      </c>
      <c r="AZ144" s="14">
        <f t="shared" si="47"/>
        <v>4075.8260869565224</v>
      </c>
      <c r="BA144" s="13">
        <f t="shared" si="47"/>
        <v>17382.104347826087</v>
      </c>
      <c r="BB144" s="14">
        <f t="shared" si="47"/>
        <v>4975.2111801242236</v>
      </c>
      <c r="BC144" s="12">
        <f t="shared" si="47"/>
        <v>3626118.7739130436</v>
      </c>
      <c r="BD144" s="12">
        <f t="shared" si="47"/>
        <v>3626118.7739130436</v>
      </c>
      <c r="BE144" s="12">
        <f t="shared" si="47"/>
        <v>3626118.7739130436</v>
      </c>
      <c r="BF144" s="14">
        <f t="shared" si="47"/>
        <v>5418.4052795031057</v>
      </c>
      <c r="BG144" s="14">
        <f t="shared" si="47"/>
        <v>5095.3024844720503</v>
      </c>
      <c r="BH144" s="14">
        <f t="shared" si="47"/>
        <v>3572.9490394337713</v>
      </c>
      <c r="BI144" s="14">
        <f t="shared" si="47"/>
        <v>3383.0372093023257</v>
      </c>
      <c r="BJ144" s="15">
        <f t="shared" si="47"/>
        <v>3572.9490394337713</v>
      </c>
      <c r="BM144" s="35" t="s">
        <v>34</v>
      </c>
      <c r="BN144" s="16">
        <v>1725</v>
      </c>
      <c r="BO144" s="14">
        <v>1725</v>
      </c>
      <c r="BP144" s="14">
        <v>1725</v>
      </c>
      <c r="BQ144" s="14">
        <v>1725</v>
      </c>
      <c r="BR144" s="14">
        <v>1725</v>
      </c>
      <c r="BS144" s="14">
        <v>1725</v>
      </c>
      <c r="BT144" s="14">
        <v>1725</v>
      </c>
      <c r="BU144" s="14">
        <v>1725</v>
      </c>
      <c r="BV144" s="14">
        <v>1743</v>
      </c>
      <c r="BW144" s="14">
        <v>1743</v>
      </c>
      <c r="BX144" s="14">
        <v>1743</v>
      </c>
      <c r="BY144" s="14">
        <v>1743</v>
      </c>
      <c r="BZ144" s="14">
        <v>1859</v>
      </c>
      <c r="CA144" s="14">
        <v>1906</v>
      </c>
      <c r="CB144" s="14">
        <v>1906</v>
      </c>
      <c r="CC144" s="14">
        <v>1770</v>
      </c>
      <c r="CD144" s="14">
        <v>1770</v>
      </c>
      <c r="CE144" s="14">
        <v>1770</v>
      </c>
      <c r="CF144" s="14">
        <v>1756</v>
      </c>
      <c r="CG144" s="14">
        <v>1756</v>
      </c>
      <c r="CH144" s="14">
        <v>1737</v>
      </c>
      <c r="CI144" s="14">
        <v>1737</v>
      </c>
      <c r="CJ144" s="14">
        <v>1737</v>
      </c>
      <c r="CK144" s="14">
        <v>1737</v>
      </c>
      <c r="CL144" s="14">
        <v>1766</v>
      </c>
      <c r="CM144" s="14">
        <v>1766</v>
      </c>
      <c r="CN144" s="14">
        <v>1763</v>
      </c>
      <c r="CO144" s="14">
        <v>1763</v>
      </c>
      <c r="CP144" s="14">
        <v>1815</v>
      </c>
      <c r="CQ144" s="14">
        <v>1815</v>
      </c>
      <c r="CR144" s="14">
        <v>1772</v>
      </c>
      <c r="CS144" s="14">
        <v>1799</v>
      </c>
      <c r="CT144" s="13">
        <v>2167</v>
      </c>
      <c r="CU144" s="12"/>
      <c r="CV144" s="13">
        <v>2167</v>
      </c>
      <c r="CW144" s="13">
        <v>2167</v>
      </c>
      <c r="CX144" s="13">
        <v>1743</v>
      </c>
      <c r="CY144" s="13">
        <v>1743</v>
      </c>
      <c r="CZ144" s="13">
        <v>1743</v>
      </c>
      <c r="DA144" s="14">
        <v>1724</v>
      </c>
      <c r="DB144" s="14">
        <v>1724</v>
      </c>
      <c r="DC144" s="14">
        <v>1724</v>
      </c>
      <c r="DD144" s="13">
        <v>1818</v>
      </c>
      <c r="DE144" s="13">
        <v>1818</v>
      </c>
      <c r="DF144" s="13">
        <v>1818</v>
      </c>
      <c r="DG144" s="12">
        <v>1745</v>
      </c>
      <c r="DH144" s="13">
        <v>1846</v>
      </c>
      <c r="DI144" s="13">
        <v>1846</v>
      </c>
      <c r="DJ144" s="12">
        <v>1846</v>
      </c>
      <c r="DK144" s="14">
        <v>1926</v>
      </c>
      <c r="DL144" s="14">
        <v>2240</v>
      </c>
      <c r="DM144" s="13">
        <v>1954</v>
      </c>
      <c r="DN144" s="14">
        <v>1740</v>
      </c>
      <c r="DO144" s="12">
        <v>1747</v>
      </c>
      <c r="DP144" s="12">
        <v>1747</v>
      </c>
      <c r="DQ144" s="12">
        <v>1747</v>
      </c>
      <c r="DR144" s="14">
        <v>1895</v>
      </c>
      <c r="DS144" s="14">
        <v>1782</v>
      </c>
      <c r="DT144" s="14">
        <v>1919</v>
      </c>
      <c r="DU144" s="14">
        <v>1817</v>
      </c>
      <c r="DV144" s="15">
        <v>1919</v>
      </c>
      <c r="DY144" s="35" t="s">
        <v>34</v>
      </c>
      <c r="DZ144" s="16">
        <v>6.2500000000000003E-3</v>
      </c>
      <c r="EA144" s="14">
        <v>6.2500000000000003E-3</v>
      </c>
      <c r="EB144" s="14">
        <v>6.2500000000000003E-3</v>
      </c>
      <c r="EC144" s="14">
        <v>6.2500000000000003E-3</v>
      </c>
      <c r="ED144" s="14">
        <v>6.2500000000000003E-3</v>
      </c>
      <c r="EE144" s="14">
        <v>6.2500000000000003E-3</v>
      </c>
      <c r="EF144" s="14">
        <v>6.2500000000000003E-3</v>
      </c>
      <c r="EG144" s="14">
        <v>6.2500000000000003E-3</v>
      </c>
      <c r="EH144" s="14">
        <v>6.2500000000000003E-3</v>
      </c>
      <c r="EI144" s="14">
        <v>6.2500000000000003E-3</v>
      </c>
      <c r="EJ144" s="14">
        <v>6.2500000000000003E-3</v>
      </c>
      <c r="EK144" s="14">
        <v>6.2500000000000003E-3</v>
      </c>
      <c r="EL144" s="14">
        <v>6.2500000000000003E-3</v>
      </c>
      <c r="EM144" s="14">
        <v>4.6511627906976744E-3</v>
      </c>
      <c r="EN144" s="14">
        <v>4.6511627906976744E-3</v>
      </c>
      <c r="EO144" s="14">
        <v>7.1428571428571435E-3</v>
      </c>
      <c r="EP144" s="14">
        <v>7.1428571428571435E-3</v>
      </c>
      <c r="EQ144" s="14">
        <v>7.1428571428571435E-3</v>
      </c>
      <c r="ER144" s="14">
        <v>7.1428571428571435E-3</v>
      </c>
      <c r="ES144" s="14">
        <v>7.1428571428571435E-3</v>
      </c>
      <c r="ET144" s="14">
        <v>7.1428571428571435E-3</v>
      </c>
      <c r="EU144" s="14">
        <v>7.1428571428571435E-3</v>
      </c>
      <c r="EV144" s="14">
        <v>7.1428571428571435E-3</v>
      </c>
      <c r="EW144" s="14">
        <v>7.1428571428571435E-3</v>
      </c>
      <c r="EX144" s="14">
        <v>7.1428571428571435E-3</v>
      </c>
      <c r="EY144" s="14">
        <v>7.1428571428571435E-3</v>
      </c>
      <c r="EZ144" s="14">
        <v>7.1428571428571435E-3</v>
      </c>
      <c r="FA144" s="14">
        <v>7.1428571428571435E-3</v>
      </c>
      <c r="FB144" s="14">
        <v>7.1428571428571435E-3</v>
      </c>
      <c r="FC144" s="14">
        <v>7.1428571428571435E-3</v>
      </c>
      <c r="FD144" s="14">
        <v>7.1428571428571435E-3</v>
      </c>
      <c r="FE144" s="14">
        <v>7.1428571428571435E-3</v>
      </c>
      <c r="FF144" s="13">
        <f>0.2/9</f>
        <v>2.2222222222222223E-2</v>
      </c>
      <c r="FG144" s="12">
        <v>0.6</v>
      </c>
      <c r="FH144" s="13">
        <f t="shared" si="45"/>
        <v>2.2222222222222223E-2</v>
      </c>
      <c r="FI144" s="13">
        <f t="shared" si="45"/>
        <v>2.2222222222222223E-2</v>
      </c>
      <c r="FJ144" s="13">
        <f t="shared" si="45"/>
        <v>2.2222222222222223E-2</v>
      </c>
      <c r="FK144" s="13">
        <f t="shared" si="45"/>
        <v>2.2222222222222223E-2</v>
      </c>
      <c r="FL144" s="13">
        <f t="shared" si="45"/>
        <v>2.2222222222222223E-2</v>
      </c>
      <c r="FM144" s="14">
        <v>4.7619047619047623E-3</v>
      </c>
      <c r="FN144" s="14">
        <v>4.7619047619047623E-3</v>
      </c>
      <c r="FO144" s="14">
        <v>4.7619047619047623E-3</v>
      </c>
      <c r="FP144" s="13">
        <f t="shared" ref="FP144:FP149" si="48">0.2/9</f>
        <v>2.2222222222222223E-2</v>
      </c>
      <c r="FQ144" s="13">
        <f t="shared" si="46"/>
        <v>2.2222222222222223E-2</v>
      </c>
      <c r="FR144" s="13">
        <f t="shared" si="46"/>
        <v>2.2222222222222223E-2</v>
      </c>
      <c r="FS144" s="12">
        <v>0.6</v>
      </c>
      <c r="FT144" s="13">
        <f t="shared" ref="FT144:FT149" si="49">0.2/10</f>
        <v>0.02</v>
      </c>
      <c r="FU144" s="13">
        <f t="shared" ref="FU144:FV149" si="50">0.2/9</f>
        <v>2.2222222222222223E-2</v>
      </c>
      <c r="FV144" s="12">
        <v>0.6</v>
      </c>
      <c r="FW144" s="14">
        <v>4.5454545454545461E-3</v>
      </c>
      <c r="FX144" s="14">
        <v>4.5454545454545461E-3</v>
      </c>
      <c r="FY144" s="13">
        <f t="shared" ref="FY144:FY149" si="51">0.2/9</f>
        <v>2.2222222222222223E-2</v>
      </c>
      <c r="FZ144" s="14">
        <v>7.1428571428571435E-3</v>
      </c>
      <c r="GA144" s="12">
        <v>0.6</v>
      </c>
      <c r="GB144" s="12">
        <v>0.6</v>
      </c>
      <c r="GC144" s="12">
        <v>0.6</v>
      </c>
      <c r="GD144" s="14">
        <v>7.1428571428571435E-3</v>
      </c>
      <c r="GE144" s="14">
        <v>7.1428571428571435E-3</v>
      </c>
      <c r="GF144" s="14">
        <v>4.6511627906976744E-3</v>
      </c>
      <c r="GG144" s="14">
        <v>4.6511627906976744E-3</v>
      </c>
      <c r="GH144" s="15">
        <v>4.6511627906976744E-3</v>
      </c>
    </row>
    <row r="145" spans="1:190" x14ac:dyDescent="0.3">
      <c r="A145" s="35" t="s">
        <v>35</v>
      </c>
      <c r="B145" s="16">
        <f>BN145*DZ145*B110*2</f>
        <v>239762.28515625</v>
      </c>
      <c r="C145" s="14">
        <f t="shared" ref="C145:BJ145" si="52">BO145*EA145*C110*2</f>
        <v>239762.28515625</v>
      </c>
      <c r="D145" s="14">
        <f t="shared" si="52"/>
        <v>239762.28515625</v>
      </c>
      <c r="E145" s="14">
        <f t="shared" si="52"/>
        <v>239762.28515625</v>
      </c>
      <c r="F145" s="14">
        <f t="shared" si="52"/>
        <v>239762.28515625</v>
      </c>
      <c r="G145" s="14">
        <f t="shared" si="52"/>
        <v>239762.28515625</v>
      </c>
      <c r="H145" s="14">
        <f t="shared" si="52"/>
        <v>239762.28515625</v>
      </c>
      <c r="I145" s="14">
        <f t="shared" si="52"/>
        <v>239762.28515625</v>
      </c>
      <c r="J145" s="14">
        <f t="shared" si="52"/>
        <v>4037.7921195652179</v>
      </c>
      <c r="K145" s="14">
        <f t="shared" si="52"/>
        <v>4037.7921195652179</v>
      </c>
      <c r="L145" s="14">
        <f t="shared" si="52"/>
        <v>4037.7921195652179</v>
      </c>
      <c r="M145" s="14">
        <f t="shared" si="52"/>
        <v>4037.7921195652179</v>
      </c>
      <c r="N145" s="14">
        <f t="shared" si="52"/>
        <v>4651.0361413043474</v>
      </c>
      <c r="O145" s="14">
        <f t="shared" si="52"/>
        <v>6571.7492416582409</v>
      </c>
      <c r="P145" s="14">
        <f t="shared" si="52"/>
        <v>6571.7492416582409</v>
      </c>
      <c r="Q145" s="14">
        <f t="shared" si="52"/>
        <v>68728.586956521744</v>
      </c>
      <c r="R145" s="14">
        <f t="shared" si="52"/>
        <v>68728.586956521744</v>
      </c>
      <c r="S145" s="14">
        <f t="shared" si="52"/>
        <v>68728.586956521744</v>
      </c>
      <c r="T145" s="14">
        <f t="shared" si="52"/>
        <v>9298.0745341614929</v>
      </c>
      <c r="U145" s="14">
        <f t="shared" si="52"/>
        <v>9298.0745341614929</v>
      </c>
      <c r="V145" s="14">
        <f t="shared" si="52"/>
        <v>78177.407142857148</v>
      </c>
      <c r="W145" s="14">
        <f t="shared" si="52"/>
        <v>78177.407142857148</v>
      </c>
      <c r="X145" s="14">
        <f t="shared" si="52"/>
        <v>78177.407142857148</v>
      </c>
      <c r="Y145" s="14">
        <f t="shared" si="52"/>
        <v>78177.407142857148</v>
      </c>
      <c r="Z145" s="14">
        <f t="shared" si="52"/>
        <v>2524.7767080745343</v>
      </c>
      <c r="AA145" s="14">
        <f t="shared" si="52"/>
        <v>2524.7767080745343</v>
      </c>
      <c r="AB145" s="14">
        <f t="shared" si="52"/>
        <v>2520.4877329192545</v>
      </c>
      <c r="AC145" s="14">
        <f t="shared" si="52"/>
        <v>2520.4877329192545</v>
      </c>
      <c r="AD145" s="14">
        <f t="shared" si="52"/>
        <v>2594.8299689440996</v>
      </c>
      <c r="AE145" s="14">
        <f t="shared" si="52"/>
        <v>2594.8299689440996</v>
      </c>
      <c r="AF145" s="14">
        <f t="shared" si="52"/>
        <v>5066.7093167701869</v>
      </c>
      <c r="AG145" s="14">
        <f t="shared" si="52"/>
        <v>5143.9108695652176</v>
      </c>
      <c r="AH145" s="13">
        <f t="shared" si="52"/>
        <v>4819.2195652173914</v>
      </c>
      <c r="AI145" s="13">
        <f t="shared" si="52"/>
        <v>4819.2195652173914</v>
      </c>
      <c r="AJ145" s="12">
        <f t="shared" si="52"/>
        <v>0</v>
      </c>
      <c r="AK145" s="13">
        <f t="shared" si="52"/>
        <v>4819.2195652173914</v>
      </c>
      <c r="AL145" s="13">
        <f t="shared" si="52"/>
        <v>229702.13913043481</v>
      </c>
      <c r="AM145" s="13">
        <f t="shared" si="52"/>
        <v>229702.13913043481</v>
      </c>
      <c r="AN145" s="13">
        <f t="shared" si="52"/>
        <v>229702.13913043481</v>
      </c>
      <c r="AO145" s="14">
        <f t="shared" si="52"/>
        <v>1095.4360248447206</v>
      </c>
      <c r="AP145" s="14">
        <f t="shared" si="52"/>
        <v>1095.4360248447206</v>
      </c>
      <c r="AQ145" s="14">
        <f t="shared" si="52"/>
        <v>1095.4360248447206</v>
      </c>
      <c r="AR145" s="13">
        <f t="shared" si="52"/>
        <v>5390.7652173913048</v>
      </c>
      <c r="AS145" s="13">
        <f t="shared" si="52"/>
        <v>5390.7652173913048</v>
      </c>
      <c r="AT145" s="13">
        <f t="shared" si="52"/>
        <v>5390.7652173913048</v>
      </c>
      <c r="AU145" s="13">
        <f t="shared" si="52"/>
        <v>57492.270531400973</v>
      </c>
      <c r="AV145" s="13">
        <f t="shared" si="52"/>
        <v>18245.971014492756</v>
      </c>
      <c r="AW145" s="13">
        <f t="shared" si="52"/>
        <v>20273.30112721417</v>
      </c>
      <c r="AX145" s="13">
        <f t="shared" si="52"/>
        <v>20273.30112721417</v>
      </c>
      <c r="AY145" s="14">
        <f t="shared" si="52"/>
        <v>3504.4826086956523</v>
      </c>
      <c r="AZ145" s="14">
        <f t="shared" si="52"/>
        <v>4075.8260869565224</v>
      </c>
      <c r="BA145" s="13">
        <f t="shared" si="52"/>
        <v>17382.104347826087</v>
      </c>
      <c r="BB145" s="14">
        <f t="shared" si="52"/>
        <v>4975.2111801242236</v>
      </c>
      <c r="BC145" s="13">
        <f t="shared" si="52"/>
        <v>134300.69533011274</v>
      </c>
      <c r="BD145" s="13">
        <f t="shared" si="52"/>
        <v>134300.69533011274</v>
      </c>
      <c r="BE145" s="13">
        <f t="shared" si="52"/>
        <v>134300.69533011274</v>
      </c>
      <c r="BF145" s="14">
        <f t="shared" si="52"/>
        <v>5418.4052795031057</v>
      </c>
      <c r="BG145" s="14">
        <f t="shared" si="52"/>
        <v>5095.3024844720503</v>
      </c>
      <c r="BH145" s="14">
        <f t="shared" si="52"/>
        <v>3572.9490394337713</v>
      </c>
      <c r="BI145" s="14">
        <f t="shared" si="52"/>
        <v>3383.0372093023257</v>
      </c>
      <c r="BJ145" s="15">
        <f t="shared" si="52"/>
        <v>3572.9490394337713</v>
      </c>
      <c r="BM145" s="35" t="s">
        <v>35</v>
      </c>
      <c r="BN145" s="16">
        <v>1725</v>
      </c>
      <c r="BO145" s="14">
        <v>1725</v>
      </c>
      <c r="BP145" s="14">
        <v>1725</v>
      </c>
      <c r="BQ145" s="14">
        <v>1725</v>
      </c>
      <c r="BR145" s="14">
        <v>1725</v>
      </c>
      <c r="BS145" s="14">
        <v>1725</v>
      </c>
      <c r="BT145" s="14">
        <v>1725</v>
      </c>
      <c r="BU145" s="14">
        <v>1725</v>
      </c>
      <c r="BV145" s="14">
        <v>1743</v>
      </c>
      <c r="BW145" s="14">
        <v>1743</v>
      </c>
      <c r="BX145" s="14">
        <v>1743</v>
      </c>
      <c r="BY145" s="14">
        <v>1743</v>
      </c>
      <c r="BZ145" s="14">
        <v>1859</v>
      </c>
      <c r="CA145" s="14">
        <v>1906</v>
      </c>
      <c r="CB145" s="14">
        <v>1906</v>
      </c>
      <c r="CC145" s="14">
        <v>1770</v>
      </c>
      <c r="CD145" s="14">
        <v>1770</v>
      </c>
      <c r="CE145" s="14">
        <v>1770</v>
      </c>
      <c r="CF145" s="14">
        <v>1756</v>
      </c>
      <c r="CG145" s="14">
        <v>1756</v>
      </c>
      <c r="CH145" s="14">
        <v>1737</v>
      </c>
      <c r="CI145" s="14">
        <v>1737</v>
      </c>
      <c r="CJ145" s="14">
        <v>1737</v>
      </c>
      <c r="CK145" s="14">
        <v>1737</v>
      </c>
      <c r="CL145" s="14">
        <v>1766</v>
      </c>
      <c r="CM145" s="14">
        <v>1766</v>
      </c>
      <c r="CN145" s="14">
        <v>1763</v>
      </c>
      <c r="CO145" s="14">
        <v>1763</v>
      </c>
      <c r="CP145" s="14">
        <v>1815</v>
      </c>
      <c r="CQ145" s="14">
        <v>1815</v>
      </c>
      <c r="CR145" s="14">
        <v>1772</v>
      </c>
      <c r="CS145" s="14">
        <v>1799</v>
      </c>
      <c r="CT145" s="13">
        <v>2167</v>
      </c>
      <c r="CU145" s="13">
        <v>2167</v>
      </c>
      <c r="CV145" s="12"/>
      <c r="CW145" s="13">
        <v>2167</v>
      </c>
      <c r="CX145" s="13">
        <v>1743</v>
      </c>
      <c r="CY145" s="13">
        <v>1743</v>
      </c>
      <c r="CZ145" s="13">
        <v>1743</v>
      </c>
      <c r="DA145" s="14">
        <v>1724</v>
      </c>
      <c r="DB145" s="14">
        <v>1724</v>
      </c>
      <c r="DC145" s="14">
        <v>1724</v>
      </c>
      <c r="DD145" s="13">
        <v>1818</v>
      </c>
      <c r="DE145" s="13">
        <v>1818</v>
      </c>
      <c r="DF145" s="13">
        <v>1818</v>
      </c>
      <c r="DG145" s="13">
        <v>1745</v>
      </c>
      <c r="DH145" s="13">
        <v>1846</v>
      </c>
      <c r="DI145" s="13">
        <v>1846</v>
      </c>
      <c r="DJ145" s="13">
        <v>1846</v>
      </c>
      <c r="DK145" s="14">
        <v>1926</v>
      </c>
      <c r="DL145" s="14">
        <v>2240</v>
      </c>
      <c r="DM145" s="13">
        <v>1954</v>
      </c>
      <c r="DN145" s="14">
        <v>1740</v>
      </c>
      <c r="DO145" s="13">
        <v>1747</v>
      </c>
      <c r="DP145" s="13">
        <v>1747</v>
      </c>
      <c r="DQ145" s="13">
        <v>1747</v>
      </c>
      <c r="DR145" s="14">
        <v>1895</v>
      </c>
      <c r="DS145" s="14">
        <v>1782</v>
      </c>
      <c r="DT145" s="14">
        <v>1919</v>
      </c>
      <c r="DU145" s="14">
        <v>1817</v>
      </c>
      <c r="DV145" s="15">
        <v>1919</v>
      </c>
      <c r="DY145" s="35" t="s">
        <v>35</v>
      </c>
      <c r="DZ145" s="16">
        <v>6.2500000000000003E-3</v>
      </c>
      <c r="EA145" s="14">
        <v>6.2500000000000003E-3</v>
      </c>
      <c r="EB145" s="14">
        <v>6.2500000000000003E-3</v>
      </c>
      <c r="EC145" s="14">
        <v>6.2500000000000003E-3</v>
      </c>
      <c r="ED145" s="14">
        <v>6.2500000000000003E-3</v>
      </c>
      <c r="EE145" s="14">
        <v>6.2500000000000003E-3</v>
      </c>
      <c r="EF145" s="14">
        <v>6.2500000000000003E-3</v>
      </c>
      <c r="EG145" s="14">
        <v>6.2500000000000003E-3</v>
      </c>
      <c r="EH145" s="14">
        <v>6.2500000000000003E-3</v>
      </c>
      <c r="EI145" s="14">
        <v>6.2500000000000003E-3</v>
      </c>
      <c r="EJ145" s="14">
        <v>6.2500000000000003E-3</v>
      </c>
      <c r="EK145" s="14">
        <v>6.2500000000000003E-3</v>
      </c>
      <c r="EL145" s="14">
        <v>6.2500000000000003E-3</v>
      </c>
      <c r="EM145" s="14">
        <v>4.6511627906976744E-3</v>
      </c>
      <c r="EN145" s="14">
        <v>4.6511627906976744E-3</v>
      </c>
      <c r="EO145" s="14">
        <v>7.1428571428571435E-3</v>
      </c>
      <c r="EP145" s="14">
        <v>7.1428571428571435E-3</v>
      </c>
      <c r="EQ145" s="14">
        <v>7.1428571428571435E-3</v>
      </c>
      <c r="ER145" s="14">
        <v>7.1428571428571435E-3</v>
      </c>
      <c r="ES145" s="14">
        <v>7.1428571428571435E-3</v>
      </c>
      <c r="ET145" s="14">
        <v>7.1428571428571435E-3</v>
      </c>
      <c r="EU145" s="14">
        <v>7.1428571428571435E-3</v>
      </c>
      <c r="EV145" s="14">
        <v>7.1428571428571435E-3</v>
      </c>
      <c r="EW145" s="14">
        <v>7.1428571428571435E-3</v>
      </c>
      <c r="EX145" s="14">
        <v>7.1428571428571435E-3</v>
      </c>
      <c r="EY145" s="14">
        <v>7.1428571428571435E-3</v>
      </c>
      <c r="EZ145" s="14">
        <v>7.1428571428571435E-3</v>
      </c>
      <c r="FA145" s="14">
        <v>7.1428571428571435E-3</v>
      </c>
      <c r="FB145" s="14">
        <v>7.1428571428571435E-3</v>
      </c>
      <c r="FC145" s="14">
        <v>7.1428571428571435E-3</v>
      </c>
      <c r="FD145" s="14">
        <v>7.1428571428571435E-3</v>
      </c>
      <c r="FE145" s="14">
        <v>7.1428571428571435E-3</v>
      </c>
      <c r="FF145" s="13">
        <f t="shared" ref="FF145:FJ149" si="53">0.2/9</f>
        <v>2.2222222222222223E-2</v>
      </c>
      <c r="FG145" s="13">
        <f t="shared" si="53"/>
        <v>2.2222222222222223E-2</v>
      </c>
      <c r="FH145" s="12">
        <v>0.6</v>
      </c>
      <c r="FI145" s="13">
        <f t="shared" si="45"/>
        <v>2.2222222222222223E-2</v>
      </c>
      <c r="FJ145" s="13">
        <f t="shared" si="45"/>
        <v>2.2222222222222223E-2</v>
      </c>
      <c r="FK145" s="13">
        <f t="shared" si="45"/>
        <v>2.2222222222222223E-2</v>
      </c>
      <c r="FL145" s="13">
        <f t="shared" si="45"/>
        <v>2.2222222222222223E-2</v>
      </c>
      <c r="FM145" s="14">
        <v>4.7619047619047623E-3</v>
      </c>
      <c r="FN145" s="14">
        <v>4.7619047619047623E-3</v>
      </c>
      <c r="FO145" s="14">
        <v>4.7619047619047623E-3</v>
      </c>
      <c r="FP145" s="13">
        <f t="shared" si="48"/>
        <v>2.2222222222222223E-2</v>
      </c>
      <c r="FQ145" s="13">
        <f t="shared" si="46"/>
        <v>2.2222222222222223E-2</v>
      </c>
      <c r="FR145" s="13">
        <f t="shared" si="46"/>
        <v>2.2222222222222223E-2</v>
      </c>
      <c r="FS145" s="13">
        <f t="shared" si="46"/>
        <v>2.2222222222222223E-2</v>
      </c>
      <c r="FT145" s="13">
        <f t="shared" si="49"/>
        <v>0.02</v>
      </c>
      <c r="FU145" s="13">
        <f t="shared" si="50"/>
        <v>2.2222222222222223E-2</v>
      </c>
      <c r="FV145" s="13">
        <f t="shared" si="50"/>
        <v>2.2222222222222223E-2</v>
      </c>
      <c r="FW145" s="14">
        <v>4.5454545454545461E-3</v>
      </c>
      <c r="FX145" s="14">
        <v>4.5454545454545461E-3</v>
      </c>
      <c r="FY145" s="13">
        <f t="shared" si="51"/>
        <v>2.2222222222222223E-2</v>
      </c>
      <c r="FZ145" s="14">
        <v>7.1428571428571435E-3</v>
      </c>
      <c r="GA145" s="13">
        <f t="shared" ref="GA145:GC149" si="54">0.2/9</f>
        <v>2.2222222222222223E-2</v>
      </c>
      <c r="GB145" s="13">
        <f t="shared" si="54"/>
        <v>2.2222222222222223E-2</v>
      </c>
      <c r="GC145" s="13">
        <f t="shared" si="54"/>
        <v>2.2222222222222223E-2</v>
      </c>
      <c r="GD145" s="14">
        <v>7.1428571428571435E-3</v>
      </c>
      <c r="GE145" s="14">
        <v>7.1428571428571435E-3</v>
      </c>
      <c r="GF145" s="14">
        <v>4.6511627906976744E-3</v>
      </c>
      <c r="GG145" s="14">
        <v>4.6511627906976744E-3</v>
      </c>
      <c r="GH145" s="15">
        <v>4.6511627906976744E-3</v>
      </c>
    </row>
    <row r="146" spans="1:190" x14ac:dyDescent="0.3">
      <c r="A146" s="35" t="s">
        <v>36</v>
      </c>
      <c r="B146" s="16">
        <f>BN146*DZ146*B110*2</f>
        <v>239762.28515625</v>
      </c>
      <c r="C146" s="14">
        <f t="shared" ref="C146:BJ146" si="55">BO146*EA146*C110*2</f>
        <v>239762.28515625</v>
      </c>
      <c r="D146" s="14">
        <f t="shared" si="55"/>
        <v>239762.28515625</v>
      </c>
      <c r="E146" s="14">
        <f t="shared" si="55"/>
        <v>239762.28515625</v>
      </c>
      <c r="F146" s="14">
        <f t="shared" si="55"/>
        <v>239762.28515625</v>
      </c>
      <c r="G146" s="14">
        <f t="shared" si="55"/>
        <v>239762.28515625</v>
      </c>
      <c r="H146" s="14">
        <f t="shared" si="55"/>
        <v>239762.28515625</v>
      </c>
      <c r="I146" s="14">
        <f t="shared" si="55"/>
        <v>239762.28515625</v>
      </c>
      <c r="J146" s="14">
        <f t="shared" si="55"/>
        <v>4037.7921195652179</v>
      </c>
      <c r="K146" s="14">
        <f t="shared" si="55"/>
        <v>4037.7921195652179</v>
      </c>
      <c r="L146" s="14">
        <f t="shared" si="55"/>
        <v>4037.7921195652179</v>
      </c>
      <c r="M146" s="14">
        <f t="shared" si="55"/>
        <v>4037.7921195652179</v>
      </c>
      <c r="N146" s="14">
        <f t="shared" si="55"/>
        <v>4651.0361413043474</v>
      </c>
      <c r="O146" s="14">
        <f t="shared" si="55"/>
        <v>6571.7492416582409</v>
      </c>
      <c r="P146" s="14">
        <f t="shared" si="55"/>
        <v>6571.7492416582409</v>
      </c>
      <c r="Q146" s="14">
        <f t="shared" si="55"/>
        <v>68728.586956521744</v>
      </c>
      <c r="R146" s="14">
        <f t="shared" si="55"/>
        <v>68728.586956521744</v>
      </c>
      <c r="S146" s="14">
        <f t="shared" si="55"/>
        <v>68728.586956521744</v>
      </c>
      <c r="T146" s="14">
        <f t="shared" si="55"/>
        <v>9298.0745341614929</v>
      </c>
      <c r="U146" s="14">
        <f t="shared" si="55"/>
        <v>9298.0745341614929</v>
      </c>
      <c r="V146" s="14">
        <f t="shared" si="55"/>
        <v>78177.407142857148</v>
      </c>
      <c r="W146" s="14">
        <f t="shared" si="55"/>
        <v>78177.407142857148</v>
      </c>
      <c r="X146" s="14">
        <f t="shared" si="55"/>
        <v>78177.407142857148</v>
      </c>
      <c r="Y146" s="14">
        <f t="shared" si="55"/>
        <v>78177.407142857148</v>
      </c>
      <c r="Z146" s="14">
        <f t="shared" si="55"/>
        <v>2524.7767080745343</v>
      </c>
      <c r="AA146" s="14">
        <f t="shared" si="55"/>
        <v>2524.7767080745343</v>
      </c>
      <c r="AB146" s="14">
        <f t="shared" si="55"/>
        <v>2520.4877329192545</v>
      </c>
      <c r="AC146" s="14">
        <f t="shared" si="55"/>
        <v>2520.4877329192545</v>
      </c>
      <c r="AD146" s="14">
        <f t="shared" si="55"/>
        <v>2594.8299689440996</v>
      </c>
      <c r="AE146" s="14">
        <f t="shared" si="55"/>
        <v>2594.8299689440996</v>
      </c>
      <c r="AF146" s="14">
        <f t="shared" si="55"/>
        <v>5066.7093167701869</v>
      </c>
      <c r="AG146" s="14">
        <f t="shared" si="55"/>
        <v>5143.9108695652176</v>
      </c>
      <c r="AH146" s="13">
        <f t="shared" si="55"/>
        <v>4819.2195652173914</v>
      </c>
      <c r="AI146" s="13">
        <f t="shared" si="55"/>
        <v>4819.2195652173914</v>
      </c>
      <c r="AJ146" s="13">
        <f t="shared" si="55"/>
        <v>4819.2195652173914</v>
      </c>
      <c r="AK146" s="12">
        <f t="shared" si="55"/>
        <v>0</v>
      </c>
      <c r="AL146" s="13">
        <f t="shared" si="55"/>
        <v>229702.13913043481</v>
      </c>
      <c r="AM146" s="13">
        <f t="shared" si="55"/>
        <v>229702.13913043481</v>
      </c>
      <c r="AN146" s="13">
        <f t="shared" si="55"/>
        <v>229702.13913043481</v>
      </c>
      <c r="AO146" s="14">
        <f t="shared" si="55"/>
        <v>1095.4360248447206</v>
      </c>
      <c r="AP146" s="14">
        <f t="shared" si="55"/>
        <v>1095.4360248447206</v>
      </c>
      <c r="AQ146" s="14">
        <f t="shared" si="55"/>
        <v>1095.4360248447206</v>
      </c>
      <c r="AR146" s="13">
        <f t="shared" si="55"/>
        <v>5390.7652173913048</v>
      </c>
      <c r="AS146" s="13">
        <f t="shared" si="55"/>
        <v>5390.7652173913048</v>
      </c>
      <c r="AT146" s="13">
        <f t="shared" si="55"/>
        <v>5390.7652173913048</v>
      </c>
      <c r="AU146" s="13">
        <f t="shared" si="55"/>
        <v>57492.270531400973</v>
      </c>
      <c r="AV146" s="13">
        <f t="shared" si="55"/>
        <v>18245.971014492756</v>
      </c>
      <c r="AW146" s="13">
        <f t="shared" si="55"/>
        <v>20273.30112721417</v>
      </c>
      <c r="AX146" s="13">
        <f t="shared" si="55"/>
        <v>20273.30112721417</v>
      </c>
      <c r="AY146" s="14">
        <f t="shared" si="55"/>
        <v>3504.4826086956523</v>
      </c>
      <c r="AZ146" s="14">
        <f t="shared" si="55"/>
        <v>4075.8260869565224</v>
      </c>
      <c r="BA146" s="13">
        <f t="shared" si="55"/>
        <v>17382.104347826087</v>
      </c>
      <c r="BB146" s="14">
        <f t="shared" si="55"/>
        <v>4975.2111801242236</v>
      </c>
      <c r="BC146" s="13">
        <f t="shared" si="55"/>
        <v>134300.69533011274</v>
      </c>
      <c r="BD146" s="13">
        <f t="shared" si="55"/>
        <v>134300.69533011274</v>
      </c>
      <c r="BE146" s="13">
        <f t="shared" si="55"/>
        <v>134300.69533011274</v>
      </c>
      <c r="BF146" s="14">
        <f t="shared" si="55"/>
        <v>5418.4052795031057</v>
      </c>
      <c r="BG146" s="14">
        <f t="shared" si="55"/>
        <v>5095.3024844720503</v>
      </c>
      <c r="BH146" s="14">
        <f t="shared" si="55"/>
        <v>3572.9490394337713</v>
      </c>
      <c r="BI146" s="14">
        <f t="shared" si="55"/>
        <v>3383.0372093023257</v>
      </c>
      <c r="BJ146" s="15">
        <f t="shared" si="55"/>
        <v>3572.9490394337713</v>
      </c>
      <c r="BM146" s="35" t="s">
        <v>36</v>
      </c>
      <c r="BN146" s="16">
        <v>1725</v>
      </c>
      <c r="BO146" s="14">
        <v>1725</v>
      </c>
      <c r="BP146" s="14">
        <v>1725</v>
      </c>
      <c r="BQ146" s="14">
        <v>1725</v>
      </c>
      <c r="BR146" s="14">
        <v>1725</v>
      </c>
      <c r="BS146" s="14">
        <v>1725</v>
      </c>
      <c r="BT146" s="14">
        <v>1725</v>
      </c>
      <c r="BU146" s="14">
        <v>1725</v>
      </c>
      <c r="BV146" s="14">
        <v>1743</v>
      </c>
      <c r="BW146" s="14">
        <v>1743</v>
      </c>
      <c r="BX146" s="14">
        <v>1743</v>
      </c>
      <c r="BY146" s="14">
        <v>1743</v>
      </c>
      <c r="BZ146" s="14">
        <v>1859</v>
      </c>
      <c r="CA146" s="14">
        <v>1906</v>
      </c>
      <c r="CB146" s="14">
        <v>1906</v>
      </c>
      <c r="CC146" s="14">
        <v>1770</v>
      </c>
      <c r="CD146" s="14">
        <v>1770</v>
      </c>
      <c r="CE146" s="14">
        <v>1770</v>
      </c>
      <c r="CF146" s="14">
        <v>1756</v>
      </c>
      <c r="CG146" s="14">
        <v>1756</v>
      </c>
      <c r="CH146" s="14">
        <v>1737</v>
      </c>
      <c r="CI146" s="14">
        <v>1737</v>
      </c>
      <c r="CJ146" s="14">
        <v>1737</v>
      </c>
      <c r="CK146" s="14">
        <v>1737</v>
      </c>
      <c r="CL146" s="14">
        <v>1766</v>
      </c>
      <c r="CM146" s="14">
        <v>1766</v>
      </c>
      <c r="CN146" s="14">
        <v>1763</v>
      </c>
      <c r="CO146" s="14">
        <v>1763</v>
      </c>
      <c r="CP146" s="14">
        <v>1815</v>
      </c>
      <c r="CQ146" s="14">
        <v>1815</v>
      </c>
      <c r="CR146" s="14">
        <v>1772</v>
      </c>
      <c r="CS146" s="14">
        <v>1799</v>
      </c>
      <c r="CT146" s="13">
        <v>2167</v>
      </c>
      <c r="CU146" s="13">
        <v>2167</v>
      </c>
      <c r="CV146" s="13">
        <v>2167</v>
      </c>
      <c r="CW146" s="12"/>
      <c r="CX146" s="13">
        <v>1743</v>
      </c>
      <c r="CY146" s="13">
        <v>1743</v>
      </c>
      <c r="CZ146" s="13">
        <v>1743</v>
      </c>
      <c r="DA146" s="14">
        <v>1724</v>
      </c>
      <c r="DB146" s="14">
        <v>1724</v>
      </c>
      <c r="DC146" s="14">
        <v>1724</v>
      </c>
      <c r="DD146" s="13">
        <v>1818</v>
      </c>
      <c r="DE146" s="13">
        <v>1818</v>
      </c>
      <c r="DF146" s="13">
        <v>1818</v>
      </c>
      <c r="DG146" s="13">
        <v>1745</v>
      </c>
      <c r="DH146" s="13">
        <v>1846</v>
      </c>
      <c r="DI146" s="13">
        <v>1846</v>
      </c>
      <c r="DJ146" s="13">
        <v>1846</v>
      </c>
      <c r="DK146" s="14">
        <v>1926</v>
      </c>
      <c r="DL146" s="14">
        <v>2240</v>
      </c>
      <c r="DM146" s="13">
        <v>1954</v>
      </c>
      <c r="DN146" s="14">
        <v>1740</v>
      </c>
      <c r="DO146" s="13">
        <v>1747</v>
      </c>
      <c r="DP146" s="13">
        <v>1747</v>
      </c>
      <c r="DQ146" s="13">
        <v>1747</v>
      </c>
      <c r="DR146" s="14">
        <v>1895</v>
      </c>
      <c r="DS146" s="14">
        <v>1782</v>
      </c>
      <c r="DT146" s="14">
        <v>1919</v>
      </c>
      <c r="DU146" s="14">
        <v>1817</v>
      </c>
      <c r="DV146" s="15">
        <v>1919</v>
      </c>
      <c r="DY146" s="35" t="s">
        <v>36</v>
      </c>
      <c r="DZ146" s="16">
        <v>6.2500000000000003E-3</v>
      </c>
      <c r="EA146" s="14">
        <v>6.2500000000000003E-3</v>
      </c>
      <c r="EB146" s="14">
        <v>6.2500000000000003E-3</v>
      </c>
      <c r="EC146" s="14">
        <v>6.2500000000000003E-3</v>
      </c>
      <c r="ED146" s="14">
        <v>6.2500000000000003E-3</v>
      </c>
      <c r="EE146" s="14">
        <v>6.2500000000000003E-3</v>
      </c>
      <c r="EF146" s="14">
        <v>6.2500000000000003E-3</v>
      </c>
      <c r="EG146" s="14">
        <v>6.2500000000000003E-3</v>
      </c>
      <c r="EH146" s="14">
        <v>6.2500000000000003E-3</v>
      </c>
      <c r="EI146" s="14">
        <v>6.2500000000000003E-3</v>
      </c>
      <c r="EJ146" s="14">
        <v>6.2500000000000003E-3</v>
      </c>
      <c r="EK146" s="14">
        <v>6.2500000000000003E-3</v>
      </c>
      <c r="EL146" s="14">
        <v>6.2500000000000003E-3</v>
      </c>
      <c r="EM146" s="14">
        <v>4.6511627906976744E-3</v>
      </c>
      <c r="EN146" s="14">
        <v>4.6511627906976744E-3</v>
      </c>
      <c r="EO146" s="14">
        <v>7.1428571428571435E-3</v>
      </c>
      <c r="EP146" s="14">
        <v>7.1428571428571435E-3</v>
      </c>
      <c r="EQ146" s="14">
        <v>7.1428571428571435E-3</v>
      </c>
      <c r="ER146" s="14">
        <v>7.1428571428571435E-3</v>
      </c>
      <c r="ES146" s="14">
        <v>7.1428571428571435E-3</v>
      </c>
      <c r="ET146" s="14">
        <v>7.1428571428571435E-3</v>
      </c>
      <c r="EU146" s="14">
        <v>7.1428571428571435E-3</v>
      </c>
      <c r="EV146" s="14">
        <v>7.1428571428571435E-3</v>
      </c>
      <c r="EW146" s="14">
        <v>7.1428571428571435E-3</v>
      </c>
      <c r="EX146" s="14">
        <v>7.1428571428571435E-3</v>
      </c>
      <c r="EY146" s="14">
        <v>7.1428571428571435E-3</v>
      </c>
      <c r="EZ146" s="14">
        <v>7.1428571428571435E-3</v>
      </c>
      <c r="FA146" s="14">
        <v>7.1428571428571435E-3</v>
      </c>
      <c r="FB146" s="14">
        <v>7.1428571428571435E-3</v>
      </c>
      <c r="FC146" s="14">
        <v>7.1428571428571435E-3</v>
      </c>
      <c r="FD146" s="14">
        <v>7.1428571428571435E-3</v>
      </c>
      <c r="FE146" s="14">
        <v>7.1428571428571435E-3</v>
      </c>
      <c r="FF146" s="13">
        <f t="shared" si="53"/>
        <v>2.2222222222222223E-2</v>
      </c>
      <c r="FG146" s="13">
        <f t="shared" si="53"/>
        <v>2.2222222222222223E-2</v>
      </c>
      <c r="FH146" s="13">
        <f t="shared" si="53"/>
        <v>2.2222222222222223E-2</v>
      </c>
      <c r="FI146" s="12">
        <v>0.6</v>
      </c>
      <c r="FJ146" s="13">
        <f t="shared" si="45"/>
        <v>2.2222222222222223E-2</v>
      </c>
      <c r="FK146" s="13">
        <f t="shared" si="45"/>
        <v>2.2222222222222223E-2</v>
      </c>
      <c r="FL146" s="13">
        <f t="shared" si="45"/>
        <v>2.2222222222222223E-2</v>
      </c>
      <c r="FM146" s="14">
        <v>4.7619047619047623E-3</v>
      </c>
      <c r="FN146" s="14">
        <v>4.7619047619047623E-3</v>
      </c>
      <c r="FO146" s="14">
        <v>4.7619047619047623E-3</v>
      </c>
      <c r="FP146" s="13">
        <f t="shared" si="48"/>
        <v>2.2222222222222223E-2</v>
      </c>
      <c r="FQ146" s="13">
        <f t="shared" si="46"/>
        <v>2.2222222222222223E-2</v>
      </c>
      <c r="FR146" s="13">
        <f t="shared" si="46"/>
        <v>2.2222222222222223E-2</v>
      </c>
      <c r="FS146" s="13">
        <f t="shared" si="46"/>
        <v>2.2222222222222223E-2</v>
      </c>
      <c r="FT146" s="13">
        <f t="shared" si="49"/>
        <v>0.02</v>
      </c>
      <c r="FU146" s="13">
        <f t="shared" si="50"/>
        <v>2.2222222222222223E-2</v>
      </c>
      <c r="FV146" s="13">
        <f t="shared" si="50"/>
        <v>2.2222222222222223E-2</v>
      </c>
      <c r="FW146" s="14">
        <v>4.5454545454545461E-3</v>
      </c>
      <c r="FX146" s="14">
        <v>4.5454545454545461E-3</v>
      </c>
      <c r="FY146" s="13">
        <f t="shared" si="51"/>
        <v>2.2222222222222223E-2</v>
      </c>
      <c r="FZ146" s="14">
        <v>7.1428571428571435E-3</v>
      </c>
      <c r="GA146" s="13">
        <f t="shared" si="54"/>
        <v>2.2222222222222223E-2</v>
      </c>
      <c r="GB146" s="13">
        <f t="shared" si="54"/>
        <v>2.2222222222222223E-2</v>
      </c>
      <c r="GC146" s="13">
        <f t="shared" si="54"/>
        <v>2.2222222222222223E-2</v>
      </c>
      <c r="GD146" s="14">
        <v>7.1428571428571435E-3</v>
      </c>
      <c r="GE146" s="14">
        <v>7.1428571428571435E-3</v>
      </c>
      <c r="GF146" s="14">
        <v>4.6511627906976744E-3</v>
      </c>
      <c r="GG146" s="14">
        <v>4.6511627906976744E-3</v>
      </c>
      <c r="GH146" s="15">
        <v>4.6511627906976744E-3</v>
      </c>
    </row>
    <row r="147" spans="1:190" x14ac:dyDescent="0.3">
      <c r="A147" s="35" t="s">
        <v>37</v>
      </c>
      <c r="B147" s="16">
        <f>BN147*DZ147*B110*2</f>
        <v>180690.41779891303</v>
      </c>
      <c r="C147" s="14">
        <f t="shared" ref="C147:BJ147" si="56">BO147*EA147*C110*2</f>
        <v>180690.41779891303</v>
      </c>
      <c r="D147" s="14">
        <f t="shared" si="56"/>
        <v>180690.41779891303</v>
      </c>
      <c r="E147" s="14">
        <f t="shared" si="56"/>
        <v>180690.41779891303</v>
      </c>
      <c r="F147" s="14">
        <f t="shared" si="56"/>
        <v>180690.41779891303</v>
      </c>
      <c r="G147" s="14">
        <f t="shared" si="56"/>
        <v>180690.41779891303</v>
      </c>
      <c r="H147" s="14">
        <f t="shared" si="56"/>
        <v>180690.41779891303</v>
      </c>
      <c r="I147" s="14">
        <f t="shared" si="56"/>
        <v>180690.41779891303</v>
      </c>
      <c r="J147" s="14">
        <f t="shared" si="56"/>
        <v>3055.5638586956525</v>
      </c>
      <c r="K147" s="14">
        <f t="shared" si="56"/>
        <v>3055.5638586956525</v>
      </c>
      <c r="L147" s="14">
        <f t="shared" si="56"/>
        <v>3055.5638586956525</v>
      </c>
      <c r="M147" s="14">
        <f t="shared" si="56"/>
        <v>3055.5638586956525</v>
      </c>
      <c r="N147" s="14">
        <f t="shared" si="56"/>
        <v>3587.7277173913044</v>
      </c>
      <c r="O147" s="14">
        <f t="shared" si="56"/>
        <v>5109.8281092012139</v>
      </c>
      <c r="P147" s="14">
        <f t="shared" si="56"/>
        <v>5109.8281092012139</v>
      </c>
      <c r="Q147" s="14">
        <f t="shared" si="56"/>
        <v>52264.789855072471</v>
      </c>
      <c r="R147" s="14">
        <f t="shared" si="56"/>
        <v>52264.789855072471</v>
      </c>
      <c r="S147" s="14">
        <f t="shared" si="56"/>
        <v>52264.789855072471</v>
      </c>
      <c r="T147" s="14">
        <f t="shared" si="56"/>
        <v>7052.9813664596286</v>
      </c>
      <c r="U147" s="14">
        <f t="shared" si="56"/>
        <v>7052.9813664596286</v>
      </c>
      <c r="V147" s="14">
        <f t="shared" si="56"/>
        <v>59049.37142857143</v>
      </c>
      <c r="W147" s="14">
        <f t="shared" si="56"/>
        <v>59049.37142857143</v>
      </c>
      <c r="X147" s="14">
        <f t="shared" si="56"/>
        <v>59049.37142857143</v>
      </c>
      <c r="Y147" s="14">
        <f t="shared" si="56"/>
        <v>59049.37142857143</v>
      </c>
      <c r="Z147" s="14">
        <f t="shared" si="56"/>
        <v>1917.171894409938</v>
      </c>
      <c r="AA147" s="14">
        <f t="shared" si="56"/>
        <v>1917.171894409938</v>
      </c>
      <c r="AB147" s="14">
        <f t="shared" si="56"/>
        <v>1912.8829192546586</v>
      </c>
      <c r="AC147" s="14">
        <f t="shared" si="56"/>
        <v>1912.8829192546586</v>
      </c>
      <c r="AD147" s="14">
        <f t="shared" si="56"/>
        <v>1988.6548136645963</v>
      </c>
      <c r="AE147" s="14">
        <f t="shared" si="56"/>
        <v>1988.6548136645963</v>
      </c>
      <c r="AF147" s="14">
        <f t="shared" si="56"/>
        <v>3851.4996894409937</v>
      </c>
      <c r="AG147" s="14">
        <f t="shared" si="56"/>
        <v>3928.7012422360249</v>
      </c>
      <c r="AH147" s="13">
        <f t="shared" si="56"/>
        <v>3876.2804347826086</v>
      </c>
      <c r="AI147" s="13">
        <f t="shared" si="56"/>
        <v>3876.2804347826086</v>
      </c>
      <c r="AJ147" s="13">
        <f t="shared" si="56"/>
        <v>3876.2804347826086</v>
      </c>
      <c r="AK147" s="13">
        <f t="shared" si="56"/>
        <v>3876.2804347826086</v>
      </c>
      <c r="AL147" s="12">
        <f t="shared" si="56"/>
        <v>0</v>
      </c>
      <c r="AM147" s="13">
        <f t="shared" si="56"/>
        <v>173693.29855072466</v>
      </c>
      <c r="AN147" s="13">
        <f>CZ147*FL147*AN110*2</f>
        <v>173693.29855072466</v>
      </c>
      <c r="AO147" s="14">
        <f t="shared" si="56"/>
        <v>826.02484472049696</v>
      </c>
      <c r="AP147" s="14">
        <f t="shared" si="56"/>
        <v>826.02484472049696</v>
      </c>
      <c r="AQ147" s="14">
        <f t="shared" si="56"/>
        <v>826.02484472049696</v>
      </c>
      <c r="AR147" s="13">
        <f t="shared" si="56"/>
        <v>4130.5478260869568</v>
      </c>
      <c r="AS147" s="13">
        <f t="shared" si="56"/>
        <v>4130.5478260869568</v>
      </c>
      <c r="AT147" s="13">
        <f t="shared" si="56"/>
        <v>4130.5478260869568</v>
      </c>
      <c r="AU147" s="13">
        <f t="shared" si="56"/>
        <v>43489.855072463775</v>
      </c>
      <c r="AV147" s="13">
        <f t="shared" si="56"/>
        <v>14045.246376811594</v>
      </c>
      <c r="AW147" s="13">
        <f t="shared" si="56"/>
        <v>15605.829307568438</v>
      </c>
      <c r="AX147" s="13">
        <f t="shared" si="56"/>
        <v>15605.829307568438</v>
      </c>
      <c r="AY147" s="14">
        <f t="shared" si="56"/>
        <v>2731.1673913043483</v>
      </c>
      <c r="AZ147" s="14">
        <f t="shared" si="56"/>
        <v>3304.3304347826092</v>
      </c>
      <c r="BA147" s="13">
        <f t="shared" si="56"/>
        <v>13601.452173913045</v>
      </c>
      <c r="BB147" s="14">
        <f t="shared" si="56"/>
        <v>3760.0015527950313</v>
      </c>
      <c r="BC147" s="13">
        <f t="shared" si="56"/>
        <v>101628.80322061192</v>
      </c>
      <c r="BD147" s="13">
        <f t="shared" si="56"/>
        <v>101628.80322061192</v>
      </c>
      <c r="BE147" s="13">
        <f t="shared" si="56"/>
        <v>101628.80322061192</v>
      </c>
      <c r="BF147" s="14">
        <f t="shared" si="56"/>
        <v>4206.0549689440995</v>
      </c>
      <c r="BG147" s="14">
        <f t="shared" si="56"/>
        <v>3882.9521739130437</v>
      </c>
      <c r="BH147" s="14">
        <f t="shared" si="56"/>
        <v>2781.6497472194137</v>
      </c>
      <c r="BI147" s="14">
        <f t="shared" si="56"/>
        <v>2593.5997977755305</v>
      </c>
      <c r="BJ147" s="15">
        <f t="shared" si="56"/>
        <v>2781.6497472194137</v>
      </c>
      <c r="BM147" s="35" t="s">
        <v>37</v>
      </c>
      <c r="BN147" s="16">
        <v>1300</v>
      </c>
      <c r="BO147" s="14">
        <v>1300</v>
      </c>
      <c r="BP147" s="14">
        <v>1300</v>
      </c>
      <c r="BQ147" s="14">
        <v>1300</v>
      </c>
      <c r="BR147" s="14">
        <v>1300</v>
      </c>
      <c r="BS147" s="14">
        <v>1300</v>
      </c>
      <c r="BT147" s="14">
        <v>1300</v>
      </c>
      <c r="BU147" s="14">
        <v>1300</v>
      </c>
      <c r="BV147" s="14">
        <v>1319</v>
      </c>
      <c r="BW147" s="14">
        <v>1319</v>
      </c>
      <c r="BX147" s="14">
        <v>1319</v>
      </c>
      <c r="BY147" s="14">
        <v>1319</v>
      </c>
      <c r="BZ147" s="14">
        <v>1434</v>
      </c>
      <c r="CA147" s="14">
        <v>1482</v>
      </c>
      <c r="CB147" s="14">
        <v>1482</v>
      </c>
      <c r="CC147" s="14">
        <v>1346</v>
      </c>
      <c r="CD147" s="14">
        <v>1346</v>
      </c>
      <c r="CE147" s="14">
        <v>1346</v>
      </c>
      <c r="CF147" s="14">
        <v>1332</v>
      </c>
      <c r="CG147" s="14">
        <v>1332</v>
      </c>
      <c r="CH147" s="14">
        <v>1312</v>
      </c>
      <c r="CI147" s="14">
        <v>1312</v>
      </c>
      <c r="CJ147" s="14">
        <v>1312</v>
      </c>
      <c r="CK147" s="14">
        <v>1312</v>
      </c>
      <c r="CL147" s="14">
        <v>1341</v>
      </c>
      <c r="CM147" s="14">
        <v>1341</v>
      </c>
      <c r="CN147" s="14">
        <v>1338</v>
      </c>
      <c r="CO147" s="14">
        <v>1338</v>
      </c>
      <c r="CP147" s="14">
        <v>1391</v>
      </c>
      <c r="CQ147" s="14">
        <v>1391</v>
      </c>
      <c r="CR147" s="14">
        <v>1347</v>
      </c>
      <c r="CS147" s="14">
        <v>1374</v>
      </c>
      <c r="CT147" s="13">
        <v>1743</v>
      </c>
      <c r="CU147" s="13">
        <v>1743</v>
      </c>
      <c r="CV147" s="13">
        <v>1743</v>
      </c>
      <c r="CW147" s="13">
        <v>1743</v>
      </c>
      <c r="CX147" s="12"/>
      <c r="CY147" s="13">
        <v>1318</v>
      </c>
      <c r="CZ147" s="13">
        <v>1318</v>
      </c>
      <c r="DA147" s="14">
        <v>1300</v>
      </c>
      <c r="DB147" s="14">
        <v>1300</v>
      </c>
      <c r="DC147" s="14">
        <v>1300</v>
      </c>
      <c r="DD147" s="13">
        <v>1393</v>
      </c>
      <c r="DE147" s="13">
        <v>1393</v>
      </c>
      <c r="DF147" s="13">
        <v>1393</v>
      </c>
      <c r="DG147" s="13">
        <v>1320</v>
      </c>
      <c r="DH147" s="13">
        <v>1421</v>
      </c>
      <c r="DI147" s="13">
        <v>1421</v>
      </c>
      <c r="DJ147" s="13">
        <v>1421</v>
      </c>
      <c r="DK147" s="14">
        <v>1501</v>
      </c>
      <c r="DL147" s="14">
        <v>1816</v>
      </c>
      <c r="DM147" s="13">
        <v>1529</v>
      </c>
      <c r="DN147" s="14">
        <v>1315</v>
      </c>
      <c r="DO147" s="13">
        <v>1322</v>
      </c>
      <c r="DP147" s="13">
        <v>1322</v>
      </c>
      <c r="DQ147" s="13">
        <v>1322</v>
      </c>
      <c r="DR147" s="14">
        <v>1471</v>
      </c>
      <c r="DS147" s="14">
        <v>1358</v>
      </c>
      <c r="DT147" s="14">
        <v>1494</v>
      </c>
      <c r="DU147" s="14">
        <v>1393</v>
      </c>
      <c r="DV147" s="15">
        <v>1494</v>
      </c>
      <c r="DY147" s="35" t="s">
        <v>37</v>
      </c>
      <c r="DZ147" s="16">
        <v>6.2500000000000003E-3</v>
      </c>
      <c r="EA147" s="14">
        <v>6.2500000000000003E-3</v>
      </c>
      <c r="EB147" s="14">
        <v>6.2500000000000003E-3</v>
      </c>
      <c r="EC147" s="14">
        <v>6.2500000000000003E-3</v>
      </c>
      <c r="ED147" s="14">
        <v>6.2500000000000003E-3</v>
      </c>
      <c r="EE147" s="14">
        <v>6.2500000000000003E-3</v>
      </c>
      <c r="EF147" s="14">
        <v>6.2500000000000003E-3</v>
      </c>
      <c r="EG147" s="14">
        <v>6.2500000000000003E-3</v>
      </c>
      <c r="EH147" s="14">
        <v>6.2500000000000003E-3</v>
      </c>
      <c r="EI147" s="14">
        <v>6.2500000000000003E-3</v>
      </c>
      <c r="EJ147" s="14">
        <v>6.2500000000000003E-3</v>
      </c>
      <c r="EK147" s="14">
        <v>6.2500000000000003E-3</v>
      </c>
      <c r="EL147" s="14">
        <v>6.2500000000000003E-3</v>
      </c>
      <c r="EM147" s="14">
        <v>4.6511627906976744E-3</v>
      </c>
      <c r="EN147" s="14">
        <v>4.6511627906976744E-3</v>
      </c>
      <c r="EO147" s="14">
        <v>7.1428571428571435E-3</v>
      </c>
      <c r="EP147" s="14">
        <v>7.1428571428571435E-3</v>
      </c>
      <c r="EQ147" s="14">
        <v>7.1428571428571435E-3</v>
      </c>
      <c r="ER147" s="14">
        <v>7.1428571428571435E-3</v>
      </c>
      <c r="ES147" s="14">
        <v>7.1428571428571435E-3</v>
      </c>
      <c r="ET147" s="14">
        <v>7.1428571428571435E-3</v>
      </c>
      <c r="EU147" s="14">
        <v>7.1428571428571435E-3</v>
      </c>
      <c r="EV147" s="14">
        <v>7.1428571428571435E-3</v>
      </c>
      <c r="EW147" s="14">
        <v>7.1428571428571435E-3</v>
      </c>
      <c r="EX147" s="14">
        <v>7.1428571428571435E-3</v>
      </c>
      <c r="EY147" s="14">
        <v>7.1428571428571435E-3</v>
      </c>
      <c r="EZ147" s="14">
        <v>7.1428571428571435E-3</v>
      </c>
      <c r="FA147" s="14">
        <v>7.1428571428571435E-3</v>
      </c>
      <c r="FB147" s="14">
        <v>7.1428571428571435E-3</v>
      </c>
      <c r="FC147" s="14">
        <v>7.1428571428571435E-3</v>
      </c>
      <c r="FD147" s="14">
        <v>7.1428571428571435E-3</v>
      </c>
      <c r="FE147" s="14">
        <v>7.1428571428571435E-3</v>
      </c>
      <c r="FF147" s="13">
        <f t="shared" si="53"/>
        <v>2.2222222222222223E-2</v>
      </c>
      <c r="FG147" s="13">
        <f t="shared" si="53"/>
        <v>2.2222222222222223E-2</v>
      </c>
      <c r="FH147" s="13">
        <f t="shared" si="53"/>
        <v>2.2222222222222223E-2</v>
      </c>
      <c r="FI147" s="13">
        <f t="shared" si="53"/>
        <v>2.2222222222222223E-2</v>
      </c>
      <c r="FJ147" s="12">
        <v>0.6</v>
      </c>
      <c r="FK147" s="13">
        <f t="shared" si="45"/>
        <v>2.2222222222222223E-2</v>
      </c>
      <c r="FL147" s="13">
        <f t="shared" si="45"/>
        <v>2.2222222222222223E-2</v>
      </c>
      <c r="FM147" s="14">
        <v>4.7619047619047623E-3</v>
      </c>
      <c r="FN147" s="14">
        <v>4.7619047619047623E-3</v>
      </c>
      <c r="FO147" s="14">
        <v>4.7619047619047623E-3</v>
      </c>
      <c r="FP147" s="13">
        <f t="shared" si="48"/>
        <v>2.2222222222222223E-2</v>
      </c>
      <c r="FQ147" s="13">
        <f t="shared" si="46"/>
        <v>2.2222222222222223E-2</v>
      </c>
      <c r="FR147" s="13">
        <f t="shared" si="46"/>
        <v>2.2222222222222223E-2</v>
      </c>
      <c r="FS147" s="13">
        <f t="shared" si="46"/>
        <v>2.2222222222222223E-2</v>
      </c>
      <c r="FT147" s="13">
        <f t="shared" si="49"/>
        <v>0.02</v>
      </c>
      <c r="FU147" s="13">
        <f t="shared" si="50"/>
        <v>2.2222222222222223E-2</v>
      </c>
      <c r="FV147" s="13">
        <f t="shared" si="50"/>
        <v>2.2222222222222223E-2</v>
      </c>
      <c r="FW147" s="14">
        <v>4.5454545454545461E-3</v>
      </c>
      <c r="FX147" s="14">
        <v>4.5454545454545461E-3</v>
      </c>
      <c r="FY147" s="13">
        <f t="shared" si="51"/>
        <v>2.2222222222222223E-2</v>
      </c>
      <c r="FZ147" s="14">
        <v>7.1428571428571435E-3</v>
      </c>
      <c r="GA147" s="13">
        <f t="shared" si="54"/>
        <v>2.2222222222222223E-2</v>
      </c>
      <c r="GB147" s="13">
        <f t="shared" si="54"/>
        <v>2.2222222222222223E-2</v>
      </c>
      <c r="GC147" s="13">
        <f t="shared" si="54"/>
        <v>2.2222222222222223E-2</v>
      </c>
      <c r="GD147" s="14">
        <v>7.1428571428571435E-3</v>
      </c>
      <c r="GE147" s="14">
        <v>7.1428571428571435E-3</v>
      </c>
      <c r="GF147" s="14">
        <v>4.6511627906976744E-3</v>
      </c>
      <c r="GG147" s="14">
        <v>4.6511627906976744E-3</v>
      </c>
      <c r="GH147" s="15">
        <v>4.6511627906976744E-3</v>
      </c>
    </row>
    <row r="148" spans="1:190" x14ac:dyDescent="0.3">
      <c r="A148" s="35" t="s">
        <v>38</v>
      </c>
      <c r="B148" s="16">
        <f>BN148*DZ148*B110*2</f>
        <v>180690.41779891303</v>
      </c>
      <c r="C148" s="14">
        <f t="shared" ref="C148:BJ148" si="57">BO148*EA148*C110*2</f>
        <v>180690.41779891303</v>
      </c>
      <c r="D148" s="14">
        <f t="shared" si="57"/>
        <v>180690.41779891303</v>
      </c>
      <c r="E148" s="14">
        <f t="shared" si="57"/>
        <v>180690.41779891303</v>
      </c>
      <c r="F148" s="14">
        <f t="shared" si="57"/>
        <v>180690.41779891303</v>
      </c>
      <c r="G148" s="14">
        <f t="shared" si="57"/>
        <v>180690.41779891303</v>
      </c>
      <c r="H148" s="14">
        <f t="shared" si="57"/>
        <v>180690.41779891303</v>
      </c>
      <c r="I148" s="14">
        <f t="shared" si="57"/>
        <v>180690.41779891303</v>
      </c>
      <c r="J148" s="14">
        <f t="shared" si="57"/>
        <v>3055.5638586956525</v>
      </c>
      <c r="K148" s="14">
        <f t="shared" si="57"/>
        <v>3055.5638586956525</v>
      </c>
      <c r="L148" s="14">
        <f t="shared" si="57"/>
        <v>3055.5638586956525</v>
      </c>
      <c r="M148" s="14">
        <f t="shared" si="57"/>
        <v>3055.5638586956525</v>
      </c>
      <c r="N148" s="14">
        <f t="shared" si="57"/>
        <v>3587.7277173913044</v>
      </c>
      <c r="O148" s="14">
        <f t="shared" si="57"/>
        <v>5109.8281092012139</v>
      </c>
      <c r="P148" s="14">
        <f t="shared" si="57"/>
        <v>5109.8281092012139</v>
      </c>
      <c r="Q148" s="14">
        <f t="shared" si="57"/>
        <v>52264.789855072471</v>
      </c>
      <c r="R148" s="14">
        <f t="shared" si="57"/>
        <v>52264.789855072471</v>
      </c>
      <c r="S148" s="14">
        <f t="shared" si="57"/>
        <v>52264.789855072471</v>
      </c>
      <c r="T148" s="14">
        <f t="shared" si="57"/>
        <v>7052.9813664596286</v>
      </c>
      <c r="U148" s="14">
        <f t="shared" si="57"/>
        <v>7052.9813664596286</v>
      </c>
      <c r="V148" s="14">
        <f t="shared" si="57"/>
        <v>59049.37142857143</v>
      </c>
      <c r="W148" s="14">
        <f t="shared" si="57"/>
        <v>59049.37142857143</v>
      </c>
      <c r="X148" s="14">
        <f t="shared" si="57"/>
        <v>59049.37142857143</v>
      </c>
      <c r="Y148" s="14">
        <f t="shared" si="57"/>
        <v>59049.37142857143</v>
      </c>
      <c r="Z148" s="14">
        <f t="shared" si="57"/>
        <v>1917.171894409938</v>
      </c>
      <c r="AA148" s="14">
        <f t="shared" si="57"/>
        <v>1917.171894409938</v>
      </c>
      <c r="AB148" s="14">
        <f t="shared" si="57"/>
        <v>1912.8829192546586</v>
      </c>
      <c r="AC148" s="14">
        <f t="shared" si="57"/>
        <v>1912.8829192546586</v>
      </c>
      <c r="AD148" s="14">
        <f t="shared" si="57"/>
        <v>1988.6548136645963</v>
      </c>
      <c r="AE148" s="14">
        <f t="shared" si="57"/>
        <v>1988.6548136645963</v>
      </c>
      <c r="AF148" s="14">
        <f t="shared" si="57"/>
        <v>3851.4996894409937</v>
      </c>
      <c r="AG148" s="14">
        <f t="shared" si="57"/>
        <v>3928.7012422360249</v>
      </c>
      <c r="AH148" s="13">
        <f t="shared" si="57"/>
        <v>3876.2804347826086</v>
      </c>
      <c r="AI148" s="13">
        <f t="shared" si="57"/>
        <v>3876.2804347826086</v>
      </c>
      <c r="AJ148" s="13">
        <f t="shared" si="57"/>
        <v>3876.2804347826086</v>
      </c>
      <c r="AK148" s="13">
        <f t="shared" si="57"/>
        <v>3876.2804347826086</v>
      </c>
      <c r="AL148" s="13">
        <f t="shared" si="57"/>
        <v>173693.29855072466</v>
      </c>
      <c r="AM148" s="12">
        <f t="shared" si="57"/>
        <v>0</v>
      </c>
      <c r="AN148" s="13">
        <f t="shared" si="57"/>
        <v>173693.29855072466</v>
      </c>
      <c r="AO148" s="14">
        <f t="shared" si="57"/>
        <v>826.02484472049696</v>
      </c>
      <c r="AP148" s="14">
        <f t="shared" si="57"/>
        <v>826.02484472049696</v>
      </c>
      <c r="AQ148" s="14">
        <f t="shared" si="57"/>
        <v>826.02484472049696</v>
      </c>
      <c r="AR148" s="13">
        <f t="shared" si="57"/>
        <v>4130.5478260869568</v>
      </c>
      <c r="AS148" s="13">
        <f t="shared" si="57"/>
        <v>4130.5478260869568</v>
      </c>
      <c r="AT148" s="13">
        <f t="shared" si="57"/>
        <v>4130.5478260869568</v>
      </c>
      <c r="AU148" s="13">
        <f t="shared" si="57"/>
        <v>43489.855072463775</v>
      </c>
      <c r="AV148" s="13">
        <f t="shared" si="57"/>
        <v>14045.246376811594</v>
      </c>
      <c r="AW148" s="13">
        <f t="shared" si="57"/>
        <v>15605.829307568438</v>
      </c>
      <c r="AX148" s="13">
        <f t="shared" si="57"/>
        <v>15605.829307568438</v>
      </c>
      <c r="AY148" s="14">
        <f t="shared" si="57"/>
        <v>2731.1673913043483</v>
      </c>
      <c r="AZ148" s="14">
        <f t="shared" si="57"/>
        <v>3304.3304347826092</v>
      </c>
      <c r="BA148" s="13">
        <f t="shared" si="57"/>
        <v>13601.452173913045</v>
      </c>
      <c r="BB148" s="14">
        <f t="shared" si="57"/>
        <v>3760.0015527950313</v>
      </c>
      <c r="BC148" s="13">
        <f t="shared" si="57"/>
        <v>101628.80322061192</v>
      </c>
      <c r="BD148" s="13">
        <f t="shared" si="57"/>
        <v>101628.80322061192</v>
      </c>
      <c r="BE148" s="13">
        <f t="shared" si="57"/>
        <v>101628.80322061192</v>
      </c>
      <c r="BF148" s="14">
        <f t="shared" si="57"/>
        <v>4206.0549689440995</v>
      </c>
      <c r="BG148" s="14">
        <f t="shared" si="57"/>
        <v>3882.9521739130437</v>
      </c>
      <c r="BH148" s="14">
        <f t="shared" si="57"/>
        <v>2781.6497472194137</v>
      </c>
      <c r="BI148" s="14">
        <f t="shared" si="57"/>
        <v>2593.5997977755305</v>
      </c>
      <c r="BJ148" s="15">
        <f t="shared" si="57"/>
        <v>2781.6497472194137</v>
      </c>
      <c r="BM148" s="35" t="s">
        <v>38</v>
      </c>
      <c r="BN148" s="16">
        <v>1300</v>
      </c>
      <c r="BO148" s="14">
        <v>1300</v>
      </c>
      <c r="BP148" s="14">
        <v>1300</v>
      </c>
      <c r="BQ148" s="14">
        <v>1300</v>
      </c>
      <c r="BR148" s="14">
        <v>1300</v>
      </c>
      <c r="BS148" s="14">
        <v>1300</v>
      </c>
      <c r="BT148" s="14">
        <v>1300</v>
      </c>
      <c r="BU148" s="14">
        <v>1300</v>
      </c>
      <c r="BV148" s="14">
        <v>1319</v>
      </c>
      <c r="BW148" s="14">
        <v>1319</v>
      </c>
      <c r="BX148" s="14">
        <v>1319</v>
      </c>
      <c r="BY148" s="14">
        <v>1319</v>
      </c>
      <c r="BZ148" s="14">
        <v>1434</v>
      </c>
      <c r="CA148" s="14">
        <v>1482</v>
      </c>
      <c r="CB148" s="14">
        <v>1482</v>
      </c>
      <c r="CC148" s="14">
        <v>1346</v>
      </c>
      <c r="CD148" s="14">
        <v>1346</v>
      </c>
      <c r="CE148" s="14">
        <v>1346</v>
      </c>
      <c r="CF148" s="14">
        <v>1332</v>
      </c>
      <c r="CG148" s="14">
        <v>1332</v>
      </c>
      <c r="CH148" s="14">
        <v>1312</v>
      </c>
      <c r="CI148" s="14">
        <v>1312</v>
      </c>
      <c r="CJ148" s="14">
        <v>1312</v>
      </c>
      <c r="CK148" s="14">
        <v>1312</v>
      </c>
      <c r="CL148" s="14">
        <v>1341</v>
      </c>
      <c r="CM148" s="14">
        <v>1341</v>
      </c>
      <c r="CN148" s="14">
        <v>1338</v>
      </c>
      <c r="CO148" s="14">
        <v>1338</v>
      </c>
      <c r="CP148" s="14">
        <v>1391</v>
      </c>
      <c r="CQ148" s="14">
        <v>1391</v>
      </c>
      <c r="CR148" s="14">
        <v>1347</v>
      </c>
      <c r="CS148" s="14">
        <v>1374</v>
      </c>
      <c r="CT148" s="13">
        <v>1743</v>
      </c>
      <c r="CU148" s="13">
        <v>1743</v>
      </c>
      <c r="CV148" s="13">
        <v>1743</v>
      </c>
      <c r="CW148" s="13">
        <v>1743</v>
      </c>
      <c r="CX148" s="13">
        <v>1318</v>
      </c>
      <c r="CY148" s="12"/>
      <c r="CZ148" s="13">
        <v>1318</v>
      </c>
      <c r="DA148" s="14">
        <v>1300</v>
      </c>
      <c r="DB148" s="14">
        <v>1300</v>
      </c>
      <c r="DC148" s="14">
        <v>1300</v>
      </c>
      <c r="DD148" s="13">
        <v>1393</v>
      </c>
      <c r="DE148" s="13">
        <v>1393</v>
      </c>
      <c r="DF148" s="13">
        <v>1393</v>
      </c>
      <c r="DG148" s="13">
        <v>1320</v>
      </c>
      <c r="DH148" s="13">
        <v>1421</v>
      </c>
      <c r="DI148" s="13">
        <v>1421</v>
      </c>
      <c r="DJ148" s="13">
        <v>1421</v>
      </c>
      <c r="DK148" s="14">
        <v>1501</v>
      </c>
      <c r="DL148" s="14">
        <v>1816</v>
      </c>
      <c r="DM148" s="13">
        <v>1529</v>
      </c>
      <c r="DN148" s="14">
        <v>1315</v>
      </c>
      <c r="DO148" s="13">
        <v>1322</v>
      </c>
      <c r="DP148" s="13">
        <v>1322</v>
      </c>
      <c r="DQ148" s="13">
        <v>1322</v>
      </c>
      <c r="DR148" s="14">
        <v>1471</v>
      </c>
      <c r="DS148" s="14">
        <v>1358</v>
      </c>
      <c r="DT148" s="14">
        <v>1494</v>
      </c>
      <c r="DU148" s="14">
        <v>1393</v>
      </c>
      <c r="DV148" s="15">
        <v>1494</v>
      </c>
      <c r="DY148" s="35" t="s">
        <v>38</v>
      </c>
      <c r="DZ148" s="16">
        <v>6.2500000000000003E-3</v>
      </c>
      <c r="EA148" s="14">
        <v>6.2500000000000003E-3</v>
      </c>
      <c r="EB148" s="14">
        <v>6.2500000000000003E-3</v>
      </c>
      <c r="EC148" s="14">
        <v>6.2500000000000003E-3</v>
      </c>
      <c r="ED148" s="14">
        <v>6.2500000000000003E-3</v>
      </c>
      <c r="EE148" s="14">
        <v>6.2500000000000003E-3</v>
      </c>
      <c r="EF148" s="14">
        <v>6.2500000000000003E-3</v>
      </c>
      <c r="EG148" s="14">
        <v>6.2500000000000003E-3</v>
      </c>
      <c r="EH148" s="14">
        <v>6.2500000000000003E-3</v>
      </c>
      <c r="EI148" s="14">
        <v>6.2500000000000003E-3</v>
      </c>
      <c r="EJ148" s="14">
        <v>6.2500000000000003E-3</v>
      </c>
      <c r="EK148" s="14">
        <v>6.2500000000000003E-3</v>
      </c>
      <c r="EL148" s="14">
        <v>6.2500000000000003E-3</v>
      </c>
      <c r="EM148" s="14">
        <v>4.6511627906976744E-3</v>
      </c>
      <c r="EN148" s="14">
        <v>4.6511627906976744E-3</v>
      </c>
      <c r="EO148" s="14">
        <v>7.1428571428571435E-3</v>
      </c>
      <c r="EP148" s="14">
        <v>7.1428571428571435E-3</v>
      </c>
      <c r="EQ148" s="14">
        <v>7.1428571428571435E-3</v>
      </c>
      <c r="ER148" s="14">
        <v>7.1428571428571435E-3</v>
      </c>
      <c r="ES148" s="14">
        <v>7.1428571428571435E-3</v>
      </c>
      <c r="ET148" s="14">
        <v>7.1428571428571435E-3</v>
      </c>
      <c r="EU148" s="14">
        <v>7.1428571428571435E-3</v>
      </c>
      <c r="EV148" s="14">
        <v>7.1428571428571435E-3</v>
      </c>
      <c r="EW148" s="14">
        <v>7.1428571428571435E-3</v>
      </c>
      <c r="EX148" s="14">
        <v>7.1428571428571435E-3</v>
      </c>
      <c r="EY148" s="14">
        <v>7.1428571428571435E-3</v>
      </c>
      <c r="EZ148" s="14">
        <v>7.1428571428571435E-3</v>
      </c>
      <c r="FA148" s="14">
        <v>7.1428571428571435E-3</v>
      </c>
      <c r="FB148" s="14">
        <v>7.1428571428571435E-3</v>
      </c>
      <c r="FC148" s="14">
        <v>7.1428571428571435E-3</v>
      </c>
      <c r="FD148" s="14">
        <v>7.1428571428571435E-3</v>
      </c>
      <c r="FE148" s="14">
        <v>7.1428571428571435E-3</v>
      </c>
      <c r="FF148" s="13">
        <f t="shared" si="53"/>
        <v>2.2222222222222223E-2</v>
      </c>
      <c r="FG148" s="13">
        <f t="shared" si="53"/>
        <v>2.2222222222222223E-2</v>
      </c>
      <c r="FH148" s="13">
        <f t="shared" si="53"/>
        <v>2.2222222222222223E-2</v>
      </c>
      <c r="FI148" s="13">
        <f t="shared" si="53"/>
        <v>2.2222222222222223E-2</v>
      </c>
      <c r="FJ148" s="13">
        <f t="shared" si="53"/>
        <v>2.2222222222222223E-2</v>
      </c>
      <c r="FK148" s="12">
        <v>0.6</v>
      </c>
      <c r="FL148" s="13">
        <f t="shared" si="45"/>
        <v>2.2222222222222223E-2</v>
      </c>
      <c r="FM148" s="14">
        <v>4.7619047619047623E-3</v>
      </c>
      <c r="FN148" s="14">
        <v>4.7619047619047623E-3</v>
      </c>
      <c r="FO148" s="14">
        <v>4.7619047619047623E-3</v>
      </c>
      <c r="FP148" s="13">
        <f t="shared" si="48"/>
        <v>2.2222222222222223E-2</v>
      </c>
      <c r="FQ148" s="13">
        <f t="shared" si="46"/>
        <v>2.2222222222222223E-2</v>
      </c>
      <c r="FR148" s="13">
        <f t="shared" si="46"/>
        <v>2.2222222222222223E-2</v>
      </c>
      <c r="FS148" s="13">
        <f t="shared" si="46"/>
        <v>2.2222222222222223E-2</v>
      </c>
      <c r="FT148" s="13">
        <f t="shared" si="49"/>
        <v>0.02</v>
      </c>
      <c r="FU148" s="13">
        <f t="shared" si="50"/>
        <v>2.2222222222222223E-2</v>
      </c>
      <c r="FV148" s="13">
        <f t="shared" si="50"/>
        <v>2.2222222222222223E-2</v>
      </c>
      <c r="FW148" s="14">
        <v>4.5454545454545461E-3</v>
      </c>
      <c r="FX148" s="14">
        <v>4.5454545454545461E-3</v>
      </c>
      <c r="FY148" s="13">
        <f t="shared" si="51"/>
        <v>2.2222222222222223E-2</v>
      </c>
      <c r="FZ148" s="14">
        <v>7.1428571428571435E-3</v>
      </c>
      <c r="GA148" s="13">
        <f t="shared" si="54"/>
        <v>2.2222222222222223E-2</v>
      </c>
      <c r="GB148" s="13">
        <f t="shared" si="54"/>
        <v>2.2222222222222223E-2</v>
      </c>
      <c r="GC148" s="13">
        <f t="shared" si="54"/>
        <v>2.2222222222222223E-2</v>
      </c>
      <c r="GD148" s="14">
        <v>7.1428571428571435E-3</v>
      </c>
      <c r="GE148" s="14">
        <v>7.1428571428571435E-3</v>
      </c>
      <c r="GF148" s="14">
        <v>4.6511627906976744E-3</v>
      </c>
      <c r="GG148" s="14">
        <v>4.6511627906976744E-3</v>
      </c>
      <c r="GH148" s="15">
        <v>4.6511627906976744E-3</v>
      </c>
    </row>
    <row r="149" spans="1:190" x14ac:dyDescent="0.3">
      <c r="A149" s="35" t="s">
        <v>39</v>
      </c>
      <c r="B149" s="16">
        <f>BN149*DZ149*B110*2</f>
        <v>180690.41779891303</v>
      </c>
      <c r="C149" s="14">
        <f t="shared" ref="C149:BJ149" si="58">BO149*EA149*C110*2</f>
        <v>180690.41779891303</v>
      </c>
      <c r="D149" s="14">
        <f t="shared" si="58"/>
        <v>180690.41779891303</v>
      </c>
      <c r="E149" s="14">
        <f t="shared" si="58"/>
        <v>180690.41779891303</v>
      </c>
      <c r="F149" s="14">
        <f t="shared" si="58"/>
        <v>180690.41779891303</v>
      </c>
      <c r="G149" s="14">
        <f t="shared" si="58"/>
        <v>180690.41779891303</v>
      </c>
      <c r="H149" s="14">
        <f t="shared" si="58"/>
        <v>180690.41779891303</v>
      </c>
      <c r="I149" s="14">
        <f t="shared" si="58"/>
        <v>180690.41779891303</v>
      </c>
      <c r="J149" s="14">
        <f t="shared" si="58"/>
        <v>3055.5638586956525</v>
      </c>
      <c r="K149" s="14">
        <f t="shared" si="58"/>
        <v>3055.5638586956525</v>
      </c>
      <c r="L149" s="14">
        <f t="shared" si="58"/>
        <v>3055.5638586956525</v>
      </c>
      <c r="M149" s="14">
        <f t="shared" si="58"/>
        <v>3055.5638586956525</v>
      </c>
      <c r="N149" s="14">
        <f t="shared" si="58"/>
        <v>3587.7277173913044</v>
      </c>
      <c r="O149" s="14">
        <f t="shared" si="58"/>
        <v>5109.8281092012139</v>
      </c>
      <c r="P149" s="14">
        <f t="shared" si="58"/>
        <v>5109.8281092012139</v>
      </c>
      <c r="Q149" s="14">
        <f t="shared" si="58"/>
        <v>52264.789855072471</v>
      </c>
      <c r="R149" s="14">
        <f t="shared" si="58"/>
        <v>52264.789855072471</v>
      </c>
      <c r="S149" s="14">
        <f t="shared" si="58"/>
        <v>52264.789855072471</v>
      </c>
      <c r="T149" s="14">
        <f t="shared" si="58"/>
        <v>7052.9813664596286</v>
      </c>
      <c r="U149" s="14">
        <f t="shared" si="58"/>
        <v>7052.9813664596286</v>
      </c>
      <c r="V149" s="14">
        <f t="shared" si="58"/>
        <v>59049.37142857143</v>
      </c>
      <c r="W149" s="14">
        <f t="shared" si="58"/>
        <v>59049.37142857143</v>
      </c>
      <c r="X149" s="14">
        <f t="shared" si="58"/>
        <v>59049.37142857143</v>
      </c>
      <c r="Y149" s="14">
        <f t="shared" si="58"/>
        <v>59049.37142857143</v>
      </c>
      <c r="Z149" s="14">
        <f t="shared" si="58"/>
        <v>1917.171894409938</v>
      </c>
      <c r="AA149" s="14">
        <f t="shared" si="58"/>
        <v>1917.171894409938</v>
      </c>
      <c r="AB149" s="14">
        <f t="shared" si="58"/>
        <v>1912.8829192546586</v>
      </c>
      <c r="AC149" s="14">
        <f t="shared" si="58"/>
        <v>1912.8829192546586</v>
      </c>
      <c r="AD149" s="14">
        <f t="shared" si="58"/>
        <v>1988.6548136645963</v>
      </c>
      <c r="AE149" s="14">
        <f t="shared" si="58"/>
        <v>1988.6548136645963</v>
      </c>
      <c r="AF149" s="14">
        <f t="shared" si="58"/>
        <v>3851.4996894409937</v>
      </c>
      <c r="AG149" s="14">
        <f t="shared" si="58"/>
        <v>3928.7012422360249</v>
      </c>
      <c r="AH149" s="13">
        <f t="shared" si="58"/>
        <v>3876.2804347826086</v>
      </c>
      <c r="AI149" s="13">
        <f t="shared" si="58"/>
        <v>3876.2804347826086</v>
      </c>
      <c r="AJ149" s="13">
        <f t="shared" si="58"/>
        <v>3876.2804347826086</v>
      </c>
      <c r="AK149" s="13">
        <f t="shared" si="58"/>
        <v>3876.2804347826086</v>
      </c>
      <c r="AL149" s="13">
        <f t="shared" si="58"/>
        <v>173693.29855072466</v>
      </c>
      <c r="AM149" s="13">
        <f t="shared" si="58"/>
        <v>173693.29855072466</v>
      </c>
      <c r="AN149" s="12">
        <f t="shared" si="58"/>
        <v>0</v>
      </c>
      <c r="AO149" s="14">
        <f t="shared" si="58"/>
        <v>826.02484472049696</v>
      </c>
      <c r="AP149" s="14">
        <f t="shared" si="58"/>
        <v>826.02484472049696</v>
      </c>
      <c r="AQ149" s="14">
        <f t="shared" si="58"/>
        <v>826.02484472049696</v>
      </c>
      <c r="AR149" s="13">
        <f t="shared" si="58"/>
        <v>4130.5478260869568</v>
      </c>
      <c r="AS149" s="13">
        <f t="shared" si="58"/>
        <v>4130.5478260869568</v>
      </c>
      <c r="AT149" s="13">
        <f t="shared" si="58"/>
        <v>4130.5478260869568</v>
      </c>
      <c r="AU149" s="13">
        <f t="shared" si="58"/>
        <v>43489.855072463775</v>
      </c>
      <c r="AV149" s="13">
        <f t="shared" si="58"/>
        <v>14045.246376811594</v>
      </c>
      <c r="AW149" s="13">
        <f t="shared" si="58"/>
        <v>15605.829307568438</v>
      </c>
      <c r="AX149" s="13">
        <f t="shared" si="58"/>
        <v>15605.829307568438</v>
      </c>
      <c r="AY149" s="14">
        <f t="shared" si="58"/>
        <v>2731.1673913043483</v>
      </c>
      <c r="AZ149" s="14">
        <f t="shared" si="58"/>
        <v>3304.3304347826092</v>
      </c>
      <c r="BA149" s="13">
        <f t="shared" si="58"/>
        <v>13601.452173913045</v>
      </c>
      <c r="BB149" s="14">
        <f t="shared" si="58"/>
        <v>3760.0015527950313</v>
      </c>
      <c r="BC149" s="13">
        <f t="shared" si="58"/>
        <v>101628.80322061192</v>
      </c>
      <c r="BD149" s="13">
        <f t="shared" si="58"/>
        <v>101628.80322061192</v>
      </c>
      <c r="BE149" s="13">
        <f t="shared" si="58"/>
        <v>101628.80322061192</v>
      </c>
      <c r="BF149" s="14">
        <f t="shared" si="58"/>
        <v>4206.0549689440995</v>
      </c>
      <c r="BG149" s="14">
        <f t="shared" si="58"/>
        <v>3882.9521739130437</v>
      </c>
      <c r="BH149" s="14">
        <f t="shared" si="58"/>
        <v>2781.6497472194137</v>
      </c>
      <c r="BI149" s="14">
        <f t="shared" si="58"/>
        <v>2593.5997977755305</v>
      </c>
      <c r="BJ149" s="15">
        <f t="shared" si="58"/>
        <v>2781.6497472194137</v>
      </c>
      <c r="BM149" s="35" t="s">
        <v>39</v>
      </c>
      <c r="BN149" s="16">
        <v>1300</v>
      </c>
      <c r="BO149" s="14">
        <v>1300</v>
      </c>
      <c r="BP149" s="14">
        <v>1300</v>
      </c>
      <c r="BQ149" s="14">
        <v>1300</v>
      </c>
      <c r="BR149" s="14">
        <v>1300</v>
      </c>
      <c r="BS149" s="14">
        <v>1300</v>
      </c>
      <c r="BT149" s="14">
        <v>1300</v>
      </c>
      <c r="BU149" s="14">
        <v>1300</v>
      </c>
      <c r="BV149" s="14">
        <v>1319</v>
      </c>
      <c r="BW149" s="14">
        <v>1319</v>
      </c>
      <c r="BX149" s="14">
        <v>1319</v>
      </c>
      <c r="BY149" s="14">
        <v>1319</v>
      </c>
      <c r="BZ149" s="14">
        <v>1434</v>
      </c>
      <c r="CA149" s="14">
        <v>1482</v>
      </c>
      <c r="CB149" s="14">
        <v>1482</v>
      </c>
      <c r="CC149" s="14">
        <v>1346</v>
      </c>
      <c r="CD149" s="14">
        <v>1346</v>
      </c>
      <c r="CE149" s="14">
        <v>1346</v>
      </c>
      <c r="CF149" s="14">
        <v>1332</v>
      </c>
      <c r="CG149" s="14">
        <v>1332</v>
      </c>
      <c r="CH149" s="14">
        <v>1312</v>
      </c>
      <c r="CI149" s="14">
        <v>1312</v>
      </c>
      <c r="CJ149" s="14">
        <v>1312</v>
      </c>
      <c r="CK149" s="14">
        <v>1312</v>
      </c>
      <c r="CL149" s="14">
        <v>1341</v>
      </c>
      <c r="CM149" s="14">
        <v>1341</v>
      </c>
      <c r="CN149" s="14">
        <v>1338</v>
      </c>
      <c r="CO149" s="14">
        <v>1338</v>
      </c>
      <c r="CP149" s="14">
        <v>1391</v>
      </c>
      <c r="CQ149" s="14">
        <v>1391</v>
      </c>
      <c r="CR149" s="14">
        <v>1347</v>
      </c>
      <c r="CS149" s="14">
        <v>1374</v>
      </c>
      <c r="CT149" s="13">
        <v>1743</v>
      </c>
      <c r="CU149" s="13">
        <v>1743</v>
      </c>
      <c r="CV149" s="13">
        <v>1743</v>
      </c>
      <c r="CW149" s="13">
        <v>1743</v>
      </c>
      <c r="CX149" s="13">
        <v>1318</v>
      </c>
      <c r="CY149" s="13">
        <v>1318</v>
      </c>
      <c r="CZ149" s="12"/>
      <c r="DA149" s="14">
        <v>1300</v>
      </c>
      <c r="DB149" s="14">
        <v>1300</v>
      </c>
      <c r="DC149" s="14">
        <v>1300</v>
      </c>
      <c r="DD149" s="13">
        <v>1393</v>
      </c>
      <c r="DE149" s="13">
        <v>1393</v>
      </c>
      <c r="DF149" s="13">
        <v>1393</v>
      </c>
      <c r="DG149" s="13">
        <v>1320</v>
      </c>
      <c r="DH149" s="13">
        <v>1421</v>
      </c>
      <c r="DI149" s="13">
        <v>1421</v>
      </c>
      <c r="DJ149" s="13">
        <v>1421</v>
      </c>
      <c r="DK149" s="14">
        <v>1501</v>
      </c>
      <c r="DL149" s="14">
        <v>1816</v>
      </c>
      <c r="DM149" s="13">
        <v>1529</v>
      </c>
      <c r="DN149" s="14">
        <v>1315</v>
      </c>
      <c r="DO149" s="13">
        <v>1322</v>
      </c>
      <c r="DP149" s="13">
        <v>1322</v>
      </c>
      <c r="DQ149" s="13">
        <v>1322</v>
      </c>
      <c r="DR149" s="14">
        <v>1471</v>
      </c>
      <c r="DS149" s="14">
        <v>1358</v>
      </c>
      <c r="DT149" s="14">
        <v>1494</v>
      </c>
      <c r="DU149" s="14">
        <v>1393</v>
      </c>
      <c r="DV149" s="15">
        <v>1494</v>
      </c>
      <c r="DY149" s="35" t="s">
        <v>39</v>
      </c>
      <c r="DZ149" s="16">
        <v>6.2500000000000003E-3</v>
      </c>
      <c r="EA149" s="14">
        <v>6.2500000000000003E-3</v>
      </c>
      <c r="EB149" s="14">
        <v>6.2500000000000003E-3</v>
      </c>
      <c r="EC149" s="14">
        <v>6.2500000000000003E-3</v>
      </c>
      <c r="ED149" s="14">
        <v>6.2500000000000003E-3</v>
      </c>
      <c r="EE149" s="14">
        <v>6.2500000000000003E-3</v>
      </c>
      <c r="EF149" s="14">
        <v>6.2500000000000003E-3</v>
      </c>
      <c r="EG149" s="14">
        <v>6.2500000000000003E-3</v>
      </c>
      <c r="EH149" s="14">
        <v>6.2500000000000003E-3</v>
      </c>
      <c r="EI149" s="14">
        <v>6.2500000000000003E-3</v>
      </c>
      <c r="EJ149" s="14">
        <v>6.2500000000000003E-3</v>
      </c>
      <c r="EK149" s="14">
        <v>6.2500000000000003E-3</v>
      </c>
      <c r="EL149" s="14">
        <v>6.2500000000000003E-3</v>
      </c>
      <c r="EM149" s="14">
        <v>4.6511627906976744E-3</v>
      </c>
      <c r="EN149" s="14">
        <v>4.6511627906976744E-3</v>
      </c>
      <c r="EO149" s="14">
        <v>7.1428571428571435E-3</v>
      </c>
      <c r="EP149" s="14">
        <v>7.1428571428571435E-3</v>
      </c>
      <c r="EQ149" s="14">
        <v>7.1428571428571435E-3</v>
      </c>
      <c r="ER149" s="14">
        <v>7.1428571428571435E-3</v>
      </c>
      <c r="ES149" s="14">
        <v>7.1428571428571435E-3</v>
      </c>
      <c r="ET149" s="14">
        <v>7.1428571428571435E-3</v>
      </c>
      <c r="EU149" s="14">
        <v>7.1428571428571435E-3</v>
      </c>
      <c r="EV149" s="14">
        <v>7.1428571428571435E-3</v>
      </c>
      <c r="EW149" s="14">
        <v>7.1428571428571435E-3</v>
      </c>
      <c r="EX149" s="14">
        <v>7.1428571428571435E-3</v>
      </c>
      <c r="EY149" s="14">
        <v>7.1428571428571435E-3</v>
      </c>
      <c r="EZ149" s="14">
        <v>7.1428571428571435E-3</v>
      </c>
      <c r="FA149" s="14">
        <v>7.1428571428571435E-3</v>
      </c>
      <c r="FB149" s="14">
        <v>7.1428571428571435E-3</v>
      </c>
      <c r="FC149" s="14">
        <v>7.1428571428571435E-3</v>
      </c>
      <c r="FD149" s="14">
        <v>7.1428571428571435E-3</v>
      </c>
      <c r="FE149" s="14">
        <v>7.1428571428571435E-3</v>
      </c>
      <c r="FF149" s="13">
        <f t="shared" si="53"/>
        <v>2.2222222222222223E-2</v>
      </c>
      <c r="FG149" s="13">
        <f t="shared" si="53"/>
        <v>2.2222222222222223E-2</v>
      </c>
      <c r="FH149" s="13">
        <f t="shared" si="53"/>
        <v>2.2222222222222223E-2</v>
      </c>
      <c r="FI149" s="13">
        <f t="shared" si="53"/>
        <v>2.2222222222222223E-2</v>
      </c>
      <c r="FJ149" s="13">
        <f t="shared" si="53"/>
        <v>2.2222222222222223E-2</v>
      </c>
      <c r="FK149" s="13">
        <f>0.2/9</f>
        <v>2.2222222222222223E-2</v>
      </c>
      <c r="FL149" s="12">
        <v>0.6</v>
      </c>
      <c r="FM149" s="14">
        <v>4.7619047619047623E-3</v>
      </c>
      <c r="FN149" s="14">
        <v>4.7619047619047623E-3</v>
      </c>
      <c r="FO149" s="14">
        <v>4.7619047619047623E-3</v>
      </c>
      <c r="FP149" s="13">
        <f t="shared" si="48"/>
        <v>2.2222222222222223E-2</v>
      </c>
      <c r="FQ149" s="13">
        <f t="shared" si="46"/>
        <v>2.2222222222222223E-2</v>
      </c>
      <c r="FR149" s="13">
        <f t="shared" si="46"/>
        <v>2.2222222222222223E-2</v>
      </c>
      <c r="FS149" s="13">
        <f t="shared" si="46"/>
        <v>2.2222222222222223E-2</v>
      </c>
      <c r="FT149" s="13">
        <f t="shared" si="49"/>
        <v>0.02</v>
      </c>
      <c r="FU149" s="13">
        <f t="shared" si="50"/>
        <v>2.2222222222222223E-2</v>
      </c>
      <c r="FV149" s="13">
        <f t="shared" si="50"/>
        <v>2.2222222222222223E-2</v>
      </c>
      <c r="FW149" s="14">
        <v>4.5454545454545461E-3</v>
      </c>
      <c r="FX149" s="14">
        <v>4.5454545454545461E-3</v>
      </c>
      <c r="FY149" s="13">
        <f t="shared" si="51"/>
        <v>2.2222222222222223E-2</v>
      </c>
      <c r="FZ149" s="14">
        <v>7.1428571428571435E-3</v>
      </c>
      <c r="GA149" s="13">
        <f t="shared" si="54"/>
        <v>2.2222222222222223E-2</v>
      </c>
      <c r="GB149" s="13">
        <f t="shared" si="54"/>
        <v>2.2222222222222223E-2</v>
      </c>
      <c r="GC149" s="13">
        <f t="shared" si="54"/>
        <v>2.2222222222222223E-2</v>
      </c>
      <c r="GD149" s="14">
        <v>7.1428571428571435E-3</v>
      </c>
      <c r="GE149" s="14">
        <v>7.1428571428571435E-3</v>
      </c>
      <c r="GF149" s="14">
        <v>4.6511627906976744E-3</v>
      </c>
      <c r="GG149" s="14">
        <v>4.6511627906976744E-3</v>
      </c>
      <c r="GH149" s="15">
        <v>4.6511627906976744E-3</v>
      </c>
    </row>
    <row r="150" spans="1:190" x14ac:dyDescent="0.3">
      <c r="A150" s="35" t="s">
        <v>40</v>
      </c>
      <c r="B150" s="16">
        <f>BN150*DZ150*B110*2</f>
        <v>178188.55047554348</v>
      </c>
      <c r="C150" s="14">
        <f t="shared" ref="C150:BJ150" si="59">BO150*EA150*C110*2</f>
        <v>178188.55047554348</v>
      </c>
      <c r="D150" s="14">
        <f t="shared" si="59"/>
        <v>178188.55047554348</v>
      </c>
      <c r="E150" s="14">
        <f t="shared" si="59"/>
        <v>178188.55047554348</v>
      </c>
      <c r="F150" s="14">
        <f t="shared" si="59"/>
        <v>178188.55047554348</v>
      </c>
      <c r="G150" s="14">
        <f t="shared" si="59"/>
        <v>178188.55047554348</v>
      </c>
      <c r="H150" s="14">
        <f t="shared" si="59"/>
        <v>178188.55047554348</v>
      </c>
      <c r="I150" s="14">
        <f t="shared" si="59"/>
        <v>178188.55047554348</v>
      </c>
      <c r="J150" s="14">
        <f t="shared" si="59"/>
        <v>3011.5489130434785</v>
      </c>
      <c r="K150" s="14">
        <f t="shared" si="59"/>
        <v>3011.5489130434785</v>
      </c>
      <c r="L150" s="14">
        <f t="shared" si="59"/>
        <v>3011.5489130434785</v>
      </c>
      <c r="M150" s="14">
        <f t="shared" si="59"/>
        <v>3011.5489130434785</v>
      </c>
      <c r="N150" s="14">
        <f t="shared" si="59"/>
        <v>3252.4728260869565</v>
      </c>
      <c r="O150" s="14">
        <f t="shared" si="59"/>
        <v>5047.7654196157737</v>
      </c>
      <c r="P150" s="14">
        <f t="shared" si="59"/>
        <v>5047.7654196157737</v>
      </c>
      <c r="Q150" s="14">
        <f t="shared" si="59"/>
        <v>51565.855072463768</v>
      </c>
      <c r="R150" s="14">
        <f t="shared" si="59"/>
        <v>51565.855072463768</v>
      </c>
      <c r="S150" s="14">
        <f t="shared" si="59"/>
        <v>51565.855072463768</v>
      </c>
      <c r="T150" s="14">
        <f t="shared" si="59"/>
        <v>6957.6708074534172</v>
      </c>
      <c r="U150" s="14">
        <f t="shared" si="59"/>
        <v>6957.6708074534172</v>
      </c>
      <c r="V150" s="14">
        <f t="shared" si="59"/>
        <v>58239.242857142861</v>
      </c>
      <c r="W150" s="14">
        <f t="shared" si="59"/>
        <v>58239.242857142861</v>
      </c>
      <c r="X150" s="14">
        <f t="shared" si="59"/>
        <v>58239.242857142861</v>
      </c>
      <c r="Y150" s="14">
        <f t="shared" si="59"/>
        <v>58239.242857142861</v>
      </c>
      <c r="Z150" s="14">
        <f t="shared" si="59"/>
        <v>1891.4380434782611</v>
      </c>
      <c r="AA150" s="14">
        <f t="shared" si="59"/>
        <v>1891.4380434782611</v>
      </c>
      <c r="AB150" s="14">
        <f t="shared" si="59"/>
        <v>1887.1490683229813</v>
      </c>
      <c r="AC150" s="14">
        <f t="shared" si="59"/>
        <v>1887.1490683229813</v>
      </c>
      <c r="AD150" s="14">
        <f t="shared" si="59"/>
        <v>1962.9209627329194</v>
      </c>
      <c r="AE150" s="14">
        <f t="shared" si="59"/>
        <v>1962.9209627329194</v>
      </c>
      <c r="AF150" s="14">
        <f t="shared" si="59"/>
        <v>3800.0319875776399</v>
      </c>
      <c r="AG150" s="14">
        <f t="shared" si="59"/>
        <v>3877.2335403726711</v>
      </c>
      <c r="AH150" s="14">
        <f t="shared" si="59"/>
        <v>985.89242236024836</v>
      </c>
      <c r="AI150" s="14">
        <f t="shared" si="59"/>
        <v>985.89242236024836</v>
      </c>
      <c r="AJ150" s="14">
        <f t="shared" si="59"/>
        <v>985.89242236024836</v>
      </c>
      <c r="AK150" s="14">
        <f t="shared" si="59"/>
        <v>985.89242236024836</v>
      </c>
      <c r="AL150" s="14">
        <f t="shared" si="59"/>
        <v>44054.012422360254</v>
      </c>
      <c r="AM150" s="14">
        <f t="shared" si="59"/>
        <v>44054.012422360254</v>
      </c>
      <c r="AN150" s="14">
        <f t="shared" si="59"/>
        <v>44054.012422360254</v>
      </c>
      <c r="AO150" s="12">
        <f t="shared" si="59"/>
        <v>0</v>
      </c>
      <c r="AP150" s="19">
        <f t="shared" si="59"/>
        <v>17092.995652173911</v>
      </c>
      <c r="AQ150" s="19">
        <f t="shared" si="59"/>
        <v>17092.995652173911</v>
      </c>
      <c r="AR150" s="14">
        <f t="shared" si="59"/>
        <v>1048.416149068323</v>
      </c>
      <c r="AS150" s="14">
        <f t="shared" si="59"/>
        <v>1048.416149068323</v>
      </c>
      <c r="AT150" s="14">
        <f t="shared" si="59"/>
        <v>1048.416149068323</v>
      </c>
      <c r="AU150" s="14">
        <f t="shared" si="59"/>
        <v>11030.608695652176</v>
      </c>
      <c r="AV150" s="14">
        <f t="shared" si="59"/>
        <v>4078.6274509803916</v>
      </c>
      <c r="AW150" s="14">
        <f t="shared" si="59"/>
        <v>3962.0952380952385</v>
      </c>
      <c r="AX150" s="14">
        <f t="shared" si="59"/>
        <v>3962.0952380952385</v>
      </c>
      <c r="AY150" s="14">
        <f t="shared" si="59"/>
        <v>2698.4152173913049</v>
      </c>
      <c r="AZ150" s="14">
        <f t="shared" si="59"/>
        <v>3269.7586956521745</v>
      </c>
      <c r="BA150" s="14">
        <f t="shared" si="59"/>
        <v>3456.3421118012416</v>
      </c>
      <c r="BB150" s="14">
        <f t="shared" si="59"/>
        <v>3708.5338509316766</v>
      </c>
      <c r="BC150" s="14">
        <f t="shared" si="59"/>
        <v>25777.299213250517</v>
      </c>
      <c r="BD150" s="14">
        <f t="shared" si="59"/>
        <v>25777.299213250517</v>
      </c>
      <c r="BE150" s="14">
        <f t="shared" si="59"/>
        <v>25777.299213250517</v>
      </c>
      <c r="BF150" s="14">
        <f t="shared" si="59"/>
        <v>4151.7279503105592</v>
      </c>
      <c r="BG150" s="14">
        <f t="shared" si="59"/>
        <v>3828.6251552795034</v>
      </c>
      <c r="BH150" s="14">
        <f t="shared" si="59"/>
        <v>2748.1358948432762</v>
      </c>
      <c r="BI150" s="14">
        <f t="shared" si="59"/>
        <v>2558.2240647118301</v>
      </c>
      <c r="BJ150" s="15">
        <f t="shared" si="59"/>
        <v>2748.1358948432762</v>
      </c>
      <c r="BM150" s="35" t="s">
        <v>40</v>
      </c>
      <c r="BN150" s="16">
        <v>1282</v>
      </c>
      <c r="BO150" s="14">
        <v>1282</v>
      </c>
      <c r="BP150" s="14">
        <v>1282</v>
      </c>
      <c r="BQ150" s="14">
        <v>1282</v>
      </c>
      <c r="BR150" s="14">
        <v>1282</v>
      </c>
      <c r="BS150" s="14">
        <v>1282</v>
      </c>
      <c r="BT150" s="14">
        <v>1282</v>
      </c>
      <c r="BU150" s="14">
        <v>1282</v>
      </c>
      <c r="BV150" s="14">
        <v>1300</v>
      </c>
      <c r="BW150" s="14">
        <v>1300</v>
      </c>
      <c r="BX150" s="14">
        <v>1300</v>
      </c>
      <c r="BY150" s="14">
        <v>1300</v>
      </c>
      <c r="BZ150" s="14">
        <v>1300</v>
      </c>
      <c r="CA150" s="14">
        <v>1464</v>
      </c>
      <c r="CB150" s="14">
        <v>1464</v>
      </c>
      <c r="CC150" s="14">
        <v>1328</v>
      </c>
      <c r="CD150" s="14">
        <v>1328</v>
      </c>
      <c r="CE150" s="14">
        <v>1328</v>
      </c>
      <c r="CF150" s="14">
        <v>1314</v>
      </c>
      <c r="CG150" s="14">
        <v>1314</v>
      </c>
      <c r="CH150" s="14">
        <v>1294</v>
      </c>
      <c r="CI150" s="14">
        <v>1294</v>
      </c>
      <c r="CJ150" s="14">
        <v>1294</v>
      </c>
      <c r="CK150" s="14">
        <v>1294</v>
      </c>
      <c r="CL150" s="14">
        <v>1323</v>
      </c>
      <c r="CM150" s="14">
        <v>1323</v>
      </c>
      <c r="CN150" s="14">
        <v>1320</v>
      </c>
      <c r="CO150" s="14">
        <v>1320</v>
      </c>
      <c r="CP150" s="14">
        <v>1373</v>
      </c>
      <c r="CQ150" s="14">
        <v>1373</v>
      </c>
      <c r="CR150" s="14">
        <v>1329</v>
      </c>
      <c r="CS150" s="14">
        <v>1356</v>
      </c>
      <c r="CT150" s="14">
        <v>1724</v>
      </c>
      <c r="CU150" s="14">
        <v>1724</v>
      </c>
      <c r="CV150" s="14">
        <v>1724</v>
      </c>
      <c r="CW150" s="14">
        <v>1724</v>
      </c>
      <c r="CX150" s="14">
        <v>1300</v>
      </c>
      <c r="CY150" s="14">
        <v>1300</v>
      </c>
      <c r="CZ150" s="14">
        <v>1300</v>
      </c>
      <c r="DA150" s="12"/>
      <c r="DB150" s="19">
        <v>1281</v>
      </c>
      <c r="DC150" s="19">
        <v>1281</v>
      </c>
      <c r="DD150" s="14">
        <v>1375</v>
      </c>
      <c r="DE150" s="14">
        <v>1375</v>
      </c>
      <c r="DF150" s="14">
        <v>1375</v>
      </c>
      <c r="DG150" s="14">
        <v>1302</v>
      </c>
      <c r="DH150" s="14">
        <v>1403</v>
      </c>
      <c r="DI150" s="14">
        <v>1403</v>
      </c>
      <c r="DJ150" s="14">
        <v>1403</v>
      </c>
      <c r="DK150" s="14">
        <v>1483</v>
      </c>
      <c r="DL150" s="14">
        <v>1797</v>
      </c>
      <c r="DM150" s="14">
        <v>1511</v>
      </c>
      <c r="DN150" s="14">
        <v>1297</v>
      </c>
      <c r="DO150" s="14">
        <v>1304</v>
      </c>
      <c r="DP150" s="14">
        <v>1304</v>
      </c>
      <c r="DQ150" s="14">
        <v>1304</v>
      </c>
      <c r="DR150" s="14">
        <v>1452</v>
      </c>
      <c r="DS150" s="14">
        <v>1339</v>
      </c>
      <c r="DT150" s="14">
        <v>1476</v>
      </c>
      <c r="DU150" s="14">
        <v>1374</v>
      </c>
      <c r="DV150" s="15">
        <v>1476</v>
      </c>
      <c r="DY150" s="35" t="s">
        <v>40</v>
      </c>
      <c r="DZ150" s="16">
        <v>6.2500000000000003E-3</v>
      </c>
      <c r="EA150" s="14">
        <v>6.2500000000000003E-3</v>
      </c>
      <c r="EB150" s="14">
        <v>6.2500000000000003E-3</v>
      </c>
      <c r="EC150" s="14">
        <v>6.2500000000000003E-3</v>
      </c>
      <c r="ED150" s="14">
        <v>6.2500000000000003E-3</v>
      </c>
      <c r="EE150" s="14">
        <v>6.2500000000000003E-3</v>
      </c>
      <c r="EF150" s="14">
        <v>6.2500000000000003E-3</v>
      </c>
      <c r="EG150" s="14">
        <v>6.2500000000000003E-3</v>
      </c>
      <c r="EH150" s="14">
        <v>6.2500000000000003E-3</v>
      </c>
      <c r="EI150" s="14">
        <v>6.2500000000000003E-3</v>
      </c>
      <c r="EJ150" s="14">
        <v>6.2500000000000003E-3</v>
      </c>
      <c r="EK150" s="14">
        <v>6.2500000000000003E-3</v>
      </c>
      <c r="EL150" s="14">
        <v>6.2500000000000003E-3</v>
      </c>
      <c r="EM150" s="14">
        <v>4.6511627906976744E-3</v>
      </c>
      <c r="EN150" s="14">
        <v>4.6511627906976744E-3</v>
      </c>
      <c r="EO150" s="14">
        <v>7.1428571428571435E-3</v>
      </c>
      <c r="EP150" s="14">
        <v>7.1428571428571435E-3</v>
      </c>
      <c r="EQ150" s="14">
        <v>7.1428571428571435E-3</v>
      </c>
      <c r="ER150" s="14">
        <v>7.1428571428571435E-3</v>
      </c>
      <c r="ES150" s="14">
        <v>7.1428571428571435E-3</v>
      </c>
      <c r="ET150" s="14">
        <v>7.1428571428571435E-3</v>
      </c>
      <c r="EU150" s="14">
        <v>7.1428571428571435E-3</v>
      </c>
      <c r="EV150" s="14">
        <v>7.1428571428571435E-3</v>
      </c>
      <c r="EW150" s="14">
        <v>7.1428571428571435E-3</v>
      </c>
      <c r="EX150" s="14">
        <v>7.1428571428571435E-3</v>
      </c>
      <c r="EY150" s="14">
        <v>7.1428571428571435E-3</v>
      </c>
      <c r="EZ150" s="14">
        <v>7.1428571428571435E-3</v>
      </c>
      <c r="FA150" s="14">
        <v>7.1428571428571435E-3</v>
      </c>
      <c r="FB150" s="14">
        <v>7.1428571428571435E-3</v>
      </c>
      <c r="FC150" s="14">
        <v>7.1428571428571435E-3</v>
      </c>
      <c r="FD150" s="14">
        <v>7.1428571428571435E-3</v>
      </c>
      <c r="FE150" s="14">
        <v>7.1428571428571435E-3</v>
      </c>
      <c r="FF150" s="14">
        <v>5.7142857142857143E-3</v>
      </c>
      <c r="FG150" s="14">
        <v>5.7142857142857143E-3</v>
      </c>
      <c r="FH150" s="14">
        <v>5.7142857142857143E-3</v>
      </c>
      <c r="FI150" s="14">
        <v>5.7142857142857143E-3</v>
      </c>
      <c r="FJ150" s="14">
        <v>5.7142857142857143E-3</v>
      </c>
      <c r="FK150" s="14">
        <v>5.7142857142857143E-3</v>
      </c>
      <c r="FL150" s="14">
        <v>5.7142857142857143E-3</v>
      </c>
      <c r="FM150" s="12">
        <v>0.6</v>
      </c>
      <c r="FN150" s="13">
        <f>0.2/2</f>
        <v>0.1</v>
      </c>
      <c r="FO150" s="13">
        <f>0.2/2</f>
        <v>0.1</v>
      </c>
      <c r="FP150" s="14">
        <v>5.7142857142857143E-3</v>
      </c>
      <c r="FQ150" s="14">
        <v>5.7142857142857143E-3</v>
      </c>
      <c r="FR150" s="14">
        <v>5.7142857142857143E-3</v>
      </c>
      <c r="FS150" s="14">
        <v>5.7142857142857143E-3</v>
      </c>
      <c r="FT150" s="14">
        <v>5.8823529411764705E-3</v>
      </c>
      <c r="FU150" s="14">
        <v>5.7142857142857143E-3</v>
      </c>
      <c r="FV150" s="14">
        <v>5.7142857142857143E-3</v>
      </c>
      <c r="FW150" s="14">
        <v>4.5454545454545461E-3</v>
      </c>
      <c r="FX150" s="14">
        <v>4.5454545454545461E-3</v>
      </c>
      <c r="FY150" s="14">
        <v>5.7142857142857143E-3</v>
      </c>
      <c r="FZ150" s="14">
        <v>7.1428571428571435E-3</v>
      </c>
      <c r="GA150" s="14">
        <v>5.7142857142857143E-3</v>
      </c>
      <c r="GB150" s="14">
        <v>5.7142857142857143E-3</v>
      </c>
      <c r="GC150" s="14">
        <v>5.7142857142857143E-3</v>
      </c>
      <c r="GD150" s="14">
        <v>7.1428571428571435E-3</v>
      </c>
      <c r="GE150" s="14">
        <v>7.1428571428571435E-3</v>
      </c>
      <c r="GF150" s="14">
        <v>4.6511627906976744E-3</v>
      </c>
      <c r="GG150" s="14">
        <v>4.6511627906976744E-3</v>
      </c>
      <c r="GH150" s="15">
        <v>4.6511627906976744E-3</v>
      </c>
    </row>
    <row r="151" spans="1:190" x14ac:dyDescent="0.3">
      <c r="A151" s="35" t="s">
        <v>41</v>
      </c>
      <c r="B151" s="16">
        <f>BN151*DZ151*B110*2</f>
        <v>178188.55047554348</v>
      </c>
      <c r="C151" s="14">
        <f t="shared" ref="C151:BJ151" si="60">BO151*EA151*C110*2</f>
        <v>178188.55047554348</v>
      </c>
      <c r="D151" s="14">
        <f t="shared" si="60"/>
        <v>178188.55047554348</v>
      </c>
      <c r="E151" s="14">
        <f t="shared" si="60"/>
        <v>178188.55047554348</v>
      </c>
      <c r="F151" s="14">
        <f t="shared" si="60"/>
        <v>178188.55047554348</v>
      </c>
      <c r="G151" s="14">
        <f t="shared" si="60"/>
        <v>178188.55047554348</v>
      </c>
      <c r="H151" s="14">
        <f t="shared" si="60"/>
        <v>178188.55047554348</v>
      </c>
      <c r="I151" s="14">
        <f t="shared" si="60"/>
        <v>178188.55047554348</v>
      </c>
      <c r="J151" s="14">
        <f t="shared" si="60"/>
        <v>3011.5489130434785</v>
      </c>
      <c r="K151" s="14">
        <f t="shared" si="60"/>
        <v>3011.5489130434785</v>
      </c>
      <c r="L151" s="14">
        <f t="shared" si="60"/>
        <v>3011.5489130434785</v>
      </c>
      <c r="M151" s="14">
        <f t="shared" si="60"/>
        <v>3011.5489130434785</v>
      </c>
      <c r="N151" s="14">
        <f t="shared" si="60"/>
        <v>3252.4728260869565</v>
      </c>
      <c r="O151" s="14">
        <f t="shared" si="60"/>
        <v>5047.7654196157737</v>
      </c>
      <c r="P151" s="14">
        <f t="shared" si="60"/>
        <v>5047.7654196157737</v>
      </c>
      <c r="Q151" s="14">
        <f t="shared" si="60"/>
        <v>51565.855072463768</v>
      </c>
      <c r="R151" s="14">
        <f t="shared" si="60"/>
        <v>51565.855072463768</v>
      </c>
      <c r="S151" s="14">
        <f t="shared" si="60"/>
        <v>51565.855072463768</v>
      </c>
      <c r="T151" s="14">
        <f t="shared" si="60"/>
        <v>6957.6708074534172</v>
      </c>
      <c r="U151" s="14">
        <f t="shared" si="60"/>
        <v>6957.6708074534172</v>
      </c>
      <c r="V151" s="14">
        <f t="shared" si="60"/>
        <v>58239.242857142861</v>
      </c>
      <c r="W151" s="14">
        <f t="shared" si="60"/>
        <v>58239.242857142861</v>
      </c>
      <c r="X151" s="14">
        <f t="shared" si="60"/>
        <v>58239.242857142861</v>
      </c>
      <c r="Y151" s="14">
        <f t="shared" si="60"/>
        <v>58239.242857142861</v>
      </c>
      <c r="Z151" s="14">
        <f t="shared" si="60"/>
        <v>1891.4380434782611</v>
      </c>
      <c r="AA151" s="14">
        <f t="shared" si="60"/>
        <v>1891.4380434782611</v>
      </c>
      <c r="AB151" s="14">
        <f t="shared" si="60"/>
        <v>1887.1490683229813</v>
      </c>
      <c r="AC151" s="14">
        <f t="shared" si="60"/>
        <v>1887.1490683229813</v>
      </c>
      <c r="AD151" s="14">
        <f t="shared" si="60"/>
        <v>1962.9209627329194</v>
      </c>
      <c r="AE151" s="14">
        <f t="shared" si="60"/>
        <v>1962.9209627329194</v>
      </c>
      <c r="AF151" s="14">
        <f t="shared" si="60"/>
        <v>3800.0319875776399</v>
      </c>
      <c r="AG151" s="14">
        <f t="shared" si="60"/>
        <v>3877.2335403726711</v>
      </c>
      <c r="AH151" s="14">
        <f t="shared" si="60"/>
        <v>985.89242236024836</v>
      </c>
      <c r="AI151" s="14">
        <f t="shared" si="60"/>
        <v>985.89242236024836</v>
      </c>
      <c r="AJ151" s="14">
        <f t="shared" si="60"/>
        <v>985.89242236024836</v>
      </c>
      <c r="AK151" s="14">
        <f t="shared" si="60"/>
        <v>985.89242236024836</v>
      </c>
      <c r="AL151" s="14">
        <f t="shared" si="60"/>
        <v>44054.012422360254</v>
      </c>
      <c r="AM151" s="14">
        <f t="shared" si="60"/>
        <v>44054.012422360254</v>
      </c>
      <c r="AN151" s="14">
        <f t="shared" si="60"/>
        <v>44054.012422360254</v>
      </c>
      <c r="AO151" s="13">
        <f t="shared" si="60"/>
        <v>17092.995652173911</v>
      </c>
      <c r="AP151" s="12">
        <f t="shared" si="60"/>
        <v>0</v>
      </c>
      <c r="AQ151" s="13">
        <f t="shared" si="60"/>
        <v>17092.995652173911</v>
      </c>
      <c r="AR151" s="14">
        <f t="shared" si="60"/>
        <v>1048.416149068323</v>
      </c>
      <c r="AS151" s="14">
        <f t="shared" si="60"/>
        <v>1048.416149068323</v>
      </c>
      <c r="AT151" s="14">
        <f t="shared" si="60"/>
        <v>1048.416149068323</v>
      </c>
      <c r="AU151" s="14">
        <f t="shared" si="60"/>
        <v>11030.608695652176</v>
      </c>
      <c r="AV151" s="14">
        <f t="shared" si="60"/>
        <v>4078.6274509803916</v>
      </c>
      <c r="AW151" s="14">
        <f t="shared" si="60"/>
        <v>3962.0952380952385</v>
      </c>
      <c r="AX151" s="14">
        <f t="shared" si="60"/>
        <v>3962.0952380952385</v>
      </c>
      <c r="AY151" s="14">
        <f t="shared" si="60"/>
        <v>2698.4152173913049</v>
      </c>
      <c r="AZ151" s="14">
        <f t="shared" si="60"/>
        <v>3269.7586956521745</v>
      </c>
      <c r="BA151" s="14">
        <f t="shared" si="60"/>
        <v>3456.3421118012416</v>
      </c>
      <c r="BB151" s="14">
        <f t="shared" si="60"/>
        <v>3708.5338509316766</v>
      </c>
      <c r="BC151" s="14">
        <f t="shared" si="60"/>
        <v>25777.299213250517</v>
      </c>
      <c r="BD151" s="14">
        <f t="shared" si="60"/>
        <v>25777.299213250517</v>
      </c>
      <c r="BE151" s="14">
        <f t="shared" si="60"/>
        <v>25777.299213250517</v>
      </c>
      <c r="BF151" s="14">
        <f t="shared" si="60"/>
        <v>4151.7279503105592</v>
      </c>
      <c r="BG151" s="14">
        <f t="shared" si="60"/>
        <v>3828.6251552795034</v>
      </c>
      <c r="BH151" s="14">
        <f t="shared" si="60"/>
        <v>2748.1358948432762</v>
      </c>
      <c r="BI151" s="14">
        <f t="shared" si="60"/>
        <v>2558.2240647118301</v>
      </c>
      <c r="BJ151" s="15">
        <f t="shared" si="60"/>
        <v>2748.1358948432762</v>
      </c>
      <c r="BM151" s="35" t="s">
        <v>41</v>
      </c>
      <c r="BN151" s="16">
        <v>1282</v>
      </c>
      <c r="BO151" s="14">
        <v>1282</v>
      </c>
      <c r="BP151" s="14">
        <v>1282</v>
      </c>
      <c r="BQ151" s="14">
        <v>1282</v>
      </c>
      <c r="BR151" s="14">
        <v>1282</v>
      </c>
      <c r="BS151" s="14">
        <v>1282</v>
      </c>
      <c r="BT151" s="14">
        <v>1282</v>
      </c>
      <c r="BU151" s="14">
        <v>1282</v>
      </c>
      <c r="BV151" s="14">
        <v>1300</v>
      </c>
      <c r="BW151" s="14">
        <v>1300</v>
      </c>
      <c r="BX151" s="14">
        <v>1300</v>
      </c>
      <c r="BY151" s="14">
        <v>1300</v>
      </c>
      <c r="BZ151" s="14">
        <v>1300</v>
      </c>
      <c r="CA151" s="14">
        <v>1464</v>
      </c>
      <c r="CB151" s="14">
        <v>1464</v>
      </c>
      <c r="CC151" s="14">
        <v>1328</v>
      </c>
      <c r="CD151" s="14">
        <v>1328</v>
      </c>
      <c r="CE151" s="14">
        <v>1328</v>
      </c>
      <c r="CF151" s="14">
        <v>1314</v>
      </c>
      <c r="CG151" s="14">
        <v>1314</v>
      </c>
      <c r="CH151" s="14">
        <v>1294</v>
      </c>
      <c r="CI151" s="14">
        <v>1294</v>
      </c>
      <c r="CJ151" s="14">
        <v>1294</v>
      </c>
      <c r="CK151" s="14">
        <v>1294</v>
      </c>
      <c r="CL151" s="14">
        <v>1323</v>
      </c>
      <c r="CM151" s="14">
        <v>1323</v>
      </c>
      <c r="CN151" s="14">
        <v>1320</v>
      </c>
      <c r="CO151" s="14">
        <v>1320</v>
      </c>
      <c r="CP151" s="14">
        <v>1373</v>
      </c>
      <c r="CQ151" s="14">
        <v>1373</v>
      </c>
      <c r="CR151" s="14">
        <v>1329</v>
      </c>
      <c r="CS151" s="14">
        <v>1356</v>
      </c>
      <c r="CT151" s="14">
        <v>1724</v>
      </c>
      <c r="CU151" s="14">
        <v>1724</v>
      </c>
      <c r="CV151" s="14">
        <v>1724</v>
      </c>
      <c r="CW151" s="14">
        <v>1724</v>
      </c>
      <c r="CX151" s="14">
        <v>1300</v>
      </c>
      <c r="CY151" s="14">
        <v>1300</v>
      </c>
      <c r="CZ151" s="14">
        <v>1300</v>
      </c>
      <c r="DA151" s="13">
        <v>1281</v>
      </c>
      <c r="DB151" s="12"/>
      <c r="DC151" s="13">
        <v>1281</v>
      </c>
      <c r="DD151" s="14">
        <v>1375</v>
      </c>
      <c r="DE151" s="14">
        <v>1375</v>
      </c>
      <c r="DF151" s="14">
        <v>1375</v>
      </c>
      <c r="DG151" s="14">
        <v>1302</v>
      </c>
      <c r="DH151" s="14">
        <v>1403</v>
      </c>
      <c r="DI151" s="14">
        <v>1403</v>
      </c>
      <c r="DJ151" s="14">
        <v>1403</v>
      </c>
      <c r="DK151" s="14">
        <v>1483</v>
      </c>
      <c r="DL151" s="14">
        <v>1797</v>
      </c>
      <c r="DM151" s="14">
        <v>1511</v>
      </c>
      <c r="DN151" s="14">
        <v>1297</v>
      </c>
      <c r="DO151" s="14">
        <v>1304</v>
      </c>
      <c r="DP151" s="14">
        <v>1304</v>
      </c>
      <c r="DQ151" s="14">
        <v>1304</v>
      </c>
      <c r="DR151" s="14">
        <v>1452</v>
      </c>
      <c r="DS151" s="14">
        <v>1339</v>
      </c>
      <c r="DT151" s="14">
        <v>1476</v>
      </c>
      <c r="DU151" s="14">
        <v>1374</v>
      </c>
      <c r="DV151" s="15">
        <v>1476</v>
      </c>
      <c r="DY151" s="35" t="s">
        <v>41</v>
      </c>
      <c r="DZ151" s="16">
        <v>6.2500000000000003E-3</v>
      </c>
      <c r="EA151" s="14">
        <v>6.2500000000000003E-3</v>
      </c>
      <c r="EB151" s="14">
        <v>6.2500000000000003E-3</v>
      </c>
      <c r="EC151" s="14">
        <v>6.2500000000000003E-3</v>
      </c>
      <c r="ED151" s="14">
        <v>6.2500000000000003E-3</v>
      </c>
      <c r="EE151" s="14">
        <v>6.2500000000000003E-3</v>
      </c>
      <c r="EF151" s="14">
        <v>6.2500000000000003E-3</v>
      </c>
      <c r="EG151" s="14">
        <v>6.2500000000000003E-3</v>
      </c>
      <c r="EH151" s="14">
        <v>6.2500000000000003E-3</v>
      </c>
      <c r="EI151" s="14">
        <v>6.2500000000000003E-3</v>
      </c>
      <c r="EJ151" s="14">
        <v>6.2500000000000003E-3</v>
      </c>
      <c r="EK151" s="14">
        <v>6.2500000000000003E-3</v>
      </c>
      <c r="EL151" s="14">
        <v>6.2500000000000003E-3</v>
      </c>
      <c r="EM151" s="14">
        <v>4.6511627906976744E-3</v>
      </c>
      <c r="EN151" s="14">
        <v>4.6511627906976744E-3</v>
      </c>
      <c r="EO151" s="14">
        <v>7.1428571428571435E-3</v>
      </c>
      <c r="EP151" s="14">
        <v>7.1428571428571435E-3</v>
      </c>
      <c r="EQ151" s="14">
        <v>7.1428571428571435E-3</v>
      </c>
      <c r="ER151" s="14">
        <v>7.1428571428571435E-3</v>
      </c>
      <c r="ES151" s="14">
        <v>7.1428571428571435E-3</v>
      </c>
      <c r="ET151" s="14">
        <v>7.1428571428571435E-3</v>
      </c>
      <c r="EU151" s="14">
        <v>7.1428571428571435E-3</v>
      </c>
      <c r="EV151" s="14">
        <v>7.1428571428571435E-3</v>
      </c>
      <c r="EW151" s="14">
        <v>7.1428571428571435E-3</v>
      </c>
      <c r="EX151" s="14">
        <v>7.1428571428571435E-3</v>
      </c>
      <c r="EY151" s="14">
        <v>7.1428571428571435E-3</v>
      </c>
      <c r="EZ151" s="14">
        <v>7.1428571428571435E-3</v>
      </c>
      <c r="FA151" s="14">
        <v>7.1428571428571435E-3</v>
      </c>
      <c r="FB151" s="14">
        <v>7.1428571428571435E-3</v>
      </c>
      <c r="FC151" s="14">
        <v>7.1428571428571435E-3</v>
      </c>
      <c r="FD151" s="14">
        <v>7.1428571428571435E-3</v>
      </c>
      <c r="FE151" s="14">
        <v>7.1428571428571435E-3</v>
      </c>
      <c r="FF151" s="14">
        <v>5.7142857142857143E-3</v>
      </c>
      <c r="FG151" s="14">
        <v>5.7142857142857143E-3</v>
      </c>
      <c r="FH151" s="14">
        <v>5.7142857142857143E-3</v>
      </c>
      <c r="FI151" s="14">
        <v>5.7142857142857143E-3</v>
      </c>
      <c r="FJ151" s="14">
        <v>5.7142857142857143E-3</v>
      </c>
      <c r="FK151" s="14">
        <v>5.7142857142857143E-3</v>
      </c>
      <c r="FL151" s="14">
        <v>5.7142857142857143E-3</v>
      </c>
      <c r="FM151" s="13">
        <f>0.2/2</f>
        <v>0.1</v>
      </c>
      <c r="FN151" s="12">
        <v>0.6</v>
      </c>
      <c r="FO151" s="13">
        <f>0.2/2</f>
        <v>0.1</v>
      </c>
      <c r="FP151" s="14">
        <v>5.7142857142857143E-3</v>
      </c>
      <c r="FQ151" s="14">
        <v>5.7142857142857143E-3</v>
      </c>
      <c r="FR151" s="14">
        <v>5.7142857142857143E-3</v>
      </c>
      <c r="FS151" s="14">
        <v>5.7142857142857143E-3</v>
      </c>
      <c r="FT151" s="14">
        <v>5.8823529411764705E-3</v>
      </c>
      <c r="FU151" s="14">
        <v>5.7142857142857143E-3</v>
      </c>
      <c r="FV151" s="14">
        <v>5.7142857142857143E-3</v>
      </c>
      <c r="FW151" s="14">
        <v>4.5454545454545461E-3</v>
      </c>
      <c r="FX151" s="14">
        <v>4.5454545454545461E-3</v>
      </c>
      <c r="FY151" s="14">
        <v>5.7142857142857143E-3</v>
      </c>
      <c r="FZ151" s="14">
        <v>7.1428571428571435E-3</v>
      </c>
      <c r="GA151" s="14">
        <v>5.7142857142857143E-3</v>
      </c>
      <c r="GB151" s="14">
        <v>5.7142857142857143E-3</v>
      </c>
      <c r="GC151" s="14">
        <v>5.7142857142857143E-3</v>
      </c>
      <c r="GD151" s="14">
        <v>7.1428571428571435E-3</v>
      </c>
      <c r="GE151" s="14">
        <v>7.1428571428571435E-3</v>
      </c>
      <c r="GF151" s="14">
        <v>4.6511627906976744E-3</v>
      </c>
      <c r="GG151" s="14">
        <v>4.6511627906976744E-3</v>
      </c>
      <c r="GH151" s="15">
        <v>4.6511627906976744E-3</v>
      </c>
    </row>
    <row r="152" spans="1:190" x14ac:dyDescent="0.3">
      <c r="A152" s="35" t="s">
        <v>42</v>
      </c>
      <c r="B152" s="16">
        <f>BN152*DZ152*B110*2</f>
        <v>178188.55047554348</v>
      </c>
      <c r="C152" s="14">
        <f t="shared" ref="C152:BJ152" si="61">BO152*EA152*C110*2</f>
        <v>178188.55047554348</v>
      </c>
      <c r="D152" s="14">
        <f t="shared" si="61"/>
        <v>178188.55047554348</v>
      </c>
      <c r="E152" s="14">
        <f t="shared" si="61"/>
        <v>178188.55047554348</v>
      </c>
      <c r="F152" s="14">
        <f t="shared" si="61"/>
        <v>178188.55047554348</v>
      </c>
      <c r="G152" s="14">
        <f t="shared" si="61"/>
        <v>178188.55047554348</v>
      </c>
      <c r="H152" s="14">
        <f t="shared" si="61"/>
        <v>178188.55047554348</v>
      </c>
      <c r="I152" s="14">
        <f t="shared" si="61"/>
        <v>178188.55047554348</v>
      </c>
      <c r="J152" s="14">
        <f t="shared" si="61"/>
        <v>3011.5489130434785</v>
      </c>
      <c r="K152" s="14">
        <f t="shared" si="61"/>
        <v>3011.5489130434785</v>
      </c>
      <c r="L152" s="14">
        <f t="shared" si="61"/>
        <v>3011.5489130434785</v>
      </c>
      <c r="M152" s="14">
        <f t="shared" si="61"/>
        <v>3011.5489130434785</v>
      </c>
      <c r="N152" s="14">
        <f t="shared" si="61"/>
        <v>3252.4728260869565</v>
      </c>
      <c r="O152" s="14">
        <f t="shared" si="61"/>
        <v>5047.7654196157737</v>
      </c>
      <c r="P152" s="14">
        <f t="shared" si="61"/>
        <v>5047.7654196157737</v>
      </c>
      <c r="Q152" s="14">
        <f t="shared" si="61"/>
        <v>51565.855072463768</v>
      </c>
      <c r="R152" s="14">
        <f t="shared" si="61"/>
        <v>51565.855072463768</v>
      </c>
      <c r="S152" s="14">
        <f t="shared" si="61"/>
        <v>51565.855072463768</v>
      </c>
      <c r="T152" s="14">
        <f t="shared" si="61"/>
        <v>6957.6708074534172</v>
      </c>
      <c r="U152" s="14">
        <f t="shared" si="61"/>
        <v>6957.6708074534172</v>
      </c>
      <c r="V152" s="14">
        <f t="shared" si="61"/>
        <v>58239.242857142861</v>
      </c>
      <c r="W152" s="14">
        <f t="shared" si="61"/>
        <v>58239.242857142861</v>
      </c>
      <c r="X152" s="14">
        <f t="shared" si="61"/>
        <v>58239.242857142861</v>
      </c>
      <c r="Y152" s="14">
        <f t="shared" si="61"/>
        <v>58239.242857142861</v>
      </c>
      <c r="Z152" s="14">
        <f t="shared" si="61"/>
        <v>1891.4380434782611</v>
      </c>
      <c r="AA152" s="14">
        <f t="shared" si="61"/>
        <v>1891.4380434782611</v>
      </c>
      <c r="AB152" s="14">
        <f t="shared" si="61"/>
        <v>1887.1490683229813</v>
      </c>
      <c r="AC152" s="14">
        <f t="shared" si="61"/>
        <v>1887.1490683229813</v>
      </c>
      <c r="AD152" s="14">
        <f t="shared" si="61"/>
        <v>1962.9209627329194</v>
      </c>
      <c r="AE152" s="14">
        <f t="shared" si="61"/>
        <v>1962.9209627329194</v>
      </c>
      <c r="AF152" s="14">
        <f t="shared" si="61"/>
        <v>3800.0319875776399</v>
      </c>
      <c r="AG152" s="14">
        <f t="shared" si="61"/>
        <v>3877.2335403726711</v>
      </c>
      <c r="AH152" s="14">
        <f t="shared" si="61"/>
        <v>985.89242236024836</v>
      </c>
      <c r="AI152" s="14">
        <f t="shared" si="61"/>
        <v>985.89242236024836</v>
      </c>
      <c r="AJ152" s="14">
        <f t="shared" si="61"/>
        <v>985.89242236024836</v>
      </c>
      <c r="AK152" s="14">
        <f t="shared" si="61"/>
        <v>985.89242236024836</v>
      </c>
      <c r="AL152" s="14">
        <f t="shared" si="61"/>
        <v>44054.012422360254</v>
      </c>
      <c r="AM152" s="14">
        <f t="shared" si="61"/>
        <v>44054.012422360254</v>
      </c>
      <c r="AN152" s="14">
        <f t="shared" si="61"/>
        <v>44054.012422360254</v>
      </c>
      <c r="AO152" s="13">
        <f t="shared" si="61"/>
        <v>17092.995652173911</v>
      </c>
      <c r="AP152" s="13">
        <f t="shared" si="61"/>
        <v>17092.995652173911</v>
      </c>
      <c r="AQ152" s="12">
        <f t="shared" si="61"/>
        <v>0</v>
      </c>
      <c r="AR152" s="14">
        <f t="shared" si="61"/>
        <v>1048.416149068323</v>
      </c>
      <c r="AS152" s="14">
        <f t="shared" si="61"/>
        <v>1048.416149068323</v>
      </c>
      <c r="AT152" s="14">
        <f t="shared" si="61"/>
        <v>1048.416149068323</v>
      </c>
      <c r="AU152" s="14">
        <f t="shared" si="61"/>
        <v>11030.608695652176</v>
      </c>
      <c r="AV152" s="14">
        <f t="shared" si="61"/>
        <v>4078.6274509803916</v>
      </c>
      <c r="AW152" s="14">
        <f t="shared" si="61"/>
        <v>3962.0952380952385</v>
      </c>
      <c r="AX152" s="14">
        <f t="shared" si="61"/>
        <v>3962.0952380952385</v>
      </c>
      <c r="AY152" s="14">
        <f t="shared" si="61"/>
        <v>2698.4152173913049</v>
      </c>
      <c r="AZ152" s="14">
        <f t="shared" si="61"/>
        <v>3269.7586956521745</v>
      </c>
      <c r="BA152" s="14">
        <f t="shared" si="61"/>
        <v>3456.3421118012416</v>
      </c>
      <c r="BB152" s="14">
        <f t="shared" si="61"/>
        <v>3708.5338509316766</v>
      </c>
      <c r="BC152" s="14">
        <f t="shared" si="61"/>
        <v>25777.299213250517</v>
      </c>
      <c r="BD152" s="14">
        <f t="shared" si="61"/>
        <v>25777.299213250517</v>
      </c>
      <c r="BE152" s="14">
        <f t="shared" si="61"/>
        <v>25777.299213250517</v>
      </c>
      <c r="BF152" s="14">
        <f t="shared" si="61"/>
        <v>4151.7279503105592</v>
      </c>
      <c r="BG152" s="14">
        <f t="shared" si="61"/>
        <v>3828.6251552795034</v>
      </c>
      <c r="BH152" s="14">
        <f t="shared" si="61"/>
        <v>2748.1358948432762</v>
      </c>
      <c r="BI152" s="14">
        <f t="shared" si="61"/>
        <v>2558.2240647118301</v>
      </c>
      <c r="BJ152" s="15">
        <f t="shared" si="61"/>
        <v>2748.1358948432762</v>
      </c>
      <c r="BM152" s="35" t="s">
        <v>42</v>
      </c>
      <c r="BN152" s="16">
        <v>1282</v>
      </c>
      <c r="BO152" s="14">
        <v>1282</v>
      </c>
      <c r="BP152" s="14">
        <v>1282</v>
      </c>
      <c r="BQ152" s="14">
        <v>1282</v>
      </c>
      <c r="BR152" s="14">
        <v>1282</v>
      </c>
      <c r="BS152" s="14">
        <v>1282</v>
      </c>
      <c r="BT152" s="14">
        <v>1282</v>
      </c>
      <c r="BU152" s="14">
        <v>1282</v>
      </c>
      <c r="BV152" s="14">
        <v>1300</v>
      </c>
      <c r="BW152" s="14">
        <v>1300</v>
      </c>
      <c r="BX152" s="14">
        <v>1300</v>
      </c>
      <c r="BY152" s="14">
        <v>1300</v>
      </c>
      <c r="BZ152" s="14">
        <v>1300</v>
      </c>
      <c r="CA152" s="14">
        <v>1464</v>
      </c>
      <c r="CB152" s="14">
        <v>1464</v>
      </c>
      <c r="CC152" s="14">
        <v>1328</v>
      </c>
      <c r="CD152" s="14">
        <v>1328</v>
      </c>
      <c r="CE152" s="14">
        <v>1328</v>
      </c>
      <c r="CF152" s="14">
        <v>1314</v>
      </c>
      <c r="CG152" s="14">
        <v>1314</v>
      </c>
      <c r="CH152" s="14">
        <v>1294</v>
      </c>
      <c r="CI152" s="14">
        <v>1294</v>
      </c>
      <c r="CJ152" s="14">
        <v>1294</v>
      </c>
      <c r="CK152" s="14">
        <v>1294</v>
      </c>
      <c r="CL152" s="14">
        <v>1323</v>
      </c>
      <c r="CM152" s="14">
        <v>1323</v>
      </c>
      <c r="CN152" s="14">
        <v>1320</v>
      </c>
      <c r="CO152" s="14">
        <v>1320</v>
      </c>
      <c r="CP152" s="14">
        <v>1373</v>
      </c>
      <c r="CQ152" s="14">
        <v>1373</v>
      </c>
      <c r="CR152" s="14">
        <v>1329</v>
      </c>
      <c r="CS152" s="14">
        <v>1356</v>
      </c>
      <c r="CT152" s="14">
        <v>1724</v>
      </c>
      <c r="CU152" s="14">
        <v>1724</v>
      </c>
      <c r="CV152" s="14">
        <v>1724</v>
      </c>
      <c r="CW152" s="14">
        <v>1724</v>
      </c>
      <c r="CX152" s="14">
        <v>1300</v>
      </c>
      <c r="CY152" s="14">
        <v>1300</v>
      </c>
      <c r="CZ152" s="14">
        <v>1300</v>
      </c>
      <c r="DA152" s="13">
        <v>1281</v>
      </c>
      <c r="DB152" s="13">
        <v>1281</v>
      </c>
      <c r="DC152" s="12"/>
      <c r="DD152" s="14">
        <v>1375</v>
      </c>
      <c r="DE152" s="14">
        <v>1375</v>
      </c>
      <c r="DF152" s="14">
        <v>1375</v>
      </c>
      <c r="DG152" s="14">
        <v>1302</v>
      </c>
      <c r="DH152" s="14">
        <v>1403</v>
      </c>
      <c r="DI152" s="14">
        <v>1403</v>
      </c>
      <c r="DJ152" s="14">
        <v>1403</v>
      </c>
      <c r="DK152" s="14">
        <v>1483</v>
      </c>
      <c r="DL152" s="14">
        <v>1797</v>
      </c>
      <c r="DM152" s="14">
        <v>1511</v>
      </c>
      <c r="DN152" s="14">
        <v>1297</v>
      </c>
      <c r="DO152" s="14">
        <v>1304</v>
      </c>
      <c r="DP152" s="14">
        <v>1304</v>
      </c>
      <c r="DQ152" s="14">
        <v>1304</v>
      </c>
      <c r="DR152" s="14">
        <v>1452</v>
      </c>
      <c r="DS152" s="14">
        <v>1339</v>
      </c>
      <c r="DT152" s="14">
        <v>1476</v>
      </c>
      <c r="DU152" s="14">
        <v>1374</v>
      </c>
      <c r="DV152" s="15">
        <v>1476</v>
      </c>
      <c r="DY152" s="35" t="s">
        <v>42</v>
      </c>
      <c r="DZ152" s="16">
        <v>6.2500000000000003E-3</v>
      </c>
      <c r="EA152" s="14">
        <v>6.2500000000000003E-3</v>
      </c>
      <c r="EB152" s="14">
        <v>6.2500000000000003E-3</v>
      </c>
      <c r="EC152" s="14">
        <v>6.2500000000000003E-3</v>
      </c>
      <c r="ED152" s="14">
        <v>6.2500000000000003E-3</v>
      </c>
      <c r="EE152" s="14">
        <v>6.2500000000000003E-3</v>
      </c>
      <c r="EF152" s="14">
        <v>6.2500000000000003E-3</v>
      </c>
      <c r="EG152" s="14">
        <v>6.2500000000000003E-3</v>
      </c>
      <c r="EH152" s="14">
        <v>6.2500000000000003E-3</v>
      </c>
      <c r="EI152" s="14">
        <v>6.2500000000000003E-3</v>
      </c>
      <c r="EJ152" s="14">
        <v>6.2500000000000003E-3</v>
      </c>
      <c r="EK152" s="14">
        <v>6.2500000000000003E-3</v>
      </c>
      <c r="EL152" s="14">
        <v>6.2500000000000003E-3</v>
      </c>
      <c r="EM152" s="14">
        <v>4.6511627906976744E-3</v>
      </c>
      <c r="EN152" s="14">
        <v>4.6511627906976744E-3</v>
      </c>
      <c r="EO152" s="14">
        <v>7.1428571428571435E-3</v>
      </c>
      <c r="EP152" s="14">
        <v>7.1428571428571435E-3</v>
      </c>
      <c r="EQ152" s="14">
        <v>7.1428571428571435E-3</v>
      </c>
      <c r="ER152" s="14">
        <v>7.1428571428571435E-3</v>
      </c>
      <c r="ES152" s="14">
        <v>7.1428571428571435E-3</v>
      </c>
      <c r="ET152" s="14">
        <v>7.1428571428571435E-3</v>
      </c>
      <c r="EU152" s="14">
        <v>7.1428571428571435E-3</v>
      </c>
      <c r="EV152" s="14">
        <v>7.1428571428571435E-3</v>
      </c>
      <c r="EW152" s="14">
        <v>7.1428571428571435E-3</v>
      </c>
      <c r="EX152" s="14">
        <v>7.1428571428571435E-3</v>
      </c>
      <c r="EY152" s="14">
        <v>7.1428571428571435E-3</v>
      </c>
      <c r="EZ152" s="14">
        <v>7.1428571428571435E-3</v>
      </c>
      <c r="FA152" s="14">
        <v>7.1428571428571435E-3</v>
      </c>
      <c r="FB152" s="14">
        <v>7.1428571428571435E-3</v>
      </c>
      <c r="FC152" s="14">
        <v>7.1428571428571435E-3</v>
      </c>
      <c r="FD152" s="14">
        <v>7.1428571428571435E-3</v>
      </c>
      <c r="FE152" s="14">
        <v>7.1428571428571435E-3</v>
      </c>
      <c r="FF152" s="14">
        <v>5.7142857142857143E-3</v>
      </c>
      <c r="FG152" s="14">
        <v>5.7142857142857143E-3</v>
      </c>
      <c r="FH152" s="14">
        <v>5.7142857142857143E-3</v>
      </c>
      <c r="FI152" s="14">
        <v>5.7142857142857143E-3</v>
      </c>
      <c r="FJ152" s="14">
        <v>5.7142857142857143E-3</v>
      </c>
      <c r="FK152" s="14">
        <v>5.7142857142857143E-3</v>
      </c>
      <c r="FL152" s="14">
        <v>5.7142857142857143E-3</v>
      </c>
      <c r="FM152" s="13">
        <f>0.2/2</f>
        <v>0.1</v>
      </c>
      <c r="FN152" s="13">
        <f>0.2/2</f>
        <v>0.1</v>
      </c>
      <c r="FO152" s="12">
        <v>0.6</v>
      </c>
      <c r="FP152" s="14">
        <v>5.7142857142857143E-3</v>
      </c>
      <c r="FQ152" s="14">
        <v>5.7142857142857143E-3</v>
      </c>
      <c r="FR152" s="14">
        <v>5.7142857142857143E-3</v>
      </c>
      <c r="FS152" s="14">
        <v>5.7142857142857143E-3</v>
      </c>
      <c r="FT152" s="14">
        <v>5.8823529411764705E-3</v>
      </c>
      <c r="FU152" s="14">
        <v>5.7142857142857143E-3</v>
      </c>
      <c r="FV152" s="14">
        <v>5.7142857142857143E-3</v>
      </c>
      <c r="FW152" s="14">
        <v>4.5454545454545461E-3</v>
      </c>
      <c r="FX152" s="14">
        <v>4.5454545454545461E-3</v>
      </c>
      <c r="FY152" s="14">
        <v>5.7142857142857143E-3</v>
      </c>
      <c r="FZ152" s="14">
        <v>7.1428571428571435E-3</v>
      </c>
      <c r="GA152" s="14">
        <v>5.7142857142857143E-3</v>
      </c>
      <c r="GB152" s="14">
        <v>5.7142857142857143E-3</v>
      </c>
      <c r="GC152" s="14">
        <v>5.7142857142857143E-3</v>
      </c>
      <c r="GD152" s="14">
        <v>7.1428571428571435E-3</v>
      </c>
      <c r="GE152" s="14">
        <v>7.1428571428571435E-3</v>
      </c>
      <c r="GF152" s="14">
        <v>4.6511627906976744E-3</v>
      </c>
      <c r="GG152" s="14">
        <v>4.6511627906976744E-3</v>
      </c>
      <c r="GH152" s="15">
        <v>4.6511627906976744E-3</v>
      </c>
    </row>
    <row r="153" spans="1:190" x14ac:dyDescent="0.3">
      <c r="A153" s="35" t="s">
        <v>43</v>
      </c>
      <c r="B153" s="16">
        <f>BN153*DZ153*B110*2</f>
        <v>191253.85760869563</v>
      </c>
      <c r="C153" s="14">
        <f t="shared" ref="C153:BJ153" si="62">BO153*EA153*C110*2</f>
        <v>191253.85760869563</v>
      </c>
      <c r="D153" s="14">
        <f t="shared" si="62"/>
        <v>191253.85760869563</v>
      </c>
      <c r="E153" s="14">
        <f t="shared" si="62"/>
        <v>191253.85760869563</v>
      </c>
      <c r="F153" s="14">
        <f t="shared" si="62"/>
        <v>191253.85760869563</v>
      </c>
      <c r="G153" s="14">
        <f t="shared" si="62"/>
        <v>191253.85760869563</v>
      </c>
      <c r="H153" s="14">
        <f t="shared" si="62"/>
        <v>191253.85760869563</v>
      </c>
      <c r="I153" s="14">
        <f t="shared" si="62"/>
        <v>191253.85760869563</v>
      </c>
      <c r="J153" s="14">
        <f t="shared" si="62"/>
        <v>3229.3070652173915</v>
      </c>
      <c r="K153" s="14">
        <f t="shared" si="62"/>
        <v>3229.3070652173915</v>
      </c>
      <c r="L153" s="14">
        <f t="shared" si="62"/>
        <v>3229.3070652173915</v>
      </c>
      <c r="M153" s="14">
        <f t="shared" si="62"/>
        <v>3229.3070652173915</v>
      </c>
      <c r="N153" s="14">
        <f t="shared" si="62"/>
        <v>3440.1154891304345</v>
      </c>
      <c r="O153" s="14">
        <f t="shared" si="62"/>
        <v>5368.4226491405461</v>
      </c>
      <c r="P153" s="14">
        <f t="shared" si="62"/>
        <v>5368.4226491405461</v>
      </c>
      <c r="Q153" s="14">
        <f t="shared" si="62"/>
        <v>55177.018115942032</v>
      </c>
      <c r="R153" s="14">
        <f t="shared" si="62"/>
        <v>55177.018115942032</v>
      </c>
      <c r="S153" s="14">
        <f t="shared" si="62"/>
        <v>55177.018115942032</v>
      </c>
      <c r="T153" s="14">
        <f t="shared" si="62"/>
        <v>7450.1086956521749</v>
      </c>
      <c r="U153" s="14">
        <f t="shared" si="62"/>
        <v>7450.1086956521749</v>
      </c>
      <c r="V153" s="14">
        <f t="shared" si="62"/>
        <v>62469.914285714287</v>
      </c>
      <c r="W153" s="14">
        <f t="shared" si="62"/>
        <v>62469.914285714287</v>
      </c>
      <c r="X153" s="14">
        <f t="shared" si="62"/>
        <v>62469.914285714287</v>
      </c>
      <c r="Y153" s="14">
        <f t="shared" si="62"/>
        <v>62469.914285714287</v>
      </c>
      <c r="Z153" s="14">
        <f t="shared" si="62"/>
        <v>2025.8259316770186</v>
      </c>
      <c r="AA153" s="14">
        <f t="shared" si="62"/>
        <v>2025.8259316770186</v>
      </c>
      <c r="AB153" s="14">
        <f t="shared" si="62"/>
        <v>2020.107298136646</v>
      </c>
      <c r="AC153" s="14">
        <f t="shared" si="62"/>
        <v>2020.107298136646</v>
      </c>
      <c r="AD153" s="14">
        <f t="shared" si="62"/>
        <v>2095.8791925465839</v>
      </c>
      <c r="AE153" s="14">
        <f t="shared" si="62"/>
        <v>2095.8791925465839</v>
      </c>
      <c r="AF153" s="14">
        <f t="shared" si="62"/>
        <v>4068.807763975155</v>
      </c>
      <c r="AG153" s="14">
        <f t="shared" si="62"/>
        <v>4146.0093167701862</v>
      </c>
      <c r="AH153" s="13">
        <f t="shared" si="62"/>
        <v>4043.0739130434781</v>
      </c>
      <c r="AI153" s="13">
        <f t="shared" si="62"/>
        <v>4043.0739130434781</v>
      </c>
      <c r="AJ153" s="13">
        <f t="shared" si="62"/>
        <v>4043.0739130434781</v>
      </c>
      <c r="AK153" s="13">
        <f t="shared" si="62"/>
        <v>4043.0739130434781</v>
      </c>
      <c r="AL153" s="13">
        <f t="shared" si="62"/>
        <v>183577.2115942029</v>
      </c>
      <c r="AM153" s="13">
        <f t="shared" si="62"/>
        <v>183577.2115942029</v>
      </c>
      <c r="AN153" s="13">
        <f t="shared" si="62"/>
        <v>183577.2115942029</v>
      </c>
      <c r="AO153" s="14">
        <f t="shared" si="62"/>
        <v>873.68012422360266</v>
      </c>
      <c r="AP153" s="14">
        <f t="shared" si="62"/>
        <v>873.68012422360266</v>
      </c>
      <c r="AQ153" s="14">
        <f t="shared" si="62"/>
        <v>873.68012422360266</v>
      </c>
      <c r="AR153" s="12">
        <f t="shared" si="62"/>
        <v>0</v>
      </c>
      <c r="AS153" s="13">
        <f t="shared" si="62"/>
        <v>4355.9043478260874</v>
      </c>
      <c r="AT153" s="13">
        <f t="shared" si="62"/>
        <v>4355.9043478260874</v>
      </c>
      <c r="AU153" s="13">
        <f t="shared" si="62"/>
        <v>45993.816425120778</v>
      </c>
      <c r="AV153" s="13">
        <f t="shared" si="62"/>
        <v>14796.434782608696</v>
      </c>
      <c r="AW153" s="13">
        <f t="shared" si="62"/>
        <v>16440.483091787439</v>
      </c>
      <c r="AX153" s="13">
        <f t="shared" si="62"/>
        <v>16440.483091787439</v>
      </c>
      <c r="AY153" s="14">
        <f t="shared" si="62"/>
        <v>2869.4543478260871</v>
      </c>
      <c r="AZ153" s="14">
        <f t="shared" si="62"/>
        <v>3440.7978260869572</v>
      </c>
      <c r="BA153" s="13">
        <f t="shared" si="62"/>
        <v>14268.626086956521</v>
      </c>
      <c r="BB153" s="14">
        <f t="shared" si="62"/>
        <v>3977.3096273291926</v>
      </c>
      <c r="BC153" s="13">
        <f t="shared" si="62"/>
        <v>107471.30628019324</v>
      </c>
      <c r="BD153" s="13">
        <f t="shared" si="62"/>
        <v>107471.30628019324</v>
      </c>
      <c r="BE153" s="13">
        <f t="shared" si="62"/>
        <v>107471.30628019324</v>
      </c>
      <c r="BF153" s="14">
        <f t="shared" si="62"/>
        <v>4420.5037267080752</v>
      </c>
      <c r="BG153" s="14">
        <f t="shared" si="62"/>
        <v>4097.4009316770189</v>
      </c>
      <c r="BH153" s="14">
        <f t="shared" si="62"/>
        <v>2923.1526794742163</v>
      </c>
      <c r="BI153" s="14">
        <f t="shared" si="62"/>
        <v>2733.2408493427702</v>
      </c>
      <c r="BJ153" s="15">
        <f t="shared" si="62"/>
        <v>2923.1526794742163</v>
      </c>
      <c r="BM153" s="35" t="s">
        <v>43</v>
      </c>
      <c r="BN153" s="16">
        <v>1376</v>
      </c>
      <c r="BO153" s="14">
        <v>1376</v>
      </c>
      <c r="BP153" s="14">
        <v>1376</v>
      </c>
      <c r="BQ153" s="14">
        <v>1376</v>
      </c>
      <c r="BR153" s="14">
        <v>1376</v>
      </c>
      <c r="BS153" s="14">
        <v>1376</v>
      </c>
      <c r="BT153" s="14">
        <v>1376</v>
      </c>
      <c r="BU153" s="14">
        <v>1376</v>
      </c>
      <c r="BV153" s="14">
        <v>1394</v>
      </c>
      <c r="BW153" s="14">
        <v>1394</v>
      </c>
      <c r="BX153" s="14">
        <v>1394</v>
      </c>
      <c r="BY153" s="14">
        <v>1394</v>
      </c>
      <c r="BZ153" s="14">
        <v>1375</v>
      </c>
      <c r="CA153" s="14">
        <v>1557</v>
      </c>
      <c r="CB153" s="14">
        <v>1557</v>
      </c>
      <c r="CC153" s="14">
        <v>1421</v>
      </c>
      <c r="CD153" s="14">
        <v>1421</v>
      </c>
      <c r="CE153" s="14">
        <v>1421</v>
      </c>
      <c r="CF153" s="14">
        <v>1407</v>
      </c>
      <c r="CG153" s="14">
        <v>1407</v>
      </c>
      <c r="CH153" s="14">
        <v>1388</v>
      </c>
      <c r="CI153" s="14">
        <v>1388</v>
      </c>
      <c r="CJ153" s="14">
        <v>1388</v>
      </c>
      <c r="CK153" s="14">
        <v>1388</v>
      </c>
      <c r="CL153" s="14">
        <v>1417</v>
      </c>
      <c r="CM153" s="14">
        <v>1417</v>
      </c>
      <c r="CN153" s="14">
        <v>1413</v>
      </c>
      <c r="CO153" s="14">
        <v>1413</v>
      </c>
      <c r="CP153" s="14">
        <v>1466</v>
      </c>
      <c r="CQ153" s="14">
        <v>1466</v>
      </c>
      <c r="CR153" s="14">
        <v>1423</v>
      </c>
      <c r="CS153" s="14">
        <v>1450</v>
      </c>
      <c r="CT153" s="13">
        <v>1818</v>
      </c>
      <c r="CU153" s="13">
        <v>1818</v>
      </c>
      <c r="CV153" s="13">
        <v>1818</v>
      </c>
      <c r="CW153" s="13">
        <v>1818</v>
      </c>
      <c r="CX153" s="13">
        <v>1393</v>
      </c>
      <c r="CY153" s="13">
        <v>1393</v>
      </c>
      <c r="CZ153" s="13">
        <v>1393</v>
      </c>
      <c r="DA153" s="14">
        <v>1375</v>
      </c>
      <c r="DB153" s="14">
        <v>1375</v>
      </c>
      <c r="DC153" s="14">
        <v>1375</v>
      </c>
      <c r="DD153" s="12"/>
      <c r="DE153" s="13">
        <v>1469</v>
      </c>
      <c r="DF153" s="13">
        <v>1469</v>
      </c>
      <c r="DG153" s="13">
        <v>1396</v>
      </c>
      <c r="DH153" s="13">
        <v>1497</v>
      </c>
      <c r="DI153" s="13">
        <v>1497</v>
      </c>
      <c r="DJ153" s="13">
        <v>1497</v>
      </c>
      <c r="DK153" s="14">
        <v>1577</v>
      </c>
      <c r="DL153" s="14">
        <v>1891</v>
      </c>
      <c r="DM153" s="13">
        <v>1604</v>
      </c>
      <c r="DN153" s="14">
        <v>1391</v>
      </c>
      <c r="DO153" s="13">
        <v>1398</v>
      </c>
      <c r="DP153" s="13">
        <v>1398</v>
      </c>
      <c r="DQ153" s="13">
        <v>1398</v>
      </c>
      <c r="DR153" s="14">
        <v>1546</v>
      </c>
      <c r="DS153" s="14">
        <v>1433</v>
      </c>
      <c r="DT153" s="14">
        <v>1570</v>
      </c>
      <c r="DU153" s="14">
        <v>1468</v>
      </c>
      <c r="DV153" s="15">
        <v>1570</v>
      </c>
      <c r="DY153" s="35" t="s">
        <v>43</v>
      </c>
      <c r="DZ153" s="16">
        <v>6.2500000000000003E-3</v>
      </c>
      <c r="EA153" s="14">
        <v>6.2500000000000003E-3</v>
      </c>
      <c r="EB153" s="14">
        <v>6.2500000000000003E-3</v>
      </c>
      <c r="EC153" s="14">
        <v>6.2500000000000003E-3</v>
      </c>
      <c r="ED153" s="14">
        <v>6.2500000000000003E-3</v>
      </c>
      <c r="EE153" s="14">
        <v>6.2500000000000003E-3</v>
      </c>
      <c r="EF153" s="14">
        <v>6.2500000000000003E-3</v>
      </c>
      <c r="EG153" s="14">
        <v>6.2500000000000003E-3</v>
      </c>
      <c r="EH153" s="14">
        <v>6.2500000000000003E-3</v>
      </c>
      <c r="EI153" s="14">
        <v>6.2500000000000003E-3</v>
      </c>
      <c r="EJ153" s="14">
        <v>6.2500000000000003E-3</v>
      </c>
      <c r="EK153" s="14">
        <v>6.2500000000000003E-3</v>
      </c>
      <c r="EL153" s="14">
        <v>6.2500000000000003E-3</v>
      </c>
      <c r="EM153" s="14">
        <v>4.6511627906976744E-3</v>
      </c>
      <c r="EN153" s="14">
        <v>4.6511627906976744E-3</v>
      </c>
      <c r="EO153" s="14">
        <v>7.1428571428571435E-3</v>
      </c>
      <c r="EP153" s="14">
        <v>7.1428571428571435E-3</v>
      </c>
      <c r="EQ153" s="14">
        <v>7.1428571428571435E-3</v>
      </c>
      <c r="ER153" s="14">
        <v>7.1428571428571435E-3</v>
      </c>
      <c r="ES153" s="14">
        <v>7.1428571428571435E-3</v>
      </c>
      <c r="ET153" s="14">
        <v>7.1428571428571435E-3</v>
      </c>
      <c r="EU153" s="14">
        <v>7.1428571428571435E-3</v>
      </c>
      <c r="EV153" s="14">
        <v>7.1428571428571435E-3</v>
      </c>
      <c r="EW153" s="14">
        <v>7.1428571428571435E-3</v>
      </c>
      <c r="EX153" s="14">
        <v>7.1428571428571435E-3</v>
      </c>
      <c r="EY153" s="14">
        <v>7.1428571428571435E-3</v>
      </c>
      <c r="EZ153" s="14">
        <v>7.1428571428571435E-3</v>
      </c>
      <c r="FA153" s="14">
        <v>7.1428571428571435E-3</v>
      </c>
      <c r="FB153" s="14">
        <v>7.1428571428571435E-3</v>
      </c>
      <c r="FC153" s="14">
        <v>7.1428571428571435E-3</v>
      </c>
      <c r="FD153" s="14">
        <v>7.1428571428571435E-3</v>
      </c>
      <c r="FE153" s="14">
        <v>7.1428571428571435E-3</v>
      </c>
      <c r="FF153" s="13">
        <v>2.2222222222222223E-2</v>
      </c>
      <c r="FG153" s="13">
        <v>2.2222222222222223E-2</v>
      </c>
      <c r="FH153" s="13">
        <v>2.2222222222222223E-2</v>
      </c>
      <c r="FI153" s="13">
        <v>2.2222222222222223E-2</v>
      </c>
      <c r="FJ153" s="13">
        <v>2.2222222222222223E-2</v>
      </c>
      <c r="FK153" s="13">
        <v>2.2222222222222223E-2</v>
      </c>
      <c r="FL153" s="13">
        <v>2.2222222222222223E-2</v>
      </c>
      <c r="FM153" s="14">
        <v>4.7619047619047623E-3</v>
      </c>
      <c r="FN153" s="14">
        <v>4.7619047619047623E-3</v>
      </c>
      <c r="FO153" s="14">
        <v>4.7619047619047623E-3</v>
      </c>
      <c r="FP153" s="12">
        <v>0.6</v>
      </c>
      <c r="FQ153" s="13">
        <f>0.2/9</f>
        <v>2.2222222222222223E-2</v>
      </c>
      <c r="FR153" s="13">
        <f>0.2/9</f>
        <v>2.2222222222222223E-2</v>
      </c>
      <c r="FS153" s="13">
        <v>2.2222222222222223E-2</v>
      </c>
      <c r="FT153" s="13">
        <v>0.02</v>
      </c>
      <c r="FU153" s="13">
        <v>2.2222222222222223E-2</v>
      </c>
      <c r="FV153" s="13">
        <v>2.2222222222222223E-2</v>
      </c>
      <c r="FW153" s="14">
        <v>4.5454545454545461E-3</v>
      </c>
      <c r="FX153" s="14">
        <v>4.5454545454545461E-3</v>
      </c>
      <c r="FY153" s="13">
        <f>0.2/9</f>
        <v>2.2222222222222223E-2</v>
      </c>
      <c r="FZ153" s="14">
        <v>7.1428571428571435E-3</v>
      </c>
      <c r="GA153" s="13">
        <v>2.2222222222222223E-2</v>
      </c>
      <c r="GB153" s="13">
        <v>2.2222222222222223E-2</v>
      </c>
      <c r="GC153" s="13">
        <v>2.2222222222222223E-2</v>
      </c>
      <c r="GD153" s="14">
        <v>7.1428571428571435E-3</v>
      </c>
      <c r="GE153" s="14">
        <v>7.1428571428571435E-3</v>
      </c>
      <c r="GF153" s="14">
        <v>4.6511627906976744E-3</v>
      </c>
      <c r="GG153" s="14">
        <v>4.6511627906976744E-3</v>
      </c>
      <c r="GH153" s="15">
        <v>4.6511627906976744E-3</v>
      </c>
    </row>
    <row r="154" spans="1:190" x14ac:dyDescent="0.3">
      <c r="A154" s="35" t="s">
        <v>44</v>
      </c>
      <c r="B154" s="16">
        <f>BN154*DZ154*B110*2</f>
        <v>191253.85760869563</v>
      </c>
      <c r="C154" s="14">
        <f t="shared" ref="C154:BJ154" si="63">BO154*EA154*C110*2</f>
        <v>191253.85760869563</v>
      </c>
      <c r="D154" s="14">
        <f t="shared" si="63"/>
        <v>191253.85760869563</v>
      </c>
      <c r="E154" s="14">
        <f t="shared" si="63"/>
        <v>191253.85760869563</v>
      </c>
      <c r="F154" s="14">
        <f t="shared" si="63"/>
        <v>191253.85760869563</v>
      </c>
      <c r="G154" s="14">
        <f t="shared" si="63"/>
        <v>191253.85760869563</v>
      </c>
      <c r="H154" s="14">
        <f t="shared" si="63"/>
        <v>191253.85760869563</v>
      </c>
      <c r="I154" s="14">
        <f t="shared" si="63"/>
        <v>191253.85760869563</v>
      </c>
      <c r="J154" s="14">
        <f t="shared" si="63"/>
        <v>3229.3070652173915</v>
      </c>
      <c r="K154" s="14">
        <f t="shared" si="63"/>
        <v>3229.3070652173915</v>
      </c>
      <c r="L154" s="14">
        <f t="shared" si="63"/>
        <v>3229.3070652173915</v>
      </c>
      <c r="M154" s="14">
        <f t="shared" si="63"/>
        <v>3229.3070652173915</v>
      </c>
      <c r="N154" s="14">
        <f t="shared" si="63"/>
        <v>3415.096467391304</v>
      </c>
      <c r="O154" s="14">
        <f t="shared" si="63"/>
        <v>5368.4226491405461</v>
      </c>
      <c r="P154" s="14">
        <f t="shared" si="63"/>
        <v>5368.4226491405461</v>
      </c>
      <c r="Q154" s="14">
        <f t="shared" si="63"/>
        <v>55177.018115942032</v>
      </c>
      <c r="R154" s="14">
        <f t="shared" si="63"/>
        <v>55177.018115942032</v>
      </c>
      <c r="S154" s="14">
        <f t="shared" si="63"/>
        <v>55177.018115942032</v>
      </c>
      <c r="T154" s="14">
        <f t="shared" si="63"/>
        <v>7450.1086956521749</v>
      </c>
      <c r="U154" s="14">
        <f t="shared" si="63"/>
        <v>7450.1086956521749</v>
      </c>
      <c r="V154" s="14">
        <f t="shared" si="63"/>
        <v>62469.914285714287</v>
      </c>
      <c r="W154" s="14">
        <f t="shared" si="63"/>
        <v>62469.914285714287</v>
      </c>
      <c r="X154" s="14">
        <f t="shared" si="63"/>
        <v>62469.914285714287</v>
      </c>
      <c r="Y154" s="14">
        <f t="shared" si="63"/>
        <v>62469.914285714287</v>
      </c>
      <c r="Z154" s="14">
        <f t="shared" si="63"/>
        <v>2025.8259316770186</v>
      </c>
      <c r="AA154" s="14">
        <f t="shared" si="63"/>
        <v>2025.8259316770186</v>
      </c>
      <c r="AB154" s="14">
        <f t="shared" si="63"/>
        <v>2020.107298136646</v>
      </c>
      <c r="AC154" s="14">
        <f t="shared" si="63"/>
        <v>2020.107298136646</v>
      </c>
      <c r="AD154" s="14">
        <f t="shared" si="63"/>
        <v>2095.8791925465839</v>
      </c>
      <c r="AE154" s="14">
        <f t="shared" si="63"/>
        <v>2095.8791925465839</v>
      </c>
      <c r="AF154" s="14">
        <f t="shared" si="63"/>
        <v>4068.807763975155</v>
      </c>
      <c r="AG154" s="14">
        <f t="shared" si="63"/>
        <v>4146.0093167701862</v>
      </c>
      <c r="AH154" s="13">
        <f t="shared" si="63"/>
        <v>4043.0739130434781</v>
      </c>
      <c r="AI154" s="13">
        <f t="shared" si="63"/>
        <v>4043.0739130434781</v>
      </c>
      <c r="AJ154" s="13">
        <f t="shared" si="63"/>
        <v>4043.0739130434781</v>
      </c>
      <c r="AK154" s="13">
        <f t="shared" si="63"/>
        <v>4043.0739130434781</v>
      </c>
      <c r="AL154" s="13">
        <f t="shared" si="63"/>
        <v>183577.2115942029</v>
      </c>
      <c r="AM154" s="13">
        <f t="shared" si="63"/>
        <v>183577.2115942029</v>
      </c>
      <c r="AN154" s="13">
        <f t="shared" si="63"/>
        <v>183577.2115942029</v>
      </c>
      <c r="AO154" s="14">
        <f t="shared" si="63"/>
        <v>873.68012422360266</v>
      </c>
      <c r="AP154" s="14">
        <f t="shared" si="63"/>
        <v>873.68012422360266</v>
      </c>
      <c r="AQ154" s="14">
        <f t="shared" si="63"/>
        <v>873.68012422360266</v>
      </c>
      <c r="AR154" s="13">
        <f t="shared" si="63"/>
        <v>4355.9043478260874</v>
      </c>
      <c r="AS154" s="12">
        <f t="shared" si="63"/>
        <v>0</v>
      </c>
      <c r="AT154" s="13">
        <f t="shared" si="63"/>
        <v>4355.9043478260874</v>
      </c>
      <c r="AU154" s="13">
        <f t="shared" si="63"/>
        <v>45993.816425120778</v>
      </c>
      <c r="AV154" s="13">
        <f t="shared" si="63"/>
        <v>14796.434782608696</v>
      </c>
      <c r="AW154" s="13">
        <f t="shared" si="63"/>
        <v>16440.483091787439</v>
      </c>
      <c r="AX154" s="13">
        <f t="shared" si="63"/>
        <v>16440.483091787439</v>
      </c>
      <c r="AY154" s="12">
        <f t="shared" si="63"/>
        <v>505023.96521739132</v>
      </c>
      <c r="AZ154" s="12">
        <f t="shared" si="63"/>
        <v>605580.41739130439</v>
      </c>
      <c r="BA154" s="13">
        <f t="shared" si="63"/>
        <v>14268.626086956521</v>
      </c>
      <c r="BB154" s="14">
        <f t="shared" si="63"/>
        <v>3977.3096273291926</v>
      </c>
      <c r="BC154" s="13">
        <f t="shared" si="63"/>
        <v>107471.30628019324</v>
      </c>
      <c r="BD154" s="13">
        <f t="shared" si="63"/>
        <v>107471.30628019324</v>
      </c>
      <c r="BE154" s="13">
        <f t="shared" si="63"/>
        <v>107471.30628019324</v>
      </c>
      <c r="BF154" s="14">
        <f t="shared" si="63"/>
        <v>4420.5037267080752</v>
      </c>
      <c r="BG154" s="14">
        <f t="shared" si="63"/>
        <v>4097.4009316770189</v>
      </c>
      <c r="BH154" s="14">
        <f t="shared" si="63"/>
        <v>2923.1526794742163</v>
      </c>
      <c r="BI154" s="14">
        <f t="shared" si="63"/>
        <v>2733.2408493427702</v>
      </c>
      <c r="BJ154" s="15">
        <f t="shared" si="63"/>
        <v>2923.1526794742163</v>
      </c>
      <c r="BM154" s="35" t="s">
        <v>44</v>
      </c>
      <c r="BN154" s="16">
        <v>1376</v>
      </c>
      <c r="BO154" s="14">
        <v>1376</v>
      </c>
      <c r="BP154" s="14">
        <v>1376</v>
      </c>
      <c r="BQ154" s="14">
        <v>1376</v>
      </c>
      <c r="BR154" s="14">
        <v>1376</v>
      </c>
      <c r="BS154" s="14">
        <v>1376</v>
      </c>
      <c r="BT154" s="14">
        <v>1376</v>
      </c>
      <c r="BU154" s="14">
        <v>1376</v>
      </c>
      <c r="BV154" s="14">
        <v>1394</v>
      </c>
      <c r="BW154" s="14">
        <v>1394</v>
      </c>
      <c r="BX154" s="14">
        <v>1394</v>
      </c>
      <c r="BY154" s="14">
        <v>1394</v>
      </c>
      <c r="BZ154" s="14">
        <v>1365</v>
      </c>
      <c r="CA154" s="14">
        <v>1557</v>
      </c>
      <c r="CB154" s="14">
        <v>1557</v>
      </c>
      <c r="CC154" s="14">
        <v>1421</v>
      </c>
      <c r="CD154" s="14">
        <v>1421</v>
      </c>
      <c r="CE154" s="14">
        <v>1421</v>
      </c>
      <c r="CF154" s="14">
        <v>1407</v>
      </c>
      <c r="CG154" s="14">
        <v>1407</v>
      </c>
      <c r="CH154" s="14">
        <v>1388</v>
      </c>
      <c r="CI154" s="14">
        <v>1388</v>
      </c>
      <c r="CJ154" s="14">
        <v>1388</v>
      </c>
      <c r="CK154" s="14">
        <v>1388</v>
      </c>
      <c r="CL154" s="14">
        <v>1417</v>
      </c>
      <c r="CM154" s="14">
        <v>1417</v>
      </c>
      <c r="CN154" s="14">
        <v>1413</v>
      </c>
      <c r="CO154" s="14">
        <v>1413</v>
      </c>
      <c r="CP154" s="14">
        <v>1466</v>
      </c>
      <c r="CQ154" s="14">
        <v>1466</v>
      </c>
      <c r="CR154" s="14">
        <v>1423</v>
      </c>
      <c r="CS154" s="14">
        <v>1450</v>
      </c>
      <c r="CT154" s="13">
        <v>1818</v>
      </c>
      <c r="CU154" s="13">
        <v>1818</v>
      </c>
      <c r="CV154" s="13">
        <v>1818</v>
      </c>
      <c r="CW154" s="13">
        <v>1818</v>
      </c>
      <c r="CX154" s="13">
        <v>1393</v>
      </c>
      <c r="CY154" s="13">
        <v>1393</v>
      </c>
      <c r="CZ154" s="13">
        <v>1393</v>
      </c>
      <c r="DA154" s="14">
        <v>1375</v>
      </c>
      <c r="DB154" s="14">
        <v>1375</v>
      </c>
      <c r="DC154" s="14">
        <v>1375</v>
      </c>
      <c r="DD154" s="13">
        <v>1469</v>
      </c>
      <c r="DE154" s="12"/>
      <c r="DF154" s="13">
        <v>1469</v>
      </c>
      <c r="DG154" s="13">
        <v>1396</v>
      </c>
      <c r="DH154" s="13">
        <v>1497</v>
      </c>
      <c r="DI154" s="13">
        <v>1497</v>
      </c>
      <c r="DJ154" s="13">
        <v>1497</v>
      </c>
      <c r="DK154" s="12">
        <v>1577</v>
      </c>
      <c r="DL154" s="12">
        <v>1891</v>
      </c>
      <c r="DM154" s="13">
        <v>1604</v>
      </c>
      <c r="DN154" s="14">
        <v>1391</v>
      </c>
      <c r="DO154" s="13">
        <v>1398</v>
      </c>
      <c r="DP154" s="13">
        <v>1398</v>
      </c>
      <c r="DQ154" s="13">
        <v>1398</v>
      </c>
      <c r="DR154" s="14">
        <v>1546</v>
      </c>
      <c r="DS154" s="14">
        <v>1433</v>
      </c>
      <c r="DT154" s="14">
        <v>1570</v>
      </c>
      <c r="DU154" s="14">
        <v>1468</v>
      </c>
      <c r="DV154" s="15">
        <v>1570</v>
      </c>
      <c r="DY154" s="35" t="s">
        <v>44</v>
      </c>
      <c r="DZ154" s="16">
        <v>6.2500000000000003E-3</v>
      </c>
      <c r="EA154" s="14">
        <v>6.2500000000000003E-3</v>
      </c>
      <c r="EB154" s="14">
        <v>6.2500000000000003E-3</v>
      </c>
      <c r="EC154" s="14">
        <v>6.2500000000000003E-3</v>
      </c>
      <c r="ED154" s="14">
        <v>6.2500000000000003E-3</v>
      </c>
      <c r="EE154" s="14">
        <v>6.2500000000000003E-3</v>
      </c>
      <c r="EF154" s="14">
        <v>6.2500000000000003E-3</v>
      </c>
      <c r="EG154" s="14">
        <v>6.2500000000000003E-3</v>
      </c>
      <c r="EH154" s="14">
        <v>6.2500000000000003E-3</v>
      </c>
      <c r="EI154" s="14">
        <v>6.2500000000000003E-3</v>
      </c>
      <c r="EJ154" s="14">
        <v>6.2500000000000003E-3</v>
      </c>
      <c r="EK154" s="14">
        <v>6.2500000000000003E-3</v>
      </c>
      <c r="EL154" s="14">
        <v>6.2500000000000003E-3</v>
      </c>
      <c r="EM154" s="14">
        <v>4.6511627906976744E-3</v>
      </c>
      <c r="EN154" s="14">
        <v>4.6511627906976744E-3</v>
      </c>
      <c r="EO154" s="14">
        <v>7.1428571428571435E-3</v>
      </c>
      <c r="EP154" s="14">
        <v>7.1428571428571435E-3</v>
      </c>
      <c r="EQ154" s="14">
        <v>7.1428571428571435E-3</v>
      </c>
      <c r="ER154" s="14">
        <v>7.1428571428571435E-3</v>
      </c>
      <c r="ES154" s="14">
        <v>7.1428571428571435E-3</v>
      </c>
      <c r="ET154" s="14">
        <v>7.1428571428571435E-3</v>
      </c>
      <c r="EU154" s="14">
        <v>7.1428571428571435E-3</v>
      </c>
      <c r="EV154" s="14">
        <v>7.1428571428571435E-3</v>
      </c>
      <c r="EW154" s="14">
        <v>7.1428571428571435E-3</v>
      </c>
      <c r="EX154" s="14">
        <v>7.1428571428571435E-3</v>
      </c>
      <c r="EY154" s="14">
        <v>7.1428571428571435E-3</v>
      </c>
      <c r="EZ154" s="14">
        <v>7.1428571428571435E-3</v>
      </c>
      <c r="FA154" s="14">
        <v>7.1428571428571435E-3</v>
      </c>
      <c r="FB154" s="14">
        <v>7.1428571428571435E-3</v>
      </c>
      <c r="FC154" s="14">
        <v>7.1428571428571435E-3</v>
      </c>
      <c r="FD154" s="14">
        <v>7.1428571428571435E-3</v>
      </c>
      <c r="FE154" s="14">
        <v>7.1428571428571435E-3</v>
      </c>
      <c r="FF154" s="13">
        <v>2.2222222222222223E-2</v>
      </c>
      <c r="FG154" s="13">
        <v>2.2222222222222223E-2</v>
      </c>
      <c r="FH154" s="13">
        <v>2.2222222222222223E-2</v>
      </c>
      <c r="FI154" s="13">
        <v>2.2222222222222223E-2</v>
      </c>
      <c r="FJ154" s="13">
        <v>2.2222222222222223E-2</v>
      </c>
      <c r="FK154" s="13">
        <v>2.2222222222222223E-2</v>
      </c>
      <c r="FL154" s="13">
        <v>2.2222222222222223E-2</v>
      </c>
      <c r="FM154" s="14">
        <v>4.7619047619047623E-3</v>
      </c>
      <c r="FN154" s="14">
        <v>4.7619047619047623E-3</v>
      </c>
      <c r="FO154" s="14">
        <v>4.7619047619047623E-3</v>
      </c>
      <c r="FP154" s="13">
        <v>2.2222222222222223E-2</v>
      </c>
      <c r="FQ154" s="12">
        <v>0.6</v>
      </c>
      <c r="FR154" s="13">
        <f>0.2/9</f>
        <v>2.2222222222222223E-2</v>
      </c>
      <c r="FS154" s="13">
        <v>2.2222222222222223E-2</v>
      </c>
      <c r="FT154" s="13">
        <v>0.02</v>
      </c>
      <c r="FU154" s="13">
        <v>2.2222222222222223E-2</v>
      </c>
      <c r="FV154" s="13">
        <v>2.2222222222222223E-2</v>
      </c>
      <c r="FW154" s="12">
        <v>0.8</v>
      </c>
      <c r="FX154" s="12">
        <v>0.8</v>
      </c>
      <c r="FY154" s="13">
        <f>0.2/9</f>
        <v>2.2222222222222223E-2</v>
      </c>
      <c r="FZ154" s="14">
        <v>7.1428571428571435E-3</v>
      </c>
      <c r="GA154" s="13">
        <v>2.2222222222222223E-2</v>
      </c>
      <c r="GB154" s="13">
        <v>2.2222222222222223E-2</v>
      </c>
      <c r="GC154" s="13">
        <v>2.2222222222222223E-2</v>
      </c>
      <c r="GD154" s="14">
        <v>7.1428571428571435E-3</v>
      </c>
      <c r="GE154" s="14">
        <v>7.1428571428571435E-3</v>
      </c>
      <c r="GF154" s="14">
        <v>4.6511627906976744E-3</v>
      </c>
      <c r="GG154" s="14">
        <v>4.6511627906976744E-3</v>
      </c>
      <c r="GH154" s="15">
        <v>4.6511627906976744E-3</v>
      </c>
    </row>
    <row r="155" spans="1:190" x14ac:dyDescent="0.3">
      <c r="A155" s="36" t="s">
        <v>45</v>
      </c>
      <c r="B155" s="21">
        <f>BN155*DZ155*B110*2</f>
        <v>191253.85760869563</v>
      </c>
      <c r="C155" s="22">
        <f t="shared" ref="C155:BJ155" si="64">BO155*EA155*C110*2</f>
        <v>191253.85760869563</v>
      </c>
      <c r="D155" s="22">
        <f t="shared" si="64"/>
        <v>191253.85760869563</v>
      </c>
      <c r="E155" s="22">
        <f t="shared" si="64"/>
        <v>191253.85760869563</v>
      </c>
      <c r="F155" s="22">
        <f t="shared" si="64"/>
        <v>191253.85760869563</v>
      </c>
      <c r="G155" s="22">
        <f t="shared" si="64"/>
        <v>191253.85760869563</v>
      </c>
      <c r="H155" s="22">
        <f t="shared" si="64"/>
        <v>191253.85760869563</v>
      </c>
      <c r="I155" s="22">
        <f t="shared" si="64"/>
        <v>191253.85760869563</v>
      </c>
      <c r="J155" s="22">
        <f t="shared" si="64"/>
        <v>3229.3070652173915</v>
      </c>
      <c r="K155" s="22">
        <f t="shared" si="64"/>
        <v>3229.3070652173915</v>
      </c>
      <c r="L155" s="22">
        <f t="shared" si="64"/>
        <v>3229.3070652173915</v>
      </c>
      <c r="M155" s="22">
        <f t="shared" si="64"/>
        <v>3229.3070652173915</v>
      </c>
      <c r="N155" s="22">
        <f t="shared" si="64"/>
        <v>3440.1154891304345</v>
      </c>
      <c r="O155" s="22">
        <f t="shared" si="64"/>
        <v>5368.4226491405461</v>
      </c>
      <c r="P155" s="22">
        <f t="shared" si="64"/>
        <v>5368.4226491405461</v>
      </c>
      <c r="Q155" s="22">
        <f t="shared" si="64"/>
        <v>55177.018115942032</v>
      </c>
      <c r="R155" s="22">
        <f t="shared" si="64"/>
        <v>55177.018115942032</v>
      </c>
      <c r="S155" s="22">
        <f t="shared" si="64"/>
        <v>55177.018115942032</v>
      </c>
      <c r="T155" s="22">
        <f t="shared" si="64"/>
        <v>7450.1086956521749</v>
      </c>
      <c r="U155" s="22">
        <f t="shared" si="64"/>
        <v>7450.1086956521749</v>
      </c>
      <c r="V155" s="22">
        <f t="shared" si="64"/>
        <v>62469.914285714287</v>
      </c>
      <c r="W155" s="22">
        <f t="shared" si="64"/>
        <v>62469.914285714287</v>
      </c>
      <c r="X155" s="22">
        <f t="shared" si="64"/>
        <v>62469.914285714287</v>
      </c>
      <c r="Y155" s="22">
        <f t="shared" si="64"/>
        <v>62469.914285714287</v>
      </c>
      <c r="Z155" s="22">
        <f t="shared" si="64"/>
        <v>2025.8259316770186</v>
      </c>
      <c r="AA155" s="22">
        <f t="shared" si="64"/>
        <v>2025.8259316770186</v>
      </c>
      <c r="AB155" s="22">
        <f t="shared" si="64"/>
        <v>2020.107298136646</v>
      </c>
      <c r="AC155" s="22">
        <f t="shared" si="64"/>
        <v>2020.107298136646</v>
      </c>
      <c r="AD155" s="22">
        <f t="shared" si="64"/>
        <v>2095.8791925465839</v>
      </c>
      <c r="AE155" s="22">
        <f t="shared" si="64"/>
        <v>2095.8791925465839</v>
      </c>
      <c r="AF155" s="22">
        <f t="shared" si="64"/>
        <v>4068.807763975155</v>
      </c>
      <c r="AG155" s="22">
        <f t="shared" si="64"/>
        <v>4146.0093167701862</v>
      </c>
      <c r="AH155" s="23">
        <f t="shared" si="64"/>
        <v>4043.0739130434781</v>
      </c>
      <c r="AI155" s="23">
        <f t="shared" si="64"/>
        <v>4043.0739130434781</v>
      </c>
      <c r="AJ155" s="23">
        <f t="shared" si="64"/>
        <v>4043.0739130434781</v>
      </c>
      <c r="AK155" s="23">
        <f t="shared" si="64"/>
        <v>4043.0739130434781</v>
      </c>
      <c r="AL155" s="23">
        <f t="shared" si="64"/>
        <v>183577.2115942029</v>
      </c>
      <c r="AM155" s="23">
        <f t="shared" si="64"/>
        <v>183577.2115942029</v>
      </c>
      <c r="AN155" s="23">
        <f t="shared" si="64"/>
        <v>183577.2115942029</v>
      </c>
      <c r="AO155" s="22">
        <f t="shared" si="64"/>
        <v>873.68012422360266</v>
      </c>
      <c r="AP155" s="22">
        <f t="shared" si="64"/>
        <v>873.68012422360266</v>
      </c>
      <c r="AQ155" s="22">
        <f t="shared" si="64"/>
        <v>873.68012422360266</v>
      </c>
      <c r="AR155" s="23">
        <f t="shared" si="64"/>
        <v>4355.9043478260874</v>
      </c>
      <c r="AS155" s="23">
        <f t="shared" si="64"/>
        <v>4355.9043478260874</v>
      </c>
      <c r="AT155" s="24">
        <f t="shared" si="64"/>
        <v>0</v>
      </c>
      <c r="AU155" s="23">
        <f t="shared" si="64"/>
        <v>45993.816425120778</v>
      </c>
      <c r="AV155" s="23">
        <f t="shared" si="64"/>
        <v>14796.434782608696</v>
      </c>
      <c r="AW155" s="23">
        <f t="shared" si="64"/>
        <v>16440.483091787439</v>
      </c>
      <c r="AX155" s="23">
        <f t="shared" si="64"/>
        <v>16440.483091787439</v>
      </c>
      <c r="AY155" s="22">
        <f t="shared" si="64"/>
        <v>2869.4543478260871</v>
      </c>
      <c r="AZ155" s="22">
        <f t="shared" si="64"/>
        <v>3440.7978260869572</v>
      </c>
      <c r="BA155" s="24">
        <f t="shared" si="64"/>
        <v>385252.90434782609</v>
      </c>
      <c r="BB155" s="22">
        <f t="shared" si="64"/>
        <v>3977.3096273291926</v>
      </c>
      <c r="BC155" s="23">
        <f t="shared" si="64"/>
        <v>107471.30628019324</v>
      </c>
      <c r="BD155" s="23">
        <f t="shared" si="64"/>
        <v>107471.30628019324</v>
      </c>
      <c r="BE155" s="23">
        <f t="shared" si="64"/>
        <v>107471.30628019324</v>
      </c>
      <c r="BF155" s="22">
        <f t="shared" si="64"/>
        <v>4420.5037267080752</v>
      </c>
      <c r="BG155" s="22">
        <f t="shared" si="64"/>
        <v>4097.4009316770189</v>
      </c>
      <c r="BH155" s="22">
        <f t="shared" si="64"/>
        <v>2923.1526794742163</v>
      </c>
      <c r="BI155" s="22">
        <f t="shared" si="64"/>
        <v>2733.2408493427702</v>
      </c>
      <c r="BJ155" s="25">
        <f t="shared" si="64"/>
        <v>2923.1526794742163</v>
      </c>
      <c r="BM155" s="36" t="s">
        <v>45</v>
      </c>
      <c r="BN155" s="21">
        <v>1376</v>
      </c>
      <c r="BO155" s="22">
        <v>1376</v>
      </c>
      <c r="BP155" s="22">
        <v>1376</v>
      </c>
      <c r="BQ155" s="22">
        <v>1376</v>
      </c>
      <c r="BR155" s="22">
        <v>1376</v>
      </c>
      <c r="BS155" s="22">
        <v>1376</v>
      </c>
      <c r="BT155" s="22">
        <v>1376</v>
      </c>
      <c r="BU155" s="22">
        <v>1376</v>
      </c>
      <c r="BV155" s="22">
        <v>1394</v>
      </c>
      <c r="BW155" s="22">
        <v>1394</v>
      </c>
      <c r="BX155" s="22">
        <v>1394</v>
      </c>
      <c r="BY155" s="22">
        <v>1394</v>
      </c>
      <c r="BZ155" s="22">
        <v>1375</v>
      </c>
      <c r="CA155" s="22">
        <v>1557</v>
      </c>
      <c r="CB155" s="22">
        <v>1557</v>
      </c>
      <c r="CC155" s="22">
        <v>1421</v>
      </c>
      <c r="CD155" s="22">
        <v>1421</v>
      </c>
      <c r="CE155" s="22">
        <v>1421</v>
      </c>
      <c r="CF155" s="22">
        <v>1407</v>
      </c>
      <c r="CG155" s="22">
        <v>1407</v>
      </c>
      <c r="CH155" s="22">
        <v>1388</v>
      </c>
      <c r="CI155" s="22">
        <v>1388</v>
      </c>
      <c r="CJ155" s="22">
        <v>1388</v>
      </c>
      <c r="CK155" s="22">
        <v>1388</v>
      </c>
      <c r="CL155" s="22">
        <v>1417</v>
      </c>
      <c r="CM155" s="22">
        <v>1417</v>
      </c>
      <c r="CN155" s="22">
        <v>1413</v>
      </c>
      <c r="CO155" s="22">
        <v>1413</v>
      </c>
      <c r="CP155" s="22">
        <v>1466</v>
      </c>
      <c r="CQ155" s="22">
        <v>1466</v>
      </c>
      <c r="CR155" s="22">
        <v>1423</v>
      </c>
      <c r="CS155" s="22">
        <v>1450</v>
      </c>
      <c r="CT155" s="23">
        <v>1818</v>
      </c>
      <c r="CU155" s="23">
        <v>1818</v>
      </c>
      <c r="CV155" s="23">
        <v>1818</v>
      </c>
      <c r="CW155" s="23">
        <v>1818</v>
      </c>
      <c r="CX155" s="23">
        <v>1393</v>
      </c>
      <c r="CY155" s="23">
        <v>1393</v>
      </c>
      <c r="CZ155" s="23">
        <v>1393</v>
      </c>
      <c r="DA155" s="22">
        <v>1375</v>
      </c>
      <c r="DB155" s="22">
        <v>1375</v>
      </c>
      <c r="DC155" s="22">
        <v>1375</v>
      </c>
      <c r="DD155" s="23">
        <v>1469</v>
      </c>
      <c r="DE155" s="23">
        <v>1469</v>
      </c>
      <c r="DF155" s="24"/>
      <c r="DG155" s="23">
        <v>1396</v>
      </c>
      <c r="DH155" s="23">
        <v>1497</v>
      </c>
      <c r="DI155" s="23">
        <v>1497</v>
      </c>
      <c r="DJ155" s="23">
        <v>1497</v>
      </c>
      <c r="DK155" s="22">
        <v>1577</v>
      </c>
      <c r="DL155" s="22">
        <v>1891</v>
      </c>
      <c r="DM155" s="24">
        <v>1604</v>
      </c>
      <c r="DN155" s="22">
        <v>1391</v>
      </c>
      <c r="DO155" s="23">
        <v>1398</v>
      </c>
      <c r="DP155" s="23">
        <v>1398</v>
      </c>
      <c r="DQ155" s="23">
        <v>1398</v>
      </c>
      <c r="DR155" s="22">
        <v>1546</v>
      </c>
      <c r="DS155" s="22">
        <v>1433</v>
      </c>
      <c r="DT155" s="22">
        <v>1570</v>
      </c>
      <c r="DU155" s="22">
        <v>1468</v>
      </c>
      <c r="DV155" s="25">
        <v>1570</v>
      </c>
      <c r="DY155" s="36" t="s">
        <v>45</v>
      </c>
      <c r="DZ155" s="21">
        <v>6.2500000000000003E-3</v>
      </c>
      <c r="EA155" s="22">
        <v>6.2500000000000003E-3</v>
      </c>
      <c r="EB155" s="22">
        <v>6.2500000000000003E-3</v>
      </c>
      <c r="EC155" s="22">
        <v>6.2500000000000003E-3</v>
      </c>
      <c r="ED155" s="22">
        <v>6.2500000000000003E-3</v>
      </c>
      <c r="EE155" s="22">
        <v>6.2500000000000003E-3</v>
      </c>
      <c r="EF155" s="22">
        <v>6.2500000000000003E-3</v>
      </c>
      <c r="EG155" s="22">
        <v>6.2500000000000003E-3</v>
      </c>
      <c r="EH155" s="22">
        <v>6.2500000000000003E-3</v>
      </c>
      <c r="EI155" s="22">
        <v>6.2500000000000003E-3</v>
      </c>
      <c r="EJ155" s="22">
        <v>6.2500000000000003E-3</v>
      </c>
      <c r="EK155" s="22">
        <v>6.2500000000000003E-3</v>
      </c>
      <c r="EL155" s="22">
        <v>6.2500000000000003E-3</v>
      </c>
      <c r="EM155" s="22">
        <v>4.6511627906976744E-3</v>
      </c>
      <c r="EN155" s="22">
        <v>4.6511627906976744E-3</v>
      </c>
      <c r="EO155" s="22">
        <v>7.1428571428571435E-3</v>
      </c>
      <c r="EP155" s="22">
        <v>7.1428571428571435E-3</v>
      </c>
      <c r="EQ155" s="22">
        <v>7.1428571428571435E-3</v>
      </c>
      <c r="ER155" s="22">
        <v>7.1428571428571435E-3</v>
      </c>
      <c r="ES155" s="22">
        <v>7.1428571428571435E-3</v>
      </c>
      <c r="ET155" s="22">
        <v>7.1428571428571435E-3</v>
      </c>
      <c r="EU155" s="22">
        <v>7.1428571428571435E-3</v>
      </c>
      <c r="EV155" s="22">
        <v>7.1428571428571435E-3</v>
      </c>
      <c r="EW155" s="22">
        <v>7.1428571428571435E-3</v>
      </c>
      <c r="EX155" s="22">
        <v>7.1428571428571435E-3</v>
      </c>
      <c r="EY155" s="22">
        <v>7.1428571428571435E-3</v>
      </c>
      <c r="EZ155" s="22">
        <v>7.1428571428571435E-3</v>
      </c>
      <c r="FA155" s="22">
        <v>7.1428571428571435E-3</v>
      </c>
      <c r="FB155" s="22">
        <v>7.1428571428571435E-3</v>
      </c>
      <c r="FC155" s="22">
        <v>7.1428571428571435E-3</v>
      </c>
      <c r="FD155" s="22">
        <v>7.1428571428571435E-3</v>
      </c>
      <c r="FE155" s="22">
        <v>7.1428571428571435E-3</v>
      </c>
      <c r="FF155" s="23">
        <v>2.2222222222222223E-2</v>
      </c>
      <c r="FG155" s="23">
        <v>2.2222222222222223E-2</v>
      </c>
      <c r="FH155" s="23">
        <v>2.2222222222222223E-2</v>
      </c>
      <c r="FI155" s="23">
        <v>2.2222222222222223E-2</v>
      </c>
      <c r="FJ155" s="23">
        <v>2.2222222222222223E-2</v>
      </c>
      <c r="FK155" s="23">
        <v>2.2222222222222223E-2</v>
      </c>
      <c r="FL155" s="23">
        <v>2.2222222222222223E-2</v>
      </c>
      <c r="FM155" s="22">
        <v>4.7619047619047623E-3</v>
      </c>
      <c r="FN155" s="22">
        <v>4.7619047619047623E-3</v>
      </c>
      <c r="FO155" s="22">
        <v>4.7619047619047623E-3</v>
      </c>
      <c r="FP155" s="23">
        <v>2.2222222222222223E-2</v>
      </c>
      <c r="FQ155" s="23">
        <v>2.2222222222222223E-2</v>
      </c>
      <c r="FR155" s="24">
        <v>0.6</v>
      </c>
      <c r="FS155" s="23">
        <v>2.2222222222222223E-2</v>
      </c>
      <c r="FT155" s="23">
        <v>0.02</v>
      </c>
      <c r="FU155" s="23">
        <v>2.2222222222222223E-2</v>
      </c>
      <c r="FV155" s="23">
        <v>2.2222222222222223E-2</v>
      </c>
      <c r="FW155" s="22">
        <v>4.5454545454545461E-3</v>
      </c>
      <c r="FX155" s="22">
        <v>4.5454545454545461E-3</v>
      </c>
      <c r="FY155" s="24">
        <v>0.6</v>
      </c>
      <c r="FZ155" s="22">
        <v>7.1428571428571435E-3</v>
      </c>
      <c r="GA155" s="23">
        <v>2.2222222222222223E-2</v>
      </c>
      <c r="GB155" s="23">
        <v>2.2222222222222223E-2</v>
      </c>
      <c r="GC155" s="23">
        <v>2.2222222222222223E-2</v>
      </c>
      <c r="GD155" s="22">
        <v>7.1428571428571435E-3</v>
      </c>
      <c r="GE155" s="22">
        <v>7.1428571428571435E-3</v>
      </c>
      <c r="GF155" s="22">
        <v>4.6511627906976744E-3</v>
      </c>
      <c r="GG155" s="22">
        <v>4.6511627906976744E-3</v>
      </c>
      <c r="GH155" s="25">
        <v>4.6511627906976744E-3</v>
      </c>
    </row>
    <row r="157" spans="1:190" ht="21" x14ac:dyDescent="0.3">
      <c r="A157" s="55" t="s">
        <v>123</v>
      </c>
      <c r="B157" s="56"/>
      <c r="BM157" s="55" t="s">
        <v>128</v>
      </c>
      <c r="BN157" s="57"/>
      <c r="BO157" s="57"/>
      <c r="BP157" s="56"/>
      <c r="DY157" s="55" t="s">
        <v>129</v>
      </c>
      <c r="DZ157" s="57"/>
      <c r="EA157" s="56"/>
    </row>
    <row r="159" spans="1:190" ht="28.8" x14ac:dyDescent="0.3">
      <c r="A159" s="1" t="s">
        <v>0</v>
      </c>
      <c r="B159" s="2" t="s">
        <v>1</v>
      </c>
      <c r="C159" s="3" t="s">
        <v>2</v>
      </c>
      <c r="D159" s="3" t="s">
        <v>3</v>
      </c>
      <c r="E159" s="3" t="s">
        <v>4</v>
      </c>
      <c r="F159" s="3" t="s">
        <v>5</v>
      </c>
      <c r="G159" s="3" t="s">
        <v>6</v>
      </c>
      <c r="H159" s="3" t="s">
        <v>7</v>
      </c>
      <c r="I159" s="3" t="s">
        <v>8</v>
      </c>
      <c r="J159" s="3" t="s">
        <v>9</v>
      </c>
      <c r="K159" s="3" t="s">
        <v>10</v>
      </c>
      <c r="L159" s="3" t="s">
        <v>11</v>
      </c>
      <c r="M159" s="3" t="s">
        <v>12</v>
      </c>
      <c r="N159" s="3" t="s">
        <v>13</v>
      </c>
      <c r="O159" s="3" t="s">
        <v>14</v>
      </c>
      <c r="P159" s="3" t="s">
        <v>15</v>
      </c>
      <c r="Q159" s="3" t="s">
        <v>16</v>
      </c>
      <c r="R159" s="3" t="s">
        <v>17</v>
      </c>
      <c r="S159" s="3" t="s">
        <v>18</v>
      </c>
      <c r="T159" s="3" t="s">
        <v>19</v>
      </c>
      <c r="U159" s="3" t="s">
        <v>20</v>
      </c>
      <c r="V159" s="3" t="s">
        <v>21</v>
      </c>
      <c r="W159" s="3" t="s">
        <v>22</v>
      </c>
      <c r="X159" s="3" t="s">
        <v>23</v>
      </c>
      <c r="Y159" s="3" t="s">
        <v>24</v>
      </c>
      <c r="Z159" s="3" t="s">
        <v>25</v>
      </c>
      <c r="AA159" s="3" t="s">
        <v>26</v>
      </c>
      <c r="AB159" s="3" t="s">
        <v>27</v>
      </c>
      <c r="AC159" s="3" t="s">
        <v>28</v>
      </c>
      <c r="AD159" s="3" t="s">
        <v>29</v>
      </c>
      <c r="AE159" s="3" t="s">
        <v>30</v>
      </c>
      <c r="AF159" s="3" t="s">
        <v>31</v>
      </c>
      <c r="AG159" s="3" t="s">
        <v>32</v>
      </c>
      <c r="AH159" s="3" t="s">
        <v>33</v>
      </c>
      <c r="AI159" s="3" t="s">
        <v>34</v>
      </c>
      <c r="AJ159" s="3" t="s">
        <v>35</v>
      </c>
      <c r="AK159" s="3" t="s">
        <v>36</v>
      </c>
      <c r="AL159" s="3" t="s">
        <v>37</v>
      </c>
      <c r="AM159" s="3" t="s">
        <v>38</v>
      </c>
      <c r="AN159" s="3" t="s">
        <v>39</v>
      </c>
      <c r="AO159" s="3" t="s">
        <v>40</v>
      </c>
      <c r="AP159" s="3" t="s">
        <v>41</v>
      </c>
      <c r="AQ159" s="3" t="s">
        <v>42</v>
      </c>
      <c r="AR159" s="3" t="s">
        <v>43</v>
      </c>
      <c r="AS159" s="3" t="s">
        <v>44</v>
      </c>
      <c r="AT159" s="3" t="s">
        <v>45</v>
      </c>
      <c r="AU159" s="3" t="s">
        <v>46</v>
      </c>
      <c r="AV159" s="3" t="s">
        <v>47</v>
      </c>
      <c r="AW159" s="3" t="s">
        <v>117</v>
      </c>
      <c r="AX159" s="3" t="s">
        <v>49</v>
      </c>
      <c r="AY159" s="3" t="s">
        <v>114</v>
      </c>
      <c r="AZ159" s="3" t="s">
        <v>51</v>
      </c>
      <c r="BA159" s="3" t="s">
        <v>52</v>
      </c>
      <c r="BB159" s="3" t="s">
        <v>53</v>
      </c>
      <c r="BC159" s="3" t="s">
        <v>54</v>
      </c>
      <c r="BD159" s="3" t="s">
        <v>71</v>
      </c>
      <c r="BE159" s="3" t="s">
        <v>56</v>
      </c>
      <c r="BF159" s="3" t="s">
        <v>57</v>
      </c>
      <c r="BG159" s="3" t="s">
        <v>58</v>
      </c>
      <c r="BH159" s="3" t="s">
        <v>59</v>
      </c>
      <c r="BI159" s="3" t="s">
        <v>60</v>
      </c>
      <c r="BJ159" s="4" t="s">
        <v>61</v>
      </c>
      <c r="BM159" s="1" t="s">
        <v>66</v>
      </c>
      <c r="BN159" s="2" t="s">
        <v>1</v>
      </c>
      <c r="BO159" s="3" t="s">
        <v>2</v>
      </c>
      <c r="BP159" s="3" t="s">
        <v>3</v>
      </c>
      <c r="BQ159" s="3" t="s">
        <v>4</v>
      </c>
      <c r="BR159" s="3" t="s">
        <v>5</v>
      </c>
      <c r="BS159" s="3" t="s">
        <v>6</v>
      </c>
      <c r="BT159" s="3" t="s">
        <v>7</v>
      </c>
      <c r="BU159" s="3" t="s">
        <v>8</v>
      </c>
      <c r="BV159" s="3" t="s">
        <v>9</v>
      </c>
      <c r="BW159" s="3" t="s">
        <v>10</v>
      </c>
      <c r="BX159" s="3" t="s">
        <v>11</v>
      </c>
      <c r="BY159" s="3" t="s">
        <v>12</v>
      </c>
      <c r="BZ159" s="3" t="s">
        <v>13</v>
      </c>
      <c r="CA159" s="3" t="s">
        <v>14</v>
      </c>
      <c r="CB159" s="3" t="s">
        <v>15</v>
      </c>
      <c r="CC159" s="3" t="s">
        <v>16</v>
      </c>
      <c r="CD159" s="3" t="s">
        <v>17</v>
      </c>
      <c r="CE159" s="3" t="s">
        <v>18</v>
      </c>
      <c r="CF159" s="3" t="s">
        <v>19</v>
      </c>
      <c r="CG159" s="3" t="s">
        <v>20</v>
      </c>
      <c r="CH159" s="3" t="s">
        <v>21</v>
      </c>
      <c r="CI159" s="3" t="s">
        <v>22</v>
      </c>
      <c r="CJ159" s="3" t="s">
        <v>23</v>
      </c>
      <c r="CK159" s="3" t="s">
        <v>24</v>
      </c>
      <c r="CL159" s="3" t="s">
        <v>25</v>
      </c>
      <c r="CM159" s="3" t="s">
        <v>26</v>
      </c>
      <c r="CN159" s="3" t="s">
        <v>27</v>
      </c>
      <c r="CO159" s="3" t="s">
        <v>28</v>
      </c>
      <c r="CP159" s="3" t="s">
        <v>29</v>
      </c>
      <c r="CQ159" s="3" t="s">
        <v>30</v>
      </c>
      <c r="CR159" s="3" t="s">
        <v>31</v>
      </c>
      <c r="CS159" s="3" t="s">
        <v>32</v>
      </c>
      <c r="CT159" s="3" t="s">
        <v>33</v>
      </c>
      <c r="CU159" s="3" t="s">
        <v>34</v>
      </c>
      <c r="CV159" s="3" t="s">
        <v>35</v>
      </c>
      <c r="CW159" s="3" t="s">
        <v>36</v>
      </c>
      <c r="CX159" s="3" t="s">
        <v>37</v>
      </c>
      <c r="CY159" s="3" t="s">
        <v>38</v>
      </c>
      <c r="CZ159" s="3" t="s">
        <v>39</v>
      </c>
      <c r="DA159" s="3" t="s">
        <v>40</v>
      </c>
      <c r="DB159" s="3" t="s">
        <v>41</v>
      </c>
      <c r="DC159" s="3" t="s">
        <v>42</v>
      </c>
      <c r="DD159" s="3" t="s">
        <v>43</v>
      </c>
      <c r="DE159" s="3" t="s">
        <v>44</v>
      </c>
      <c r="DF159" s="3" t="s">
        <v>45</v>
      </c>
      <c r="DG159" s="3" t="s">
        <v>46</v>
      </c>
      <c r="DH159" s="3" t="s">
        <v>47</v>
      </c>
      <c r="DI159" s="3" t="s">
        <v>117</v>
      </c>
      <c r="DJ159" s="3" t="s">
        <v>49</v>
      </c>
      <c r="DK159" s="3" t="s">
        <v>114</v>
      </c>
      <c r="DL159" s="3" t="s">
        <v>51</v>
      </c>
      <c r="DM159" s="3" t="s">
        <v>52</v>
      </c>
      <c r="DN159" s="3" t="s">
        <v>53</v>
      </c>
      <c r="DO159" s="3" t="s">
        <v>54</v>
      </c>
      <c r="DP159" s="3" t="s">
        <v>71</v>
      </c>
      <c r="DQ159" s="3" t="s">
        <v>56</v>
      </c>
      <c r="DR159" s="3" t="s">
        <v>57</v>
      </c>
      <c r="DS159" s="3" t="s">
        <v>58</v>
      </c>
      <c r="DT159" s="3" t="s">
        <v>59</v>
      </c>
      <c r="DU159" s="3" t="s">
        <v>60</v>
      </c>
      <c r="DV159" s="4" t="s">
        <v>61</v>
      </c>
      <c r="DY159" s="1" t="s">
        <v>66</v>
      </c>
      <c r="DZ159" s="2" t="s">
        <v>1</v>
      </c>
      <c r="EA159" s="3" t="s">
        <v>2</v>
      </c>
      <c r="EB159" s="3" t="s">
        <v>3</v>
      </c>
      <c r="EC159" s="3" t="s">
        <v>4</v>
      </c>
      <c r="ED159" s="3" t="s">
        <v>5</v>
      </c>
      <c r="EE159" s="3" t="s">
        <v>6</v>
      </c>
      <c r="EF159" s="3" t="s">
        <v>7</v>
      </c>
      <c r="EG159" s="3" t="s">
        <v>8</v>
      </c>
      <c r="EH159" s="3" t="s">
        <v>9</v>
      </c>
      <c r="EI159" s="3" t="s">
        <v>10</v>
      </c>
      <c r="EJ159" s="3" t="s">
        <v>11</v>
      </c>
      <c r="EK159" s="3" t="s">
        <v>12</v>
      </c>
      <c r="EL159" s="3" t="s">
        <v>13</v>
      </c>
      <c r="EM159" s="3" t="s">
        <v>14</v>
      </c>
      <c r="EN159" s="3" t="s">
        <v>15</v>
      </c>
      <c r="EO159" s="3" t="s">
        <v>16</v>
      </c>
      <c r="EP159" s="3" t="s">
        <v>17</v>
      </c>
      <c r="EQ159" s="3" t="s">
        <v>18</v>
      </c>
      <c r="ER159" s="3" t="s">
        <v>19</v>
      </c>
      <c r="ES159" s="3" t="s">
        <v>20</v>
      </c>
      <c r="ET159" s="3" t="s">
        <v>21</v>
      </c>
      <c r="EU159" s="3" t="s">
        <v>22</v>
      </c>
      <c r="EV159" s="3" t="s">
        <v>23</v>
      </c>
      <c r="EW159" s="3" t="s">
        <v>24</v>
      </c>
      <c r="EX159" s="3" t="s">
        <v>25</v>
      </c>
      <c r="EY159" s="3" t="s">
        <v>26</v>
      </c>
      <c r="EZ159" s="3" t="s">
        <v>27</v>
      </c>
      <c r="FA159" s="3" t="s">
        <v>28</v>
      </c>
      <c r="FB159" s="3" t="s">
        <v>29</v>
      </c>
      <c r="FC159" s="3" t="s">
        <v>30</v>
      </c>
      <c r="FD159" s="3" t="s">
        <v>31</v>
      </c>
      <c r="FE159" s="3" t="s">
        <v>32</v>
      </c>
      <c r="FF159" s="3" t="s">
        <v>33</v>
      </c>
      <c r="FG159" s="3" t="s">
        <v>34</v>
      </c>
      <c r="FH159" s="3" t="s">
        <v>35</v>
      </c>
      <c r="FI159" s="3" t="s">
        <v>36</v>
      </c>
      <c r="FJ159" s="3" t="s">
        <v>37</v>
      </c>
      <c r="FK159" s="3" t="s">
        <v>38</v>
      </c>
      <c r="FL159" s="3" t="s">
        <v>39</v>
      </c>
      <c r="FM159" s="3" t="s">
        <v>40</v>
      </c>
      <c r="FN159" s="3" t="s">
        <v>41</v>
      </c>
      <c r="FO159" s="3" t="s">
        <v>42</v>
      </c>
      <c r="FP159" s="3" t="s">
        <v>43</v>
      </c>
      <c r="FQ159" s="3" t="s">
        <v>44</v>
      </c>
      <c r="FR159" s="3" t="s">
        <v>45</v>
      </c>
      <c r="FS159" s="3" t="s">
        <v>46</v>
      </c>
      <c r="FT159" s="3" t="s">
        <v>47</v>
      </c>
      <c r="FU159" s="3" t="s">
        <v>117</v>
      </c>
      <c r="FV159" s="3" t="s">
        <v>49</v>
      </c>
      <c r="FW159" s="3" t="s">
        <v>114</v>
      </c>
      <c r="FX159" s="3" t="s">
        <v>51</v>
      </c>
      <c r="FY159" s="3" t="s">
        <v>52</v>
      </c>
      <c r="FZ159" s="3" t="s">
        <v>53</v>
      </c>
      <c r="GA159" s="3" t="s">
        <v>54</v>
      </c>
      <c r="GB159" s="3" t="s">
        <v>71</v>
      </c>
      <c r="GC159" s="3" t="s">
        <v>56</v>
      </c>
      <c r="GD159" s="3" t="s">
        <v>57</v>
      </c>
      <c r="GE159" s="3" t="s">
        <v>58</v>
      </c>
      <c r="GF159" s="3" t="s">
        <v>59</v>
      </c>
      <c r="GG159" s="3" t="s">
        <v>60</v>
      </c>
      <c r="GH159" s="4" t="s">
        <v>61</v>
      </c>
    </row>
    <row r="160" spans="1:190" x14ac:dyDescent="0.3">
      <c r="A160" s="29" t="s">
        <v>115</v>
      </c>
      <c r="B160" s="37">
        <v>511492.875</v>
      </c>
      <c r="C160" s="38">
        <v>511492.875</v>
      </c>
      <c r="D160" s="38">
        <v>511492.875</v>
      </c>
      <c r="E160" s="38">
        <v>511492.875</v>
      </c>
      <c r="F160" s="38">
        <v>511492.875</v>
      </c>
      <c r="G160" s="38">
        <v>511492.875</v>
      </c>
      <c r="H160" s="38">
        <v>511492.875</v>
      </c>
      <c r="I160" s="38">
        <v>511492.875</v>
      </c>
      <c r="J160" s="38">
        <v>8525</v>
      </c>
      <c r="K160" s="38">
        <v>8525</v>
      </c>
      <c r="L160" s="38">
        <v>8525</v>
      </c>
      <c r="M160" s="38">
        <v>8525</v>
      </c>
      <c r="N160" s="38">
        <v>9207</v>
      </c>
      <c r="O160" s="38">
        <v>17050</v>
      </c>
      <c r="P160" s="38">
        <v>17050</v>
      </c>
      <c r="Q160" s="38">
        <v>125031.66666666667</v>
      </c>
      <c r="R160" s="38">
        <v>125031.66666666667</v>
      </c>
      <c r="S160" s="38">
        <v>125031.66666666667</v>
      </c>
      <c r="T160" s="38">
        <v>17050</v>
      </c>
      <c r="U160" s="38">
        <v>17050</v>
      </c>
      <c r="V160" s="38">
        <v>144923</v>
      </c>
      <c r="W160" s="38">
        <v>144923</v>
      </c>
      <c r="X160" s="38">
        <v>144923</v>
      </c>
      <c r="Y160" s="38">
        <v>144923</v>
      </c>
      <c r="Z160" s="38">
        <v>4603.5</v>
      </c>
      <c r="AA160" s="38">
        <v>4603.5</v>
      </c>
      <c r="AB160" s="38">
        <v>4603.5</v>
      </c>
      <c r="AC160" s="38">
        <v>4603.5</v>
      </c>
      <c r="AD160" s="38">
        <v>4603.5</v>
      </c>
      <c r="AE160" s="38">
        <v>4603.5</v>
      </c>
      <c r="AF160" s="38">
        <v>9207</v>
      </c>
      <c r="AG160" s="38">
        <v>9207</v>
      </c>
      <c r="AH160" s="38">
        <v>2301.75</v>
      </c>
      <c r="AI160" s="38">
        <v>2301.75</v>
      </c>
      <c r="AJ160" s="38">
        <v>2301.75</v>
      </c>
      <c r="AK160" s="38">
        <v>2301.75</v>
      </c>
      <c r="AL160" s="38">
        <v>136398</v>
      </c>
      <c r="AM160" s="38">
        <v>136398</v>
      </c>
      <c r="AN160" s="38">
        <v>136398</v>
      </c>
      <c r="AO160" s="38">
        <v>3069</v>
      </c>
      <c r="AP160" s="38">
        <v>3069</v>
      </c>
      <c r="AQ160" s="38">
        <v>3069</v>
      </c>
      <c r="AR160" s="38">
        <v>3069</v>
      </c>
      <c r="AS160" s="38">
        <v>3069</v>
      </c>
      <c r="AT160" s="38">
        <v>3069</v>
      </c>
      <c r="AU160" s="38">
        <v>34100</v>
      </c>
      <c r="AV160" s="38">
        <v>11366.666666666666</v>
      </c>
      <c r="AW160" s="38">
        <v>11366.666666666666</v>
      </c>
      <c r="AX160" s="38">
        <v>11366.666666666666</v>
      </c>
      <c r="AY160" s="38">
        <v>9207</v>
      </c>
      <c r="AZ160" s="38">
        <v>9207</v>
      </c>
      <c r="BA160" s="38">
        <v>9207</v>
      </c>
      <c r="BB160" s="38">
        <v>9207</v>
      </c>
      <c r="BC160" s="38">
        <v>79565.666666666672</v>
      </c>
      <c r="BD160" s="38">
        <v>79565.666666666672</v>
      </c>
      <c r="BE160" s="38">
        <v>79565.666666666672</v>
      </c>
      <c r="BF160" s="38">
        <v>9207</v>
      </c>
      <c r="BG160" s="38">
        <v>9207</v>
      </c>
      <c r="BH160" s="38">
        <v>9207</v>
      </c>
      <c r="BI160" s="38">
        <v>9207</v>
      </c>
      <c r="BJ160" s="39">
        <v>9207</v>
      </c>
      <c r="BM160" s="29" t="s">
        <v>115</v>
      </c>
      <c r="BN160" s="37">
        <v>527745.5</v>
      </c>
      <c r="BO160" s="38">
        <v>527745.5</v>
      </c>
      <c r="BP160" s="38">
        <v>527745.5</v>
      </c>
      <c r="BQ160" s="38">
        <v>527745.5</v>
      </c>
      <c r="BR160" s="38">
        <v>527745.5</v>
      </c>
      <c r="BS160" s="38">
        <v>527745.5</v>
      </c>
      <c r="BT160" s="38">
        <v>527745.5</v>
      </c>
      <c r="BU160" s="38">
        <v>527745.5</v>
      </c>
      <c r="BV160" s="38">
        <v>8795.75</v>
      </c>
      <c r="BW160" s="38">
        <v>8795.75</v>
      </c>
      <c r="BX160" s="38">
        <v>8795.75</v>
      </c>
      <c r="BY160" s="38">
        <v>8795.75</v>
      </c>
      <c r="BZ160" s="38">
        <v>9499</v>
      </c>
      <c r="CA160" s="38">
        <v>17591.5</v>
      </c>
      <c r="CB160" s="38">
        <v>17591.5</v>
      </c>
      <c r="CC160" s="38">
        <v>129004.33333333333</v>
      </c>
      <c r="CD160" s="38">
        <v>129004.33333333333</v>
      </c>
      <c r="CE160" s="38">
        <v>129004.33333333333</v>
      </c>
      <c r="CF160" s="38">
        <v>17591.5</v>
      </c>
      <c r="CG160" s="38">
        <v>17591.5</v>
      </c>
      <c r="CH160" s="38">
        <v>149528</v>
      </c>
      <c r="CI160" s="38">
        <v>149528</v>
      </c>
      <c r="CJ160" s="38">
        <v>149528</v>
      </c>
      <c r="CK160" s="38">
        <v>149528</v>
      </c>
      <c r="CL160" s="38">
        <v>4749.5</v>
      </c>
      <c r="CM160" s="38">
        <v>4749.5</v>
      </c>
      <c r="CN160" s="38">
        <v>4749.5</v>
      </c>
      <c r="CO160" s="38">
        <v>4749.5</v>
      </c>
      <c r="CP160" s="38">
        <v>4749.5</v>
      </c>
      <c r="CQ160" s="38">
        <v>4749.5</v>
      </c>
      <c r="CR160" s="38">
        <v>9499</v>
      </c>
      <c r="CS160" s="38">
        <v>9499</v>
      </c>
      <c r="CT160" s="38">
        <v>2374.75</v>
      </c>
      <c r="CU160" s="38">
        <v>2374.75</v>
      </c>
      <c r="CV160" s="38">
        <v>2374.75</v>
      </c>
      <c r="CW160" s="38">
        <v>2374.75</v>
      </c>
      <c r="CX160" s="38">
        <v>140732</v>
      </c>
      <c r="CY160" s="38">
        <v>140732</v>
      </c>
      <c r="CZ160" s="38">
        <v>140732</v>
      </c>
      <c r="DA160" s="38">
        <v>3166.3333333333335</v>
      </c>
      <c r="DB160" s="38">
        <v>3166.3333333333335</v>
      </c>
      <c r="DC160" s="38">
        <v>3166.3333333333335</v>
      </c>
      <c r="DD160" s="38">
        <v>3166.3333333333335</v>
      </c>
      <c r="DE160" s="38">
        <v>3166.3333333333335</v>
      </c>
      <c r="DF160" s="38">
        <v>3166.3333333333335</v>
      </c>
      <c r="DG160" s="38">
        <v>35183</v>
      </c>
      <c r="DH160" s="38">
        <v>11727.666666666666</v>
      </c>
      <c r="DI160" s="38">
        <v>11727.666666666666</v>
      </c>
      <c r="DJ160" s="38">
        <v>11727.666666666666</v>
      </c>
      <c r="DK160" s="38">
        <v>9499</v>
      </c>
      <c r="DL160" s="38">
        <v>9499</v>
      </c>
      <c r="DM160" s="38">
        <v>9499</v>
      </c>
      <c r="DN160" s="38">
        <v>9499</v>
      </c>
      <c r="DO160" s="38">
        <v>82093.666666666672</v>
      </c>
      <c r="DP160" s="38">
        <v>82093.666666666672</v>
      </c>
      <c r="DQ160" s="38">
        <v>82093.666666666672</v>
      </c>
      <c r="DR160" s="38">
        <v>9499</v>
      </c>
      <c r="DS160" s="38">
        <v>9499</v>
      </c>
      <c r="DT160" s="38">
        <v>9499</v>
      </c>
      <c r="DU160" s="38">
        <v>9499</v>
      </c>
      <c r="DV160" s="39">
        <v>9499</v>
      </c>
      <c r="DY160" s="29" t="s">
        <v>118</v>
      </c>
      <c r="DZ160" s="37">
        <v>12</v>
      </c>
      <c r="EA160" s="38">
        <v>12</v>
      </c>
      <c r="EB160" s="38">
        <v>12</v>
      </c>
      <c r="EC160" s="38">
        <v>12</v>
      </c>
      <c r="ED160" s="38">
        <v>12</v>
      </c>
      <c r="EE160" s="38">
        <v>12</v>
      </c>
      <c r="EF160" s="38">
        <v>12</v>
      </c>
      <c r="EG160" s="38">
        <v>12</v>
      </c>
      <c r="EH160" s="38">
        <v>12</v>
      </c>
      <c r="EI160" s="38">
        <v>12</v>
      </c>
      <c r="EJ160" s="38">
        <v>12</v>
      </c>
      <c r="EK160" s="38">
        <v>12</v>
      </c>
      <c r="EL160" s="38">
        <v>12</v>
      </c>
      <c r="EM160" s="38">
        <v>1</v>
      </c>
      <c r="EN160" s="38">
        <v>1</v>
      </c>
      <c r="EO160" s="38">
        <v>16</v>
      </c>
      <c r="EP160" s="38">
        <v>16</v>
      </c>
      <c r="EQ160" s="38">
        <v>16</v>
      </c>
      <c r="ER160" s="38">
        <v>16</v>
      </c>
      <c r="ES160" s="38">
        <v>16</v>
      </c>
      <c r="ET160" s="38">
        <v>16</v>
      </c>
      <c r="EU160" s="38">
        <v>16</v>
      </c>
      <c r="EV160" s="38">
        <v>16</v>
      </c>
      <c r="EW160" s="38">
        <v>16</v>
      </c>
      <c r="EX160" s="38">
        <v>16</v>
      </c>
      <c r="EY160" s="38">
        <v>16</v>
      </c>
      <c r="EZ160" s="38">
        <v>16</v>
      </c>
      <c r="FA160" s="38">
        <v>16</v>
      </c>
      <c r="FB160" s="38">
        <v>16</v>
      </c>
      <c r="FC160" s="38">
        <v>16</v>
      </c>
      <c r="FD160" s="38">
        <v>16</v>
      </c>
      <c r="FE160" s="38">
        <v>16</v>
      </c>
      <c r="FF160" s="38">
        <v>9</v>
      </c>
      <c r="FG160" s="38">
        <v>9</v>
      </c>
      <c r="FH160" s="38">
        <v>9</v>
      </c>
      <c r="FI160" s="38">
        <v>9</v>
      </c>
      <c r="FJ160" s="38">
        <v>9</v>
      </c>
      <c r="FK160" s="38">
        <v>9</v>
      </c>
      <c r="FL160" s="38">
        <v>9</v>
      </c>
      <c r="FM160" s="38">
        <v>2</v>
      </c>
      <c r="FN160" s="38">
        <v>2</v>
      </c>
      <c r="FO160" s="38">
        <v>2</v>
      </c>
      <c r="FP160" s="38">
        <v>9</v>
      </c>
      <c r="FQ160" s="38">
        <v>9</v>
      </c>
      <c r="FR160" s="38">
        <v>9</v>
      </c>
      <c r="FS160" s="38">
        <v>9</v>
      </c>
      <c r="FT160" s="38">
        <v>10</v>
      </c>
      <c r="FU160" s="38">
        <v>9</v>
      </c>
      <c r="FV160" s="38">
        <v>9</v>
      </c>
      <c r="FW160" s="38">
        <v>0</v>
      </c>
      <c r="FX160" s="38">
        <v>0</v>
      </c>
      <c r="FY160" s="38">
        <v>9</v>
      </c>
      <c r="FZ160" s="38">
        <v>16</v>
      </c>
      <c r="GA160" s="38">
        <v>9</v>
      </c>
      <c r="GB160" s="38">
        <v>9</v>
      </c>
      <c r="GC160" s="38">
        <v>9</v>
      </c>
      <c r="GD160" s="38">
        <v>16</v>
      </c>
      <c r="GE160" s="38">
        <v>16</v>
      </c>
      <c r="GF160" s="38">
        <v>1</v>
      </c>
      <c r="GG160" s="38">
        <v>1</v>
      </c>
      <c r="GH160" s="39">
        <v>1</v>
      </c>
    </row>
    <row r="161" spans="1:190" x14ac:dyDescent="0.3">
      <c r="A161" s="29" t="s">
        <v>116</v>
      </c>
      <c r="B161" s="40">
        <f>ROUNDUP(B160/2542,0)</f>
        <v>202</v>
      </c>
      <c r="C161" s="41">
        <f t="shared" ref="C161:BJ161" si="65">ROUNDUP(C160/2542,0)</f>
        <v>202</v>
      </c>
      <c r="D161" s="41">
        <f t="shared" si="65"/>
        <v>202</v>
      </c>
      <c r="E161" s="41">
        <f t="shared" si="65"/>
        <v>202</v>
      </c>
      <c r="F161" s="41">
        <f t="shared" si="65"/>
        <v>202</v>
      </c>
      <c r="G161" s="41">
        <f t="shared" si="65"/>
        <v>202</v>
      </c>
      <c r="H161" s="41">
        <f t="shared" si="65"/>
        <v>202</v>
      </c>
      <c r="I161" s="41">
        <f t="shared" si="65"/>
        <v>202</v>
      </c>
      <c r="J161" s="41">
        <f t="shared" si="65"/>
        <v>4</v>
      </c>
      <c r="K161" s="41">
        <f t="shared" si="65"/>
        <v>4</v>
      </c>
      <c r="L161" s="41">
        <f t="shared" si="65"/>
        <v>4</v>
      </c>
      <c r="M161" s="41">
        <f t="shared" si="65"/>
        <v>4</v>
      </c>
      <c r="N161" s="41">
        <f t="shared" si="65"/>
        <v>4</v>
      </c>
      <c r="O161" s="41">
        <f t="shared" si="65"/>
        <v>7</v>
      </c>
      <c r="P161" s="41">
        <f t="shared" si="65"/>
        <v>7</v>
      </c>
      <c r="Q161" s="41">
        <f t="shared" si="65"/>
        <v>50</v>
      </c>
      <c r="R161" s="41">
        <f t="shared" si="65"/>
        <v>50</v>
      </c>
      <c r="S161" s="41">
        <f t="shared" si="65"/>
        <v>50</v>
      </c>
      <c r="T161" s="41">
        <f t="shared" si="65"/>
        <v>7</v>
      </c>
      <c r="U161" s="41">
        <f t="shared" si="65"/>
        <v>7</v>
      </c>
      <c r="V161" s="41">
        <f t="shared" si="65"/>
        <v>58</v>
      </c>
      <c r="W161" s="41">
        <f t="shared" si="65"/>
        <v>58</v>
      </c>
      <c r="X161" s="41">
        <f t="shared" si="65"/>
        <v>58</v>
      </c>
      <c r="Y161" s="41">
        <f t="shared" si="65"/>
        <v>58</v>
      </c>
      <c r="Z161" s="41">
        <f t="shared" si="65"/>
        <v>2</v>
      </c>
      <c r="AA161" s="41">
        <f t="shared" si="65"/>
        <v>2</v>
      </c>
      <c r="AB161" s="41">
        <f t="shared" si="65"/>
        <v>2</v>
      </c>
      <c r="AC161" s="41">
        <f t="shared" si="65"/>
        <v>2</v>
      </c>
      <c r="AD161" s="41">
        <f t="shared" si="65"/>
        <v>2</v>
      </c>
      <c r="AE161" s="41">
        <f t="shared" si="65"/>
        <v>2</v>
      </c>
      <c r="AF161" s="41">
        <f t="shared" si="65"/>
        <v>4</v>
      </c>
      <c r="AG161" s="41">
        <f t="shared" si="65"/>
        <v>4</v>
      </c>
      <c r="AH161" s="41">
        <f t="shared" si="65"/>
        <v>1</v>
      </c>
      <c r="AI161" s="41">
        <f t="shared" si="65"/>
        <v>1</v>
      </c>
      <c r="AJ161" s="41">
        <f t="shared" si="65"/>
        <v>1</v>
      </c>
      <c r="AK161" s="41">
        <f t="shared" si="65"/>
        <v>1</v>
      </c>
      <c r="AL161" s="41">
        <f t="shared" si="65"/>
        <v>54</v>
      </c>
      <c r="AM161" s="41">
        <f t="shared" si="65"/>
        <v>54</v>
      </c>
      <c r="AN161" s="41">
        <f t="shared" si="65"/>
        <v>54</v>
      </c>
      <c r="AO161" s="41">
        <f t="shared" si="65"/>
        <v>2</v>
      </c>
      <c r="AP161" s="41">
        <f t="shared" si="65"/>
        <v>2</v>
      </c>
      <c r="AQ161" s="41">
        <f t="shared" si="65"/>
        <v>2</v>
      </c>
      <c r="AR161" s="41">
        <f t="shared" si="65"/>
        <v>2</v>
      </c>
      <c r="AS161" s="41">
        <f t="shared" si="65"/>
        <v>2</v>
      </c>
      <c r="AT161" s="41">
        <f t="shared" si="65"/>
        <v>2</v>
      </c>
      <c r="AU161" s="41">
        <f t="shared" si="65"/>
        <v>14</v>
      </c>
      <c r="AV161" s="41">
        <f t="shared" si="65"/>
        <v>5</v>
      </c>
      <c r="AW161" s="41">
        <f t="shared" si="65"/>
        <v>5</v>
      </c>
      <c r="AX161" s="41">
        <f t="shared" si="65"/>
        <v>5</v>
      </c>
      <c r="AY161" s="41">
        <f t="shared" si="65"/>
        <v>4</v>
      </c>
      <c r="AZ161" s="41">
        <f t="shared" si="65"/>
        <v>4</v>
      </c>
      <c r="BA161" s="41">
        <f t="shared" si="65"/>
        <v>4</v>
      </c>
      <c r="BB161" s="41">
        <f t="shared" si="65"/>
        <v>4</v>
      </c>
      <c r="BC161" s="41">
        <f t="shared" si="65"/>
        <v>32</v>
      </c>
      <c r="BD161" s="41">
        <f t="shared" si="65"/>
        <v>32</v>
      </c>
      <c r="BE161" s="41">
        <f t="shared" si="65"/>
        <v>32</v>
      </c>
      <c r="BF161" s="41">
        <f t="shared" si="65"/>
        <v>4</v>
      </c>
      <c r="BG161" s="41">
        <f t="shared" si="65"/>
        <v>4</v>
      </c>
      <c r="BH161" s="41">
        <f t="shared" si="65"/>
        <v>4</v>
      </c>
      <c r="BI161" s="41">
        <f t="shared" si="65"/>
        <v>4</v>
      </c>
      <c r="BJ161" s="42">
        <f t="shared" si="65"/>
        <v>4</v>
      </c>
      <c r="BM161" s="29" t="s">
        <v>116</v>
      </c>
      <c r="BN161" s="40">
        <f t="shared" ref="BN161:DV161" si="66">ROUNDUP(BN160/2542,0)</f>
        <v>208</v>
      </c>
      <c r="BO161" s="41">
        <f t="shared" si="66"/>
        <v>208</v>
      </c>
      <c r="BP161" s="41">
        <f t="shared" si="66"/>
        <v>208</v>
      </c>
      <c r="BQ161" s="41">
        <f t="shared" si="66"/>
        <v>208</v>
      </c>
      <c r="BR161" s="41">
        <f t="shared" si="66"/>
        <v>208</v>
      </c>
      <c r="BS161" s="41">
        <f t="shared" si="66"/>
        <v>208</v>
      </c>
      <c r="BT161" s="41">
        <f t="shared" si="66"/>
        <v>208</v>
      </c>
      <c r="BU161" s="41">
        <f t="shared" si="66"/>
        <v>208</v>
      </c>
      <c r="BV161" s="41">
        <f t="shared" si="66"/>
        <v>4</v>
      </c>
      <c r="BW161" s="41">
        <f t="shared" si="66"/>
        <v>4</v>
      </c>
      <c r="BX161" s="41">
        <f t="shared" si="66"/>
        <v>4</v>
      </c>
      <c r="BY161" s="41">
        <f t="shared" si="66"/>
        <v>4</v>
      </c>
      <c r="BZ161" s="41">
        <f t="shared" si="66"/>
        <v>4</v>
      </c>
      <c r="CA161" s="41">
        <f t="shared" si="66"/>
        <v>7</v>
      </c>
      <c r="CB161" s="41">
        <f t="shared" si="66"/>
        <v>7</v>
      </c>
      <c r="CC161" s="41">
        <f t="shared" si="66"/>
        <v>51</v>
      </c>
      <c r="CD161" s="41">
        <f t="shared" si="66"/>
        <v>51</v>
      </c>
      <c r="CE161" s="41">
        <f t="shared" si="66"/>
        <v>51</v>
      </c>
      <c r="CF161" s="41">
        <f t="shared" si="66"/>
        <v>7</v>
      </c>
      <c r="CG161" s="41">
        <f t="shared" si="66"/>
        <v>7</v>
      </c>
      <c r="CH161" s="41">
        <f t="shared" si="66"/>
        <v>59</v>
      </c>
      <c r="CI161" s="41">
        <f t="shared" si="66"/>
        <v>59</v>
      </c>
      <c r="CJ161" s="41">
        <f t="shared" si="66"/>
        <v>59</v>
      </c>
      <c r="CK161" s="41">
        <f t="shared" si="66"/>
        <v>59</v>
      </c>
      <c r="CL161" s="41">
        <f t="shared" si="66"/>
        <v>2</v>
      </c>
      <c r="CM161" s="41">
        <f t="shared" si="66"/>
        <v>2</v>
      </c>
      <c r="CN161" s="41">
        <f t="shared" si="66"/>
        <v>2</v>
      </c>
      <c r="CO161" s="41">
        <f t="shared" si="66"/>
        <v>2</v>
      </c>
      <c r="CP161" s="41">
        <f t="shared" si="66"/>
        <v>2</v>
      </c>
      <c r="CQ161" s="41">
        <f t="shared" si="66"/>
        <v>2</v>
      </c>
      <c r="CR161" s="41">
        <f t="shared" si="66"/>
        <v>4</v>
      </c>
      <c r="CS161" s="41">
        <f t="shared" si="66"/>
        <v>4</v>
      </c>
      <c r="CT161" s="41">
        <f t="shared" si="66"/>
        <v>1</v>
      </c>
      <c r="CU161" s="41">
        <f t="shared" si="66"/>
        <v>1</v>
      </c>
      <c r="CV161" s="41">
        <f t="shared" si="66"/>
        <v>1</v>
      </c>
      <c r="CW161" s="41">
        <f t="shared" si="66"/>
        <v>1</v>
      </c>
      <c r="CX161" s="41">
        <f t="shared" si="66"/>
        <v>56</v>
      </c>
      <c r="CY161" s="41">
        <f t="shared" si="66"/>
        <v>56</v>
      </c>
      <c r="CZ161" s="41">
        <f t="shared" si="66"/>
        <v>56</v>
      </c>
      <c r="DA161" s="41">
        <f t="shared" si="66"/>
        <v>2</v>
      </c>
      <c r="DB161" s="41">
        <f t="shared" si="66"/>
        <v>2</v>
      </c>
      <c r="DC161" s="41">
        <f t="shared" si="66"/>
        <v>2</v>
      </c>
      <c r="DD161" s="41">
        <f t="shared" si="66"/>
        <v>2</v>
      </c>
      <c r="DE161" s="41">
        <f t="shared" si="66"/>
        <v>2</v>
      </c>
      <c r="DF161" s="41">
        <f t="shared" si="66"/>
        <v>2</v>
      </c>
      <c r="DG161" s="41">
        <f t="shared" si="66"/>
        <v>14</v>
      </c>
      <c r="DH161" s="41">
        <f t="shared" si="66"/>
        <v>5</v>
      </c>
      <c r="DI161" s="41">
        <f t="shared" si="66"/>
        <v>5</v>
      </c>
      <c r="DJ161" s="41">
        <f t="shared" si="66"/>
        <v>5</v>
      </c>
      <c r="DK161" s="41">
        <f t="shared" si="66"/>
        <v>4</v>
      </c>
      <c r="DL161" s="41">
        <f t="shared" si="66"/>
        <v>4</v>
      </c>
      <c r="DM161" s="41">
        <f t="shared" si="66"/>
        <v>4</v>
      </c>
      <c r="DN161" s="41">
        <f t="shared" si="66"/>
        <v>4</v>
      </c>
      <c r="DO161" s="41">
        <f t="shared" si="66"/>
        <v>33</v>
      </c>
      <c r="DP161" s="41">
        <f t="shared" si="66"/>
        <v>33</v>
      </c>
      <c r="DQ161" s="41">
        <f t="shared" si="66"/>
        <v>33</v>
      </c>
      <c r="DR161" s="41">
        <f t="shared" si="66"/>
        <v>4</v>
      </c>
      <c r="DS161" s="41">
        <f t="shared" si="66"/>
        <v>4</v>
      </c>
      <c r="DT161" s="41">
        <f t="shared" si="66"/>
        <v>4</v>
      </c>
      <c r="DU161" s="41">
        <f t="shared" si="66"/>
        <v>4</v>
      </c>
      <c r="DV161" s="42">
        <f t="shared" si="66"/>
        <v>4</v>
      </c>
      <c r="DY161" s="29" t="s">
        <v>120</v>
      </c>
      <c r="DZ161" s="40">
        <v>32</v>
      </c>
      <c r="EA161" s="41">
        <v>32</v>
      </c>
      <c r="EB161" s="41">
        <v>32</v>
      </c>
      <c r="EC161" s="41">
        <v>32</v>
      </c>
      <c r="ED161" s="41">
        <v>32</v>
      </c>
      <c r="EE161" s="41">
        <v>32</v>
      </c>
      <c r="EF161" s="41">
        <v>32</v>
      </c>
      <c r="EG161" s="41">
        <v>32</v>
      </c>
      <c r="EH161" s="41">
        <v>32</v>
      </c>
      <c r="EI161" s="41">
        <v>32</v>
      </c>
      <c r="EJ161" s="41">
        <v>32</v>
      </c>
      <c r="EK161" s="41">
        <v>32</v>
      </c>
      <c r="EL161" s="41">
        <v>32</v>
      </c>
      <c r="EM161" s="41">
        <v>43</v>
      </c>
      <c r="EN161" s="41">
        <v>43</v>
      </c>
      <c r="EO161" s="41">
        <v>28</v>
      </c>
      <c r="EP161" s="41">
        <v>28</v>
      </c>
      <c r="EQ161" s="41">
        <v>28</v>
      </c>
      <c r="ER161" s="41">
        <v>28</v>
      </c>
      <c r="ES161" s="41">
        <v>28</v>
      </c>
      <c r="ET161" s="41">
        <v>28</v>
      </c>
      <c r="EU161" s="41">
        <v>28</v>
      </c>
      <c r="EV161" s="41">
        <v>28</v>
      </c>
      <c r="EW161" s="41">
        <v>28</v>
      </c>
      <c r="EX161" s="41">
        <v>28</v>
      </c>
      <c r="EY161" s="41">
        <v>28</v>
      </c>
      <c r="EZ161" s="41">
        <v>28</v>
      </c>
      <c r="FA161" s="41">
        <v>28</v>
      </c>
      <c r="FB161" s="41">
        <v>28</v>
      </c>
      <c r="FC161" s="41">
        <v>28</v>
      </c>
      <c r="FD161" s="41">
        <v>28</v>
      </c>
      <c r="FE161" s="41">
        <v>28</v>
      </c>
      <c r="FF161" s="41">
        <v>35</v>
      </c>
      <c r="FG161" s="41">
        <v>35</v>
      </c>
      <c r="FH161" s="41">
        <v>35</v>
      </c>
      <c r="FI161" s="41">
        <v>35</v>
      </c>
      <c r="FJ161" s="41">
        <v>35</v>
      </c>
      <c r="FK161" s="41">
        <v>35</v>
      </c>
      <c r="FL161" s="41">
        <v>35</v>
      </c>
      <c r="FM161" s="41">
        <v>42</v>
      </c>
      <c r="FN161" s="41">
        <v>42</v>
      </c>
      <c r="FO161" s="41">
        <v>42</v>
      </c>
      <c r="FP161" s="41">
        <v>35</v>
      </c>
      <c r="FQ161" s="41">
        <v>35</v>
      </c>
      <c r="FR161" s="41">
        <v>35</v>
      </c>
      <c r="FS161" s="41">
        <v>35</v>
      </c>
      <c r="FT161" s="41">
        <v>34</v>
      </c>
      <c r="FU161" s="41">
        <v>35</v>
      </c>
      <c r="FV161" s="41">
        <v>35</v>
      </c>
      <c r="FW161" s="41">
        <v>44</v>
      </c>
      <c r="FX161" s="41">
        <v>44</v>
      </c>
      <c r="FY161" s="41">
        <v>35</v>
      </c>
      <c r="FZ161" s="41">
        <v>28</v>
      </c>
      <c r="GA161" s="41">
        <v>35</v>
      </c>
      <c r="GB161" s="41">
        <v>35</v>
      </c>
      <c r="GC161" s="41">
        <v>35</v>
      </c>
      <c r="GD161" s="41">
        <v>28</v>
      </c>
      <c r="GE161" s="41">
        <v>28</v>
      </c>
      <c r="GF161" s="41">
        <v>43</v>
      </c>
      <c r="GG161" s="41">
        <v>43</v>
      </c>
      <c r="GH161" s="42">
        <v>43</v>
      </c>
    </row>
    <row r="162" spans="1:190" x14ac:dyDescent="0.3">
      <c r="A162" s="34" t="s">
        <v>1</v>
      </c>
      <c r="B162" s="6">
        <f>IF(AND(Distances!BO105=0,Distances!EA105=0),BN162*DZ162*B161*2,"")</f>
        <v>0</v>
      </c>
      <c r="C162" s="7">
        <f>IF(AND(Distances!BP105=0,Distances!EB105=0),BO162*EA162*C161*2,"")</f>
        <v>5106.0105600000006</v>
      </c>
      <c r="D162" s="7" t="s">
        <v>62</v>
      </c>
      <c r="E162" s="7">
        <f>IF(AND(Distances!BR105=0,Distances!ED105=0),BQ162*EC162*E161*2,"")</f>
        <v>3435.5675199999996</v>
      </c>
      <c r="F162" s="7" t="s">
        <v>62</v>
      </c>
      <c r="G162" s="7" t="s">
        <v>62</v>
      </c>
      <c r="H162" s="7">
        <f>IF(AND(Distances!BU105=0,Distances!EG105=0),BT162*EF162*H161*2,"")</f>
        <v>18148.916239999999</v>
      </c>
      <c r="I162" s="7">
        <f>IF(AND(Distances!BV105=0,Distances!EH105=0),BU162*EG162*I161*2,"")</f>
        <v>15613.161759999999</v>
      </c>
      <c r="J162" s="7" t="s">
        <v>62</v>
      </c>
      <c r="K162" s="7">
        <f>IF(AND(Distances!BX105=0,Distances!EJ105=0),BW162*EI162*K161*2,"")</f>
        <v>70.720159999999993</v>
      </c>
      <c r="L162" s="7" t="s">
        <v>62</v>
      </c>
      <c r="M162" s="7">
        <f>IF(AND(Distances!BZ105=0,Distances!EL105=0),BY162*EK162*M161*2,"")</f>
        <v>362.90687999999994</v>
      </c>
      <c r="N162" s="7" t="s">
        <v>62</v>
      </c>
      <c r="O162" s="8" t="s">
        <v>62</v>
      </c>
      <c r="P162" s="8" t="s">
        <v>62</v>
      </c>
      <c r="Q162" s="8">
        <f>IF(AND(Distances!CD105=0,Distances!EP105=0),CC162*EO162*Q161*2,"")</f>
        <v>696.33</v>
      </c>
      <c r="R162" s="8">
        <f>IF(AND(Distances!CE105=0,Distances!EQ105=0),CD162*EP162*R161*2,"")</f>
        <v>689.76599999999996</v>
      </c>
      <c r="S162" s="8">
        <f>IF(AND(Distances!CF105=0,Distances!ER105=0),CE162*EQ162*S161*2,"")</f>
        <v>709.45200000000011</v>
      </c>
      <c r="T162" s="8" t="s">
        <v>62</v>
      </c>
      <c r="U162" s="8" t="s">
        <v>62</v>
      </c>
      <c r="V162" s="8" t="s">
        <v>62</v>
      </c>
      <c r="W162" s="8">
        <f>IF(AND(Distances!CJ105=0,Distances!EV105=0),CI162*EU162*W161*2,"")</f>
        <v>792.51432000000011</v>
      </c>
      <c r="X162" s="8" t="s">
        <v>62</v>
      </c>
      <c r="Y162" s="8" t="s">
        <v>62</v>
      </c>
      <c r="Z162" s="8" t="s">
        <v>62</v>
      </c>
      <c r="AA162" s="8" t="s">
        <v>62</v>
      </c>
      <c r="AB162" s="8" t="s">
        <v>62</v>
      </c>
      <c r="AC162" s="8">
        <f>IF(AND(Distances!CP105=0,Distances!FB105=0),CO162*FA162*AC161*2,"")</f>
        <v>3.7821600000000002</v>
      </c>
      <c r="AD162" s="8">
        <f>IF(AND(Distances!CQ105=0,Distances!FC105=0),CP162*FB162*AD161*2,"")</f>
        <v>33.59592</v>
      </c>
      <c r="AE162" s="8" t="s">
        <v>62</v>
      </c>
      <c r="AF162" s="8" t="s">
        <v>62</v>
      </c>
      <c r="AG162" s="8" t="s">
        <v>62</v>
      </c>
      <c r="AH162" s="8" t="s">
        <v>62</v>
      </c>
      <c r="AI162" s="8">
        <f>IF(AND(Distances!CV105=0,Distances!FH105=0),CU162*FG162*AI161*2,"")</f>
        <v>20.961216</v>
      </c>
      <c r="AJ162" s="8" t="s">
        <v>62</v>
      </c>
      <c r="AK162" s="8">
        <f>IF(AND(Distances!CX105=0,Distances!FJ105=0),CW162*FI162*AK161*2,"")</f>
        <v>21.571391999999999</v>
      </c>
      <c r="AL162" s="8">
        <f>IF(AND(Distances!CY105=0,Distances!FK105=0),CX162*FJ162*AL161*2,"")</f>
        <v>1053.3473280000001</v>
      </c>
      <c r="AM162" s="8">
        <f>IF(AND(Distances!CZ105=0,Distances!FL105=0),CY162*FK162*AM161*2,"")</f>
        <v>1053.3473280000001</v>
      </c>
      <c r="AN162" s="8" t="s">
        <v>62</v>
      </c>
      <c r="AO162" s="8">
        <f>IF(AND(Distances!DB105=0,Distances!FN105=0),DA162*FM162*AO161*2,"")</f>
        <v>43.355840000000001</v>
      </c>
      <c r="AP162" s="8">
        <f>IF(AND(Distances!DC105=0,Distances!FO105=0),DB162*FN162*AP161*2,"")</f>
        <v>44.197279999999999</v>
      </c>
      <c r="AQ162" s="8">
        <f>IF(AND(Distances!DD105=0,Distances!FP105=0),DC162*FO162*AQ161*2,"")</f>
        <v>41.098080000000003</v>
      </c>
      <c r="AR162" s="8">
        <f>IF(AND(Distances!DE105=0,Distances!FQ105=0),DD162*FP162*AR161*2,"")</f>
        <v>56.076096</v>
      </c>
      <c r="AS162" s="8" t="s">
        <v>62</v>
      </c>
      <c r="AT162" s="8" t="s">
        <v>62</v>
      </c>
      <c r="AU162" s="8" t="s">
        <v>62</v>
      </c>
      <c r="AV162" s="8" t="s">
        <v>62</v>
      </c>
      <c r="AW162" s="8" t="s">
        <v>62</v>
      </c>
      <c r="AX162" s="8">
        <f>IF(AND(Distances!DK105=0,Distances!FW105=0),DJ162*FV162*AX161*2,"")</f>
        <v>112.08864</v>
      </c>
      <c r="AY162" s="8">
        <f>IF(AND(Distances!DL105=0,Distances!FX105=0),DK162*FW162*AY161*2,"")</f>
        <v>0</v>
      </c>
      <c r="AZ162" s="8" t="s">
        <v>62</v>
      </c>
      <c r="BA162" s="8">
        <f>IF(AND(Distances!DN105=0,Distances!FZ105=0),DM162*FY162*BA161*2,"")</f>
        <v>101.223168</v>
      </c>
      <c r="BB162" s="8">
        <f>IF(AND(Distances!DO105=0,Distances!GA105=0),DN162*FZ162*BB161*2,"")</f>
        <v>97.739040000000003</v>
      </c>
      <c r="BC162" s="8">
        <f>IF(AND(Distances!DP105=0,Distances!GB105=0),DO162*GA162*BC161*2,"")</f>
        <v>670.46092799999997</v>
      </c>
      <c r="BD162" s="8" t="s">
        <v>62</v>
      </c>
      <c r="BE162" s="8">
        <f>IF(AND(Distances!DR105=0,Distances!GD105=0),DQ162*GC162*BE161*2,"")</f>
        <v>710.63347199999998</v>
      </c>
      <c r="BF162" s="8" t="s">
        <v>62</v>
      </c>
      <c r="BG162" s="8" t="s">
        <v>62</v>
      </c>
      <c r="BH162" s="8" t="s">
        <v>62</v>
      </c>
      <c r="BI162" s="8" t="s">
        <v>62</v>
      </c>
      <c r="BJ162" s="9" t="s">
        <v>62</v>
      </c>
      <c r="BM162" s="34" t="s">
        <v>1</v>
      </c>
      <c r="BN162" s="6">
        <v>0</v>
      </c>
      <c r="BO162" s="7">
        <v>758.3184</v>
      </c>
      <c r="BP162" s="7">
        <v>510.23279999999994</v>
      </c>
      <c r="BQ162" s="7">
        <v>510.23279999999994</v>
      </c>
      <c r="BR162" s="7">
        <v>540.48119999999994</v>
      </c>
      <c r="BS162" s="7">
        <v>2318.7864</v>
      </c>
      <c r="BT162" s="7">
        <v>2695.3835999999997</v>
      </c>
      <c r="BU162" s="7">
        <v>2318.7864</v>
      </c>
      <c r="BV162" s="7">
        <v>530.4011999999999</v>
      </c>
      <c r="BW162" s="7">
        <v>530.4011999999999</v>
      </c>
      <c r="BX162" s="7">
        <v>2721.8015999999998</v>
      </c>
      <c r="BY162" s="7">
        <v>2721.8015999999998</v>
      </c>
      <c r="BZ162" s="7">
        <v>803.30039999999997</v>
      </c>
      <c r="CA162" s="8">
        <v>814.16160000000002</v>
      </c>
      <c r="CB162" s="8">
        <v>1551.0347999999999</v>
      </c>
      <c r="CC162" s="8">
        <v>974.86199999999997</v>
      </c>
      <c r="CD162" s="8">
        <v>965.67239999999993</v>
      </c>
      <c r="CE162" s="8">
        <v>993.2328</v>
      </c>
      <c r="CF162" s="8">
        <v>947.30160000000001</v>
      </c>
      <c r="CG162" s="8">
        <v>1294.5155999999999</v>
      </c>
      <c r="CH162" s="8">
        <v>1599.1751999999999</v>
      </c>
      <c r="CI162" s="8">
        <v>956.4828</v>
      </c>
      <c r="CJ162" s="8">
        <v>1175.8571999999999</v>
      </c>
      <c r="CK162" s="8">
        <v>947.30160000000001</v>
      </c>
      <c r="CL162" s="8">
        <v>1409.7803999999999</v>
      </c>
      <c r="CM162" s="8">
        <v>1384.1604</v>
      </c>
      <c r="CN162" s="8">
        <v>1332.9371999999998</v>
      </c>
      <c r="CO162" s="8">
        <v>132.37559999999999</v>
      </c>
      <c r="CP162" s="8">
        <v>1175.8571999999999</v>
      </c>
      <c r="CQ162" s="8">
        <v>1599.1751999999999</v>
      </c>
      <c r="CR162" s="8">
        <v>1599.1751999999999</v>
      </c>
      <c r="CS162" s="8">
        <v>1599.1751999999999</v>
      </c>
      <c r="CT162" s="8">
        <v>1579.3344</v>
      </c>
      <c r="CU162" s="8">
        <v>1834.1063999999999</v>
      </c>
      <c r="CV162" s="8">
        <v>1579.3344</v>
      </c>
      <c r="CW162" s="8">
        <v>1887.4967999999999</v>
      </c>
      <c r="CX162" s="8">
        <v>1706.8127999999999</v>
      </c>
      <c r="CY162" s="8">
        <v>1706.8127999999999</v>
      </c>
      <c r="CZ162" s="8">
        <v>1706.8127999999999</v>
      </c>
      <c r="DA162" s="8">
        <v>2276.1815999999999</v>
      </c>
      <c r="DB162" s="8">
        <v>2320.3571999999999</v>
      </c>
      <c r="DC162" s="8">
        <v>2157.6491999999998</v>
      </c>
      <c r="DD162" s="8">
        <v>2453.3292000000001</v>
      </c>
      <c r="DE162" s="8">
        <v>2453.3292000000001</v>
      </c>
      <c r="DF162" s="8">
        <v>2453.3292000000001</v>
      </c>
      <c r="DG162" s="8">
        <v>1924.902</v>
      </c>
      <c r="DH162" s="8">
        <v>1742.9915999999998</v>
      </c>
      <c r="DI162" s="8">
        <v>1742.9915999999998</v>
      </c>
      <c r="DJ162" s="8">
        <v>1961.5511999999999</v>
      </c>
      <c r="DK162" s="8">
        <v>0</v>
      </c>
      <c r="DL162" s="8">
        <v>4528.5828000000001</v>
      </c>
      <c r="DM162" s="8">
        <v>2214.2568000000001</v>
      </c>
      <c r="DN162" s="8">
        <v>1710.4331999999999</v>
      </c>
      <c r="DO162" s="8">
        <v>1833.2915999999998</v>
      </c>
      <c r="DP162" s="8">
        <v>1961.5511999999999</v>
      </c>
      <c r="DQ162" s="8">
        <v>1943.1384</v>
      </c>
      <c r="DR162" s="8">
        <v>2389.002</v>
      </c>
      <c r="DS162" s="8">
        <v>1814.4168</v>
      </c>
      <c r="DT162" s="8">
        <v>1962.7524000000001</v>
      </c>
      <c r="DU162" s="8">
        <v>2155.7928000000002</v>
      </c>
      <c r="DV162" s="9">
        <v>2155.7928000000002</v>
      </c>
      <c r="DY162" s="34" t="s">
        <v>1</v>
      </c>
      <c r="DZ162" s="6">
        <v>0.6</v>
      </c>
      <c r="EA162" s="7">
        <f t="shared" ref="DZ162:EL174" si="67">0.2/12</f>
        <v>1.6666666666666666E-2</v>
      </c>
      <c r="EB162" s="7">
        <f t="shared" si="67"/>
        <v>1.6666666666666666E-2</v>
      </c>
      <c r="EC162" s="7">
        <f t="shared" si="67"/>
        <v>1.6666666666666666E-2</v>
      </c>
      <c r="ED162" s="7">
        <f t="shared" si="67"/>
        <v>1.6666666666666666E-2</v>
      </c>
      <c r="EE162" s="7">
        <f t="shared" si="67"/>
        <v>1.6666666666666666E-2</v>
      </c>
      <c r="EF162" s="7">
        <f t="shared" si="67"/>
        <v>1.6666666666666666E-2</v>
      </c>
      <c r="EG162" s="7">
        <f t="shared" si="67"/>
        <v>1.6666666666666666E-2</v>
      </c>
      <c r="EH162" s="7">
        <f t="shared" si="67"/>
        <v>1.6666666666666666E-2</v>
      </c>
      <c r="EI162" s="7">
        <f t="shared" si="67"/>
        <v>1.6666666666666666E-2</v>
      </c>
      <c r="EJ162" s="7">
        <f t="shared" si="67"/>
        <v>1.6666666666666666E-2</v>
      </c>
      <c r="EK162" s="7">
        <f t="shared" si="67"/>
        <v>1.6666666666666666E-2</v>
      </c>
      <c r="EL162" s="7">
        <f>0.2/12</f>
        <v>1.6666666666666666E-2</v>
      </c>
      <c r="EM162" s="8">
        <f>0.2/43</f>
        <v>4.6511627906976744E-3</v>
      </c>
      <c r="EN162" s="8">
        <v>4.6511627906976744E-3</v>
      </c>
      <c r="EO162" s="8">
        <f>0.2/28</f>
        <v>7.1428571428571435E-3</v>
      </c>
      <c r="EP162" s="8">
        <v>7.1428571428571435E-3</v>
      </c>
      <c r="EQ162" s="8">
        <v>7.1428571428571435E-3</v>
      </c>
      <c r="ER162" s="8">
        <v>7.1428571428571435E-3</v>
      </c>
      <c r="ES162" s="8">
        <v>7.1428571428571435E-3</v>
      </c>
      <c r="ET162" s="8">
        <v>7.1428571428571435E-3</v>
      </c>
      <c r="EU162" s="8">
        <v>7.1428571428571435E-3</v>
      </c>
      <c r="EV162" s="8">
        <v>7.1428571428571435E-3</v>
      </c>
      <c r="EW162" s="8">
        <v>7.1428571428571435E-3</v>
      </c>
      <c r="EX162" s="8">
        <v>7.1428571428571435E-3</v>
      </c>
      <c r="EY162" s="8">
        <v>7.1428571428571435E-3</v>
      </c>
      <c r="EZ162" s="8">
        <v>7.1428571428571435E-3</v>
      </c>
      <c r="FA162" s="8">
        <v>7.1428571428571435E-3</v>
      </c>
      <c r="FB162" s="8">
        <v>7.1428571428571435E-3</v>
      </c>
      <c r="FC162" s="8">
        <v>7.1428571428571435E-3</v>
      </c>
      <c r="FD162" s="8">
        <v>7.1428571428571435E-3</v>
      </c>
      <c r="FE162" s="8">
        <v>7.1428571428571435E-3</v>
      </c>
      <c r="FF162" s="8">
        <f>0.2/35</f>
        <v>5.7142857142857143E-3</v>
      </c>
      <c r="FG162" s="8">
        <v>5.7142857142857143E-3</v>
      </c>
      <c r="FH162" s="8">
        <v>5.7142857142857143E-3</v>
      </c>
      <c r="FI162" s="8">
        <v>5.7142857142857143E-3</v>
      </c>
      <c r="FJ162" s="8">
        <v>5.7142857142857143E-3</v>
      </c>
      <c r="FK162" s="8">
        <v>5.7142857142857143E-3</v>
      </c>
      <c r="FL162" s="8">
        <v>5.7142857142857143E-3</v>
      </c>
      <c r="FM162" s="8">
        <f>0.2/42</f>
        <v>4.7619047619047623E-3</v>
      </c>
      <c r="FN162" s="8">
        <v>4.7619047619047623E-3</v>
      </c>
      <c r="FO162" s="8">
        <v>4.7619047619047623E-3</v>
      </c>
      <c r="FP162" s="8">
        <f>0.2/35</f>
        <v>5.7142857142857143E-3</v>
      </c>
      <c r="FQ162" s="8">
        <v>5.7142857142857143E-3</v>
      </c>
      <c r="FR162" s="8">
        <v>5.7142857142857143E-3</v>
      </c>
      <c r="FS162" s="8">
        <v>5.7142857142857143E-3</v>
      </c>
      <c r="FT162" s="8">
        <f>0.2/34</f>
        <v>5.8823529411764705E-3</v>
      </c>
      <c r="FU162" s="8">
        <v>5.7142857142857143E-3</v>
      </c>
      <c r="FV162" s="8">
        <v>5.7142857142857143E-3</v>
      </c>
      <c r="FW162" s="8">
        <f>0.2/44</f>
        <v>4.5454545454545461E-3</v>
      </c>
      <c r="FX162" s="8">
        <v>4.5454545454545461E-3</v>
      </c>
      <c r="FY162" s="8">
        <f>0.2/35</f>
        <v>5.7142857142857143E-3</v>
      </c>
      <c r="FZ162" s="8">
        <f>0.2/28</f>
        <v>7.1428571428571435E-3</v>
      </c>
      <c r="GA162" s="8">
        <v>5.7142857142857143E-3</v>
      </c>
      <c r="GB162" s="8">
        <v>5.7142857142857143E-3</v>
      </c>
      <c r="GC162" s="8">
        <v>5.7142857142857143E-3</v>
      </c>
      <c r="GD162" s="8">
        <v>7.1428571428571435E-3</v>
      </c>
      <c r="GE162" s="8">
        <v>7.1428571428571435E-3</v>
      </c>
      <c r="GF162" s="8">
        <f>0.2/43</f>
        <v>4.6511627906976744E-3</v>
      </c>
      <c r="GG162" s="8">
        <v>4.6511627906976744E-3</v>
      </c>
      <c r="GH162" s="9">
        <v>4.6511627906976744E-3</v>
      </c>
    </row>
    <row r="163" spans="1:190" x14ac:dyDescent="0.3">
      <c r="A163" s="35" t="s">
        <v>2</v>
      </c>
      <c r="B163" s="11">
        <f>IF(AND(Distances!BO106=0,Distances!EA106=0),BN163*DZ163*B161*2,"")</f>
        <v>5106.0105600000006</v>
      </c>
      <c r="C163" s="12">
        <f>IF(AND(Distances!BP106=0,Distances!EB106=0),BO163*EA163*C161*2,"")</f>
        <v>0</v>
      </c>
      <c r="D163" s="13" t="s">
        <v>62</v>
      </c>
      <c r="E163" s="13">
        <f>IF(AND(Distances!BR106=0,Distances!ED106=0),BQ163*EC163*E161*2,"")</f>
        <v>5362.001119999999</v>
      </c>
      <c r="F163" s="13" t="s">
        <v>62</v>
      </c>
      <c r="G163" s="13" t="s">
        <v>62</v>
      </c>
      <c r="H163" s="13">
        <f>IF(AND(Distances!BU106=0,Distances!EG106=0),BT163*EF163*H161*2,"")</f>
        <v>12987.533439999997</v>
      </c>
      <c r="I163" s="13">
        <f>IF(AND(Distances!BV106=0,Distances!EH106=0),BU163*EG163*I161*2,"")</f>
        <v>10828.581679999999</v>
      </c>
      <c r="J163" s="13" t="s">
        <v>62</v>
      </c>
      <c r="K163" s="13">
        <f>IF(AND(Distances!BX106=0,Distances!EJ106=0),BW163*EI163*K161*2,"")</f>
        <v>110.37711999999999</v>
      </c>
      <c r="L163" s="13" t="s">
        <v>62</v>
      </c>
      <c r="M163" s="13">
        <f>IF(AND(Distances!BZ106=0,Distances!EL106=0),BY163*EK163*M161*2,"")</f>
        <v>259.69887999999997</v>
      </c>
      <c r="N163" s="13" t="s">
        <v>62</v>
      </c>
      <c r="O163" s="14" t="s">
        <v>62</v>
      </c>
      <c r="P163" s="14" t="s">
        <v>62</v>
      </c>
      <c r="Q163" s="14">
        <f>IF(AND(Distances!CD106=0,Distances!EP106=0),CC163*EO163*Q161*2,"")</f>
        <v>910.59600000000012</v>
      </c>
      <c r="R163" s="14">
        <f>IF(AND(Distances!CE106=0,Distances!EQ106=0),CD163*EP163*R161*2,"")</f>
        <v>902.01599999999985</v>
      </c>
      <c r="S163" s="14">
        <f>IF(AND(Distances!CF106=0,Distances!ER106=0),CE163*EQ163*S161*2,"")</f>
        <v>927.76200000000006</v>
      </c>
      <c r="T163" s="14" t="s">
        <v>62</v>
      </c>
      <c r="U163" s="14" t="s">
        <v>62</v>
      </c>
      <c r="V163" s="14" t="s">
        <v>62</v>
      </c>
      <c r="W163" s="14">
        <f>IF(AND(Distances!CJ106=0,Distances!EV106=0),CI163*EU163*W161*2,"")</f>
        <v>1036.3788</v>
      </c>
      <c r="X163" s="14" t="s">
        <v>62</v>
      </c>
      <c r="Y163" s="14" t="s">
        <v>62</v>
      </c>
      <c r="Z163" s="14" t="s">
        <v>62</v>
      </c>
      <c r="AA163" s="14" t="s">
        <v>62</v>
      </c>
      <c r="AB163" s="14" t="s">
        <v>62</v>
      </c>
      <c r="AC163" s="14">
        <f>IF(AND(Distances!CP106=0,Distances!FB106=0),CO163*FA163*AC161*2,"")</f>
        <v>45.379440000000002</v>
      </c>
      <c r="AD163" s="14">
        <f>IF(AND(Distances!CQ106=0,Distances!FC106=0),CP163*FB163*AD161*2,"")</f>
        <v>41.892240000000001</v>
      </c>
      <c r="AE163" s="14" t="s">
        <v>62</v>
      </c>
      <c r="AF163" s="14" t="s">
        <v>62</v>
      </c>
      <c r="AG163" s="14" t="s">
        <v>62</v>
      </c>
      <c r="AH163" s="14" t="s">
        <v>62</v>
      </c>
      <c r="AI163" s="14">
        <f>IF(AND(Distances!CV106=0,Distances!FH106=0),CU163*FG163*AI161*2,"")</f>
        <v>36.775776</v>
      </c>
      <c r="AJ163" s="14" t="s">
        <v>62</v>
      </c>
      <c r="AK163" s="14">
        <f>IF(AND(Distances!CX106=0,Distances!FJ106=0),CW163*FI163*AK161*2,"")</f>
        <v>37.846655999999996</v>
      </c>
      <c r="AL163" s="14">
        <f>IF(AND(Distances!CY106=0,Distances!FK106=0),CX163*FJ163*AL161*2,"")</f>
        <v>1258.7892479999998</v>
      </c>
      <c r="AM163" s="14">
        <f>IF(AND(Distances!CZ106=0,Distances!FL106=0),CY163*FK163*AM161*2,"")</f>
        <v>1258.7892479999998</v>
      </c>
      <c r="AN163" s="14" t="s">
        <v>62</v>
      </c>
      <c r="AO163" s="14">
        <f>IF(AND(Distances!DB106=0,Distances!FN106=0),DA163*FM163*AO161*2,"")</f>
        <v>48.864320000000006</v>
      </c>
      <c r="AP163" s="14">
        <f>IF(AND(Distances!DC106=0,Distances!FO106=0),DB163*FN163*AP161*2,"")</f>
        <v>49.812800000000003</v>
      </c>
      <c r="AQ163" s="14">
        <f>IF(AND(Distances!DD106=0,Distances!FP106=0),DC163*FO163*AQ161*2,"")</f>
        <v>52.180480000000003</v>
      </c>
      <c r="AR163" s="14">
        <f>IF(AND(Distances!DE106=0,Distances!FQ106=0),DD163*FP163*AR161*2,"")</f>
        <v>43.016639999999995</v>
      </c>
      <c r="AS163" s="14" t="s">
        <v>62</v>
      </c>
      <c r="AT163" s="14" t="s">
        <v>62</v>
      </c>
      <c r="AU163" s="14" t="s">
        <v>62</v>
      </c>
      <c r="AV163" s="14" t="s">
        <v>62</v>
      </c>
      <c r="AW163" s="14" t="s">
        <v>62</v>
      </c>
      <c r="AX163" s="14">
        <f>IF(AND(Distances!DK106=0,Distances!FW106=0),DJ163*FV163*AX161*2,"")</f>
        <v>108.12911999999999</v>
      </c>
      <c r="AY163" s="14">
        <f>IF(AND(Distances!DL106=0,Distances!FX106=0),DK163*FW163*AY161*2,"")</f>
        <v>0</v>
      </c>
      <c r="AZ163" s="14" t="s">
        <v>62</v>
      </c>
      <c r="BA163" s="14">
        <f>IF(AND(Distances!DN106=0,Distances!FZ106=0),DM163*FY163*BA161*2,"")</f>
        <v>97.356287999999992</v>
      </c>
      <c r="BB163" s="14">
        <f>IF(AND(Distances!DO106=0,Distances!GA106=0),DN163*FZ163*BB161*2,"")</f>
        <v>89.376960000000011</v>
      </c>
      <c r="BC163" s="14">
        <f>IF(AND(Distances!DP106=0,Distances!GB106=0),DO163*GA163*BC161*2,"")</f>
        <v>646.77580799999998</v>
      </c>
      <c r="BD163" s="14" t="s">
        <v>62</v>
      </c>
      <c r="BE163" s="14">
        <f>IF(AND(Distances!DR106=0,Distances!GD106=0),DQ163*GC163*BE161*2,"")</f>
        <v>685.55980799999998</v>
      </c>
      <c r="BF163" s="14" t="s">
        <v>62</v>
      </c>
      <c r="BG163" s="14" t="s">
        <v>62</v>
      </c>
      <c r="BH163" s="14" t="s">
        <v>62</v>
      </c>
      <c r="BI163" s="14" t="s">
        <v>62</v>
      </c>
      <c r="BJ163" s="15" t="s">
        <v>62</v>
      </c>
      <c r="BM163" s="35" t="s">
        <v>2</v>
      </c>
      <c r="BN163" s="11">
        <v>758.3184</v>
      </c>
      <c r="BO163" s="12">
        <v>0</v>
      </c>
      <c r="BP163" s="13">
        <v>796.33679999999993</v>
      </c>
      <c r="BQ163" s="13">
        <v>796.33679999999993</v>
      </c>
      <c r="BR163" s="13">
        <v>843.57839999999999</v>
      </c>
      <c r="BS163" s="13">
        <v>1608.2051999999999</v>
      </c>
      <c r="BT163" s="13">
        <v>1928.8415999999997</v>
      </c>
      <c r="BU163" s="13">
        <v>1608.2051999999999</v>
      </c>
      <c r="BV163" s="13">
        <v>827.82839999999999</v>
      </c>
      <c r="BW163" s="13">
        <v>827.82839999999999</v>
      </c>
      <c r="BX163" s="13">
        <v>1947.7415999999998</v>
      </c>
      <c r="BY163" s="13">
        <v>1947.7415999999998</v>
      </c>
      <c r="BZ163" s="13">
        <v>891.01319999999998</v>
      </c>
      <c r="CA163" s="14">
        <v>810.66719999999998</v>
      </c>
      <c r="CB163" s="14">
        <v>1542.8196</v>
      </c>
      <c r="CC163" s="14">
        <v>1274.8344</v>
      </c>
      <c r="CD163" s="14">
        <v>1262.8223999999998</v>
      </c>
      <c r="CE163" s="14">
        <v>1298.8668</v>
      </c>
      <c r="CF163" s="14">
        <v>1238.7816</v>
      </c>
      <c r="CG163" s="14">
        <v>1557.4607999999998</v>
      </c>
      <c r="CH163" s="14">
        <v>1865.5391999999999</v>
      </c>
      <c r="CI163" s="14">
        <v>1250.8019999999999</v>
      </c>
      <c r="CJ163" s="14">
        <v>1466.2284</v>
      </c>
      <c r="CK163" s="14">
        <v>1238.7816</v>
      </c>
      <c r="CL163" s="14">
        <v>1696.1532</v>
      </c>
      <c r="CM163" s="14">
        <v>1665.3335999999999</v>
      </c>
      <c r="CN163" s="14">
        <v>1603.6944000000001</v>
      </c>
      <c r="CO163" s="14">
        <v>1588.2803999999999</v>
      </c>
      <c r="CP163" s="14">
        <v>1466.2284</v>
      </c>
      <c r="CQ163" s="14">
        <v>1865.5391999999999</v>
      </c>
      <c r="CR163" s="14">
        <v>1865.5391999999999</v>
      </c>
      <c r="CS163" s="14">
        <v>1865.5391999999999</v>
      </c>
      <c r="CT163" s="14">
        <v>2824.3907999999997</v>
      </c>
      <c r="CU163" s="14">
        <v>3217.8804</v>
      </c>
      <c r="CV163" s="14">
        <v>2824.3907999999997</v>
      </c>
      <c r="CW163" s="14">
        <v>3311.5823999999998</v>
      </c>
      <c r="CX163" s="14">
        <v>2039.7047999999998</v>
      </c>
      <c r="CY163" s="14">
        <v>2039.7047999999998</v>
      </c>
      <c r="CZ163" s="14">
        <v>2039.7047999999998</v>
      </c>
      <c r="DA163" s="14">
        <v>2565.3768</v>
      </c>
      <c r="DB163" s="14">
        <v>2615.172</v>
      </c>
      <c r="DC163" s="14">
        <v>2739.4751999999999</v>
      </c>
      <c r="DD163" s="14">
        <v>1881.9779999999998</v>
      </c>
      <c r="DE163" s="14">
        <v>1881.9779999999998</v>
      </c>
      <c r="DF163" s="14">
        <v>1881.9779999999998</v>
      </c>
      <c r="DG163" s="14">
        <v>1856.9039999999998</v>
      </c>
      <c r="DH163" s="14">
        <v>1593.8663999999999</v>
      </c>
      <c r="DI163" s="14">
        <v>1593.8663999999999</v>
      </c>
      <c r="DJ163" s="14">
        <v>1892.2595999999999</v>
      </c>
      <c r="DK163" s="14">
        <v>0</v>
      </c>
      <c r="DL163" s="14">
        <v>4265.1840000000002</v>
      </c>
      <c r="DM163" s="14">
        <v>2129.6687999999999</v>
      </c>
      <c r="DN163" s="14">
        <v>1564.0968</v>
      </c>
      <c r="DO163" s="14">
        <v>1768.5275999999999</v>
      </c>
      <c r="DP163" s="14">
        <v>1892.2595999999999</v>
      </c>
      <c r="DQ163" s="14">
        <v>1874.5775999999998</v>
      </c>
      <c r="DR163" s="14">
        <v>2325.1367999999998</v>
      </c>
      <c r="DS163" s="14">
        <v>1777.1879999999999</v>
      </c>
      <c r="DT163" s="14">
        <v>1750.9631999999999</v>
      </c>
      <c r="DU163" s="14">
        <v>2032.6656</v>
      </c>
      <c r="DV163" s="15">
        <v>2032.6656</v>
      </c>
      <c r="DY163" s="35" t="s">
        <v>2</v>
      </c>
      <c r="DZ163" s="11">
        <f>0.2/12</f>
        <v>1.6666666666666666E-2</v>
      </c>
      <c r="EA163" s="12">
        <v>0.6</v>
      </c>
      <c r="EB163" s="13">
        <f t="shared" si="67"/>
        <v>1.6666666666666666E-2</v>
      </c>
      <c r="EC163" s="13">
        <f t="shared" si="67"/>
        <v>1.6666666666666666E-2</v>
      </c>
      <c r="ED163" s="13">
        <f t="shared" si="67"/>
        <v>1.6666666666666666E-2</v>
      </c>
      <c r="EE163" s="13">
        <f t="shared" si="67"/>
        <v>1.6666666666666666E-2</v>
      </c>
      <c r="EF163" s="13">
        <f t="shared" si="67"/>
        <v>1.6666666666666666E-2</v>
      </c>
      <c r="EG163" s="13">
        <f t="shared" si="67"/>
        <v>1.6666666666666666E-2</v>
      </c>
      <c r="EH163" s="13">
        <f t="shared" si="67"/>
        <v>1.6666666666666666E-2</v>
      </c>
      <c r="EI163" s="13">
        <f t="shared" si="67"/>
        <v>1.6666666666666666E-2</v>
      </c>
      <c r="EJ163" s="13">
        <f t="shared" si="67"/>
        <v>1.6666666666666666E-2</v>
      </c>
      <c r="EK163" s="13">
        <f t="shared" si="67"/>
        <v>1.6666666666666666E-2</v>
      </c>
      <c r="EL163" s="13">
        <f t="shared" si="67"/>
        <v>1.6666666666666666E-2</v>
      </c>
      <c r="EM163" s="14">
        <v>4.6511627906976744E-3</v>
      </c>
      <c r="EN163" s="14">
        <v>4.6511627906976744E-3</v>
      </c>
      <c r="EO163" s="14">
        <v>7.1428571428571435E-3</v>
      </c>
      <c r="EP163" s="14">
        <v>7.1428571428571435E-3</v>
      </c>
      <c r="EQ163" s="14">
        <v>7.1428571428571435E-3</v>
      </c>
      <c r="ER163" s="14">
        <v>7.1428571428571435E-3</v>
      </c>
      <c r="ES163" s="14">
        <v>7.1428571428571435E-3</v>
      </c>
      <c r="ET163" s="14">
        <v>7.1428571428571435E-3</v>
      </c>
      <c r="EU163" s="14">
        <v>7.1428571428571435E-3</v>
      </c>
      <c r="EV163" s="14">
        <v>7.1428571428571435E-3</v>
      </c>
      <c r="EW163" s="14">
        <v>7.1428571428571435E-3</v>
      </c>
      <c r="EX163" s="14">
        <v>7.1428571428571435E-3</v>
      </c>
      <c r="EY163" s="14">
        <v>7.1428571428571435E-3</v>
      </c>
      <c r="EZ163" s="14">
        <v>7.1428571428571435E-3</v>
      </c>
      <c r="FA163" s="14">
        <v>7.1428571428571435E-3</v>
      </c>
      <c r="FB163" s="14">
        <v>7.1428571428571435E-3</v>
      </c>
      <c r="FC163" s="14">
        <v>7.1428571428571435E-3</v>
      </c>
      <c r="FD163" s="14">
        <v>7.1428571428571435E-3</v>
      </c>
      <c r="FE163" s="14">
        <v>7.1428571428571435E-3</v>
      </c>
      <c r="FF163" s="14">
        <v>5.7142857142857143E-3</v>
      </c>
      <c r="FG163" s="14">
        <v>5.7142857142857143E-3</v>
      </c>
      <c r="FH163" s="14">
        <v>5.7142857142857143E-3</v>
      </c>
      <c r="FI163" s="14">
        <v>5.7142857142857143E-3</v>
      </c>
      <c r="FJ163" s="14">
        <v>5.7142857142857143E-3</v>
      </c>
      <c r="FK163" s="14">
        <v>5.7142857142857143E-3</v>
      </c>
      <c r="FL163" s="14">
        <v>5.7142857142857143E-3</v>
      </c>
      <c r="FM163" s="14">
        <v>4.7619047619047623E-3</v>
      </c>
      <c r="FN163" s="14">
        <v>4.7619047619047623E-3</v>
      </c>
      <c r="FO163" s="14">
        <v>4.7619047619047623E-3</v>
      </c>
      <c r="FP163" s="14">
        <v>5.7142857142857143E-3</v>
      </c>
      <c r="FQ163" s="14">
        <v>5.7142857142857143E-3</v>
      </c>
      <c r="FR163" s="14">
        <v>5.7142857142857143E-3</v>
      </c>
      <c r="FS163" s="14">
        <v>5.7142857142857143E-3</v>
      </c>
      <c r="FT163" s="14">
        <v>5.8823529411764705E-3</v>
      </c>
      <c r="FU163" s="14">
        <v>5.7142857142857143E-3</v>
      </c>
      <c r="FV163" s="14">
        <v>5.7142857142857143E-3</v>
      </c>
      <c r="FW163" s="14">
        <v>4.5454545454545461E-3</v>
      </c>
      <c r="FX163" s="14">
        <v>4.5454545454545461E-3</v>
      </c>
      <c r="FY163" s="14">
        <v>5.7142857142857143E-3</v>
      </c>
      <c r="FZ163" s="14">
        <v>7.1428571428571435E-3</v>
      </c>
      <c r="GA163" s="14">
        <v>5.7142857142857143E-3</v>
      </c>
      <c r="GB163" s="14">
        <v>5.7142857142857143E-3</v>
      </c>
      <c r="GC163" s="14">
        <v>5.7142857142857143E-3</v>
      </c>
      <c r="GD163" s="14">
        <v>7.1428571428571435E-3</v>
      </c>
      <c r="GE163" s="14">
        <v>7.1428571428571435E-3</v>
      </c>
      <c r="GF163" s="14">
        <v>4.6511627906976744E-3</v>
      </c>
      <c r="GG163" s="14">
        <v>4.6511627906976744E-3</v>
      </c>
      <c r="GH163" s="15">
        <v>4.6511627906976744E-3</v>
      </c>
    </row>
    <row r="164" spans="1:190" x14ac:dyDescent="0.3">
      <c r="A164" s="35" t="s">
        <v>3</v>
      </c>
      <c r="B164" s="11" t="s">
        <v>62</v>
      </c>
      <c r="C164" s="13" t="s">
        <v>62</v>
      </c>
      <c r="D164" s="12">
        <f>IF(AND(Distances!BQ107=0,Distances!EC107=0),BP164*EB164*D161*2,"")</f>
        <v>0</v>
      </c>
      <c r="E164" s="13" t="s">
        <v>62</v>
      </c>
      <c r="F164" s="13" t="s">
        <v>62</v>
      </c>
      <c r="G164" s="13" t="s">
        <v>62</v>
      </c>
      <c r="H164" s="13" t="s">
        <v>62</v>
      </c>
      <c r="I164" s="13" t="s">
        <v>62</v>
      </c>
      <c r="J164" s="13" t="s">
        <v>62</v>
      </c>
      <c r="K164" s="13" t="s">
        <v>62</v>
      </c>
      <c r="L164" s="13" t="s">
        <v>62</v>
      </c>
      <c r="M164" s="13" t="s">
        <v>62</v>
      </c>
      <c r="N164" s="13" t="s">
        <v>62</v>
      </c>
      <c r="O164" s="14" t="s">
        <v>62</v>
      </c>
      <c r="P164" s="14" t="s">
        <v>62</v>
      </c>
      <c r="Q164" s="14" t="s">
        <v>62</v>
      </c>
      <c r="R164" s="14" t="s">
        <v>62</v>
      </c>
      <c r="S164" s="14" t="s">
        <v>62</v>
      </c>
      <c r="T164" s="14" t="s">
        <v>62</v>
      </c>
      <c r="U164" s="14" t="s">
        <v>62</v>
      </c>
      <c r="V164" s="14" t="s">
        <v>62</v>
      </c>
      <c r="W164" s="14" t="s">
        <v>62</v>
      </c>
      <c r="X164" s="14" t="s">
        <v>62</v>
      </c>
      <c r="Y164" s="14" t="s">
        <v>62</v>
      </c>
      <c r="Z164" s="14" t="s">
        <v>62</v>
      </c>
      <c r="AA164" s="14" t="s">
        <v>62</v>
      </c>
      <c r="AB164" s="14" t="s">
        <v>62</v>
      </c>
      <c r="AC164" s="14" t="s">
        <v>62</v>
      </c>
      <c r="AD164" s="14" t="s">
        <v>62</v>
      </c>
      <c r="AE164" s="14" t="s">
        <v>62</v>
      </c>
      <c r="AF164" s="14" t="s">
        <v>62</v>
      </c>
      <c r="AG164" s="14" t="s">
        <v>62</v>
      </c>
      <c r="AH164" s="14" t="s">
        <v>62</v>
      </c>
      <c r="AI164" s="14" t="s">
        <v>62</v>
      </c>
      <c r="AJ164" s="14" t="s">
        <v>62</v>
      </c>
      <c r="AK164" s="14" t="s">
        <v>62</v>
      </c>
      <c r="AL164" s="14" t="s">
        <v>62</v>
      </c>
      <c r="AM164" s="14" t="s">
        <v>62</v>
      </c>
      <c r="AN164" s="14" t="s">
        <v>62</v>
      </c>
      <c r="AO164" s="14" t="s">
        <v>62</v>
      </c>
      <c r="AP164" s="14" t="s">
        <v>62</v>
      </c>
      <c r="AQ164" s="14" t="s">
        <v>62</v>
      </c>
      <c r="AR164" s="14" t="s">
        <v>62</v>
      </c>
      <c r="AS164" s="14" t="s">
        <v>62</v>
      </c>
      <c r="AT164" s="14" t="s">
        <v>62</v>
      </c>
      <c r="AU164" s="14" t="s">
        <v>62</v>
      </c>
      <c r="AV164" s="14" t="s">
        <v>62</v>
      </c>
      <c r="AW164" s="14" t="s">
        <v>62</v>
      </c>
      <c r="AX164" s="14" t="s">
        <v>62</v>
      </c>
      <c r="AY164" s="14" t="s">
        <v>62</v>
      </c>
      <c r="AZ164" s="14" t="s">
        <v>62</v>
      </c>
      <c r="BA164" s="14" t="s">
        <v>62</v>
      </c>
      <c r="BB164" s="14" t="s">
        <v>62</v>
      </c>
      <c r="BC164" s="14" t="s">
        <v>62</v>
      </c>
      <c r="BD164" s="14" t="s">
        <v>62</v>
      </c>
      <c r="BE164" s="14" t="s">
        <v>62</v>
      </c>
      <c r="BF164" s="14" t="s">
        <v>62</v>
      </c>
      <c r="BG164" s="14" t="s">
        <v>62</v>
      </c>
      <c r="BH164" s="14" t="s">
        <v>62</v>
      </c>
      <c r="BI164" s="14" t="s">
        <v>62</v>
      </c>
      <c r="BJ164" s="15" t="s">
        <v>62</v>
      </c>
      <c r="BM164" s="35" t="s">
        <v>3</v>
      </c>
      <c r="BN164" s="11">
        <v>510.23279999999994</v>
      </c>
      <c r="BO164" s="13">
        <v>796.33679999999993</v>
      </c>
      <c r="BP164" s="12">
        <v>0</v>
      </c>
      <c r="BQ164" s="13">
        <v>0</v>
      </c>
      <c r="BR164" s="13">
        <v>452.05439999999993</v>
      </c>
      <c r="BS164" s="13">
        <v>2449.1543999999999</v>
      </c>
      <c r="BT164" s="13">
        <v>2676.9539999999997</v>
      </c>
      <c r="BU164" s="13">
        <v>2449.1543999999999</v>
      </c>
      <c r="BV164" s="13">
        <v>443.62079999999997</v>
      </c>
      <c r="BW164" s="13">
        <v>443.62079999999997</v>
      </c>
      <c r="BX164" s="13">
        <v>2703.1871999999998</v>
      </c>
      <c r="BY164" s="13">
        <v>2703.1871999999998</v>
      </c>
      <c r="BZ164" s="13">
        <v>1064.3555999999999</v>
      </c>
      <c r="CA164" s="14">
        <v>1656.0935999999999</v>
      </c>
      <c r="CB164" s="14">
        <v>1374.1392000000001</v>
      </c>
      <c r="CC164" s="14">
        <v>781.8803999999999</v>
      </c>
      <c r="CD164" s="14">
        <v>774.5136</v>
      </c>
      <c r="CE164" s="14">
        <v>796.61400000000003</v>
      </c>
      <c r="CF164" s="14">
        <v>759.78</v>
      </c>
      <c r="CG164" s="14">
        <v>864.71280000000002</v>
      </c>
      <c r="CH164" s="14">
        <v>1125.6504</v>
      </c>
      <c r="CI164" s="14">
        <v>767.14679999999998</v>
      </c>
      <c r="CJ164" s="14">
        <v>903.94920000000002</v>
      </c>
      <c r="CK164" s="14">
        <v>759.78</v>
      </c>
      <c r="CL164" s="14">
        <v>941.67359999999996</v>
      </c>
      <c r="CM164" s="14">
        <v>924.57119999999998</v>
      </c>
      <c r="CN164" s="14">
        <v>890.3664</v>
      </c>
      <c r="CO164" s="14">
        <v>881.81519999999989</v>
      </c>
      <c r="CP164" s="14">
        <v>903.94920000000002</v>
      </c>
      <c r="CQ164" s="14">
        <v>1125.6504</v>
      </c>
      <c r="CR164" s="14">
        <v>1125.6504</v>
      </c>
      <c r="CS164" s="14">
        <v>1125.6504</v>
      </c>
      <c r="CT164" s="14">
        <v>1892.9484000000002</v>
      </c>
      <c r="CU164" s="14">
        <v>1715.2967999999998</v>
      </c>
      <c r="CV164" s="14">
        <v>1892.9484000000002</v>
      </c>
      <c r="CW164" s="14">
        <v>1765.2264</v>
      </c>
      <c r="CX164" s="14">
        <v>1596.252</v>
      </c>
      <c r="CY164" s="14">
        <v>1596.252</v>
      </c>
      <c r="CZ164" s="14">
        <v>1596.252</v>
      </c>
      <c r="DA164" s="14">
        <v>2390.2115999999996</v>
      </c>
      <c r="DB164" s="14">
        <v>2436.6047999999996</v>
      </c>
      <c r="DC164" s="14">
        <v>2258.9867999999997</v>
      </c>
      <c r="DD164" s="14">
        <v>2016.9324000000001</v>
      </c>
      <c r="DE164" s="14">
        <v>2016.9324000000001</v>
      </c>
      <c r="DF164" s="14">
        <v>2016.9324000000001</v>
      </c>
      <c r="DG164" s="14">
        <v>2160.7235999999998</v>
      </c>
      <c r="DH164" s="14">
        <v>1945.7256</v>
      </c>
      <c r="DI164" s="14">
        <v>1945.7256</v>
      </c>
      <c r="DJ164" s="14">
        <v>2201.8584000000001</v>
      </c>
      <c r="DK164" s="14">
        <v>0</v>
      </c>
      <c r="DL164" s="14">
        <v>3890.8631999999993</v>
      </c>
      <c r="DM164" s="14">
        <v>1993.4964</v>
      </c>
      <c r="DN164" s="14">
        <v>1909.3788</v>
      </c>
      <c r="DO164" s="14">
        <v>2057.8739999999998</v>
      </c>
      <c r="DP164" s="14">
        <v>2201.8584000000001</v>
      </c>
      <c r="DQ164" s="14">
        <v>2181.2867999999999</v>
      </c>
      <c r="DR164" s="14">
        <v>1959.5520000000001</v>
      </c>
      <c r="DS164" s="14">
        <v>1454.25</v>
      </c>
      <c r="DT164" s="14">
        <v>2019.1584</v>
      </c>
      <c r="DU164" s="14">
        <v>2217.2051999999999</v>
      </c>
      <c r="DV164" s="15">
        <v>2217.2051999999999</v>
      </c>
      <c r="DY164" s="35" t="s">
        <v>3</v>
      </c>
      <c r="DZ164" s="11">
        <f t="shared" si="67"/>
        <v>1.6666666666666666E-2</v>
      </c>
      <c r="EA164" s="11">
        <f t="shared" si="67"/>
        <v>1.6666666666666666E-2</v>
      </c>
      <c r="EB164" s="12">
        <v>0.6</v>
      </c>
      <c r="EC164" s="13">
        <f t="shared" si="67"/>
        <v>1.6666666666666666E-2</v>
      </c>
      <c r="ED164" s="13">
        <f t="shared" si="67"/>
        <v>1.6666666666666666E-2</v>
      </c>
      <c r="EE164" s="13">
        <f t="shared" si="67"/>
        <v>1.6666666666666666E-2</v>
      </c>
      <c r="EF164" s="13">
        <f t="shared" si="67"/>
        <v>1.6666666666666666E-2</v>
      </c>
      <c r="EG164" s="13">
        <f t="shared" si="67"/>
        <v>1.6666666666666666E-2</v>
      </c>
      <c r="EH164" s="13">
        <f t="shared" si="67"/>
        <v>1.6666666666666666E-2</v>
      </c>
      <c r="EI164" s="13">
        <f t="shared" si="67"/>
        <v>1.6666666666666666E-2</v>
      </c>
      <c r="EJ164" s="13">
        <f t="shared" si="67"/>
        <v>1.6666666666666666E-2</v>
      </c>
      <c r="EK164" s="13">
        <f t="shared" si="67"/>
        <v>1.6666666666666666E-2</v>
      </c>
      <c r="EL164" s="13">
        <f t="shared" si="67"/>
        <v>1.6666666666666666E-2</v>
      </c>
      <c r="EM164" s="14">
        <v>4.6511627906976744E-3</v>
      </c>
      <c r="EN164" s="14">
        <v>4.6511627906976744E-3</v>
      </c>
      <c r="EO164" s="14">
        <v>7.1428571428571435E-3</v>
      </c>
      <c r="EP164" s="14">
        <v>7.1428571428571435E-3</v>
      </c>
      <c r="EQ164" s="14">
        <v>7.1428571428571435E-3</v>
      </c>
      <c r="ER164" s="14">
        <v>7.1428571428571435E-3</v>
      </c>
      <c r="ES164" s="14">
        <v>7.1428571428571435E-3</v>
      </c>
      <c r="ET164" s="14">
        <v>7.1428571428571435E-3</v>
      </c>
      <c r="EU164" s="14">
        <v>7.1428571428571435E-3</v>
      </c>
      <c r="EV164" s="14">
        <v>7.1428571428571435E-3</v>
      </c>
      <c r="EW164" s="14">
        <v>7.1428571428571435E-3</v>
      </c>
      <c r="EX164" s="14">
        <v>7.1428571428571435E-3</v>
      </c>
      <c r="EY164" s="14">
        <v>7.1428571428571435E-3</v>
      </c>
      <c r="EZ164" s="14">
        <v>7.1428571428571435E-3</v>
      </c>
      <c r="FA164" s="14">
        <v>7.1428571428571435E-3</v>
      </c>
      <c r="FB164" s="14">
        <v>7.1428571428571435E-3</v>
      </c>
      <c r="FC164" s="14">
        <v>7.1428571428571435E-3</v>
      </c>
      <c r="FD164" s="14">
        <v>7.1428571428571435E-3</v>
      </c>
      <c r="FE164" s="14">
        <v>7.1428571428571435E-3</v>
      </c>
      <c r="FF164" s="14">
        <v>5.7142857142857143E-3</v>
      </c>
      <c r="FG164" s="14">
        <v>5.7142857142857143E-3</v>
      </c>
      <c r="FH164" s="14">
        <v>5.7142857142857143E-3</v>
      </c>
      <c r="FI164" s="14">
        <v>5.7142857142857143E-3</v>
      </c>
      <c r="FJ164" s="14">
        <v>5.7142857142857143E-3</v>
      </c>
      <c r="FK164" s="14">
        <v>5.7142857142857143E-3</v>
      </c>
      <c r="FL164" s="14">
        <v>5.7142857142857143E-3</v>
      </c>
      <c r="FM164" s="14">
        <v>4.7619047619047623E-3</v>
      </c>
      <c r="FN164" s="14">
        <v>4.7619047619047623E-3</v>
      </c>
      <c r="FO164" s="14">
        <v>4.7619047619047623E-3</v>
      </c>
      <c r="FP164" s="14">
        <v>5.7142857142857143E-3</v>
      </c>
      <c r="FQ164" s="14">
        <v>5.7142857142857143E-3</v>
      </c>
      <c r="FR164" s="14">
        <v>5.7142857142857143E-3</v>
      </c>
      <c r="FS164" s="14">
        <v>5.7142857142857143E-3</v>
      </c>
      <c r="FT164" s="14">
        <v>5.8823529411764705E-3</v>
      </c>
      <c r="FU164" s="14">
        <v>5.7142857142857143E-3</v>
      </c>
      <c r="FV164" s="14">
        <v>5.7142857142857143E-3</v>
      </c>
      <c r="FW164" s="14">
        <v>4.5454545454545461E-3</v>
      </c>
      <c r="FX164" s="14">
        <v>4.5454545454545461E-3</v>
      </c>
      <c r="FY164" s="14">
        <v>5.7142857142857143E-3</v>
      </c>
      <c r="FZ164" s="14">
        <v>7.1428571428571435E-3</v>
      </c>
      <c r="GA164" s="14">
        <v>5.7142857142857143E-3</v>
      </c>
      <c r="GB164" s="14">
        <v>5.7142857142857143E-3</v>
      </c>
      <c r="GC164" s="14">
        <v>5.7142857142857143E-3</v>
      </c>
      <c r="GD164" s="14">
        <v>7.1428571428571435E-3</v>
      </c>
      <c r="GE164" s="14">
        <v>7.1428571428571435E-3</v>
      </c>
      <c r="GF164" s="14">
        <v>4.6511627906976744E-3</v>
      </c>
      <c r="GG164" s="14">
        <v>4.6511627906976744E-3</v>
      </c>
      <c r="GH164" s="15">
        <v>4.6511627906976744E-3</v>
      </c>
    </row>
    <row r="165" spans="1:190" x14ac:dyDescent="0.3">
      <c r="A165" s="35" t="s">
        <v>4</v>
      </c>
      <c r="B165" s="11">
        <f>IF(AND(Distances!BO108=0,Distances!EA108=0),BN165*DZ165*B161*2,"")</f>
        <v>3435.5675199999996</v>
      </c>
      <c r="C165" s="13">
        <f>IF(AND(Distances!BP108=0,Distances!EB108=0),BO165*EA165*C161*2,"")</f>
        <v>5362.001119999999</v>
      </c>
      <c r="D165" s="13" t="s">
        <v>62</v>
      </c>
      <c r="E165" s="12">
        <f>IF(AND(Distances!BR108=0,Distances!ED108=0),BQ165*EC165*E161*2,"")</f>
        <v>0</v>
      </c>
      <c r="F165" s="13" t="s">
        <v>62</v>
      </c>
      <c r="G165" s="13" t="s">
        <v>62</v>
      </c>
      <c r="H165" s="13">
        <f>IF(AND(Distances!BU108=0,Distances!EG108=0),BT165*EF165*H161*2,"")</f>
        <v>18024.8236</v>
      </c>
      <c r="I165" s="13">
        <f>IF(AND(Distances!BV108=0,Distances!EH108=0),BU165*EG165*I161*2,"")</f>
        <v>16490.972959999999</v>
      </c>
      <c r="J165" s="13" t="s">
        <v>62</v>
      </c>
      <c r="K165" s="13">
        <f>IF(AND(Distances!BX108=0,Distances!EJ108=0),BW165*EI165*K161*2,"")</f>
        <v>59.149439999999998</v>
      </c>
      <c r="L165" s="13" t="s">
        <v>62</v>
      </c>
      <c r="M165" s="13">
        <f>IF(AND(Distances!BZ108=0,Distances!EL108=0),BY165*EK165*M161*2,"")</f>
        <v>360.42496</v>
      </c>
      <c r="N165" s="13" t="s">
        <v>62</v>
      </c>
      <c r="O165" s="14" t="s">
        <v>62</v>
      </c>
      <c r="P165" s="14" t="s">
        <v>62</v>
      </c>
      <c r="Q165" s="14">
        <f>IF(AND(Distances!CD108=0,Distances!EP108=0),CC165*EO165*Q161*2,"")</f>
        <v>558.48599999999999</v>
      </c>
      <c r="R165" s="14">
        <f>IF(AND(Distances!CE108=0,Distances!EQ108=0),CD165*EP165*R161*2,"")</f>
        <v>553.22400000000005</v>
      </c>
      <c r="S165" s="14">
        <f>IF(AND(Distances!CF108=0,Distances!ER108=0),CE165*EQ165*S161*2,"")</f>
        <v>569.0100000000001</v>
      </c>
      <c r="T165" s="14" t="s">
        <v>62</v>
      </c>
      <c r="U165" s="14" t="s">
        <v>62</v>
      </c>
      <c r="V165" s="14" t="s">
        <v>62</v>
      </c>
      <c r="W165" s="14">
        <f>IF(AND(Distances!CJ108=0,Distances!EV108=0),CI165*EU165*W161*2,"")</f>
        <v>635.63592000000006</v>
      </c>
      <c r="X165" s="14" t="s">
        <v>62</v>
      </c>
      <c r="Y165" s="14" t="s">
        <v>62</v>
      </c>
      <c r="Z165" s="14" t="s">
        <v>62</v>
      </c>
      <c r="AA165" s="14" t="s">
        <v>62</v>
      </c>
      <c r="AB165" s="14" t="s">
        <v>62</v>
      </c>
      <c r="AC165" s="14">
        <f>IF(AND(Distances!CP108=0,Distances!FB108=0),CO165*FA165*AC161*2,"")</f>
        <v>25.19472</v>
      </c>
      <c r="AD165" s="14">
        <f>IF(AND(Distances!CQ108=0,Distances!FC108=0),CP165*FB165*AD161*2,"")</f>
        <v>25.827120000000004</v>
      </c>
      <c r="AE165" s="14" t="s">
        <v>62</v>
      </c>
      <c r="AF165" s="14" t="s">
        <v>62</v>
      </c>
      <c r="AG165" s="14" t="s">
        <v>62</v>
      </c>
      <c r="AH165" s="14" t="s">
        <v>62</v>
      </c>
      <c r="AI165" s="14">
        <f>IF(AND(Distances!CV108=0,Distances!FH108=0),CU165*FG165*AI161*2,"")</f>
        <v>19.603391999999999</v>
      </c>
      <c r="AJ165" s="14" t="s">
        <v>62</v>
      </c>
      <c r="AK165" s="14">
        <f>IF(AND(Distances!CX108=0,Distances!FJ108=0),CW165*FI165*AK161*2,"")</f>
        <v>20.174016000000002</v>
      </c>
      <c r="AL165" s="14">
        <f>IF(AND(Distances!CY108=0,Distances!FK108=0),CX165*FJ165*AL161*2,"")</f>
        <v>985.11551999999995</v>
      </c>
      <c r="AM165" s="14">
        <f>IF(AND(Distances!CZ108=0,Distances!FL108=0),CY165*FK165*AM161*2,"")</f>
        <v>985.11551999999995</v>
      </c>
      <c r="AN165" s="14" t="s">
        <v>62</v>
      </c>
      <c r="AO165" s="14">
        <f>IF(AND(Distances!DB108=0,Distances!FN108=0),DA165*FM165*AO161*2,"")</f>
        <v>45.527839999999998</v>
      </c>
      <c r="AP165" s="14">
        <f>IF(AND(Distances!DC108=0,Distances!FO108=0),DB165*FN165*AP161*2,"")</f>
        <v>46.411519999999996</v>
      </c>
      <c r="AQ165" s="14">
        <f>IF(AND(Distances!DD108=0,Distances!FP108=0),DC165*FO165*AQ161*2,"")</f>
        <v>43.028320000000001</v>
      </c>
      <c r="AR165" s="14">
        <f>IF(AND(Distances!DE108=0,Distances!FQ108=0),DD165*FP165*AR161*2,"")</f>
        <v>46.101312</v>
      </c>
      <c r="AS165" s="14" t="s">
        <v>62</v>
      </c>
      <c r="AT165" s="14" t="s">
        <v>62</v>
      </c>
      <c r="AU165" s="14" t="s">
        <v>62</v>
      </c>
      <c r="AV165" s="14" t="s">
        <v>62</v>
      </c>
      <c r="AW165" s="14" t="s">
        <v>62</v>
      </c>
      <c r="AX165" s="14">
        <f>IF(AND(Distances!DK108=0,Distances!FW108=0),DJ165*FV165*AX161*2,"")</f>
        <v>125.82048</v>
      </c>
      <c r="AY165" s="14">
        <f>IF(AND(Distances!DL108=0,Distances!FX108=0),DK165*FW165*AY161*2,"")</f>
        <v>0</v>
      </c>
      <c r="AZ165" s="14" t="s">
        <v>62</v>
      </c>
      <c r="BA165" s="14">
        <f>IF(AND(Distances!DN108=0,Distances!FZ108=0),DM165*FY165*BA161*2,"")</f>
        <v>91.131264000000002</v>
      </c>
      <c r="BB165" s="14">
        <f>IF(AND(Distances!DO108=0,Distances!GA108=0),DN165*FZ165*BB161*2,"")</f>
        <v>109.10736000000001</v>
      </c>
      <c r="BC165" s="14">
        <f>IF(AND(Distances!DP108=0,Distances!GB108=0),DO165*GA165*BC161*2,"")</f>
        <v>752.59391999999991</v>
      </c>
      <c r="BD165" s="14" t="s">
        <v>62</v>
      </c>
      <c r="BE165" s="14">
        <f>IF(AND(Distances!DR108=0,Distances!GD108=0),DQ165*GC165*BE161*2,"")</f>
        <v>797.72774399999992</v>
      </c>
      <c r="BF165" s="14" t="s">
        <v>62</v>
      </c>
      <c r="BG165" s="14" t="s">
        <v>62</v>
      </c>
      <c r="BH165" s="14" t="s">
        <v>62</v>
      </c>
      <c r="BI165" s="14" t="s">
        <v>62</v>
      </c>
      <c r="BJ165" s="15" t="s">
        <v>62</v>
      </c>
      <c r="BM165" s="35" t="s">
        <v>4</v>
      </c>
      <c r="BN165" s="11">
        <v>510.23279999999994</v>
      </c>
      <c r="BO165" s="13">
        <v>796.33679999999993</v>
      </c>
      <c r="BP165" s="13">
        <v>0</v>
      </c>
      <c r="BQ165" s="12">
        <v>0</v>
      </c>
      <c r="BR165" s="13">
        <v>452.05439999999993</v>
      </c>
      <c r="BS165" s="13">
        <v>2449.1543999999999</v>
      </c>
      <c r="BT165" s="13">
        <v>2676.9539999999997</v>
      </c>
      <c r="BU165" s="13">
        <v>2449.1543999999999</v>
      </c>
      <c r="BV165" s="13">
        <v>443.62079999999997</v>
      </c>
      <c r="BW165" s="13">
        <v>443.62079999999997</v>
      </c>
      <c r="BX165" s="13">
        <v>2703.1871999999998</v>
      </c>
      <c r="BY165" s="13">
        <v>2703.1871999999998</v>
      </c>
      <c r="BZ165" s="13">
        <v>1064.3555999999999</v>
      </c>
      <c r="CA165" s="14">
        <v>1656.0935999999999</v>
      </c>
      <c r="CB165" s="14">
        <v>1374.1392000000001</v>
      </c>
      <c r="CC165" s="14">
        <v>781.8803999999999</v>
      </c>
      <c r="CD165" s="14">
        <v>774.5136</v>
      </c>
      <c r="CE165" s="14">
        <v>796.61400000000003</v>
      </c>
      <c r="CF165" s="14">
        <v>759.78</v>
      </c>
      <c r="CG165" s="14">
        <v>864.71280000000002</v>
      </c>
      <c r="CH165" s="14">
        <v>1125.6504</v>
      </c>
      <c r="CI165" s="14">
        <v>767.14679999999998</v>
      </c>
      <c r="CJ165" s="14">
        <v>903.94920000000002</v>
      </c>
      <c r="CK165" s="14">
        <v>759.78</v>
      </c>
      <c r="CL165" s="14">
        <v>941.67359999999996</v>
      </c>
      <c r="CM165" s="14">
        <v>924.57119999999998</v>
      </c>
      <c r="CN165" s="14">
        <v>890.3664</v>
      </c>
      <c r="CO165" s="14">
        <v>881.81519999999989</v>
      </c>
      <c r="CP165" s="14">
        <v>903.94920000000002</v>
      </c>
      <c r="CQ165" s="14">
        <v>1125.6504</v>
      </c>
      <c r="CR165" s="14">
        <v>1125.6504</v>
      </c>
      <c r="CS165" s="14">
        <v>1125.6504</v>
      </c>
      <c r="CT165" s="14">
        <v>1892.9484000000002</v>
      </c>
      <c r="CU165" s="14">
        <v>1715.2967999999998</v>
      </c>
      <c r="CV165" s="14">
        <v>1892.9484000000002</v>
      </c>
      <c r="CW165" s="14">
        <v>1765.2264</v>
      </c>
      <c r="CX165" s="14">
        <v>1596.252</v>
      </c>
      <c r="CY165" s="14">
        <v>1596.252</v>
      </c>
      <c r="CZ165" s="14">
        <v>1596.252</v>
      </c>
      <c r="DA165" s="14">
        <v>2390.2115999999996</v>
      </c>
      <c r="DB165" s="14">
        <v>2436.6047999999996</v>
      </c>
      <c r="DC165" s="14">
        <v>2258.9867999999997</v>
      </c>
      <c r="DD165" s="14">
        <v>2016.9324000000001</v>
      </c>
      <c r="DE165" s="14">
        <v>2016.9324000000001</v>
      </c>
      <c r="DF165" s="14">
        <v>2016.9324000000001</v>
      </c>
      <c r="DG165" s="14">
        <v>2160.7235999999998</v>
      </c>
      <c r="DH165" s="14">
        <v>1945.7256</v>
      </c>
      <c r="DI165" s="14">
        <v>1945.7256</v>
      </c>
      <c r="DJ165" s="14">
        <v>2201.8584000000001</v>
      </c>
      <c r="DK165" s="14">
        <v>0</v>
      </c>
      <c r="DL165" s="14">
        <v>3890.8631999999993</v>
      </c>
      <c r="DM165" s="14">
        <v>1993.4964</v>
      </c>
      <c r="DN165" s="14">
        <v>1909.3788</v>
      </c>
      <c r="DO165" s="14">
        <v>2057.8739999999998</v>
      </c>
      <c r="DP165" s="14">
        <v>2201.8584000000001</v>
      </c>
      <c r="DQ165" s="14">
        <v>2181.2867999999999</v>
      </c>
      <c r="DR165" s="14">
        <v>1959.5520000000001</v>
      </c>
      <c r="DS165" s="14">
        <v>1454.25</v>
      </c>
      <c r="DT165" s="14">
        <v>2019.1584</v>
      </c>
      <c r="DU165" s="14">
        <v>2217.2051999999999</v>
      </c>
      <c r="DV165" s="15">
        <v>2217.2051999999999</v>
      </c>
      <c r="DY165" s="35" t="s">
        <v>4</v>
      </c>
      <c r="DZ165" s="11">
        <f t="shared" si="67"/>
        <v>1.6666666666666666E-2</v>
      </c>
      <c r="EA165" s="13">
        <f t="shared" si="67"/>
        <v>1.6666666666666666E-2</v>
      </c>
      <c r="EB165" s="13">
        <f t="shared" si="67"/>
        <v>1.6666666666666666E-2</v>
      </c>
      <c r="EC165" s="12">
        <v>0.6</v>
      </c>
      <c r="ED165" s="13">
        <f t="shared" si="67"/>
        <v>1.6666666666666666E-2</v>
      </c>
      <c r="EE165" s="13">
        <f t="shared" si="67"/>
        <v>1.6666666666666666E-2</v>
      </c>
      <c r="EF165" s="13">
        <f t="shared" si="67"/>
        <v>1.6666666666666666E-2</v>
      </c>
      <c r="EG165" s="13">
        <f t="shared" si="67"/>
        <v>1.6666666666666666E-2</v>
      </c>
      <c r="EH165" s="13">
        <f t="shared" si="67"/>
        <v>1.6666666666666666E-2</v>
      </c>
      <c r="EI165" s="13">
        <f t="shared" si="67"/>
        <v>1.6666666666666666E-2</v>
      </c>
      <c r="EJ165" s="13">
        <f t="shared" si="67"/>
        <v>1.6666666666666666E-2</v>
      </c>
      <c r="EK165" s="13">
        <f t="shared" si="67"/>
        <v>1.6666666666666666E-2</v>
      </c>
      <c r="EL165" s="13">
        <f t="shared" si="67"/>
        <v>1.6666666666666666E-2</v>
      </c>
      <c r="EM165" s="14">
        <v>4.6511627906976744E-3</v>
      </c>
      <c r="EN165" s="14">
        <v>4.6511627906976744E-3</v>
      </c>
      <c r="EO165" s="14">
        <v>7.1428571428571435E-3</v>
      </c>
      <c r="EP165" s="14">
        <v>7.1428571428571435E-3</v>
      </c>
      <c r="EQ165" s="14">
        <v>7.1428571428571435E-3</v>
      </c>
      <c r="ER165" s="14">
        <v>7.1428571428571435E-3</v>
      </c>
      <c r="ES165" s="14">
        <v>7.1428571428571435E-3</v>
      </c>
      <c r="ET165" s="14">
        <v>7.1428571428571435E-3</v>
      </c>
      <c r="EU165" s="14">
        <v>7.1428571428571435E-3</v>
      </c>
      <c r="EV165" s="14">
        <v>7.1428571428571435E-3</v>
      </c>
      <c r="EW165" s="14">
        <v>7.1428571428571435E-3</v>
      </c>
      <c r="EX165" s="14">
        <v>7.1428571428571435E-3</v>
      </c>
      <c r="EY165" s="14">
        <v>7.1428571428571435E-3</v>
      </c>
      <c r="EZ165" s="14">
        <v>7.1428571428571435E-3</v>
      </c>
      <c r="FA165" s="14">
        <v>7.1428571428571435E-3</v>
      </c>
      <c r="FB165" s="14">
        <v>7.1428571428571435E-3</v>
      </c>
      <c r="FC165" s="14">
        <v>7.1428571428571435E-3</v>
      </c>
      <c r="FD165" s="14">
        <v>7.1428571428571435E-3</v>
      </c>
      <c r="FE165" s="14">
        <v>7.1428571428571435E-3</v>
      </c>
      <c r="FF165" s="14">
        <v>5.7142857142857143E-3</v>
      </c>
      <c r="FG165" s="14">
        <v>5.7142857142857143E-3</v>
      </c>
      <c r="FH165" s="14">
        <v>5.7142857142857143E-3</v>
      </c>
      <c r="FI165" s="14">
        <v>5.7142857142857143E-3</v>
      </c>
      <c r="FJ165" s="14">
        <v>5.7142857142857143E-3</v>
      </c>
      <c r="FK165" s="14">
        <v>5.7142857142857143E-3</v>
      </c>
      <c r="FL165" s="14">
        <v>5.7142857142857143E-3</v>
      </c>
      <c r="FM165" s="14">
        <v>4.7619047619047623E-3</v>
      </c>
      <c r="FN165" s="14">
        <v>4.7619047619047623E-3</v>
      </c>
      <c r="FO165" s="14">
        <v>4.7619047619047623E-3</v>
      </c>
      <c r="FP165" s="14">
        <v>5.7142857142857143E-3</v>
      </c>
      <c r="FQ165" s="14">
        <v>5.7142857142857143E-3</v>
      </c>
      <c r="FR165" s="14">
        <v>5.7142857142857143E-3</v>
      </c>
      <c r="FS165" s="14">
        <v>5.7142857142857143E-3</v>
      </c>
      <c r="FT165" s="14">
        <v>5.8823529411764705E-3</v>
      </c>
      <c r="FU165" s="14">
        <v>5.7142857142857143E-3</v>
      </c>
      <c r="FV165" s="14">
        <v>5.7142857142857143E-3</v>
      </c>
      <c r="FW165" s="14">
        <v>4.5454545454545461E-3</v>
      </c>
      <c r="FX165" s="14">
        <v>4.5454545454545461E-3</v>
      </c>
      <c r="FY165" s="14">
        <v>5.7142857142857143E-3</v>
      </c>
      <c r="FZ165" s="14">
        <v>7.1428571428571435E-3</v>
      </c>
      <c r="GA165" s="14">
        <v>5.7142857142857143E-3</v>
      </c>
      <c r="GB165" s="14">
        <v>5.7142857142857143E-3</v>
      </c>
      <c r="GC165" s="14">
        <v>5.7142857142857143E-3</v>
      </c>
      <c r="GD165" s="14">
        <v>7.1428571428571435E-3</v>
      </c>
      <c r="GE165" s="14">
        <v>7.1428571428571435E-3</v>
      </c>
      <c r="GF165" s="14">
        <v>4.6511627906976744E-3</v>
      </c>
      <c r="GG165" s="14">
        <v>4.6511627906976744E-3</v>
      </c>
      <c r="GH165" s="15">
        <v>4.6511627906976744E-3</v>
      </c>
    </row>
    <row r="166" spans="1:190" x14ac:dyDescent="0.3">
      <c r="A166" s="35" t="s">
        <v>5</v>
      </c>
      <c r="B166" s="11" t="s">
        <v>62</v>
      </c>
      <c r="C166" s="13" t="s">
        <v>62</v>
      </c>
      <c r="D166" s="13" t="s">
        <v>62</v>
      </c>
      <c r="E166" s="13" t="s">
        <v>62</v>
      </c>
      <c r="F166" s="12">
        <f>IF(AND(Distances!BS109=0,Distances!EE109=0),BR166*ED166*F161*2,"")</f>
        <v>0</v>
      </c>
      <c r="G166" s="13" t="s">
        <v>62</v>
      </c>
      <c r="H166" s="13" t="s">
        <v>62</v>
      </c>
      <c r="I166" s="13" t="s">
        <v>62</v>
      </c>
      <c r="J166" s="13" t="s">
        <v>62</v>
      </c>
      <c r="K166" s="13" t="s">
        <v>62</v>
      </c>
      <c r="L166" s="13" t="s">
        <v>62</v>
      </c>
      <c r="M166" s="13" t="s">
        <v>62</v>
      </c>
      <c r="N166" s="13" t="s">
        <v>62</v>
      </c>
      <c r="O166" s="14" t="s">
        <v>62</v>
      </c>
      <c r="P166" s="14" t="s">
        <v>62</v>
      </c>
      <c r="Q166" s="14" t="s">
        <v>62</v>
      </c>
      <c r="R166" s="14" t="s">
        <v>62</v>
      </c>
      <c r="S166" s="14" t="s">
        <v>62</v>
      </c>
      <c r="T166" s="14" t="s">
        <v>62</v>
      </c>
      <c r="U166" s="14" t="s">
        <v>62</v>
      </c>
      <c r="V166" s="14" t="s">
        <v>62</v>
      </c>
      <c r="W166" s="14" t="s">
        <v>62</v>
      </c>
      <c r="X166" s="14" t="s">
        <v>62</v>
      </c>
      <c r="Y166" s="14" t="s">
        <v>62</v>
      </c>
      <c r="Z166" s="14" t="s">
        <v>62</v>
      </c>
      <c r="AA166" s="14" t="s">
        <v>62</v>
      </c>
      <c r="AB166" s="14" t="s">
        <v>62</v>
      </c>
      <c r="AC166" s="14" t="s">
        <v>62</v>
      </c>
      <c r="AD166" s="14" t="s">
        <v>62</v>
      </c>
      <c r="AE166" s="14" t="s">
        <v>62</v>
      </c>
      <c r="AF166" s="14" t="s">
        <v>62</v>
      </c>
      <c r="AG166" s="14" t="s">
        <v>62</v>
      </c>
      <c r="AH166" s="14" t="s">
        <v>62</v>
      </c>
      <c r="AI166" s="14" t="s">
        <v>62</v>
      </c>
      <c r="AJ166" s="14" t="s">
        <v>62</v>
      </c>
      <c r="AK166" s="14" t="s">
        <v>62</v>
      </c>
      <c r="AL166" s="14" t="s">
        <v>62</v>
      </c>
      <c r="AM166" s="14" t="s">
        <v>62</v>
      </c>
      <c r="AN166" s="14" t="s">
        <v>62</v>
      </c>
      <c r="AO166" s="14" t="s">
        <v>62</v>
      </c>
      <c r="AP166" s="14" t="s">
        <v>62</v>
      </c>
      <c r="AQ166" s="14" t="s">
        <v>62</v>
      </c>
      <c r="AR166" s="14" t="s">
        <v>62</v>
      </c>
      <c r="AS166" s="14" t="s">
        <v>62</v>
      </c>
      <c r="AT166" s="14" t="s">
        <v>62</v>
      </c>
      <c r="AU166" s="14" t="s">
        <v>62</v>
      </c>
      <c r="AV166" s="14" t="s">
        <v>62</v>
      </c>
      <c r="AW166" s="14" t="s">
        <v>62</v>
      </c>
      <c r="AX166" s="14" t="s">
        <v>62</v>
      </c>
      <c r="AY166" s="14" t="s">
        <v>62</v>
      </c>
      <c r="AZ166" s="14" t="s">
        <v>62</v>
      </c>
      <c r="BA166" s="14" t="s">
        <v>62</v>
      </c>
      <c r="BB166" s="14" t="s">
        <v>62</v>
      </c>
      <c r="BC166" s="14" t="s">
        <v>62</v>
      </c>
      <c r="BD166" s="14" t="s">
        <v>62</v>
      </c>
      <c r="BE166" s="14" t="s">
        <v>62</v>
      </c>
      <c r="BF166" s="14" t="s">
        <v>62</v>
      </c>
      <c r="BG166" s="14" t="s">
        <v>62</v>
      </c>
      <c r="BH166" s="14" t="s">
        <v>62</v>
      </c>
      <c r="BI166" s="14" t="s">
        <v>62</v>
      </c>
      <c r="BJ166" s="15" t="s">
        <v>62</v>
      </c>
      <c r="BM166" s="35" t="s">
        <v>5</v>
      </c>
      <c r="BN166" s="11">
        <v>540.48119999999994</v>
      </c>
      <c r="BO166" s="13">
        <v>843.57839999999999</v>
      </c>
      <c r="BP166" s="13">
        <v>452.05439999999993</v>
      </c>
      <c r="BQ166" s="13">
        <v>452.05439999999993</v>
      </c>
      <c r="BR166" s="12">
        <v>0</v>
      </c>
      <c r="BS166" s="13">
        <v>2594.5920000000001</v>
      </c>
      <c r="BT166" s="13">
        <v>2835.9155999999998</v>
      </c>
      <c r="BU166" s="13">
        <v>2594.5920000000001</v>
      </c>
      <c r="BV166" s="13">
        <v>469.91279999999995</v>
      </c>
      <c r="BW166" s="13">
        <v>469.91279999999995</v>
      </c>
      <c r="BX166" s="13">
        <v>2863.7111999999997</v>
      </c>
      <c r="BY166" s="13">
        <v>2863.7111999999997</v>
      </c>
      <c r="BZ166" s="13">
        <v>1127.5236</v>
      </c>
      <c r="CA166" s="14">
        <v>1754.4156</v>
      </c>
      <c r="CB166" s="14">
        <v>1455.7115999999999</v>
      </c>
      <c r="CC166" s="14">
        <v>828.27359999999999</v>
      </c>
      <c r="CD166" s="14">
        <v>820.46999999999991</v>
      </c>
      <c r="CE166" s="14">
        <v>843.88080000000002</v>
      </c>
      <c r="CF166" s="14">
        <v>804.85439999999994</v>
      </c>
      <c r="CG166" s="14">
        <v>916.02</v>
      </c>
      <c r="CH166" s="14">
        <v>1192.4555999999998</v>
      </c>
      <c r="CI166" s="14">
        <v>812.65800000000002</v>
      </c>
      <c r="CJ166" s="14">
        <v>957.58320000000003</v>
      </c>
      <c r="CK166" s="14">
        <v>804.85439999999994</v>
      </c>
      <c r="CL166" s="14">
        <v>997.55879999999991</v>
      </c>
      <c r="CM166" s="14">
        <v>979.43999999999994</v>
      </c>
      <c r="CN166" s="14">
        <v>943.2023999999999</v>
      </c>
      <c r="CO166" s="14">
        <v>934.13879999999995</v>
      </c>
      <c r="CP166" s="14">
        <v>957.58320000000003</v>
      </c>
      <c r="CQ166" s="14">
        <v>1192.4555999999998</v>
      </c>
      <c r="CR166" s="14">
        <v>1192.4555999999998</v>
      </c>
      <c r="CS166" s="14">
        <v>1192.4555999999998</v>
      </c>
      <c r="CT166" s="14">
        <v>2005.3403999999998</v>
      </c>
      <c r="CU166" s="14">
        <v>1817.1299999999999</v>
      </c>
      <c r="CV166" s="14">
        <v>2005.3403999999998</v>
      </c>
      <c r="CW166" s="14">
        <v>1870.0331999999999</v>
      </c>
      <c r="CX166" s="14">
        <v>1691.0207999999998</v>
      </c>
      <c r="CY166" s="14">
        <v>1691.0207999999998</v>
      </c>
      <c r="CZ166" s="14">
        <v>1691.0207999999998</v>
      </c>
      <c r="DA166" s="14">
        <v>2532.1464000000001</v>
      </c>
      <c r="DB166" s="14">
        <v>2581.2947999999997</v>
      </c>
      <c r="DC166" s="14">
        <v>2393.1264000000001</v>
      </c>
      <c r="DD166" s="14">
        <v>2136.6911999999998</v>
      </c>
      <c r="DE166" s="14">
        <v>2136.6911999999998</v>
      </c>
      <c r="DF166" s="14">
        <v>2136.6911999999998</v>
      </c>
      <c r="DG166" s="14">
        <v>2289.0167999999999</v>
      </c>
      <c r="DH166" s="14">
        <v>2061.2507999999998</v>
      </c>
      <c r="DI166" s="14">
        <v>2061.2507999999998</v>
      </c>
      <c r="DJ166" s="14">
        <v>2332.6043999999997</v>
      </c>
      <c r="DK166" s="14">
        <v>0</v>
      </c>
      <c r="DL166" s="14">
        <v>4121.9387999999999</v>
      </c>
      <c r="DM166" s="14">
        <v>2111.8607999999999</v>
      </c>
      <c r="DN166" s="14">
        <v>2022.7452000000001</v>
      </c>
      <c r="DO166" s="14">
        <v>2180.0688</v>
      </c>
      <c r="DP166" s="14">
        <v>2332.6043999999997</v>
      </c>
      <c r="DQ166" s="14">
        <v>2310.8063999999999</v>
      </c>
      <c r="DR166" s="14">
        <v>2159.9004</v>
      </c>
      <c r="DS166" s="14">
        <v>1540.5767999999998</v>
      </c>
      <c r="DT166" s="14">
        <v>2139.0515999999998</v>
      </c>
      <c r="DU166" s="14">
        <v>2348.8584000000001</v>
      </c>
      <c r="DV166" s="15">
        <v>2348.8584000000001</v>
      </c>
      <c r="DY166" s="35" t="s">
        <v>5</v>
      </c>
      <c r="DZ166" s="11">
        <f t="shared" si="67"/>
        <v>1.6666666666666666E-2</v>
      </c>
      <c r="EA166" s="13">
        <f t="shared" si="67"/>
        <v>1.6666666666666666E-2</v>
      </c>
      <c r="EB166" s="13">
        <f t="shared" si="67"/>
        <v>1.6666666666666666E-2</v>
      </c>
      <c r="EC166" s="13">
        <f t="shared" si="67"/>
        <v>1.6666666666666666E-2</v>
      </c>
      <c r="ED166" s="12">
        <v>0.6</v>
      </c>
      <c r="EE166" s="13">
        <f t="shared" si="67"/>
        <v>1.6666666666666666E-2</v>
      </c>
      <c r="EF166" s="13">
        <f t="shared" si="67"/>
        <v>1.6666666666666666E-2</v>
      </c>
      <c r="EG166" s="13">
        <f t="shared" si="67"/>
        <v>1.6666666666666666E-2</v>
      </c>
      <c r="EH166" s="13">
        <f t="shared" si="67"/>
        <v>1.6666666666666666E-2</v>
      </c>
      <c r="EI166" s="13">
        <f t="shared" si="67"/>
        <v>1.6666666666666666E-2</v>
      </c>
      <c r="EJ166" s="13">
        <f t="shared" si="67"/>
        <v>1.6666666666666666E-2</v>
      </c>
      <c r="EK166" s="13">
        <f t="shared" si="67"/>
        <v>1.6666666666666666E-2</v>
      </c>
      <c r="EL166" s="13">
        <f t="shared" si="67"/>
        <v>1.6666666666666666E-2</v>
      </c>
      <c r="EM166" s="14">
        <v>4.6511627906976744E-3</v>
      </c>
      <c r="EN166" s="14">
        <v>4.6511627906976744E-3</v>
      </c>
      <c r="EO166" s="14">
        <v>7.1428571428571435E-3</v>
      </c>
      <c r="EP166" s="14">
        <v>7.1428571428571435E-3</v>
      </c>
      <c r="EQ166" s="14">
        <v>7.1428571428571435E-3</v>
      </c>
      <c r="ER166" s="14">
        <v>7.1428571428571435E-3</v>
      </c>
      <c r="ES166" s="14">
        <v>7.1428571428571435E-3</v>
      </c>
      <c r="ET166" s="14">
        <v>7.1428571428571435E-3</v>
      </c>
      <c r="EU166" s="14">
        <v>7.1428571428571435E-3</v>
      </c>
      <c r="EV166" s="14">
        <v>7.1428571428571435E-3</v>
      </c>
      <c r="EW166" s="14">
        <v>7.1428571428571435E-3</v>
      </c>
      <c r="EX166" s="14">
        <v>7.1428571428571435E-3</v>
      </c>
      <c r="EY166" s="14">
        <v>7.1428571428571435E-3</v>
      </c>
      <c r="EZ166" s="14">
        <v>7.1428571428571435E-3</v>
      </c>
      <c r="FA166" s="14">
        <v>7.1428571428571435E-3</v>
      </c>
      <c r="FB166" s="14">
        <v>7.1428571428571435E-3</v>
      </c>
      <c r="FC166" s="14">
        <v>7.1428571428571435E-3</v>
      </c>
      <c r="FD166" s="14">
        <v>7.1428571428571435E-3</v>
      </c>
      <c r="FE166" s="14">
        <v>7.1428571428571435E-3</v>
      </c>
      <c r="FF166" s="14">
        <v>5.7142857142857143E-3</v>
      </c>
      <c r="FG166" s="14">
        <v>5.7142857142857143E-3</v>
      </c>
      <c r="FH166" s="14">
        <v>5.7142857142857143E-3</v>
      </c>
      <c r="FI166" s="14">
        <v>5.7142857142857143E-3</v>
      </c>
      <c r="FJ166" s="14">
        <v>5.7142857142857143E-3</v>
      </c>
      <c r="FK166" s="14">
        <v>5.7142857142857143E-3</v>
      </c>
      <c r="FL166" s="14">
        <v>5.7142857142857143E-3</v>
      </c>
      <c r="FM166" s="14">
        <v>4.7619047619047623E-3</v>
      </c>
      <c r="FN166" s="14">
        <v>4.7619047619047623E-3</v>
      </c>
      <c r="FO166" s="14">
        <v>4.7619047619047623E-3</v>
      </c>
      <c r="FP166" s="14">
        <v>5.7142857142857143E-3</v>
      </c>
      <c r="FQ166" s="14">
        <v>5.7142857142857143E-3</v>
      </c>
      <c r="FR166" s="14">
        <v>5.7142857142857143E-3</v>
      </c>
      <c r="FS166" s="14">
        <v>5.7142857142857143E-3</v>
      </c>
      <c r="FT166" s="14">
        <v>5.8823529411764705E-3</v>
      </c>
      <c r="FU166" s="14">
        <v>5.7142857142857143E-3</v>
      </c>
      <c r="FV166" s="14">
        <v>5.7142857142857143E-3</v>
      </c>
      <c r="FW166" s="14">
        <v>4.5454545454545461E-3</v>
      </c>
      <c r="FX166" s="14">
        <v>4.5454545454545461E-3</v>
      </c>
      <c r="FY166" s="14">
        <v>5.7142857142857143E-3</v>
      </c>
      <c r="FZ166" s="14">
        <v>7.1428571428571435E-3</v>
      </c>
      <c r="GA166" s="14">
        <v>5.7142857142857143E-3</v>
      </c>
      <c r="GB166" s="14">
        <v>5.7142857142857143E-3</v>
      </c>
      <c r="GC166" s="14">
        <v>5.7142857142857143E-3</v>
      </c>
      <c r="GD166" s="14">
        <v>7.1428571428571435E-3</v>
      </c>
      <c r="GE166" s="14">
        <v>7.1428571428571435E-3</v>
      </c>
      <c r="GF166" s="14">
        <v>4.6511627906976744E-3</v>
      </c>
      <c r="GG166" s="14">
        <v>4.6511627906976744E-3</v>
      </c>
      <c r="GH166" s="15">
        <v>4.6511627906976744E-3</v>
      </c>
    </row>
    <row r="167" spans="1:190" x14ac:dyDescent="0.3">
      <c r="A167" s="35" t="s">
        <v>6</v>
      </c>
      <c r="B167" s="11" t="s">
        <v>62</v>
      </c>
      <c r="C167" s="13" t="s">
        <v>62</v>
      </c>
      <c r="D167" s="13" t="s">
        <v>62</v>
      </c>
      <c r="E167" s="13" t="s">
        <v>62</v>
      </c>
      <c r="F167" s="13" t="s">
        <v>62</v>
      </c>
      <c r="G167" s="12">
        <f>IF(AND(Distances!BT110=0,Distances!EF110=0),BS167*EE167*G161*2,"")</f>
        <v>0</v>
      </c>
      <c r="H167" s="13" t="s">
        <v>62</v>
      </c>
      <c r="I167" s="13" t="s">
        <v>62</v>
      </c>
      <c r="J167" s="13" t="s">
        <v>62</v>
      </c>
      <c r="K167" s="13" t="s">
        <v>62</v>
      </c>
      <c r="L167" s="13" t="s">
        <v>62</v>
      </c>
      <c r="M167" s="13" t="s">
        <v>62</v>
      </c>
      <c r="N167" s="13" t="s">
        <v>62</v>
      </c>
      <c r="O167" s="14" t="s">
        <v>62</v>
      </c>
      <c r="P167" s="14" t="s">
        <v>62</v>
      </c>
      <c r="Q167" s="14" t="s">
        <v>62</v>
      </c>
      <c r="R167" s="14" t="s">
        <v>62</v>
      </c>
      <c r="S167" s="14" t="s">
        <v>62</v>
      </c>
      <c r="T167" s="14" t="s">
        <v>62</v>
      </c>
      <c r="U167" s="14" t="s">
        <v>62</v>
      </c>
      <c r="V167" s="14" t="s">
        <v>62</v>
      </c>
      <c r="W167" s="14" t="s">
        <v>62</v>
      </c>
      <c r="X167" s="14" t="s">
        <v>62</v>
      </c>
      <c r="Y167" s="14" t="s">
        <v>62</v>
      </c>
      <c r="Z167" s="14" t="s">
        <v>62</v>
      </c>
      <c r="AA167" s="14" t="s">
        <v>62</v>
      </c>
      <c r="AB167" s="14" t="s">
        <v>62</v>
      </c>
      <c r="AC167" s="14" t="s">
        <v>62</v>
      </c>
      <c r="AD167" s="14" t="s">
        <v>62</v>
      </c>
      <c r="AE167" s="14" t="s">
        <v>62</v>
      </c>
      <c r="AF167" s="14" t="s">
        <v>62</v>
      </c>
      <c r="AG167" s="14" t="s">
        <v>62</v>
      </c>
      <c r="AH167" s="14" t="s">
        <v>62</v>
      </c>
      <c r="AI167" s="14" t="s">
        <v>62</v>
      </c>
      <c r="AJ167" s="14" t="s">
        <v>62</v>
      </c>
      <c r="AK167" s="14" t="s">
        <v>62</v>
      </c>
      <c r="AL167" s="14" t="s">
        <v>62</v>
      </c>
      <c r="AM167" s="14" t="s">
        <v>62</v>
      </c>
      <c r="AN167" s="14" t="s">
        <v>62</v>
      </c>
      <c r="AO167" s="14" t="s">
        <v>62</v>
      </c>
      <c r="AP167" s="14" t="s">
        <v>62</v>
      </c>
      <c r="AQ167" s="14" t="s">
        <v>62</v>
      </c>
      <c r="AR167" s="14" t="s">
        <v>62</v>
      </c>
      <c r="AS167" s="14" t="s">
        <v>62</v>
      </c>
      <c r="AT167" s="14" t="s">
        <v>62</v>
      </c>
      <c r="AU167" s="14" t="s">
        <v>62</v>
      </c>
      <c r="AV167" s="14" t="s">
        <v>62</v>
      </c>
      <c r="AW167" s="14" t="s">
        <v>62</v>
      </c>
      <c r="AX167" s="14" t="s">
        <v>62</v>
      </c>
      <c r="AY167" s="14" t="s">
        <v>62</v>
      </c>
      <c r="AZ167" s="14" t="s">
        <v>62</v>
      </c>
      <c r="BA167" s="14" t="s">
        <v>62</v>
      </c>
      <c r="BB167" s="14" t="s">
        <v>62</v>
      </c>
      <c r="BC167" s="14" t="s">
        <v>62</v>
      </c>
      <c r="BD167" s="14" t="s">
        <v>62</v>
      </c>
      <c r="BE167" s="14" t="s">
        <v>62</v>
      </c>
      <c r="BF167" s="14" t="s">
        <v>62</v>
      </c>
      <c r="BG167" s="14" t="s">
        <v>62</v>
      </c>
      <c r="BH167" s="14" t="s">
        <v>62</v>
      </c>
      <c r="BI167" s="14" t="s">
        <v>62</v>
      </c>
      <c r="BJ167" s="15" t="s">
        <v>62</v>
      </c>
      <c r="BM167" s="35" t="s">
        <v>6</v>
      </c>
      <c r="BN167" s="11">
        <v>2318.7864</v>
      </c>
      <c r="BO167" s="13">
        <v>1608.2051999999999</v>
      </c>
      <c r="BP167" s="13">
        <v>2449.1543999999999</v>
      </c>
      <c r="BQ167" s="13">
        <v>2449.1543999999999</v>
      </c>
      <c r="BR167" s="13">
        <v>2594.5920000000001</v>
      </c>
      <c r="BS167" s="12">
        <v>0</v>
      </c>
      <c r="BT167" s="13">
        <v>531.71159999999998</v>
      </c>
      <c r="BU167" s="13">
        <v>0</v>
      </c>
      <c r="BV167" s="13">
        <v>2609.1156000000001</v>
      </c>
      <c r="BW167" s="13">
        <v>2609.1156000000001</v>
      </c>
      <c r="BX167" s="13">
        <v>536.91119999999989</v>
      </c>
      <c r="BY167" s="13">
        <v>536.91119999999989</v>
      </c>
      <c r="BZ167" s="13">
        <v>1074.8555999999999</v>
      </c>
      <c r="CA167" s="14">
        <v>1547.4564</v>
      </c>
      <c r="CB167" s="14">
        <v>2196.0036</v>
      </c>
      <c r="CC167" s="14">
        <v>2594.7431999999999</v>
      </c>
      <c r="CD167" s="14">
        <v>2570.2739999999999</v>
      </c>
      <c r="CE167" s="14">
        <v>2643.6815999999999</v>
      </c>
      <c r="CF167" s="14">
        <v>2521.3355999999999</v>
      </c>
      <c r="CG167" s="14">
        <v>1900.6343999999999</v>
      </c>
      <c r="CH167" s="14">
        <v>2937.5135999999998</v>
      </c>
      <c r="CI167" s="14">
        <v>2545.8047999999999</v>
      </c>
      <c r="CJ167" s="14">
        <v>2245.4375999999997</v>
      </c>
      <c r="CK167" s="14">
        <v>2521.3355999999999</v>
      </c>
      <c r="CL167" s="14">
        <v>2435.8488000000002</v>
      </c>
      <c r="CM167" s="14">
        <v>2391.5807999999997</v>
      </c>
      <c r="CN167" s="14">
        <v>2303.0364</v>
      </c>
      <c r="CO167" s="14">
        <v>2280.9023999999999</v>
      </c>
      <c r="CP167" s="14">
        <v>2245.4375999999997</v>
      </c>
      <c r="CQ167" s="14">
        <v>2937.5135999999998</v>
      </c>
      <c r="CR167" s="14">
        <v>2937.5135999999998</v>
      </c>
      <c r="CS167" s="14">
        <v>2937.5135999999998</v>
      </c>
      <c r="CT167" s="14">
        <v>1260.7560000000001</v>
      </c>
      <c r="CU167" s="14">
        <v>1640.8812</v>
      </c>
      <c r="CV167" s="14">
        <v>1260.7560000000001</v>
      </c>
      <c r="CW167" s="14">
        <v>1688.6435999999999</v>
      </c>
      <c r="CX167" s="14">
        <v>409.2312</v>
      </c>
      <c r="CY167" s="14">
        <v>409.2312</v>
      </c>
      <c r="CZ167" s="14">
        <v>409.2312</v>
      </c>
      <c r="DA167" s="14">
        <v>1002.54</v>
      </c>
      <c r="DB167" s="14">
        <v>1021.986</v>
      </c>
      <c r="DC167" s="14">
        <v>1116.8471999999999</v>
      </c>
      <c r="DD167" s="14">
        <v>1543.962</v>
      </c>
      <c r="DE167" s="14">
        <v>1543.962</v>
      </c>
      <c r="DF167" s="14">
        <v>1543.962</v>
      </c>
      <c r="DG167" s="14">
        <v>1143.6768</v>
      </c>
      <c r="DH167" s="14">
        <v>1891.0079999999998</v>
      </c>
      <c r="DI167" s="14">
        <v>1891.0079999999998</v>
      </c>
      <c r="DJ167" s="14">
        <v>1165.4412</v>
      </c>
      <c r="DK167" s="14">
        <v>0</v>
      </c>
      <c r="DL167" s="14">
        <v>3473.7695999999996</v>
      </c>
      <c r="DM167" s="14">
        <v>1524.9695999999999</v>
      </c>
      <c r="DN167" s="14">
        <v>1855.6859999999999</v>
      </c>
      <c r="DO167" s="14">
        <v>1089.2616</v>
      </c>
      <c r="DP167" s="14">
        <v>1165.4412</v>
      </c>
      <c r="DQ167" s="14">
        <v>1154.5632000000001</v>
      </c>
      <c r="DR167" s="14">
        <v>2130.5003999999999</v>
      </c>
      <c r="DS167" s="14">
        <v>1599.7716</v>
      </c>
      <c r="DT167" s="14">
        <v>1210.4651999999999</v>
      </c>
      <c r="DU167" s="14">
        <v>1724.0328</v>
      </c>
      <c r="DV167" s="15">
        <v>1724.0328</v>
      </c>
      <c r="DY167" s="35" t="s">
        <v>6</v>
      </c>
      <c r="DZ167" s="11">
        <f t="shared" si="67"/>
        <v>1.6666666666666666E-2</v>
      </c>
      <c r="EA167" s="13">
        <f t="shared" si="67"/>
        <v>1.6666666666666666E-2</v>
      </c>
      <c r="EB167" s="13">
        <f t="shared" si="67"/>
        <v>1.6666666666666666E-2</v>
      </c>
      <c r="EC167" s="13">
        <f t="shared" si="67"/>
        <v>1.6666666666666666E-2</v>
      </c>
      <c r="ED167" s="13">
        <f t="shared" si="67"/>
        <v>1.6666666666666666E-2</v>
      </c>
      <c r="EE167" s="12">
        <v>0.6</v>
      </c>
      <c r="EF167" s="13">
        <f t="shared" si="67"/>
        <v>1.6666666666666666E-2</v>
      </c>
      <c r="EG167" s="13">
        <f t="shared" si="67"/>
        <v>1.6666666666666666E-2</v>
      </c>
      <c r="EH167" s="13">
        <f t="shared" si="67"/>
        <v>1.6666666666666666E-2</v>
      </c>
      <c r="EI167" s="13">
        <f t="shared" si="67"/>
        <v>1.6666666666666666E-2</v>
      </c>
      <c r="EJ167" s="13">
        <f t="shared" si="67"/>
        <v>1.6666666666666666E-2</v>
      </c>
      <c r="EK167" s="13">
        <f t="shared" si="67"/>
        <v>1.6666666666666666E-2</v>
      </c>
      <c r="EL167" s="13">
        <f t="shared" si="67"/>
        <v>1.6666666666666666E-2</v>
      </c>
      <c r="EM167" s="14">
        <v>4.6511627906976744E-3</v>
      </c>
      <c r="EN167" s="14">
        <v>4.6511627906976744E-3</v>
      </c>
      <c r="EO167" s="14">
        <v>7.1428571428571435E-3</v>
      </c>
      <c r="EP167" s="14">
        <v>7.1428571428571435E-3</v>
      </c>
      <c r="EQ167" s="14">
        <v>7.1428571428571435E-3</v>
      </c>
      <c r="ER167" s="14">
        <v>7.1428571428571435E-3</v>
      </c>
      <c r="ES167" s="14">
        <v>7.1428571428571435E-3</v>
      </c>
      <c r="ET167" s="14">
        <v>7.1428571428571435E-3</v>
      </c>
      <c r="EU167" s="14">
        <v>7.1428571428571435E-3</v>
      </c>
      <c r="EV167" s="14">
        <v>7.1428571428571435E-3</v>
      </c>
      <c r="EW167" s="14">
        <v>7.1428571428571435E-3</v>
      </c>
      <c r="EX167" s="14">
        <v>7.1428571428571435E-3</v>
      </c>
      <c r="EY167" s="14">
        <v>7.1428571428571435E-3</v>
      </c>
      <c r="EZ167" s="14">
        <v>7.1428571428571435E-3</v>
      </c>
      <c r="FA167" s="14">
        <v>7.1428571428571435E-3</v>
      </c>
      <c r="FB167" s="14">
        <v>7.1428571428571435E-3</v>
      </c>
      <c r="FC167" s="14">
        <v>7.1428571428571435E-3</v>
      </c>
      <c r="FD167" s="14">
        <v>7.1428571428571435E-3</v>
      </c>
      <c r="FE167" s="14">
        <v>7.1428571428571435E-3</v>
      </c>
      <c r="FF167" s="14">
        <v>5.7142857142857143E-3</v>
      </c>
      <c r="FG167" s="14">
        <v>5.7142857142857143E-3</v>
      </c>
      <c r="FH167" s="14">
        <v>5.7142857142857143E-3</v>
      </c>
      <c r="FI167" s="14">
        <v>5.7142857142857143E-3</v>
      </c>
      <c r="FJ167" s="14">
        <v>5.7142857142857143E-3</v>
      </c>
      <c r="FK167" s="14">
        <v>5.7142857142857143E-3</v>
      </c>
      <c r="FL167" s="14">
        <v>5.7142857142857143E-3</v>
      </c>
      <c r="FM167" s="14">
        <v>4.7619047619047623E-3</v>
      </c>
      <c r="FN167" s="14">
        <v>4.7619047619047623E-3</v>
      </c>
      <c r="FO167" s="14">
        <v>4.7619047619047623E-3</v>
      </c>
      <c r="FP167" s="14">
        <v>5.7142857142857143E-3</v>
      </c>
      <c r="FQ167" s="14">
        <v>5.7142857142857143E-3</v>
      </c>
      <c r="FR167" s="14">
        <v>5.7142857142857143E-3</v>
      </c>
      <c r="FS167" s="14">
        <v>5.7142857142857143E-3</v>
      </c>
      <c r="FT167" s="14">
        <v>5.8823529411764705E-3</v>
      </c>
      <c r="FU167" s="14">
        <v>5.7142857142857143E-3</v>
      </c>
      <c r="FV167" s="14">
        <v>5.7142857142857143E-3</v>
      </c>
      <c r="FW167" s="14">
        <v>4.5454545454545461E-3</v>
      </c>
      <c r="FX167" s="14">
        <v>4.5454545454545461E-3</v>
      </c>
      <c r="FY167" s="14">
        <v>5.7142857142857143E-3</v>
      </c>
      <c r="FZ167" s="14">
        <v>7.1428571428571435E-3</v>
      </c>
      <c r="GA167" s="14">
        <v>5.7142857142857143E-3</v>
      </c>
      <c r="GB167" s="14">
        <v>5.7142857142857143E-3</v>
      </c>
      <c r="GC167" s="14">
        <v>5.7142857142857143E-3</v>
      </c>
      <c r="GD167" s="14">
        <v>7.1428571428571435E-3</v>
      </c>
      <c r="GE167" s="14">
        <v>7.1428571428571435E-3</v>
      </c>
      <c r="GF167" s="14">
        <v>4.6511627906976744E-3</v>
      </c>
      <c r="GG167" s="14">
        <v>4.6511627906976744E-3</v>
      </c>
      <c r="GH167" s="15">
        <v>4.6511627906976744E-3</v>
      </c>
    </row>
    <row r="168" spans="1:190" x14ac:dyDescent="0.3">
      <c r="A168" s="35" t="s">
        <v>63</v>
      </c>
      <c r="B168" s="11">
        <f>IF(AND(Distances!BO111=0,Distances!EA111=0),BN168*DZ168*B161*2,"")</f>
        <v>18148.916239999999</v>
      </c>
      <c r="C168" s="13">
        <f>IF(AND(Distances!BP111=0,Distances!EB111=0),BO168*EA168*C161*2,"")</f>
        <v>12987.533439999997</v>
      </c>
      <c r="D168" s="13" t="s">
        <v>62</v>
      </c>
      <c r="E168" s="13">
        <f>IF(AND(Distances!BR111=0,Distances!ED111=0),BQ168*EC168*E161*2,"")</f>
        <v>18024.8236</v>
      </c>
      <c r="F168" s="13" t="s">
        <v>62</v>
      </c>
      <c r="G168" s="13" t="s">
        <v>62</v>
      </c>
      <c r="H168" s="12">
        <f>IF(AND(Distances!BU111=0,Distances!EG111=0),BT168*EF168*H161*2,"")</f>
        <v>0</v>
      </c>
      <c r="I168" s="13">
        <f>IF(AND(Distances!BV111=0,Distances!EH111=0),BU168*EG168*I161*2,"")</f>
        <v>3736.5232799999994</v>
      </c>
      <c r="J168" s="13" t="s">
        <v>62</v>
      </c>
      <c r="K168" s="13">
        <f>IF(AND(Distances!BX111=0,Distances!EJ111=0),BW168*EI168*K161*2,"")</f>
        <v>382.79471999999998</v>
      </c>
      <c r="L168" s="13" t="s">
        <v>62</v>
      </c>
      <c r="M168" s="13">
        <f>IF(AND(Distances!BZ111=0,Distances!EL111=0),BY168*EK168*M161*2,"")</f>
        <v>60.833919999999999</v>
      </c>
      <c r="N168" s="13" t="s">
        <v>62</v>
      </c>
      <c r="O168" s="14" t="s">
        <v>62</v>
      </c>
      <c r="P168" s="14" t="s">
        <v>62</v>
      </c>
      <c r="Q168" s="14">
        <f>IF(AND(Distances!CD111=0,Distances!EP111=0),CC168*EO168*Q161*2,"")</f>
        <v>1922.9160000000004</v>
      </c>
      <c r="R168" s="14">
        <f>IF(AND(Distances!CE111=0,Distances!EQ111=0),CD168*EP168*R161*2,"")</f>
        <v>1904.7840000000001</v>
      </c>
      <c r="S168" s="14">
        <f>IF(AND(Distances!CF111=0,Distances!ER111=0),CE168*EQ168*S161*2,"")</f>
        <v>1959.1860000000001</v>
      </c>
      <c r="T168" s="14" t="s">
        <v>62</v>
      </c>
      <c r="U168" s="14" t="s">
        <v>62</v>
      </c>
      <c r="V168" s="14" t="s">
        <v>62</v>
      </c>
      <c r="W168" s="14">
        <f>IF(AND(Distances!CJ111=0,Distances!EV111=0),CI168*EU168*W161*2,"")</f>
        <v>2188.50936</v>
      </c>
      <c r="X168" s="14" t="s">
        <v>62</v>
      </c>
      <c r="Y168" s="14" t="s">
        <v>62</v>
      </c>
      <c r="Z168" s="14" t="s">
        <v>62</v>
      </c>
      <c r="AA168" s="14" t="s">
        <v>62</v>
      </c>
      <c r="AB168" s="14" t="s">
        <v>62</v>
      </c>
      <c r="AC168" s="14">
        <f>IF(AND(Distances!CP111=0,Distances!FB111=0),CO168*FA168*AC161*2,"")</f>
        <v>67.937759999999997</v>
      </c>
      <c r="AD168" s="14">
        <f>IF(AND(Distances!CQ111=0,Distances!FC111=0),CP168*FB168*AD161*2,"")</f>
        <v>67.041360000000012</v>
      </c>
      <c r="AE168" s="14" t="s">
        <v>62</v>
      </c>
      <c r="AF168" s="14" t="s">
        <v>62</v>
      </c>
      <c r="AG168" s="14" t="s">
        <v>62</v>
      </c>
      <c r="AH168" s="14" t="s">
        <v>62</v>
      </c>
      <c r="AI168" s="14">
        <f>IF(AND(Distances!CV111=0,Distances!FH111=0),CU168*FG168*AI161*2,"")</f>
        <v>24.463488000000002</v>
      </c>
      <c r="AJ168" s="14" t="s">
        <v>62</v>
      </c>
      <c r="AK168" s="14">
        <f>IF(AND(Distances!CX111=0,Distances!FJ111=0),CW168*FI168*AK161*2,"")</f>
        <v>25.175711999999994</v>
      </c>
      <c r="AL168" s="14">
        <f>IF(AND(Distances!CY111=0,Distances!FK111=0),CX168*FJ168*AL161*2,"")</f>
        <v>274.89715199999995</v>
      </c>
      <c r="AM168" s="14">
        <f>IF(AND(Distances!CZ111=0,Distances!FL111=0),CY168*FK168*AM161*2,"")</f>
        <v>274.89715199999995</v>
      </c>
      <c r="AN168" s="14" t="s">
        <v>62</v>
      </c>
      <c r="AO168" s="14">
        <f>IF(AND(Distances!DB111=0,Distances!FN111=0),DA168*FM168*AO161*2,"")</f>
        <v>21.1784</v>
      </c>
      <c r="AP168" s="14">
        <f>IF(AND(Distances!DC111=0,Distances!FO111=0),DB168*FN168*AP161*2,"")</f>
        <v>21.589279999999999</v>
      </c>
      <c r="AQ168" s="14">
        <f>IF(AND(Distances!DD111=0,Distances!FP111=0),DC168*FO168*AQ161*2,"")</f>
        <v>23.44464</v>
      </c>
      <c r="AR168" s="14">
        <f>IF(AND(Distances!DE111=0,Distances!FQ111=0),DD168*FP168*AR161*2,"")</f>
        <v>37.695743999999998</v>
      </c>
      <c r="AS168" s="14" t="s">
        <v>62</v>
      </c>
      <c r="AT168" s="14" t="s">
        <v>62</v>
      </c>
      <c r="AU168" s="14" t="s">
        <v>62</v>
      </c>
      <c r="AV168" s="14" t="s">
        <v>62</v>
      </c>
      <c r="AW168" s="14" t="s">
        <v>62</v>
      </c>
      <c r="AX168" s="14">
        <f>IF(AND(Distances!DK111=0,Distances!FW111=0),DJ168*FV168*AX161*2,"")</f>
        <v>75.307199999999995</v>
      </c>
      <c r="AY168" s="14">
        <f>IF(AND(Distances!DL111=0,Distances!FX111=0),DK168*FW168*AY161*2,"")</f>
        <v>0</v>
      </c>
      <c r="AZ168" s="14" t="s">
        <v>62</v>
      </c>
      <c r="BA168" s="14">
        <f>IF(AND(Distances!DN111=0,Distances!FZ111=0),DM168*FY168*BA161*2,"")</f>
        <v>70.699392000000003</v>
      </c>
      <c r="BB168" s="14">
        <f>IF(AND(Distances!DO111=0,Distances!GA111=0),DN168*FZ168*BB161*2,"")</f>
        <v>112.43328000000001</v>
      </c>
      <c r="BC168" s="14">
        <f>IF(AND(Distances!DP111=0,Distances!GB111=0),DO168*GA168*BC161*2,"")</f>
        <v>450.45964800000002</v>
      </c>
      <c r="BD168" s="14" t="s">
        <v>62</v>
      </c>
      <c r="BE168" s="14">
        <f>IF(AND(Distances!DR111=0,Distances!GD111=0),DQ168*GC168*BE161*2,"")</f>
        <v>477.46559999999999</v>
      </c>
      <c r="BF168" s="14" t="s">
        <v>62</v>
      </c>
      <c r="BG168" s="14" t="s">
        <v>62</v>
      </c>
      <c r="BH168" s="14" t="s">
        <v>62</v>
      </c>
      <c r="BI168" s="14" t="s">
        <v>62</v>
      </c>
      <c r="BJ168" s="15" t="s">
        <v>62</v>
      </c>
      <c r="BM168" s="35" t="s">
        <v>63</v>
      </c>
      <c r="BN168" s="11">
        <v>2695.3835999999997</v>
      </c>
      <c r="BO168" s="13">
        <v>1928.8415999999997</v>
      </c>
      <c r="BP168" s="13">
        <v>2676.9539999999997</v>
      </c>
      <c r="BQ168" s="13">
        <v>2676.9539999999997</v>
      </c>
      <c r="BR168" s="13">
        <v>2835.9155999999998</v>
      </c>
      <c r="BS168" s="13">
        <v>531.71159999999998</v>
      </c>
      <c r="BT168" s="12">
        <v>0</v>
      </c>
      <c r="BU168" s="13">
        <v>554.92919999999992</v>
      </c>
      <c r="BV168" s="13">
        <v>2870.9603999999999</v>
      </c>
      <c r="BW168" s="13">
        <v>2870.9603999999999</v>
      </c>
      <c r="BX168" s="13">
        <v>456.25439999999998</v>
      </c>
      <c r="BY168" s="13">
        <v>456.25439999999998</v>
      </c>
      <c r="BZ168" s="13">
        <v>1182.8796</v>
      </c>
      <c r="CA168" s="14">
        <v>1442.0952</v>
      </c>
      <c r="CB168" s="14">
        <v>2085.9720000000002</v>
      </c>
      <c r="CC168" s="14">
        <v>2692.0824000000002</v>
      </c>
      <c r="CD168" s="14">
        <v>2666.6976</v>
      </c>
      <c r="CE168" s="14">
        <v>2742.8604</v>
      </c>
      <c r="CF168" s="14">
        <v>2616.1715999999997</v>
      </c>
      <c r="CG168" s="14">
        <v>2331.672</v>
      </c>
      <c r="CH168" s="14">
        <v>3032.9543999999996</v>
      </c>
      <c r="CI168" s="14">
        <v>2641.3044</v>
      </c>
      <c r="CJ168" s="14">
        <v>2346.4476</v>
      </c>
      <c r="CK168" s="14">
        <v>2615.9196000000002</v>
      </c>
      <c r="CL168" s="14">
        <v>2539.3535999999999</v>
      </c>
      <c r="CM168" s="14">
        <v>2493.1956</v>
      </c>
      <c r="CN168" s="14">
        <v>2400.8964000000001</v>
      </c>
      <c r="CO168" s="14">
        <v>2377.8215999999998</v>
      </c>
      <c r="CP168" s="14">
        <v>2346.4476</v>
      </c>
      <c r="CQ168" s="14">
        <v>3032.9543999999996</v>
      </c>
      <c r="CR168" s="14">
        <v>3032.9543999999996</v>
      </c>
      <c r="CS168" s="14">
        <v>3032.9543999999996</v>
      </c>
      <c r="CT168" s="14">
        <v>1802.6904</v>
      </c>
      <c r="CU168" s="14">
        <v>2140.5552000000002</v>
      </c>
      <c r="CV168" s="14">
        <v>1802.6904</v>
      </c>
      <c r="CW168" s="14">
        <v>2202.8747999999996</v>
      </c>
      <c r="CX168" s="14">
        <v>445.43519999999995</v>
      </c>
      <c r="CY168" s="14">
        <v>445.43519999999995</v>
      </c>
      <c r="CZ168" s="14">
        <v>445.43519999999995</v>
      </c>
      <c r="DA168" s="14">
        <v>1111.866</v>
      </c>
      <c r="DB168" s="14">
        <v>1133.4371999999998</v>
      </c>
      <c r="DC168" s="14">
        <v>1230.8435999999999</v>
      </c>
      <c r="DD168" s="14">
        <v>1649.1887999999999</v>
      </c>
      <c r="DE168" s="14">
        <v>1649.1887999999999</v>
      </c>
      <c r="DF168" s="14">
        <v>1649.1887999999999</v>
      </c>
      <c r="DG168" s="14">
        <v>1293.2556</v>
      </c>
      <c r="DH168" s="14">
        <v>2005.0463999999999</v>
      </c>
      <c r="DI168" s="14">
        <v>2005.0463999999999</v>
      </c>
      <c r="DJ168" s="14">
        <v>1317.876</v>
      </c>
      <c r="DK168" s="14">
        <v>0</v>
      </c>
      <c r="DL168" s="14">
        <v>3543.0695999999994</v>
      </c>
      <c r="DM168" s="14">
        <v>1546.5491999999999</v>
      </c>
      <c r="DN168" s="14">
        <v>1967.5824</v>
      </c>
      <c r="DO168" s="14">
        <v>1231.7256</v>
      </c>
      <c r="DP168" s="14">
        <v>1317.876</v>
      </c>
      <c r="DQ168" s="14">
        <v>1305.57</v>
      </c>
      <c r="DR168" s="14">
        <v>2266.1015999999995</v>
      </c>
      <c r="DS168" s="14">
        <v>1722.21</v>
      </c>
      <c r="DT168" s="14">
        <v>1408.1088</v>
      </c>
      <c r="DU168" s="14">
        <v>2027.2896000000001</v>
      </c>
      <c r="DV168" s="15">
        <v>2027.2896000000001</v>
      </c>
      <c r="DY168" s="35" t="s">
        <v>63</v>
      </c>
      <c r="DZ168" s="11">
        <f t="shared" si="67"/>
        <v>1.6666666666666666E-2</v>
      </c>
      <c r="EA168" s="13">
        <f t="shared" si="67"/>
        <v>1.6666666666666666E-2</v>
      </c>
      <c r="EB168" s="13">
        <f t="shared" si="67"/>
        <v>1.6666666666666666E-2</v>
      </c>
      <c r="EC168" s="13">
        <f t="shared" si="67"/>
        <v>1.6666666666666666E-2</v>
      </c>
      <c r="ED168" s="13">
        <f t="shared" si="67"/>
        <v>1.6666666666666666E-2</v>
      </c>
      <c r="EE168" s="13">
        <f t="shared" si="67"/>
        <v>1.6666666666666666E-2</v>
      </c>
      <c r="EF168" s="12">
        <v>0.6</v>
      </c>
      <c r="EG168" s="13">
        <f t="shared" si="67"/>
        <v>1.6666666666666666E-2</v>
      </c>
      <c r="EH168" s="13">
        <f t="shared" si="67"/>
        <v>1.6666666666666666E-2</v>
      </c>
      <c r="EI168" s="13">
        <f t="shared" si="67"/>
        <v>1.6666666666666666E-2</v>
      </c>
      <c r="EJ168" s="13">
        <f t="shared" si="67"/>
        <v>1.6666666666666666E-2</v>
      </c>
      <c r="EK168" s="13">
        <f t="shared" si="67"/>
        <v>1.6666666666666666E-2</v>
      </c>
      <c r="EL168" s="13">
        <f t="shared" si="67"/>
        <v>1.6666666666666666E-2</v>
      </c>
      <c r="EM168" s="14">
        <v>4.6511627906976744E-3</v>
      </c>
      <c r="EN168" s="14">
        <v>4.6511627906976744E-3</v>
      </c>
      <c r="EO168" s="14">
        <v>7.1428571428571435E-3</v>
      </c>
      <c r="EP168" s="14">
        <v>7.1428571428571435E-3</v>
      </c>
      <c r="EQ168" s="14">
        <v>7.1428571428571435E-3</v>
      </c>
      <c r="ER168" s="14">
        <v>7.1428571428571435E-3</v>
      </c>
      <c r="ES168" s="14">
        <v>7.1428571428571435E-3</v>
      </c>
      <c r="ET168" s="14">
        <v>7.1428571428571435E-3</v>
      </c>
      <c r="EU168" s="14">
        <v>7.1428571428571435E-3</v>
      </c>
      <c r="EV168" s="14">
        <v>7.1428571428571435E-3</v>
      </c>
      <c r="EW168" s="14">
        <v>7.1428571428571435E-3</v>
      </c>
      <c r="EX168" s="14">
        <v>7.1428571428571435E-3</v>
      </c>
      <c r="EY168" s="14">
        <v>7.1428571428571435E-3</v>
      </c>
      <c r="EZ168" s="14">
        <v>7.1428571428571435E-3</v>
      </c>
      <c r="FA168" s="14">
        <v>7.1428571428571435E-3</v>
      </c>
      <c r="FB168" s="14">
        <v>7.1428571428571435E-3</v>
      </c>
      <c r="FC168" s="14">
        <v>7.1428571428571435E-3</v>
      </c>
      <c r="FD168" s="14">
        <v>7.1428571428571435E-3</v>
      </c>
      <c r="FE168" s="14">
        <v>7.1428571428571435E-3</v>
      </c>
      <c r="FF168" s="14">
        <v>5.7142857142857143E-3</v>
      </c>
      <c r="FG168" s="14">
        <v>5.7142857142857143E-3</v>
      </c>
      <c r="FH168" s="14">
        <v>5.7142857142857143E-3</v>
      </c>
      <c r="FI168" s="14">
        <v>5.7142857142857143E-3</v>
      </c>
      <c r="FJ168" s="14">
        <v>5.7142857142857143E-3</v>
      </c>
      <c r="FK168" s="14">
        <v>5.7142857142857143E-3</v>
      </c>
      <c r="FL168" s="14">
        <v>5.7142857142857143E-3</v>
      </c>
      <c r="FM168" s="14">
        <v>4.7619047619047623E-3</v>
      </c>
      <c r="FN168" s="14">
        <v>4.7619047619047623E-3</v>
      </c>
      <c r="FO168" s="14">
        <v>4.7619047619047623E-3</v>
      </c>
      <c r="FP168" s="14">
        <v>5.7142857142857143E-3</v>
      </c>
      <c r="FQ168" s="14">
        <v>5.7142857142857143E-3</v>
      </c>
      <c r="FR168" s="14">
        <v>5.7142857142857143E-3</v>
      </c>
      <c r="FS168" s="14">
        <v>5.7142857142857143E-3</v>
      </c>
      <c r="FT168" s="14">
        <v>5.8823529411764705E-3</v>
      </c>
      <c r="FU168" s="14">
        <v>5.7142857142857143E-3</v>
      </c>
      <c r="FV168" s="14">
        <v>5.7142857142857143E-3</v>
      </c>
      <c r="FW168" s="14">
        <v>4.5454545454545461E-3</v>
      </c>
      <c r="FX168" s="14">
        <v>4.5454545454545461E-3</v>
      </c>
      <c r="FY168" s="14">
        <v>5.7142857142857143E-3</v>
      </c>
      <c r="FZ168" s="14">
        <v>7.1428571428571435E-3</v>
      </c>
      <c r="GA168" s="14">
        <v>5.7142857142857143E-3</v>
      </c>
      <c r="GB168" s="14">
        <v>5.7142857142857143E-3</v>
      </c>
      <c r="GC168" s="14">
        <v>5.7142857142857143E-3</v>
      </c>
      <c r="GD168" s="14">
        <v>7.1428571428571435E-3</v>
      </c>
      <c r="GE168" s="14">
        <v>7.1428571428571435E-3</v>
      </c>
      <c r="GF168" s="14">
        <v>4.6511627906976744E-3</v>
      </c>
      <c r="GG168" s="14">
        <v>4.6511627906976744E-3</v>
      </c>
      <c r="GH168" s="15">
        <v>4.6511627906976744E-3</v>
      </c>
    </row>
    <row r="169" spans="1:190" x14ac:dyDescent="0.3">
      <c r="A169" s="35" t="s">
        <v>8</v>
      </c>
      <c r="B169" s="11">
        <f>IF(AND(Distances!BO112=0,Distances!EA112=0),BN169*DZ169*B161*2,"")</f>
        <v>15613.161759999999</v>
      </c>
      <c r="C169" s="13">
        <f>IF(AND(Distances!BP112=0,Distances!EB112=0),BO169*EA169*C161*2,"")</f>
        <v>10828.581679999999</v>
      </c>
      <c r="D169" s="13" t="s">
        <v>62</v>
      </c>
      <c r="E169" s="13">
        <f>IF(AND(Distances!BR112=0,Distances!ED112=0),BQ169*EC169*E161*2,"")</f>
        <v>16490.972959999999</v>
      </c>
      <c r="F169" s="13" t="s">
        <v>62</v>
      </c>
      <c r="G169" s="13" t="s">
        <v>62</v>
      </c>
      <c r="H169" s="13">
        <f>IF(AND(Distances!BU112=0,Distances!EG112=0),BT169*EF169*H161*2,"")</f>
        <v>3736.5232799999994</v>
      </c>
      <c r="I169" s="12">
        <f>IF(AND(Distances!BV112=0,Distances!EH112=0),BU169*EG169*I161*2,"")</f>
        <v>0</v>
      </c>
      <c r="J169" s="13" t="s">
        <v>62</v>
      </c>
      <c r="K169" s="13">
        <f>IF(AND(Distances!BX112=0,Distances!EJ112=0),BW169*EI169*K161*2,"")</f>
        <v>347.88208000000003</v>
      </c>
      <c r="L169" s="13" t="s">
        <v>62</v>
      </c>
      <c r="M169" s="13">
        <f>IF(AND(Distances!BZ112=0,Distances!EL112=0),BY169*EK169*M161*2,"")</f>
        <v>71.588159999999988</v>
      </c>
      <c r="N169" s="13" t="s">
        <v>62</v>
      </c>
      <c r="O169" s="14" t="s">
        <v>62</v>
      </c>
      <c r="P169" s="14" t="s">
        <v>62</v>
      </c>
      <c r="Q169" s="14">
        <f>IF(AND(Distances!CD112=0,Distances!EP112=0),CC169*EO169*Q161*2,"")</f>
        <v>1853.3879999999999</v>
      </c>
      <c r="R169" s="14">
        <f>IF(AND(Distances!CE112=0,Distances!EQ112=0),CD169*EP169*R161*2,"")</f>
        <v>1835.91</v>
      </c>
      <c r="S169" s="14">
        <f>IF(AND(Distances!CF112=0,Distances!ER112=0),CE169*EQ169*S161*2,"")</f>
        <v>1888.3440000000001</v>
      </c>
      <c r="T169" s="14" t="s">
        <v>62</v>
      </c>
      <c r="U169" s="14" t="s">
        <v>62</v>
      </c>
      <c r="V169" s="14" t="s">
        <v>62</v>
      </c>
      <c r="W169" s="14">
        <f>IF(AND(Distances!CJ112=0,Distances!EV112=0),CI169*EU169*W161*2,"")</f>
        <v>2109.38112</v>
      </c>
      <c r="X169" s="14" t="s">
        <v>62</v>
      </c>
      <c r="Y169" s="14" t="s">
        <v>62</v>
      </c>
      <c r="Z169" s="14" t="s">
        <v>62</v>
      </c>
      <c r="AA169" s="14" t="s">
        <v>62</v>
      </c>
      <c r="AB169" s="14" t="s">
        <v>62</v>
      </c>
      <c r="AC169" s="14">
        <f>IF(AND(Distances!CP112=0,Distances!FB112=0),CO169*FA169*AC161*2,"")</f>
        <v>65.168640000000011</v>
      </c>
      <c r="AD169" s="14">
        <f>IF(AND(Distances!CQ112=0,Distances!FC112=0),CP169*FB169*AD161*2,"")</f>
        <v>64.155360000000002</v>
      </c>
      <c r="AE169" s="14" t="s">
        <v>62</v>
      </c>
      <c r="AF169" s="14" t="s">
        <v>62</v>
      </c>
      <c r="AG169" s="14" t="s">
        <v>62</v>
      </c>
      <c r="AH169" s="14" t="s">
        <v>62</v>
      </c>
      <c r="AI169" s="14">
        <f>IF(AND(Distances!CV112=0,Distances!FH112=0),CU169*FG169*AI161*2,"")</f>
        <v>18.752928000000001</v>
      </c>
      <c r="AJ169" s="14" t="s">
        <v>62</v>
      </c>
      <c r="AK169" s="14">
        <f>IF(AND(Distances!CX112=0,Distances!FJ112=0),CW169*FI169*AK161*2,"")</f>
        <v>19.298783999999998</v>
      </c>
      <c r="AL169" s="14">
        <f>IF(AND(Distances!CY112=0,Distances!FK112=0),CX169*FJ169*AL161*2,"")</f>
        <v>252.554112</v>
      </c>
      <c r="AM169" s="14">
        <f>IF(AND(Distances!CZ112=0,Distances!FL112=0),CY169*FK169*AM161*2,"")</f>
        <v>252.554112</v>
      </c>
      <c r="AN169" s="14" t="s">
        <v>62</v>
      </c>
      <c r="AO169" s="14">
        <f>IF(AND(Distances!DB112=0,Distances!FN112=0),DA169*FM169*AO161*2,"")</f>
        <v>19.096</v>
      </c>
      <c r="AP169" s="14">
        <f>IF(AND(Distances!DC112=0,Distances!FO112=0),DB169*FN169*AP161*2,"")</f>
        <v>19.4664</v>
      </c>
      <c r="AQ169" s="14">
        <f>IF(AND(Distances!DD112=0,Distances!FP112=0),DC169*FO169*AQ161*2,"")</f>
        <v>21.27328</v>
      </c>
      <c r="AR169" s="14">
        <f>IF(AND(Distances!DE112=0,Distances!FQ112=0),DD169*FP169*AR161*2,"")</f>
        <v>35.290559999999999</v>
      </c>
      <c r="AS169" s="14" t="s">
        <v>62</v>
      </c>
      <c r="AT169" s="14" t="s">
        <v>62</v>
      </c>
      <c r="AU169" s="14" t="s">
        <v>62</v>
      </c>
      <c r="AV169" s="14" t="s">
        <v>62</v>
      </c>
      <c r="AW169" s="14" t="s">
        <v>62</v>
      </c>
      <c r="AX169" s="14">
        <f>IF(AND(Distances!DK112=0,Distances!FW112=0),DJ169*FV169*AX161*2,"")</f>
        <v>66.596640000000008</v>
      </c>
      <c r="AY169" s="14">
        <f>IF(AND(Distances!DL112=0,Distances!FX112=0),DK169*FW169*AY161*2,"")</f>
        <v>0</v>
      </c>
      <c r="AZ169" s="14" t="s">
        <v>62</v>
      </c>
      <c r="BA169" s="14">
        <f>IF(AND(Distances!DN112=0,Distances!FZ112=0),DM169*FY169*BA161*2,"")</f>
        <v>69.712896000000001</v>
      </c>
      <c r="BB169" s="14">
        <f>IF(AND(Distances!DO112=0,Distances!GA112=0),DN169*FZ169*BB161*2,"")</f>
        <v>106.03920000000001</v>
      </c>
      <c r="BC169" s="14">
        <f>IF(AND(Distances!DP112=0,Distances!GB112=0),DO169*GA169*BC161*2,"")</f>
        <v>398.35852800000004</v>
      </c>
      <c r="BD169" s="14" t="s">
        <v>62</v>
      </c>
      <c r="BE169" s="14">
        <f>IF(AND(Distances!DR112=0,Distances!GD112=0),DQ169*GC169*BE161*2,"")</f>
        <v>422.24025600000004</v>
      </c>
      <c r="BF169" s="14" t="s">
        <v>62</v>
      </c>
      <c r="BG169" s="14" t="s">
        <v>62</v>
      </c>
      <c r="BH169" s="14" t="s">
        <v>62</v>
      </c>
      <c r="BI169" s="14" t="s">
        <v>62</v>
      </c>
      <c r="BJ169" s="15" t="s">
        <v>62</v>
      </c>
      <c r="BM169" s="35" t="s">
        <v>8</v>
      </c>
      <c r="BN169" s="11">
        <v>2318.7864</v>
      </c>
      <c r="BO169" s="13">
        <v>1608.2051999999999</v>
      </c>
      <c r="BP169" s="13">
        <v>2449.1543999999999</v>
      </c>
      <c r="BQ169" s="13">
        <v>2449.1543999999999</v>
      </c>
      <c r="BR169" s="13">
        <v>2594.5920000000001</v>
      </c>
      <c r="BS169" s="13">
        <v>0</v>
      </c>
      <c r="BT169" s="13">
        <v>554.92919999999992</v>
      </c>
      <c r="BU169" s="12">
        <v>0</v>
      </c>
      <c r="BV169" s="13">
        <v>2609.1156000000001</v>
      </c>
      <c r="BW169" s="13">
        <v>2609.1156000000001</v>
      </c>
      <c r="BX169" s="13">
        <v>536.91119999999989</v>
      </c>
      <c r="BY169" s="13">
        <v>536.91119999999989</v>
      </c>
      <c r="BZ169" s="13">
        <v>1074.8555999999999</v>
      </c>
      <c r="CA169" s="14">
        <v>1547.4564</v>
      </c>
      <c r="CB169" s="14">
        <v>2196.0036</v>
      </c>
      <c r="CC169" s="14">
        <v>2594.7431999999999</v>
      </c>
      <c r="CD169" s="14">
        <v>2570.2739999999999</v>
      </c>
      <c r="CE169" s="14">
        <v>2643.6815999999999</v>
      </c>
      <c r="CF169" s="14">
        <v>2521.3355999999999</v>
      </c>
      <c r="CG169" s="14">
        <v>1900.6343999999999</v>
      </c>
      <c r="CH169" s="14">
        <v>2937.5135999999998</v>
      </c>
      <c r="CI169" s="14">
        <v>2545.8047999999999</v>
      </c>
      <c r="CJ169" s="14">
        <v>2245.4375999999997</v>
      </c>
      <c r="CK169" s="14">
        <v>2521.3355999999999</v>
      </c>
      <c r="CL169" s="14">
        <v>2435.8488000000002</v>
      </c>
      <c r="CM169" s="14">
        <v>2391.5807999999997</v>
      </c>
      <c r="CN169" s="14">
        <v>2303.0364</v>
      </c>
      <c r="CO169" s="14">
        <v>2280.9023999999999</v>
      </c>
      <c r="CP169" s="14">
        <v>2245.4375999999997</v>
      </c>
      <c r="CQ169" s="14">
        <v>2937.5135999999998</v>
      </c>
      <c r="CR169" s="14">
        <v>2937.5135999999998</v>
      </c>
      <c r="CS169" s="14">
        <v>2937.5135999999998</v>
      </c>
      <c r="CT169" s="14">
        <v>1260.7560000000001</v>
      </c>
      <c r="CU169" s="14">
        <v>1640.8812</v>
      </c>
      <c r="CV169" s="14">
        <v>1260.7560000000001</v>
      </c>
      <c r="CW169" s="14">
        <v>1688.6435999999999</v>
      </c>
      <c r="CX169" s="14">
        <v>409.2312</v>
      </c>
      <c r="CY169" s="14">
        <v>409.2312</v>
      </c>
      <c r="CZ169" s="14">
        <v>409.2312</v>
      </c>
      <c r="DA169" s="14">
        <v>1002.54</v>
      </c>
      <c r="DB169" s="14">
        <v>1021.986</v>
      </c>
      <c r="DC169" s="14">
        <v>1116.8471999999999</v>
      </c>
      <c r="DD169" s="14">
        <v>1543.962</v>
      </c>
      <c r="DE169" s="14">
        <v>1543.962</v>
      </c>
      <c r="DF169" s="14">
        <v>1543.962</v>
      </c>
      <c r="DG169" s="14">
        <v>1143.6768</v>
      </c>
      <c r="DH169" s="14">
        <v>1891.0079999999998</v>
      </c>
      <c r="DI169" s="14">
        <v>1891.0079999999998</v>
      </c>
      <c r="DJ169" s="14">
        <v>1165.4412</v>
      </c>
      <c r="DK169" s="14">
        <v>0</v>
      </c>
      <c r="DL169" s="14">
        <v>3473.7695999999996</v>
      </c>
      <c r="DM169" s="14">
        <v>1524.9695999999999</v>
      </c>
      <c r="DN169" s="14">
        <v>1855.6859999999999</v>
      </c>
      <c r="DO169" s="14">
        <v>1089.2616</v>
      </c>
      <c r="DP169" s="14">
        <v>1165.4412</v>
      </c>
      <c r="DQ169" s="14">
        <v>1154.5632000000001</v>
      </c>
      <c r="DR169" s="14">
        <v>2130.5003999999999</v>
      </c>
      <c r="DS169" s="14">
        <v>1599.7716</v>
      </c>
      <c r="DT169" s="14">
        <v>1210.4651999999999</v>
      </c>
      <c r="DU169" s="14">
        <v>1724.0328</v>
      </c>
      <c r="DV169" s="15">
        <v>1724.0328</v>
      </c>
      <c r="DY169" s="35" t="s">
        <v>8</v>
      </c>
      <c r="DZ169" s="11">
        <f t="shared" si="67"/>
        <v>1.6666666666666666E-2</v>
      </c>
      <c r="EA169" s="13">
        <f t="shared" si="67"/>
        <v>1.6666666666666666E-2</v>
      </c>
      <c r="EB169" s="13">
        <f t="shared" si="67"/>
        <v>1.6666666666666666E-2</v>
      </c>
      <c r="EC169" s="13">
        <f t="shared" si="67"/>
        <v>1.6666666666666666E-2</v>
      </c>
      <c r="ED169" s="13">
        <f t="shared" si="67"/>
        <v>1.6666666666666666E-2</v>
      </c>
      <c r="EE169" s="13">
        <f t="shared" si="67"/>
        <v>1.6666666666666666E-2</v>
      </c>
      <c r="EF169" s="13">
        <f t="shared" si="67"/>
        <v>1.6666666666666666E-2</v>
      </c>
      <c r="EG169" s="12">
        <v>0.6</v>
      </c>
      <c r="EH169" s="13">
        <f t="shared" si="67"/>
        <v>1.6666666666666666E-2</v>
      </c>
      <c r="EI169" s="13">
        <f t="shared" si="67"/>
        <v>1.6666666666666666E-2</v>
      </c>
      <c r="EJ169" s="13">
        <f t="shared" si="67"/>
        <v>1.6666666666666666E-2</v>
      </c>
      <c r="EK169" s="13">
        <f t="shared" si="67"/>
        <v>1.6666666666666666E-2</v>
      </c>
      <c r="EL169" s="13">
        <f t="shared" si="67"/>
        <v>1.6666666666666666E-2</v>
      </c>
      <c r="EM169" s="14">
        <v>4.6511627906976744E-3</v>
      </c>
      <c r="EN169" s="14">
        <v>4.6511627906976744E-3</v>
      </c>
      <c r="EO169" s="14">
        <v>7.1428571428571435E-3</v>
      </c>
      <c r="EP169" s="14">
        <v>7.1428571428571435E-3</v>
      </c>
      <c r="EQ169" s="14">
        <v>7.1428571428571435E-3</v>
      </c>
      <c r="ER169" s="14">
        <v>7.1428571428571435E-3</v>
      </c>
      <c r="ES169" s="14">
        <v>7.1428571428571435E-3</v>
      </c>
      <c r="ET169" s="14">
        <v>7.1428571428571435E-3</v>
      </c>
      <c r="EU169" s="14">
        <v>7.1428571428571435E-3</v>
      </c>
      <c r="EV169" s="14">
        <v>7.1428571428571435E-3</v>
      </c>
      <c r="EW169" s="14">
        <v>7.1428571428571435E-3</v>
      </c>
      <c r="EX169" s="14">
        <v>7.1428571428571435E-3</v>
      </c>
      <c r="EY169" s="14">
        <v>7.1428571428571435E-3</v>
      </c>
      <c r="EZ169" s="14">
        <v>7.1428571428571435E-3</v>
      </c>
      <c r="FA169" s="14">
        <v>7.1428571428571435E-3</v>
      </c>
      <c r="FB169" s="14">
        <v>7.1428571428571435E-3</v>
      </c>
      <c r="FC169" s="14">
        <v>7.1428571428571435E-3</v>
      </c>
      <c r="FD169" s="14">
        <v>7.1428571428571435E-3</v>
      </c>
      <c r="FE169" s="14">
        <v>7.1428571428571435E-3</v>
      </c>
      <c r="FF169" s="14">
        <v>5.7142857142857143E-3</v>
      </c>
      <c r="FG169" s="14">
        <v>5.7142857142857143E-3</v>
      </c>
      <c r="FH169" s="14">
        <v>5.7142857142857143E-3</v>
      </c>
      <c r="FI169" s="14">
        <v>5.7142857142857143E-3</v>
      </c>
      <c r="FJ169" s="14">
        <v>5.7142857142857143E-3</v>
      </c>
      <c r="FK169" s="14">
        <v>5.7142857142857143E-3</v>
      </c>
      <c r="FL169" s="14">
        <v>5.7142857142857143E-3</v>
      </c>
      <c r="FM169" s="14">
        <v>4.7619047619047623E-3</v>
      </c>
      <c r="FN169" s="14">
        <v>4.7619047619047623E-3</v>
      </c>
      <c r="FO169" s="14">
        <v>4.7619047619047623E-3</v>
      </c>
      <c r="FP169" s="14">
        <v>5.7142857142857143E-3</v>
      </c>
      <c r="FQ169" s="14">
        <v>5.7142857142857143E-3</v>
      </c>
      <c r="FR169" s="14">
        <v>5.7142857142857143E-3</v>
      </c>
      <c r="FS169" s="14">
        <v>5.7142857142857143E-3</v>
      </c>
      <c r="FT169" s="14">
        <v>5.8823529411764705E-3</v>
      </c>
      <c r="FU169" s="14">
        <v>5.7142857142857143E-3</v>
      </c>
      <c r="FV169" s="14">
        <v>5.7142857142857143E-3</v>
      </c>
      <c r="FW169" s="14">
        <v>4.5454545454545461E-3</v>
      </c>
      <c r="FX169" s="14">
        <v>4.5454545454545461E-3</v>
      </c>
      <c r="FY169" s="14">
        <v>5.7142857142857143E-3</v>
      </c>
      <c r="FZ169" s="14">
        <v>7.1428571428571435E-3</v>
      </c>
      <c r="GA169" s="14">
        <v>5.7142857142857143E-3</v>
      </c>
      <c r="GB169" s="14">
        <v>5.7142857142857143E-3</v>
      </c>
      <c r="GC169" s="14">
        <v>5.7142857142857143E-3</v>
      </c>
      <c r="GD169" s="14">
        <v>7.1428571428571435E-3</v>
      </c>
      <c r="GE169" s="14">
        <v>7.1428571428571435E-3</v>
      </c>
      <c r="GF169" s="14">
        <v>4.6511627906976744E-3</v>
      </c>
      <c r="GG169" s="14">
        <v>4.6511627906976744E-3</v>
      </c>
      <c r="GH169" s="15">
        <v>4.6511627906976744E-3</v>
      </c>
    </row>
    <row r="170" spans="1:190" x14ac:dyDescent="0.3">
      <c r="A170" s="35" t="s">
        <v>64</v>
      </c>
      <c r="B170" s="11" t="s">
        <v>62</v>
      </c>
      <c r="C170" s="13" t="s">
        <v>62</v>
      </c>
      <c r="D170" s="13" t="s">
        <v>62</v>
      </c>
      <c r="E170" s="13" t="s">
        <v>62</v>
      </c>
      <c r="F170" s="13" t="s">
        <v>62</v>
      </c>
      <c r="G170" s="13" t="s">
        <v>62</v>
      </c>
      <c r="H170" s="13" t="s">
        <v>62</v>
      </c>
      <c r="I170" s="13" t="s">
        <v>62</v>
      </c>
      <c r="J170" s="12">
        <f>IF(AND(Distances!BW113=0,Distances!EI113=0),BV170*EH170*J161*2,"")</f>
        <v>0</v>
      </c>
      <c r="K170" s="13" t="s">
        <v>62</v>
      </c>
      <c r="L170" s="13" t="s">
        <v>62</v>
      </c>
      <c r="M170" s="13" t="s">
        <v>62</v>
      </c>
      <c r="N170" s="13" t="s">
        <v>62</v>
      </c>
      <c r="O170" s="14" t="s">
        <v>62</v>
      </c>
      <c r="P170" s="14" t="s">
        <v>62</v>
      </c>
      <c r="Q170" s="14" t="s">
        <v>62</v>
      </c>
      <c r="R170" s="14" t="s">
        <v>62</v>
      </c>
      <c r="S170" s="14" t="s">
        <v>62</v>
      </c>
      <c r="T170" s="14" t="s">
        <v>62</v>
      </c>
      <c r="U170" s="14" t="s">
        <v>62</v>
      </c>
      <c r="V170" s="14" t="s">
        <v>62</v>
      </c>
      <c r="W170" s="14" t="s">
        <v>62</v>
      </c>
      <c r="X170" s="14" t="s">
        <v>62</v>
      </c>
      <c r="Y170" s="14" t="s">
        <v>62</v>
      </c>
      <c r="Z170" s="14" t="s">
        <v>62</v>
      </c>
      <c r="AA170" s="14" t="s">
        <v>62</v>
      </c>
      <c r="AB170" s="14" t="s">
        <v>62</v>
      </c>
      <c r="AC170" s="14" t="s">
        <v>62</v>
      </c>
      <c r="AD170" s="14" t="s">
        <v>62</v>
      </c>
      <c r="AE170" s="14" t="s">
        <v>62</v>
      </c>
      <c r="AF170" s="14" t="s">
        <v>62</v>
      </c>
      <c r="AG170" s="14" t="s">
        <v>62</v>
      </c>
      <c r="AH170" s="14" t="s">
        <v>62</v>
      </c>
      <c r="AI170" s="14" t="s">
        <v>62</v>
      </c>
      <c r="AJ170" s="14" t="s">
        <v>62</v>
      </c>
      <c r="AK170" s="14" t="s">
        <v>62</v>
      </c>
      <c r="AL170" s="14" t="s">
        <v>62</v>
      </c>
      <c r="AM170" s="14" t="s">
        <v>62</v>
      </c>
      <c r="AN170" s="14" t="s">
        <v>62</v>
      </c>
      <c r="AO170" s="14" t="s">
        <v>62</v>
      </c>
      <c r="AP170" s="14" t="s">
        <v>62</v>
      </c>
      <c r="AQ170" s="14" t="s">
        <v>62</v>
      </c>
      <c r="AR170" s="14" t="s">
        <v>62</v>
      </c>
      <c r="AS170" s="14" t="s">
        <v>62</v>
      </c>
      <c r="AT170" s="14" t="s">
        <v>62</v>
      </c>
      <c r="AU170" s="14" t="s">
        <v>62</v>
      </c>
      <c r="AV170" s="14" t="s">
        <v>62</v>
      </c>
      <c r="AW170" s="14" t="s">
        <v>62</v>
      </c>
      <c r="AX170" s="14" t="s">
        <v>62</v>
      </c>
      <c r="AY170" s="14" t="s">
        <v>62</v>
      </c>
      <c r="AZ170" s="14" t="s">
        <v>62</v>
      </c>
      <c r="BA170" s="14" t="s">
        <v>62</v>
      </c>
      <c r="BB170" s="14" t="s">
        <v>62</v>
      </c>
      <c r="BC170" s="14" t="s">
        <v>62</v>
      </c>
      <c r="BD170" s="14" t="s">
        <v>62</v>
      </c>
      <c r="BE170" s="14" t="s">
        <v>62</v>
      </c>
      <c r="BF170" s="14" t="s">
        <v>62</v>
      </c>
      <c r="BG170" s="14" t="s">
        <v>62</v>
      </c>
      <c r="BH170" s="14" t="s">
        <v>62</v>
      </c>
      <c r="BI170" s="14" t="s">
        <v>62</v>
      </c>
      <c r="BJ170" s="15" t="s">
        <v>62</v>
      </c>
      <c r="BM170" s="35" t="s">
        <v>64</v>
      </c>
      <c r="BN170" s="11">
        <v>530.4011999999999</v>
      </c>
      <c r="BO170" s="13">
        <v>827.82839999999999</v>
      </c>
      <c r="BP170" s="13">
        <v>443.62079999999997</v>
      </c>
      <c r="BQ170" s="13">
        <v>443.62079999999997</v>
      </c>
      <c r="BR170" s="13">
        <v>469.91279999999995</v>
      </c>
      <c r="BS170" s="13">
        <v>2609.1156000000001</v>
      </c>
      <c r="BT170" s="13">
        <v>2870.9603999999999</v>
      </c>
      <c r="BU170" s="13">
        <v>2609.1156000000001</v>
      </c>
      <c r="BV170" s="12">
        <v>0</v>
      </c>
      <c r="BW170" s="13">
        <v>0</v>
      </c>
      <c r="BX170" s="13">
        <v>2810.2031999999999</v>
      </c>
      <c r="BY170" s="13">
        <v>2810.2031999999999</v>
      </c>
      <c r="BZ170" s="13">
        <v>1106.4648</v>
      </c>
      <c r="CA170" s="14">
        <v>1721.6471999999999</v>
      </c>
      <c r="CB170" s="14">
        <v>1428.5207999999998</v>
      </c>
      <c r="CC170" s="14">
        <v>812.80919999999992</v>
      </c>
      <c r="CD170" s="14">
        <v>805.14839999999992</v>
      </c>
      <c r="CE170" s="14">
        <v>828.12239999999997</v>
      </c>
      <c r="CF170" s="14">
        <v>789.83519999999999</v>
      </c>
      <c r="CG170" s="14">
        <v>898.91760000000011</v>
      </c>
      <c r="CH170" s="14">
        <v>1170.1871999999998</v>
      </c>
      <c r="CI170" s="14">
        <v>797.48759999999993</v>
      </c>
      <c r="CJ170" s="14">
        <v>939.70799999999997</v>
      </c>
      <c r="CK170" s="14">
        <v>789.83519999999999</v>
      </c>
      <c r="CL170" s="14">
        <v>978.9276000000001</v>
      </c>
      <c r="CM170" s="14">
        <v>961.15319999999997</v>
      </c>
      <c r="CN170" s="14">
        <v>925.58760000000007</v>
      </c>
      <c r="CO170" s="14">
        <v>916.70039999999995</v>
      </c>
      <c r="CP170" s="14">
        <v>939.70799999999997</v>
      </c>
      <c r="CQ170" s="14">
        <v>1170.1871999999998</v>
      </c>
      <c r="CR170" s="14">
        <v>1170.1871999999998</v>
      </c>
      <c r="CS170" s="14">
        <v>1170.1871999999998</v>
      </c>
      <c r="CT170" s="14">
        <v>1967.8763999999999</v>
      </c>
      <c r="CU170" s="14">
        <v>1783.1856</v>
      </c>
      <c r="CV170" s="14">
        <v>1967.8763999999999</v>
      </c>
      <c r="CW170" s="14">
        <v>1835.0975999999998</v>
      </c>
      <c r="CX170" s="14">
        <v>1659.4284</v>
      </c>
      <c r="CY170" s="14">
        <v>1659.4284</v>
      </c>
      <c r="CZ170" s="14">
        <v>1659.4284</v>
      </c>
      <c r="DA170" s="14">
        <v>2484.8375999999998</v>
      </c>
      <c r="DB170" s="14">
        <v>2533.0704000000001</v>
      </c>
      <c r="DC170" s="14">
        <v>2348.4132</v>
      </c>
      <c r="DD170" s="14">
        <v>2096.7743999999998</v>
      </c>
      <c r="DE170" s="14">
        <v>2096.7743999999998</v>
      </c>
      <c r="DF170" s="14">
        <v>2096.7743999999998</v>
      </c>
      <c r="DG170" s="14">
        <v>2246.2523999999999</v>
      </c>
      <c r="DH170" s="14">
        <v>2022.7452000000001</v>
      </c>
      <c r="DI170" s="14">
        <v>2022.7452000000001</v>
      </c>
      <c r="DJ170" s="14">
        <v>2289.0167999999999</v>
      </c>
      <c r="DK170" s="14">
        <v>0</v>
      </c>
      <c r="DL170" s="14">
        <v>4044.9107999999997</v>
      </c>
      <c r="DM170" s="14">
        <v>2072.4059999999999</v>
      </c>
      <c r="DN170" s="14">
        <v>1984.9535999999998</v>
      </c>
      <c r="DO170" s="14">
        <v>2139.3371999999999</v>
      </c>
      <c r="DP170" s="14">
        <v>2289.0167999999999</v>
      </c>
      <c r="DQ170" s="14">
        <v>2267.6388000000002</v>
      </c>
      <c r="DR170" s="14">
        <v>2037.1175999999998</v>
      </c>
      <c r="DS170" s="14">
        <v>1511.7983999999999</v>
      </c>
      <c r="DT170" s="14">
        <v>2099.0843999999997</v>
      </c>
      <c r="DU170" s="14">
        <v>2304.9767999999999</v>
      </c>
      <c r="DV170" s="15">
        <v>2304.9767999999999</v>
      </c>
      <c r="DY170" s="35" t="s">
        <v>64</v>
      </c>
      <c r="DZ170" s="11">
        <f t="shared" si="67"/>
        <v>1.6666666666666666E-2</v>
      </c>
      <c r="EA170" s="13">
        <f t="shared" si="67"/>
        <v>1.6666666666666666E-2</v>
      </c>
      <c r="EB170" s="13">
        <f t="shared" si="67"/>
        <v>1.6666666666666666E-2</v>
      </c>
      <c r="EC170" s="13">
        <f t="shared" si="67"/>
        <v>1.6666666666666666E-2</v>
      </c>
      <c r="ED170" s="13">
        <f t="shared" si="67"/>
        <v>1.6666666666666666E-2</v>
      </c>
      <c r="EE170" s="13">
        <f t="shared" si="67"/>
        <v>1.6666666666666666E-2</v>
      </c>
      <c r="EF170" s="13">
        <f t="shared" si="67"/>
        <v>1.6666666666666666E-2</v>
      </c>
      <c r="EG170" s="13">
        <f t="shared" si="67"/>
        <v>1.6666666666666666E-2</v>
      </c>
      <c r="EH170" s="12">
        <v>0.6</v>
      </c>
      <c r="EI170" s="13">
        <f t="shared" si="67"/>
        <v>1.6666666666666666E-2</v>
      </c>
      <c r="EJ170" s="13">
        <f t="shared" si="67"/>
        <v>1.6666666666666666E-2</v>
      </c>
      <c r="EK170" s="13">
        <f t="shared" si="67"/>
        <v>1.6666666666666666E-2</v>
      </c>
      <c r="EL170" s="13">
        <f t="shared" si="67"/>
        <v>1.6666666666666666E-2</v>
      </c>
      <c r="EM170" s="14">
        <v>4.6511627906976744E-3</v>
      </c>
      <c r="EN170" s="14">
        <v>4.6511627906976744E-3</v>
      </c>
      <c r="EO170" s="14">
        <v>7.1428571428571435E-3</v>
      </c>
      <c r="EP170" s="14">
        <v>7.1428571428571435E-3</v>
      </c>
      <c r="EQ170" s="14">
        <v>7.1428571428571435E-3</v>
      </c>
      <c r="ER170" s="14">
        <v>7.1428571428571435E-3</v>
      </c>
      <c r="ES170" s="14">
        <v>7.1428571428571435E-3</v>
      </c>
      <c r="ET170" s="14">
        <v>7.1428571428571435E-3</v>
      </c>
      <c r="EU170" s="14">
        <v>7.1428571428571435E-3</v>
      </c>
      <c r="EV170" s="14">
        <v>7.1428571428571435E-3</v>
      </c>
      <c r="EW170" s="14">
        <v>7.1428571428571435E-3</v>
      </c>
      <c r="EX170" s="14">
        <v>7.1428571428571435E-3</v>
      </c>
      <c r="EY170" s="14">
        <v>7.1428571428571435E-3</v>
      </c>
      <c r="EZ170" s="14">
        <v>7.1428571428571435E-3</v>
      </c>
      <c r="FA170" s="14">
        <v>7.1428571428571435E-3</v>
      </c>
      <c r="FB170" s="14">
        <v>7.1428571428571435E-3</v>
      </c>
      <c r="FC170" s="14">
        <v>7.1428571428571435E-3</v>
      </c>
      <c r="FD170" s="14">
        <v>7.1428571428571435E-3</v>
      </c>
      <c r="FE170" s="14">
        <v>7.1428571428571435E-3</v>
      </c>
      <c r="FF170" s="14">
        <v>5.7142857142857143E-3</v>
      </c>
      <c r="FG170" s="14">
        <v>5.7142857142857143E-3</v>
      </c>
      <c r="FH170" s="14">
        <v>5.7142857142857143E-3</v>
      </c>
      <c r="FI170" s="14">
        <v>5.7142857142857143E-3</v>
      </c>
      <c r="FJ170" s="14">
        <v>5.7142857142857143E-3</v>
      </c>
      <c r="FK170" s="14">
        <v>5.7142857142857143E-3</v>
      </c>
      <c r="FL170" s="14">
        <v>5.7142857142857143E-3</v>
      </c>
      <c r="FM170" s="14">
        <v>4.7619047619047623E-3</v>
      </c>
      <c r="FN170" s="14">
        <v>4.7619047619047623E-3</v>
      </c>
      <c r="FO170" s="14">
        <v>4.7619047619047623E-3</v>
      </c>
      <c r="FP170" s="14">
        <v>5.7142857142857143E-3</v>
      </c>
      <c r="FQ170" s="14">
        <v>5.7142857142857143E-3</v>
      </c>
      <c r="FR170" s="14">
        <v>5.7142857142857143E-3</v>
      </c>
      <c r="FS170" s="14">
        <v>5.7142857142857143E-3</v>
      </c>
      <c r="FT170" s="14">
        <v>5.8823529411764705E-3</v>
      </c>
      <c r="FU170" s="14">
        <v>5.7142857142857143E-3</v>
      </c>
      <c r="FV170" s="14">
        <v>5.7142857142857143E-3</v>
      </c>
      <c r="FW170" s="14">
        <v>4.5454545454545461E-3</v>
      </c>
      <c r="FX170" s="14">
        <v>4.5454545454545461E-3</v>
      </c>
      <c r="FY170" s="14">
        <v>5.7142857142857143E-3</v>
      </c>
      <c r="FZ170" s="14">
        <v>7.1428571428571435E-3</v>
      </c>
      <c r="GA170" s="14">
        <v>5.7142857142857143E-3</v>
      </c>
      <c r="GB170" s="14">
        <v>5.7142857142857143E-3</v>
      </c>
      <c r="GC170" s="14">
        <v>5.7142857142857143E-3</v>
      </c>
      <c r="GD170" s="14">
        <v>7.1428571428571435E-3</v>
      </c>
      <c r="GE170" s="14">
        <v>7.1428571428571435E-3</v>
      </c>
      <c r="GF170" s="14">
        <v>4.6511627906976744E-3</v>
      </c>
      <c r="GG170" s="14">
        <v>4.6511627906976744E-3</v>
      </c>
      <c r="GH170" s="15">
        <v>4.6511627906976744E-3</v>
      </c>
    </row>
    <row r="171" spans="1:190" x14ac:dyDescent="0.3">
      <c r="A171" s="35" t="s">
        <v>10</v>
      </c>
      <c r="B171" s="11">
        <f>IF(AND(Distances!BO114=0,Distances!EA114=0),BN171*DZ171*B161*2,"")</f>
        <v>3571.3680799999997</v>
      </c>
      <c r="C171" s="13">
        <f>IF(AND(Distances!BP114=0,Distances!EB114=0),BO171*EA171*C161*2,"")</f>
        <v>5574.0445599999994</v>
      </c>
      <c r="D171" s="13" t="s">
        <v>62</v>
      </c>
      <c r="E171" s="13">
        <f>IF(AND(Distances!BR114=0,Distances!ED114=0),BQ171*EC171*E161*2,"")</f>
        <v>2987.0467199999998</v>
      </c>
      <c r="F171" s="13" t="s">
        <v>62</v>
      </c>
      <c r="G171" s="13" t="s">
        <v>62</v>
      </c>
      <c r="H171" s="13">
        <f>IF(AND(Distances!BU114=0,Distances!EG114=0),BT171*EF171*H161*2,"")</f>
        <v>19331.13336</v>
      </c>
      <c r="I171" s="13">
        <f>IF(AND(Distances!BV114=0,Distances!EH114=0),BU171*EG171*I161*2,"")</f>
        <v>17568.045040000001</v>
      </c>
      <c r="J171" s="13" t="s">
        <v>62</v>
      </c>
      <c r="K171" s="12">
        <f>IF(AND(Distances!BX114=0,Distances!EJ114=0),BW171*EI171*K161*2,"")</f>
        <v>0</v>
      </c>
      <c r="L171" s="13" t="s">
        <v>62</v>
      </c>
      <c r="M171" s="13">
        <f>IF(AND(Distances!BZ114=0,Distances!EL114=0),BY171*EK171*M161*2,"")</f>
        <v>374.69376</v>
      </c>
      <c r="N171" s="13" t="s">
        <v>62</v>
      </c>
      <c r="O171" s="14" t="s">
        <v>62</v>
      </c>
      <c r="P171" s="14" t="s">
        <v>62</v>
      </c>
      <c r="Q171" s="14">
        <f>IF(AND(Distances!CD114=0,Distances!EP114=0),CC171*EO171*Q161*2,"")</f>
        <v>580.57800000000009</v>
      </c>
      <c r="R171" s="14">
        <f>IF(AND(Distances!CE114=0,Distances!EQ114=0),CD171*EP171*R161*2,"")</f>
        <v>575.10599999999999</v>
      </c>
      <c r="S171" s="14">
        <f>IF(AND(Distances!CF114=0,Distances!ER114=0),CE171*EQ171*S161*2,"")</f>
        <v>591.51600000000008</v>
      </c>
      <c r="T171" s="14" t="s">
        <v>62</v>
      </c>
      <c r="U171" s="14" t="s">
        <v>62</v>
      </c>
      <c r="V171" s="14" t="s">
        <v>62</v>
      </c>
      <c r="W171" s="14">
        <f>IF(AND(Distances!CJ114=0,Distances!EV114=0),CI171*EU171*W161*2,"")</f>
        <v>660.77544</v>
      </c>
      <c r="X171" s="14" t="s">
        <v>62</v>
      </c>
      <c r="Y171" s="14" t="s">
        <v>62</v>
      </c>
      <c r="Z171" s="14" t="s">
        <v>62</v>
      </c>
      <c r="AA171" s="14" t="s">
        <v>62</v>
      </c>
      <c r="AB171" s="14" t="s">
        <v>62</v>
      </c>
      <c r="AC171" s="14">
        <f>IF(AND(Distances!CP114=0,Distances!FB114=0),CO171*FA171*AC161*2,"")</f>
        <v>26.19144</v>
      </c>
      <c r="AD171" s="14">
        <f>IF(AND(Distances!CQ114=0,Distances!FC114=0),CP171*FB171*AD161*2,"")</f>
        <v>26.848800000000001</v>
      </c>
      <c r="AE171" s="14" t="s">
        <v>62</v>
      </c>
      <c r="AF171" s="14" t="s">
        <v>62</v>
      </c>
      <c r="AG171" s="14" t="s">
        <v>62</v>
      </c>
      <c r="AH171" s="14" t="s">
        <v>62</v>
      </c>
      <c r="AI171" s="14">
        <f>IF(AND(Distances!CV114=0,Distances!FH114=0),CU171*FG171*AI161*2,"")</f>
        <v>20.379263999999999</v>
      </c>
      <c r="AJ171" s="14" t="s">
        <v>62</v>
      </c>
      <c r="AK171" s="14">
        <f>IF(AND(Distances!CX114=0,Distances!FJ114=0),CW171*FI171*AK161*2,"")</f>
        <v>20.972543999999999</v>
      </c>
      <c r="AL171" s="14">
        <f>IF(AND(Distances!CY114=0,Distances!FK114=0),CX171*FJ171*AL161*2,"")</f>
        <v>1024.104384</v>
      </c>
      <c r="AM171" s="14">
        <f>IF(AND(Distances!CZ114=0,Distances!FL114=0),CY171*FK171*AM161*2,"")</f>
        <v>1024.104384</v>
      </c>
      <c r="AN171" s="14" t="s">
        <v>62</v>
      </c>
      <c r="AO171" s="14">
        <f>IF(AND(Distances!DB114=0,Distances!FN114=0),DA171*FM171*AO161*2,"")</f>
        <v>47.330240000000003</v>
      </c>
      <c r="AP171" s="14">
        <f>IF(AND(Distances!DC114=0,Distances!FO114=0),DB171*FN171*AP161*2,"")</f>
        <v>48.248960000000004</v>
      </c>
      <c r="AQ171" s="14">
        <f>IF(AND(Distances!DD114=0,Distances!FP114=0),DC171*FO171*AQ161*2,"")</f>
        <v>44.731680000000004</v>
      </c>
      <c r="AR171" s="14">
        <f>IF(AND(Distances!DE114=0,Distances!FQ114=0),DD171*FP171*AR161*2,"")</f>
        <v>47.926271999999997</v>
      </c>
      <c r="AS171" s="14" t="s">
        <v>62</v>
      </c>
      <c r="AT171" s="14" t="s">
        <v>62</v>
      </c>
      <c r="AU171" s="14" t="s">
        <v>62</v>
      </c>
      <c r="AV171" s="14" t="s">
        <v>62</v>
      </c>
      <c r="AW171" s="14" t="s">
        <v>62</v>
      </c>
      <c r="AX171" s="14">
        <f>IF(AND(Distances!DK114=0,Distances!FW114=0),DJ171*FV171*AX161*2,"")</f>
        <v>130.80096</v>
      </c>
      <c r="AY171" s="14">
        <f>IF(AND(Distances!DL114=0,Distances!FX114=0),DK171*FW171*AY161*2,"")</f>
        <v>0</v>
      </c>
      <c r="AZ171" s="14" t="s">
        <v>62</v>
      </c>
      <c r="BA171" s="14">
        <f>IF(AND(Distances!DN114=0,Distances!FZ114=0),DM171*FY171*BA161*2,"")</f>
        <v>94.738559999999993</v>
      </c>
      <c r="BB171" s="14">
        <f>IF(AND(Distances!DO114=0,Distances!GA114=0),DN171*FZ171*BB161*2,"")</f>
        <v>113.42592</v>
      </c>
      <c r="BC171" s="14">
        <f>IF(AND(Distances!DP114=0,Distances!GB114=0),DO171*GA171*BC161*2,"")</f>
        <v>782.38617599999998</v>
      </c>
      <c r="BD171" s="14" t="s">
        <v>62</v>
      </c>
      <c r="BE171" s="14">
        <f>IF(AND(Distances!DR114=0,Distances!GD114=0),DQ171*GC171*BE161*2,"")</f>
        <v>829.30790400000001</v>
      </c>
      <c r="BF171" s="14" t="s">
        <v>62</v>
      </c>
      <c r="BG171" s="14" t="s">
        <v>62</v>
      </c>
      <c r="BH171" s="14" t="s">
        <v>62</v>
      </c>
      <c r="BI171" s="14" t="s">
        <v>62</v>
      </c>
      <c r="BJ171" s="15" t="s">
        <v>62</v>
      </c>
      <c r="BM171" s="35" t="s">
        <v>10</v>
      </c>
      <c r="BN171" s="11">
        <v>530.4011999999999</v>
      </c>
      <c r="BO171" s="13">
        <v>827.82839999999999</v>
      </c>
      <c r="BP171" s="13">
        <v>443.62079999999997</v>
      </c>
      <c r="BQ171" s="13">
        <v>443.62079999999997</v>
      </c>
      <c r="BR171" s="13">
        <v>469.91279999999995</v>
      </c>
      <c r="BS171" s="13">
        <v>2609.1156000000001</v>
      </c>
      <c r="BT171" s="13">
        <v>2870.9603999999999</v>
      </c>
      <c r="BU171" s="13">
        <v>2609.1156000000001</v>
      </c>
      <c r="BV171" s="13">
        <v>0</v>
      </c>
      <c r="BW171" s="12">
        <v>0</v>
      </c>
      <c r="BX171" s="13">
        <v>2810.2031999999999</v>
      </c>
      <c r="BY171" s="13">
        <v>2810.2031999999999</v>
      </c>
      <c r="BZ171" s="13">
        <v>1106.4648</v>
      </c>
      <c r="CA171" s="14">
        <v>1721.6471999999999</v>
      </c>
      <c r="CB171" s="14">
        <v>1428.5207999999998</v>
      </c>
      <c r="CC171" s="14">
        <v>812.80919999999992</v>
      </c>
      <c r="CD171" s="14">
        <v>805.14839999999992</v>
      </c>
      <c r="CE171" s="14">
        <v>828.12239999999997</v>
      </c>
      <c r="CF171" s="14">
        <v>789.83519999999999</v>
      </c>
      <c r="CG171" s="14">
        <v>898.91760000000011</v>
      </c>
      <c r="CH171" s="14">
        <v>1170.1871999999998</v>
      </c>
      <c r="CI171" s="14">
        <v>797.48759999999993</v>
      </c>
      <c r="CJ171" s="14">
        <v>939.70799999999997</v>
      </c>
      <c r="CK171" s="14">
        <v>789.83519999999999</v>
      </c>
      <c r="CL171" s="14">
        <v>978.9276000000001</v>
      </c>
      <c r="CM171" s="14">
        <v>961.15319999999997</v>
      </c>
      <c r="CN171" s="14">
        <v>925.58760000000007</v>
      </c>
      <c r="CO171" s="14">
        <v>916.70039999999995</v>
      </c>
      <c r="CP171" s="14">
        <v>939.70799999999997</v>
      </c>
      <c r="CQ171" s="14">
        <v>1170.1871999999998</v>
      </c>
      <c r="CR171" s="14">
        <v>1170.1871999999998</v>
      </c>
      <c r="CS171" s="14">
        <v>1170.1871999999998</v>
      </c>
      <c r="CT171" s="14">
        <v>1967.8763999999999</v>
      </c>
      <c r="CU171" s="14">
        <v>1783.1856</v>
      </c>
      <c r="CV171" s="14">
        <v>1967.8763999999999</v>
      </c>
      <c r="CW171" s="14">
        <v>1835.0975999999998</v>
      </c>
      <c r="CX171" s="14">
        <v>1659.4284</v>
      </c>
      <c r="CY171" s="14">
        <v>1659.4284</v>
      </c>
      <c r="CZ171" s="14">
        <v>1659.4284</v>
      </c>
      <c r="DA171" s="14">
        <v>2484.8375999999998</v>
      </c>
      <c r="DB171" s="14">
        <v>2533.0704000000001</v>
      </c>
      <c r="DC171" s="14">
        <v>2348.4132</v>
      </c>
      <c r="DD171" s="14">
        <v>2096.7743999999998</v>
      </c>
      <c r="DE171" s="14">
        <v>2096.7743999999998</v>
      </c>
      <c r="DF171" s="14">
        <v>2096.7743999999998</v>
      </c>
      <c r="DG171" s="14">
        <v>2246.2523999999999</v>
      </c>
      <c r="DH171" s="14">
        <v>2022.7452000000001</v>
      </c>
      <c r="DI171" s="14">
        <v>2022.7452000000001</v>
      </c>
      <c r="DJ171" s="14">
        <v>2289.0167999999999</v>
      </c>
      <c r="DK171" s="14">
        <v>0</v>
      </c>
      <c r="DL171" s="14">
        <v>4044.9107999999997</v>
      </c>
      <c r="DM171" s="14">
        <v>2072.4059999999999</v>
      </c>
      <c r="DN171" s="14">
        <v>1984.9535999999998</v>
      </c>
      <c r="DO171" s="14">
        <v>2139.3371999999999</v>
      </c>
      <c r="DP171" s="14">
        <v>2289.0167999999999</v>
      </c>
      <c r="DQ171" s="14">
        <v>2267.6388000000002</v>
      </c>
      <c r="DR171" s="14">
        <v>2037.1175999999998</v>
      </c>
      <c r="DS171" s="14">
        <v>1511.7983999999999</v>
      </c>
      <c r="DT171" s="14">
        <v>2099.0843999999997</v>
      </c>
      <c r="DU171" s="14">
        <v>2304.9767999999999</v>
      </c>
      <c r="DV171" s="15">
        <v>2304.9767999999999</v>
      </c>
      <c r="DY171" s="35" t="s">
        <v>10</v>
      </c>
      <c r="DZ171" s="11">
        <f t="shared" si="67"/>
        <v>1.6666666666666666E-2</v>
      </c>
      <c r="EA171" s="13">
        <f t="shared" si="67"/>
        <v>1.6666666666666666E-2</v>
      </c>
      <c r="EB171" s="13">
        <f t="shared" si="67"/>
        <v>1.6666666666666666E-2</v>
      </c>
      <c r="EC171" s="13">
        <f t="shared" si="67"/>
        <v>1.6666666666666666E-2</v>
      </c>
      <c r="ED171" s="13">
        <f t="shared" si="67"/>
        <v>1.6666666666666666E-2</v>
      </c>
      <c r="EE171" s="13">
        <f t="shared" si="67"/>
        <v>1.6666666666666666E-2</v>
      </c>
      <c r="EF171" s="13">
        <f t="shared" si="67"/>
        <v>1.6666666666666666E-2</v>
      </c>
      <c r="EG171" s="13">
        <f t="shared" si="67"/>
        <v>1.6666666666666666E-2</v>
      </c>
      <c r="EH171" s="13">
        <f t="shared" si="67"/>
        <v>1.6666666666666666E-2</v>
      </c>
      <c r="EI171" s="12">
        <v>0.6</v>
      </c>
      <c r="EJ171" s="13">
        <f t="shared" si="67"/>
        <v>1.6666666666666666E-2</v>
      </c>
      <c r="EK171" s="13">
        <f t="shared" si="67"/>
        <v>1.6666666666666666E-2</v>
      </c>
      <c r="EL171" s="13">
        <f t="shared" si="67"/>
        <v>1.6666666666666666E-2</v>
      </c>
      <c r="EM171" s="14">
        <v>4.6511627906976744E-3</v>
      </c>
      <c r="EN171" s="14">
        <v>4.6511627906976744E-3</v>
      </c>
      <c r="EO171" s="14">
        <v>7.1428571428571435E-3</v>
      </c>
      <c r="EP171" s="14">
        <v>7.1428571428571435E-3</v>
      </c>
      <c r="EQ171" s="14">
        <v>7.1428571428571435E-3</v>
      </c>
      <c r="ER171" s="14">
        <v>7.1428571428571435E-3</v>
      </c>
      <c r="ES171" s="14">
        <v>7.1428571428571435E-3</v>
      </c>
      <c r="ET171" s="14">
        <v>7.1428571428571435E-3</v>
      </c>
      <c r="EU171" s="14">
        <v>7.1428571428571435E-3</v>
      </c>
      <c r="EV171" s="14">
        <v>7.1428571428571435E-3</v>
      </c>
      <c r="EW171" s="14">
        <v>7.1428571428571435E-3</v>
      </c>
      <c r="EX171" s="14">
        <v>7.1428571428571435E-3</v>
      </c>
      <c r="EY171" s="14">
        <v>7.1428571428571435E-3</v>
      </c>
      <c r="EZ171" s="14">
        <v>7.1428571428571435E-3</v>
      </c>
      <c r="FA171" s="14">
        <v>7.1428571428571435E-3</v>
      </c>
      <c r="FB171" s="14">
        <v>7.1428571428571435E-3</v>
      </c>
      <c r="FC171" s="14">
        <v>7.1428571428571435E-3</v>
      </c>
      <c r="FD171" s="14">
        <v>7.1428571428571435E-3</v>
      </c>
      <c r="FE171" s="14">
        <v>7.1428571428571435E-3</v>
      </c>
      <c r="FF171" s="14">
        <v>5.7142857142857143E-3</v>
      </c>
      <c r="FG171" s="14">
        <v>5.7142857142857143E-3</v>
      </c>
      <c r="FH171" s="14">
        <v>5.7142857142857143E-3</v>
      </c>
      <c r="FI171" s="14">
        <v>5.7142857142857143E-3</v>
      </c>
      <c r="FJ171" s="14">
        <v>5.7142857142857143E-3</v>
      </c>
      <c r="FK171" s="14">
        <v>5.7142857142857143E-3</v>
      </c>
      <c r="FL171" s="14">
        <v>5.7142857142857143E-3</v>
      </c>
      <c r="FM171" s="14">
        <v>4.7619047619047623E-3</v>
      </c>
      <c r="FN171" s="14">
        <v>4.7619047619047623E-3</v>
      </c>
      <c r="FO171" s="14">
        <v>4.7619047619047623E-3</v>
      </c>
      <c r="FP171" s="14">
        <v>5.7142857142857143E-3</v>
      </c>
      <c r="FQ171" s="14">
        <v>5.7142857142857143E-3</v>
      </c>
      <c r="FR171" s="14">
        <v>5.7142857142857143E-3</v>
      </c>
      <c r="FS171" s="14">
        <v>5.7142857142857143E-3</v>
      </c>
      <c r="FT171" s="14">
        <v>5.8823529411764705E-3</v>
      </c>
      <c r="FU171" s="14">
        <v>5.7142857142857143E-3</v>
      </c>
      <c r="FV171" s="14">
        <v>5.7142857142857143E-3</v>
      </c>
      <c r="FW171" s="14">
        <v>4.5454545454545461E-3</v>
      </c>
      <c r="FX171" s="14">
        <v>4.5454545454545461E-3</v>
      </c>
      <c r="FY171" s="14">
        <v>5.7142857142857143E-3</v>
      </c>
      <c r="FZ171" s="14">
        <v>7.1428571428571435E-3</v>
      </c>
      <c r="GA171" s="14">
        <v>5.7142857142857143E-3</v>
      </c>
      <c r="GB171" s="14">
        <v>5.7142857142857143E-3</v>
      </c>
      <c r="GC171" s="14">
        <v>5.7142857142857143E-3</v>
      </c>
      <c r="GD171" s="14">
        <v>7.1428571428571435E-3</v>
      </c>
      <c r="GE171" s="14">
        <v>7.1428571428571435E-3</v>
      </c>
      <c r="GF171" s="14">
        <v>4.6511627906976744E-3</v>
      </c>
      <c r="GG171" s="14">
        <v>4.6511627906976744E-3</v>
      </c>
      <c r="GH171" s="15">
        <v>4.6511627906976744E-3</v>
      </c>
    </row>
    <row r="172" spans="1:190" x14ac:dyDescent="0.3">
      <c r="A172" s="35" t="s">
        <v>11</v>
      </c>
      <c r="B172" s="11" t="s">
        <v>62</v>
      </c>
      <c r="C172" s="13" t="s">
        <v>62</v>
      </c>
      <c r="D172" s="13" t="s">
        <v>62</v>
      </c>
      <c r="E172" s="13" t="s">
        <v>62</v>
      </c>
      <c r="F172" s="13" t="s">
        <v>62</v>
      </c>
      <c r="G172" s="13" t="s">
        <v>62</v>
      </c>
      <c r="H172" s="13" t="s">
        <v>62</v>
      </c>
      <c r="I172" s="13" t="s">
        <v>62</v>
      </c>
      <c r="J172" s="13" t="s">
        <v>62</v>
      </c>
      <c r="K172" s="13" t="s">
        <v>62</v>
      </c>
      <c r="L172" s="12">
        <f>IF(AND(Distances!BY115=0,Distances!EK115=0),BX172*EJ172*L161*2,"")</f>
        <v>0</v>
      </c>
      <c r="M172" s="13" t="s">
        <v>62</v>
      </c>
      <c r="N172" s="13" t="s">
        <v>62</v>
      </c>
      <c r="O172" s="14" t="s">
        <v>62</v>
      </c>
      <c r="P172" s="14" t="s">
        <v>62</v>
      </c>
      <c r="Q172" s="14" t="s">
        <v>62</v>
      </c>
      <c r="R172" s="14" t="s">
        <v>62</v>
      </c>
      <c r="S172" s="14" t="s">
        <v>62</v>
      </c>
      <c r="T172" s="14" t="s">
        <v>62</v>
      </c>
      <c r="U172" s="14" t="s">
        <v>62</v>
      </c>
      <c r="V172" s="14" t="s">
        <v>62</v>
      </c>
      <c r="W172" s="14" t="s">
        <v>62</v>
      </c>
      <c r="X172" s="14" t="s">
        <v>62</v>
      </c>
      <c r="Y172" s="14" t="s">
        <v>62</v>
      </c>
      <c r="Z172" s="14" t="s">
        <v>62</v>
      </c>
      <c r="AA172" s="14" t="s">
        <v>62</v>
      </c>
      <c r="AB172" s="14" t="s">
        <v>62</v>
      </c>
      <c r="AC172" s="14" t="s">
        <v>62</v>
      </c>
      <c r="AD172" s="14" t="s">
        <v>62</v>
      </c>
      <c r="AE172" s="14" t="s">
        <v>62</v>
      </c>
      <c r="AF172" s="14" t="s">
        <v>62</v>
      </c>
      <c r="AG172" s="14" t="s">
        <v>62</v>
      </c>
      <c r="AH172" s="14" t="s">
        <v>62</v>
      </c>
      <c r="AI172" s="14" t="s">
        <v>62</v>
      </c>
      <c r="AJ172" s="14" t="s">
        <v>62</v>
      </c>
      <c r="AK172" s="14" t="s">
        <v>62</v>
      </c>
      <c r="AL172" s="14" t="s">
        <v>62</v>
      </c>
      <c r="AM172" s="14" t="s">
        <v>62</v>
      </c>
      <c r="AN172" s="14" t="s">
        <v>62</v>
      </c>
      <c r="AO172" s="14" t="s">
        <v>62</v>
      </c>
      <c r="AP172" s="14" t="s">
        <v>62</v>
      </c>
      <c r="AQ172" s="14" t="s">
        <v>62</v>
      </c>
      <c r="AR172" s="14" t="s">
        <v>62</v>
      </c>
      <c r="AS172" s="14" t="s">
        <v>62</v>
      </c>
      <c r="AT172" s="14" t="s">
        <v>62</v>
      </c>
      <c r="AU172" s="14" t="s">
        <v>62</v>
      </c>
      <c r="AV172" s="14" t="s">
        <v>62</v>
      </c>
      <c r="AW172" s="14" t="s">
        <v>62</v>
      </c>
      <c r="AX172" s="14" t="s">
        <v>62</v>
      </c>
      <c r="AY172" s="14" t="s">
        <v>62</v>
      </c>
      <c r="AZ172" s="14" t="s">
        <v>62</v>
      </c>
      <c r="BA172" s="14" t="s">
        <v>62</v>
      </c>
      <c r="BB172" s="14" t="s">
        <v>62</v>
      </c>
      <c r="BC172" s="14" t="s">
        <v>62</v>
      </c>
      <c r="BD172" s="14" t="s">
        <v>62</v>
      </c>
      <c r="BE172" s="14" t="s">
        <v>62</v>
      </c>
      <c r="BF172" s="14" t="s">
        <v>62</v>
      </c>
      <c r="BG172" s="14" t="s">
        <v>62</v>
      </c>
      <c r="BH172" s="14" t="s">
        <v>62</v>
      </c>
      <c r="BI172" s="14" t="s">
        <v>62</v>
      </c>
      <c r="BJ172" s="15" t="s">
        <v>62</v>
      </c>
      <c r="BM172" s="35" t="s">
        <v>11</v>
      </c>
      <c r="BN172" s="11">
        <v>2721.8015999999998</v>
      </c>
      <c r="BO172" s="13">
        <v>1947.7415999999998</v>
      </c>
      <c r="BP172" s="13">
        <v>2703.1871999999998</v>
      </c>
      <c r="BQ172" s="13">
        <v>2703.1871999999998</v>
      </c>
      <c r="BR172" s="13">
        <v>2863.7111999999997</v>
      </c>
      <c r="BS172" s="13">
        <v>536.91119999999989</v>
      </c>
      <c r="BT172" s="13">
        <v>456.25439999999998</v>
      </c>
      <c r="BU172" s="13">
        <v>536.91119999999989</v>
      </c>
      <c r="BV172" s="13">
        <v>2810.2031999999999</v>
      </c>
      <c r="BW172" s="13">
        <v>2810.2031999999999</v>
      </c>
      <c r="BX172" s="12">
        <v>0</v>
      </c>
      <c r="BY172" s="13">
        <v>0</v>
      </c>
      <c r="BZ172" s="13">
        <v>1194.4631999999999</v>
      </c>
      <c r="CA172" s="14">
        <v>1456.2239999999999</v>
      </c>
      <c r="CB172" s="14">
        <v>1266.4176</v>
      </c>
      <c r="CC172" s="14">
        <v>2718.4667999999997</v>
      </c>
      <c r="CD172" s="14">
        <v>2692.83</v>
      </c>
      <c r="CE172" s="14">
        <v>2769.7403999999997</v>
      </c>
      <c r="CF172" s="14">
        <v>2641.5563999999999</v>
      </c>
      <c r="CG172" s="14">
        <v>2354.52</v>
      </c>
      <c r="CH172" s="14">
        <v>3062.6736000000001</v>
      </c>
      <c r="CI172" s="14">
        <v>2667.1931999999997</v>
      </c>
      <c r="CJ172" s="14">
        <v>2369.4467999999997</v>
      </c>
      <c r="CK172" s="14">
        <v>2641.5563999999999</v>
      </c>
      <c r="CL172" s="14">
        <v>2565.9143999999997</v>
      </c>
      <c r="CM172" s="14">
        <v>2517.6311999999998</v>
      </c>
      <c r="CN172" s="14">
        <v>2424.4247999999998</v>
      </c>
      <c r="CO172" s="14">
        <v>2401.1232</v>
      </c>
      <c r="CP172" s="14">
        <v>2369.4467999999997</v>
      </c>
      <c r="CQ172" s="14">
        <v>3062.6736000000001</v>
      </c>
      <c r="CR172" s="14">
        <v>3062.6736000000001</v>
      </c>
      <c r="CS172" s="14">
        <v>3062.6736000000001</v>
      </c>
      <c r="CT172" s="14">
        <v>1820.3556000000001</v>
      </c>
      <c r="CU172" s="14">
        <v>2161.5383999999999</v>
      </c>
      <c r="CV172" s="14">
        <v>1820.3556000000001</v>
      </c>
      <c r="CW172" s="14">
        <v>2224.4627999999998</v>
      </c>
      <c r="CX172" s="14">
        <v>449.79480000000001</v>
      </c>
      <c r="CY172" s="14">
        <v>449.79480000000001</v>
      </c>
      <c r="CZ172" s="14">
        <v>449.79480000000001</v>
      </c>
      <c r="DA172" s="14">
        <v>1122.7607999999998</v>
      </c>
      <c r="DB172" s="14">
        <v>1144.5419999999999</v>
      </c>
      <c r="DC172" s="14">
        <v>1242.9059999999999</v>
      </c>
      <c r="DD172" s="14">
        <v>1665.3503999999998</v>
      </c>
      <c r="DE172" s="14">
        <v>1665.3503999999998</v>
      </c>
      <c r="DF172" s="14">
        <v>1665.3503999999998</v>
      </c>
      <c r="DG172" s="14">
        <v>1305.9312</v>
      </c>
      <c r="DH172" s="14">
        <v>2024.694</v>
      </c>
      <c r="DI172" s="14">
        <v>2024.694</v>
      </c>
      <c r="DJ172" s="14">
        <v>1330.7867999999999</v>
      </c>
      <c r="DK172" s="14">
        <v>0</v>
      </c>
      <c r="DL172" s="14">
        <v>3577.7951999999996</v>
      </c>
      <c r="DM172" s="14">
        <v>1561.7028</v>
      </c>
      <c r="DN172" s="14">
        <v>1986.8603999999998</v>
      </c>
      <c r="DO172" s="14">
        <v>1243.788</v>
      </c>
      <c r="DP172" s="14">
        <v>1330.7867999999999</v>
      </c>
      <c r="DQ172" s="14">
        <v>1318.3548000000001</v>
      </c>
      <c r="DR172" s="14">
        <v>2288.3111999999996</v>
      </c>
      <c r="DS172" s="14">
        <v>1739.1695999999999</v>
      </c>
      <c r="DT172" s="14">
        <v>1421.9015999999999</v>
      </c>
      <c r="DU172" s="14">
        <v>2047.1556</v>
      </c>
      <c r="DV172" s="15">
        <v>2047.1556</v>
      </c>
      <c r="DY172" s="35" t="s">
        <v>11</v>
      </c>
      <c r="DZ172" s="11">
        <f t="shared" si="67"/>
        <v>1.6666666666666666E-2</v>
      </c>
      <c r="EA172" s="13">
        <f t="shared" si="67"/>
        <v>1.6666666666666666E-2</v>
      </c>
      <c r="EB172" s="13">
        <f t="shared" si="67"/>
        <v>1.6666666666666666E-2</v>
      </c>
      <c r="EC172" s="13">
        <f t="shared" si="67"/>
        <v>1.6666666666666666E-2</v>
      </c>
      <c r="ED172" s="13">
        <f t="shared" si="67"/>
        <v>1.6666666666666666E-2</v>
      </c>
      <c r="EE172" s="13">
        <f t="shared" si="67"/>
        <v>1.6666666666666666E-2</v>
      </c>
      <c r="EF172" s="13">
        <f t="shared" si="67"/>
        <v>1.6666666666666666E-2</v>
      </c>
      <c r="EG172" s="13">
        <f t="shared" si="67"/>
        <v>1.6666666666666666E-2</v>
      </c>
      <c r="EH172" s="13">
        <f t="shared" si="67"/>
        <v>1.6666666666666666E-2</v>
      </c>
      <c r="EI172" s="13">
        <f t="shared" si="67"/>
        <v>1.6666666666666666E-2</v>
      </c>
      <c r="EJ172" s="12">
        <v>0.6</v>
      </c>
      <c r="EK172" s="13">
        <f t="shared" si="67"/>
        <v>1.6666666666666666E-2</v>
      </c>
      <c r="EL172" s="13">
        <f t="shared" si="67"/>
        <v>1.6666666666666666E-2</v>
      </c>
      <c r="EM172" s="14">
        <v>4.6511627906976744E-3</v>
      </c>
      <c r="EN172" s="14">
        <v>4.6511627906976744E-3</v>
      </c>
      <c r="EO172" s="14">
        <v>7.1428571428571435E-3</v>
      </c>
      <c r="EP172" s="14">
        <v>7.1428571428571435E-3</v>
      </c>
      <c r="EQ172" s="14">
        <v>7.1428571428571435E-3</v>
      </c>
      <c r="ER172" s="14">
        <v>7.1428571428571435E-3</v>
      </c>
      <c r="ES172" s="14">
        <v>7.1428571428571435E-3</v>
      </c>
      <c r="ET172" s="14">
        <v>7.1428571428571435E-3</v>
      </c>
      <c r="EU172" s="14">
        <v>7.1428571428571435E-3</v>
      </c>
      <c r="EV172" s="14">
        <v>7.1428571428571435E-3</v>
      </c>
      <c r="EW172" s="14">
        <v>7.1428571428571435E-3</v>
      </c>
      <c r="EX172" s="14">
        <v>7.1428571428571435E-3</v>
      </c>
      <c r="EY172" s="14">
        <v>7.1428571428571435E-3</v>
      </c>
      <c r="EZ172" s="14">
        <v>7.1428571428571435E-3</v>
      </c>
      <c r="FA172" s="14">
        <v>7.1428571428571435E-3</v>
      </c>
      <c r="FB172" s="14">
        <v>7.1428571428571435E-3</v>
      </c>
      <c r="FC172" s="14">
        <v>7.1428571428571435E-3</v>
      </c>
      <c r="FD172" s="14">
        <v>7.1428571428571435E-3</v>
      </c>
      <c r="FE172" s="14">
        <v>7.1428571428571435E-3</v>
      </c>
      <c r="FF172" s="14">
        <v>5.7142857142857143E-3</v>
      </c>
      <c r="FG172" s="14">
        <v>5.7142857142857143E-3</v>
      </c>
      <c r="FH172" s="14">
        <v>5.7142857142857143E-3</v>
      </c>
      <c r="FI172" s="14">
        <v>5.7142857142857143E-3</v>
      </c>
      <c r="FJ172" s="14">
        <v>5.7142857142857143E-3</v>
      </c>
      <c r="FK172" s="14">
        <v>5.7142857142857143E-3</v>
      </c>
      <c r="FL172" s="14">
        <v>5.7142857142857143E-3</v>
      </c>
      <c r="FM172" s="14">
        <v>4.7619047619047623E-3</v>
      </c>
      <c r="FN172" s="14">
        <v>4.7619047619047623E-3</v>
      </c>
      <c r="FO172" s="14">
        <v>4.7619047619047623E-3</v>
      </c>
      <c r="FP172" s="14">
        <v>5.7142857142857143E-3</v>
      </c>
      <c r="FQ172" s="14">
        <v>5.7142857142857143E-3</v>
      </c>
      <c r="FR172" s="14">
        <v>5.7142857142857143E-3</v>
      </c>
      <c r="FS172" s="14">
        <v>5.7142857142857143E-3</v>
      </c>
      <c r="FT172" s="14">
        <v>5.8823529411764705E-3</v>
      </c>
      <c r="FU172" s="14">
        <v>5.7142857142857143E-3</v>
      </c>
      <c r="FV172" s="14">
        <v>5.7142857142857143E-3</v>
      </c>
      <c r="FW172" s="14">
        <v>4.5454545454545461E-3</v>
      </c>
      <c r="FX172" s="14">
        <v>4.5454545454545461E-3</v>
      </c>
      <c r="FY172" s="14">
        <v>5.7142857142857143E-3</v>
      </c>
      <c r="FZ172" s="14">
        <v>7.1428571428571435E-3</v>
      </c>
      <c r="GA172" s="14">
        <v>5.7142857142857143E-3</v>
      </c>
      <c r="GB172" s="14">
        <v>5.7142857142857143E-3</v>
      </c>
      <c r="GC172" s="14">
        <v>5.7142857142857143E-3</v>
      </c>
      <c r="GD172" s="14">
        <v>7.1428571428571435E-3</v>
      </c>
      <c r="GE172" s="14">
        <v>7.1428571428571435E-3</v>
      </c>
      <c r="GF172" s="14">
        <v>4.6511627906976744E-3</v>
      </c>
      <c r="GG172" s="14">
        <v>4.6511627906976744E-3</v>
      </c>
      <c r="GH172" s="15">
        <v>4.6511627906976744E-3</v>
      </c>
    </row>
    <row r="173" spans="1:190" x14ac:dyDescent="0.3">
      <c r="A173" s="35" t="s">
        <v>12</v>
      </c>
      <c r="B173" s="11">
        <f>IF(AND(Distances!BO116=0,Distances!EA116=0),BN173*DZ173*B161*2,"")</f>
        <v>18326.797439999998</v>
      </c>
      <c r="C173" s="13">
        <f>IF(AND(Distances!BP116=0,Distances!EB116=0),BO173*EA173*C161*2,"")</f>
        <v>13114.793439999999</v>
      </c>
      <c r="D173" s="13" t="s">
        <v>62</v>
      </c>
      <c r="E173" s="13">
        <f>IF(AND(Distances!BR116=0,Distances!ED116=0),BQ173*EC173*E161*2,"")</f>
        <v>18201.460480000002</v>
      </c>
      <c r="F173" s="13" t="s">
        <v>62</v>
      </c>
      <c r="G173" s="13" t="s">
        <v>62</v>
      </c>
      <c r="H173" s="13">
        <f>IF(AND(Distances!BU116=0,Distances!EG116=0),BT173*EF173*H161*2,"")</f>
        <v>3072.1129599999999</v>
      </c>
      <c r="I173" s="13">
        <f>IF(AND(Distances!BV116=0,Distances!EH116=0),BU173*EG173*I161*2,"")</f>
        <v>3615.2020799999996</v>
      </c>
      <c r="J173" s="13" t="s">
        <v>62</v>
      </c>
      <c r="K173" s="13">
        <f>IF(AND(Distances!BX116=0,Distances!EJ116=0),BW173*EI173*K161*2,"")</f>
        <v>374.69376</v>
      </c>
      <c r="L173" s="13" t="s">
        <v>62</v>
      </c>
      <c r="M173" s="12">
        <f>IF(AND(Distances!BZ116=0,Distances!EL116=0),BY173*EK173*M161*2,"")</f>
        <v>0</v>
      </c>
      <c r="N173" s="13" t="s">
        <v>62</v>
      </c>
      <c r="O173" s="14" t="s">
        <v>62</v>
      </c>
      <c r="P173" s="14" t="s">
        <v>62</v>
      </c>
      <c r="Q173" s="14">
        <f>IF(AND(Distances!CD116=0,Distances!EP116=0),CC173*EO173*Q161*2,"")</f>
        <v>1941.7619999999999</v>
      </c>
      <c r="R173" s="14">
        <f>IF(AND(Distances!CE116=0,Distances!EQ116=0),CD173*EP173*R161*2,"")</f>
        <v>1923.45</v>
      </c>
      <c r="S173" s="14">
        <f>IF(AND(Distances!CF116=0,Distances!ER116=0),CE173*EQ173*S161*2,"")</f>
        <v>1978.386</v>
      </c>
      <c r="T173" s="14" t="s">
        <v>62</v>
      </c>
      <c r="U173" s="14" t="s">
        <v>62</v>
      </c>
      <c r="V173" s="14" t="s">
        <v>62</v>
      </c>
      <c r="W173" s="14">
        <f>IF(AND(Distances!CJ116=0,Distances!EV116=0),CI173*EU173*W161*2,"")</f>
        <v>2209.9600799999998</v>
      </c>
      <c r="X173" s="14" t="s">
        <v>62</v>
      </c>
      <c r="Y173" s="14" t="s">
        <v>62</v>
      </c>
      <c r="Z173" s="14" t="s">
        <v>62</v>
      </c>
      <c r="AA173" s="14" t="s">
        <v>62</v>
      </c>
      <c r="AB173" s="14" t="s">
        <v>62</v>
      </c>
      <c r="AC173" s="14">
        <f>IF(AND(Distances!CP116=0,Distances!FB116=0),CO173*FA173*AC161*2,"")</f>
        <v>68.603520000000003</v>
      </c>
      <c r="AD173" s="14">
        <f>IF(AND(Distances!CQ116=0,Distances!FC116=0),CP173*FB173*AD161*2,"")</f>
        <v>67.698480000000004</v>
      </c>
      <c r="AE173" s="14" t="s">
        <v>62</v>
      </c>
      <c r="AF173" s="14" t="s">
        <v>62</v>
      </c>
      <c r="AG173" s="14" t="s">
        <v>62</v>
      </c>
      <c r="AH173" s="14" t="s">
        <v>62</v>
      </c>
      <c r="AI173" s="14">
        <f>IF(AND(Distances!CV116=0,Distances!FH116=0),CU173*FG173*AI161*2,"")</f>
        <v>24.703295999999998</v>
      </c>
      <c r="AJ173" s="14" t="s">
        <v>62</v>
      </c>
      <c r="AK173" s="14">
        <f>IF(AND(Distances!CX116=0,Distances!FJ116=0),CW173*FI173*AK161*2,"")</f>
        <v>25.422431999999997</v>
      </c>
      <c r="AL173" s="14">
        <f>IF(AND(Distances!CY116=0,Distances!FK116=0),CX173*FJ173*AL161*2,"")</f>
        <v>277.587648</v>
      </c>
      <c r="AM173" s="14">
        <f>IF(AND(Distances!CZ116=0,Distances!FL116=0),CY173*FK173*AM161*2,"")</f>
        <v>277.587648</v>
      </c>
      <c r="AN173" s="14" t="s">
        <v>62</v>
      </c>
      <c r="AO173" s="14">
        <f>IF(AND(Distances!DB116=0,Distances!FN116=0),DA173*FM173*AO161*2,"")</f>
        <v>21.385919999999999</v>
      </c>
      <c r="AP173" s="14">
        <f>IF(AND(Distances!DC116=0,Distances!FO116=0),DB173*FN173*AP161*2,"")</f>
        <v>21.800799999999999</v>
      </c>
      <c r="AQ173" s="14">
        <f>IF(AND(Distances!DD116=0,Distances!FP116=0),DC173*FO173*AQ161*2,"")</f>
        <v>23.674400000000002</v>
      </c>
      <c r="AR173" s="14">
        <f>IF(AND(Distances!DE116=0,Distances!FQ116=0),DD173*FP173*AR161*2,"")</f>
        <v>38.065151999999998</v>
      </c>
      <c r="AS173" s="14" t="s">
        <v>62</v>
      </c>
      <c r="AT173" s="14" t="s">
        <v>62</v>
      </c>
      <c r="AU173" s="14" t="s">
        <v>62</v>
      </c>
      <c r="AV173" s="14" t="s">
        <v>62</v>
      </c>
      <c r="AW173" s="14" t="s">
        <v>62</v>
      </c>
      <c r="AX173" s="14">
        <f>IF(AND(Distances!DK116=0,Distances!FW116=0),DJ173*FV173*AX161*2,"")</f>
        <v>76.044959999999989</v>
      </c>
      <c r="AY173" s="14">
        <f>IF(AND(Distances!DL116=0,Distances!FX116=0),DK173*FW173*AY161*2,"")</f>
        <v>0</v>
      </c>
      <c r="AZ173" s="14" t="s">
        <v>62</v>
      </c>
      <c r="BA173" s="14">
        <f>IF(AND(Distances!DN116=0,Distances!FZ116=0),DM173*FY173*BA161*2,"")</f>
        <v>71.392128</v>
      </c>
      <c r="BB173" s="14">
        <f>IF(AND(Distances!DO116=0,Distances!GA116=0),DN173*FZ173*BB161*2,"")</f>
        <v>113.53488</v>
      </c>
      <c r="BC173" s="14">
        <f>IF(AND(Distances!DP116=0,Distances!GB116=0),DO173*GA173*BC161*2,"")</f>
        <v>454.87103999999999</v>
      </c>
      <c r="BD173" s="14" t="s">
        <v>62</v>
      </c>
      <c r="BE173" s="14">
        <f>IF(AND(Distances!DR116=0,Distances!GD116=0),DQ173*GC173*BE161*2,"")</f>
        <v>482.14118400000001</v>
      </c>
      <c r="BF173" s="14" t="s">
        <v>62</v>
      </c>
      <c r="BG173" s="14" t="s">
        <v>62</v>
      </c>
      <c r="BH173" s="14" t="s">
        <v>62</v>
      </c>
      <c r="BI173" s="14" t="s">
        <v>62</v>
      </c>
      <c r="BJ173" s="15" t="s">
        <v>62</v>
      </c>
      <c r="BM173" s="35" t="s">
        <v>12</v>
      </c>
      <c r="BN173" s="11">
        <v>2721.8015999999998</v>
      </c>
      <c r="BO173" s="13">
        <v>1947.7415999999998</v>
      </c>
      <c r="BP173" s="13">
        <v>2703.1871999999998</v>
      </c>
      <c r="BQ173" s="13">
        <v>2703.1871999999998</v>
      </c>
      <c r="BR173" s="13">
        <v>2863.7111999999997</v>
      </c>
      <c r="BS173" s="13">
        <v>536.91119999999989</v>
      </c>
      <c r="BT173" s="13">
        <v>456.25439999999998</v>
      </c>
      <c r="BU173" s="13">
        <v>536.91119999999989</v>
      </c>
      <c r="BV173" s="13">
        <v>2810.2031999999999</v>
      </c>
      <c r="BW173" s="13">
        <v>2810.2031999999999</v>
      </c>
      <c r="BX173" s="13">
        <v>0</v>
      </c>
      <c r="BY173" s="12">
        <v>0</v>
      </c>
      <c r="BZ173" s="13">
        <v>1194.4631999999999</v>
      </c>
      <c r="CA173" s="14">
        <v>1456.2239999999999</v>
      </c>
      <c r="CB173" s="14">
        <v>1266.4176</v>
      </c>
      <c r="CC173" s="14">
        <v>2718.4667999999997</v>
      </c>
      <c r="CD173" s="14">
        <v>2692.83</v>
      </c>
      <c r="CE173" s="14">
        <v>2769.7403999999997</v>
      </c>
      <c r="CF173" s="14">
        <v>2641.5563999999999</v>
      </c>
      <c r="CG173" s="14">
        <v>2354.52</v>
      </c>
      <c r="CH173" s="14">
        <v>3062.6736000000001</v>
      </c>
      <c r="CI173" s="14">
        <v>2667.1931999999997</v>
      </c>
      <c r="CJ173" s="14">
        <v>2369.4467999999997</v>
      </c>
      <c r="CK173" s="14">
        <v>2641.5563999999999</v>
      </c>
      <c r="CL173" s="14">
        <v>2565.9143999999997</v>
      </c>
      <c r="CM173" s="14">
        <v>2517.6311999999998</v>
      </c>
      <c r="CN173" s="14">
        <v>2424.4247999999998</v>
      </c>
      <c r="CO173" s="14">
        <v>2401.1232</v>
      </c>
      <c r="CP173" s="14">
        <v>2369.4467999999997</v>
      </c>
      <c r="CQ173" s="14">
        <v>3062.6736000000001</v>
      </c>
      <c r="CR173" s="14">
        <v>3062.6736000000001</v>
      </c>
      <c r="CS173" s="14">
        <v>3062.6736000000001</v>
      </c>
      <c r="CT173" s="14">
        <v>1820.3556000000001</v>
      </c>
      <c r="CU173" s="14">
        <v>2161.5383999999999</v>
      </c>
      <c r="CV173" s="14">
        <v>1820.3556000000001</v>
      </c>
      <c r="CW173" s="14">
        <v>2224.4627999999998</v>
      </c>
      <c r="CX173" s="14">
        <v>449.79480000000001</v>
      </c>
      <c r="CY173" s="14">
        <v>449.79480000000001</v>
      </c>
      <c r="CZ173" s="14">
        <v>449.79480000000001</v>
      </c>
      <c r="DA173" s="14">
        <v>1122.7607999999998</v>
      </c>
      <c r="DB173" s="14">
        <v>1144.5419999999999</v>
      </c>
      <c r="DC173" s="14">
        <v>1242.9059999999999</v>
      </c>
      <c r="DD173" s="14">
        <v>1665.3503999999998</v>
      </c>
      <c r="DE173" s="14">
        <v>1665.3503999999998</v>
      </c>
      <c r="DF173" s="14">
        <v>1665.3503999999998</v>
      </c>
      <c r="DG173" s="14">
        <v>1305.9312</v>
      </c>
      <c r="DH173" s="14">
        <v>2024.694</v>
      </c>
      <c r="DI173" s="14">
        <v>2024.694</v>
      </c>
      <c r="DJ173" s="14">
        <v>1330.7867999999999</v>
      </c>
      <c r="DK173" s="14">
        <v>0</v>
      </c>
      <c r="DL173" s="14">
        <v>3577.7951999999996</v>
      </c>
      <c r="DM173" s="14">
        <v>1561.7028</v>
      </c>
      <c r="DN173" s="14">
        <v>1986.8603999999998</v>
      </c>
      <c r="DO173" s="14">
        <v>1243.788</v>
      </c>
      <c r="DP173" s="14">
        <v>1330.7867999999999</v>
      </c>
      <c r="DQ173" s="14">
        <v>1318.3548000000001</v>
      </c>
      <c r="DR173" s="14">
        <v>2288.3111999999996</v>
      </c>
      <c r="DS173" s="14">
        <v>1739.1695999999999</v>
      </c>
      <c r="DT173" s="14">
        <v>1421.9015999999999</v>
      </c>
      <c r="DU173" s="14">
        <v>2047.1556</v>
      </c>
      <c r="DV173" s="15">
        <v>2047.1556</v>
      </c>
      <c r="DY173" s="35" t="s">
        <v>12</v>
      </c>
      <c r="DZ173" s="11">
        <f t="shared" si="67"/>
        <v>1.6666666666666666E-2</v>
      </c>
      <c r="EA173" s="13">
        <f t="shared" si="67"/>
        <v>1.6666666666666666E-2</v>
      </c>
      <c r="EB173" s="13">
        <f t="shared" si="67"/>
        <v>1.6666666666666666E-2</v>
      </c>
      <c r="EC173" s="13">
        <f t="shared" si="67"/>
        <v>1.6666666666666666E-2</v>
      </c>
      <c r="ED173" s="13">
        <f t="shared" si="67"/>
        <v>1.6666666666666666E-2</v>
      </c>
      <c r="EE173" s="13">
        <f t="shared" si="67"/>
        <v>1.6666666666666666E-2</v>
      </c>
      <c r="EF173" s="13">
        <f t="shared" si="67"/>
        <v>1.6666666666666666E-2</v>
      </c>
      <c r="EG173" s="13">
        <f t="shared" si="67"/>
        <v>1.6666666666666666E-2</v>
      </c>
      <c r="EH173" s="13">
        <f t="shared" si="67"/>
        <v>1.6666666666666666E-2</v>
      </c>
      <c r="EI173" s="13">
        <f t="shared" si="67"/>
        <v>1.6666666666666666E-2</v>
      </c>
      <c r="EJ173" s="13">
        <f t="shared" si="67"/>
        <v>1.6666666666666666E-2</v>
      </c>
      <c r="EK173" s="12">
        <v>0.6</v>
      </c>
      <c r="EL173" s="13">
        <f t="shared" si="67"/>
        <v>1.6666666666666666E-2</v>
      </c>
      <c r="EM173" s="14">
        <v>4.6511627906976744E-3</v>
      </c>
      <c r="EN173" s="14">
        <v>4.6511627906976744E-3</v>
      </c>
      <c r="EO173" s="14">
        <v>7.1428571428571435E-3</v>
      </c>
      <c r="EP173" s="14">
        <v>7.1428571428571435E-3</v>
      </c>
      <c r="EQ173" s="14">
        <v>7.1428571428571435E-3</v>
      </c>
      <c r="ER173" s="14">
        <v>7.1428571428571435E-3</v>
      </c>
      <c r="ES173" s="14">
        <v>7.1428571428571435E-3</v>
      </c>
      <c r="ET173" s="14">
        <v>7.1428571428571435E-3</v>
      </c>
      <c r="EU173" s="14">
        <v>7.1428571428571435E-3</v>
      </c>
      <c r="EV173" s="14">
        <v>7.1428571428571435E-3</v>
      </c>
      <c r="EW173" s="14">
        <v>7.1428571428571435E-3</v>
      </c>
      <c r="EX173" s="14">
        <v>7.1428571428571435E-3</v>
      </c>
      <c r="EY173" s="14">
        <v>7.1428571428571435E-3</v>
      </c>
      <c r="EZ173" s="14">
        <v>7.1428571428571435E-3</v>
      </c>
      <c r="FA173" s="14">
        <v>7.1428571428571435E-3</v>
      </c>
      <c r="FB173" s="14">
        <v>7.1428571428571435E-3</v>
      </c>
      <c r="FC173" s="14">
        <v>7.1428571428571435E-3</v>
      </c>
      <c r="FD173" s="14">
        <v>7.1428571428571435E-3</v>
      </c>
      <c r="FE173" s="14">
        <v>7.1428571428571435E-3</v>
      </c>
      <c r="FF173" s="14">
        <v>5.7142857142857143E-3</v>
      </c>
      <c r="FG173" s="14">
        <v>5.7142857142857143E-3</v>
      </c>
      <c r="FH173" s="14">
        <v>5.7142857142857143E-3</v>
      </c>
      <c r="FI173" s="14">
        <v>5.7142857142857143E-3</v>
      </c>
      <c r="FJ173" s="14">
        <v>5.7142857142857143E-3</v>
      </c>
      <c r="FK173" s="14">
        <v>5.7142857142857143E-3</v>
      </c>
      <c r="FL173" s="14">
        <v>5.7142857142857143E-3</v>
      </c>
      <c r="FM173" s="14">
        <v>4.7619047619047623E-3</v>
      </c>
      <c r="FN173" s="14">
        <v>4.7619047619047623E-3</v>
      </c>
      <c r="FO173" s="14">
        <v>4.7619047619047623E-3</v>
      </c>
      <c r="FP173" s="14">
        <v>5.7142857142857143E-3</v>
      </c>
      <c r="FQ173" s="14">
        <v>5.7142857142857143E-3</v>
      </c>
      <c r="FR173" s="14">
        <v>5.7142857142857143E-3</v>
      </c>
      <c r="FS173" s="14">
        <v>5.7142857142857143E-3</v>
      </c>
      <c r="FT173" s="14">
        <v>5.8823529411764705E-3</v>
      </c>
      <c r="FU173" s="14">
        <v>5.7142857142857143E-3</v>
      </c>
      <c r="FV173" s="14">
        <v>5.7142857142857143E-3</v>
      </c>
      <c r="FW173" s="14">
        <v>4.5454545454545461E-3</v>
      </c>
      <c r="FX173" s="14">
        <v>4.5454545454545461E-3</v>
      </c>
      <c r="FY173" s="14">
        <v>5.7142857142857143E-3</v>
      </c>
      <c r="FZ173" s="14">
        <v>7.1428571428571435E-3</v>
      </c>
      <c r="GA173" s="14">
        <v>5.7142857142857143E-3</v>
      </c>
      <c r="GB173" s="14">
        <v>5.7142857142857143E-3</v>
      </c>
      <c r="GC173" s="14">
        <v>5.7142857142857143E-3</v>
      </c>
      <c r="GD173" s="14">
        <v>7.1428571428571435E-3</v>
      </c>
      <c r="GE173" s="14">
        <v>7.1428571428571435E-3</v>
      </c>
      <c r="GF173" s="14">
        <v>4.6511627906976744E-3</v>
      </c>
      <c r="GG173" s="14">
        <v>4.6511627906976744E-3</v>
      </c>
      <c r="GH173" s="15">
        <v>4.6511627906976744E-3</v>
      </c>
    </row>
    <row r="174" spans="1:190" x14ac:dyDescent="0.3">
      <c r="A174" s="35" t="s">
        <v>13</v>
      </c>
      <c r="B174" s="11" t="s">
        <v>62</v>
      </c>
      <c r="C174" s="13" t="s">
        <v>62</v>
      </c>
      <c r="D174" s="13" t="s">
        <v>62</v>
      </c>
      <c r="E174" s="13" t="s">
        <v>62</v>
      </c>
      <c r="F174" s="13" t="s">
        <v>62</v>
      </c>
      <c r="G174" s="13" t="s">
        <v>62</v>
      </c>
      <c r="H174" s="13" t="s">
        <v>62</v>
      </c>
      <c r="I174" s="13" t="s">
        <v>62</v>
      </c>
      <c r="J174" s="13" t="s">
        <v>62</v>
      </c>
      <c r="K174" s="13" t="s">
        <v>62</v>
      </c>
      <c r="L174" s="13" t="s">
        <v>62</v>
      </c>
      <c r="M174" s="13" t="s">
        <v>62</v>
      </c>
      <c r="N174" s="12">
        <f>IF(AND(Distances!CA117=0,Distances!EM117=0),BZ174*EL174*N161*2,"")</f>
        <v>0</v>
      </c>
      <c r="O174" s="14" t="s">
        <v>62</v>
      </c>
      <c r="P174" s="14" t="s">
        <v>62</v>
      </c>
      <c r="Q174" s="14" t="s">
        <v>62</v>
      </c>
      <c r="R174" s="14" t="s">
        <v>62</v>
      </c>
      <c r="S174" s="14" t="s">
        <v>62</v>
      </c>
      <c r="T174" s="14" t="s">
        <v>62</v>
      </c>
      <c r="U174" s="14" t="s">
        <v>62</v>
      </c>
      <c r="V174" s="14" t="s">
        <v>62</v>
      </c>
      <c r="W174" s="14" t="s">
        <v>62</v>
      </c>
      <c r="X174" s="14" t="s">
        <v>62</v>
      </c>
      <c r="Y174" s="14" t="s">
        <v>62</v>
      </c>
      <c r="Z174" s="14" t="s">
        <v>62</v>
      </c>
      <c r="AA174" s="14" t="s">
        <v>62</v>
      </c>
      <c r="AB174" s="14" t="s">
        <v>62</v>
      </c>
      <c r="AC174" s="14" t="s">
        <v>62</v>
      </c>
      <c r="AD174" s="14" t="s">
        <v>62</v>
      </c>
      <c r="AE174" s="14" t="s">
        <v>62</v>
      </c>
      <c r="AF174" s="14" t="s">
        <v>62</v>
      </c>
      <c r="AG174" s="14" t="s">
        <v>62</v>
      </c>
      <c r="AH174" s="14" t="s">
        <v>62</v>
      </c>
      <c r="AI174" s="14" t="s">
        <v>62</v>
      </c>
      <c r="AJ174" s="14" t="s">
        <v>62</v>
      </c>
      <c r="AK174" s="14" t="s">
        <v>62</v>
      </c>
      <c r="AL174" s="14" t="s">
        <v>62</v>
      </c>
      <c r="AM174" s="14" t="s">
        <v>62</v>
      </c>
      <c r="AN174" s="14" t="s">
        <v>62</v>
      </c>
      <c r="AO174" s="14" t="s">
        <v>62</v>
      </c>
      <c r="AP174" s="14" t="s">
        <v>62</v>
      </c>
      <c r="AQ174" s="14" t="s">
        <v>62</v>
      </c>
      <c r="AR174" s="14" t="s">
        <v>62</v>
      </c>
      <c r="AS174" s="14" t="s">
        <v>62</v>
      </c>
      <c r="AT174" s="14" t="s">
        <v>62</v>
      </c>
      <c r="AU174" s="14" t="s">
        <v>62</v>
      </c>
      <c r="AV174" s="14" t="s">
        <v>62</v>
      </c>
      <c r="AW174" s="14" t="s">
        <v>62</v>
      </c>
      <c r="AX174" s="14" t="s">
        <v>62</v>
      </c>
      <c r="AY174" s="14" t="s">
        <v>62</v>
      </c>
      <c r="AZ174" s="14" t="s">
        <v>62</v>
      </c>
      <c r="BA174" s="14" t="s">
        <v>62</v>
      </c>
      <c r="BB174" s="14" t="s">
        <v>62</v>
      </c>
      <c r="BC174" s="14" t="s">
        <v>62</v>
      </c>
      <c r="BD174" s="14" t="s">
        <v>62</v>
      </c>
      <c r="BE174" s="14" t="s">
        <v>62</v>
      </c>
      <c r="BF174" s="14" t="s">
        <v>62</v>
      </c>
      <c r="BG174" s="14" t="s">
        <v>62</v>
      </c>
      <c r="BH174" s="14" t="s">
        <v>62</v>
      </c>
      <c r="BI174" s="14" t="s">
        <v>62</v>
      </c>
      <c r="BJ174" s="15" t="s">
        <v>62</v>
      </c>
      <c r="BM174" s="35" t="s">
        <v>13</v>
      </c>
      <c r="BN174" s="11">
        <v>803.30039999999997</v>
      </c>
      <c r="BO174" s="13">
        <v>891.01319999999998</v>
      </c>
      <c r="BP174" s="13">
        <v>1064.3555999999999</v>
      </c>
      <c r="BQ174" s="13">
        <v>1064.3555999999999</v>
      </c>
      <c r="BR174" s="13">
        <v>1127.5236</v>
      </c>
      <c r="BS174" s="13">
        <v>1074.8555999999999</v>
      </c>
      <c r="BT174" s="13">
        <v>1182.8796</v>
      </c>
      <c r="BU174" s="13">
        <v>1074.8555999999999</v>
      </c>
      <c r="BV174" s="13">
        <v>1106.4648</v>
      </c>
      <c r="BW174" s="13">
        <v>1106.4648</v>
      </c>
      <c r="BX174" s="13">
        <v>1194.4631999999999</v>
      </c>
      <c r="BY174" s="13">
        <v>1194.4631999999999</v>
      </c>
      <c r="BZ174" s="12">
        <v>0</v>
      </c>
      <c r="CA174" s="14">
        <v>858.76559999999995</v>
      </c>
      <c r="CB174" s="14">
        <v>1634.4048</v>
      </c>
      <c r="CC174" s="14">
        <v>1350.51</v>
      </c>
      <c r="CD174" s="14">
        <v>1337.7755999999999</v>
      </c>
      <c r="CE174" s="14">
        <v>1375.9703999999999</v>
      </c>
      <c r="CF174" s="14">
        <v>1312.3152</v>
      </c>
      <c r="CG174" s="14">
        <v>1649.9195999999999</v>
      </c>
      <c r="CH174" s="14">
        <v>1976.3015999999998</v>
      </c>
      <c r="CI174" s="14">
        <v>1325.0496000000001</v>
      </c>
      <c r="CJ174" s="14">
        <v>1553.2776000000001</v>
      </c>
      <c r="CK174" s="14">
        <v>1312.3152</v>
      </c>
      <c r="CL174" s="14">
        <v>1796.8524</v>
      </c>
      <c r="CM174" s="14">
        <v>1764.2015999999996</v>
      </c>
      <c r="CN174" s="14">
        <v>1698.8999999999999</v>
      </c>
      <c r="CO174" s="14">
        <v>1682.5703999999998</v>
      </c>
      <c r="CP174" s="14">
        <v>1553.2776000000001</v>
      </c>
      <c r="CQ174" s="14">
        <v>1976.3015999999998</v>
      </c>
      <c r="CR174" s="14">
        <v>1976.3015999999998</v>
      </c>
      <c r="CS174" s="14">
        <v>1976.3015999999998</v>
      </c>
      <c r="CT174" s="14">
        <v>2992.1135999999997</v>
      </c>
      <c r="CU174" s="14">
        <v>3408.9888000000001</v>
      </c>
      <c r="CV174" s="14">
        <v>2992.1135999999997</v>
      </c>
      <c r="CW174" s="14">
        <v>3508.2431999999994</v>
      </c>
      <c r="CX174" s="14">
        <v>2160.8159999999998</v>
      </c>
      <c r="CY174" s="14">
        <v>2160.8159999999998</v>
      </c>
      <c r="CZ174" s="14">
        <v>2160.8159999999998</v>
      </c>
      <c r="DA174" s="14">
        <v>2717.7192</v>
      </c>
      <c r="DB174" s="14">
        <v>2770.4712</v>
      </c>
      <c r="DC174" s="14">
        <v>2902.1579999999999</v>
      </c>
      <c r="DD174" s="14">
        <v>1993.7231999999999</v>
      </c>
      <c r="DE174" s="14">
        <v>1993.7231999999999</v>
      </c>
      <c r="DF174" s="14">
        <v>1993.7231999999999</v>
      </c>
      <c r="DG174" s="14">
        <v>1967.1539999999998</v>
      </c>
      <c r="DH174" s="14">
        <v>1688.4923999999999</v>
      </c>
      <c r="DI174" s="14">
        <v>1688.4923999999999</v>
      </c>
      <c r="DJ174" s="14">
        <v>2004.6096</v>
      </c>
      <c r="DK174" s="14">
        <v>0</v>
      </c>
      <c r="DL174" s="14">
        <v>4518.5028000000002</v>
      </c>
      <c r="DM174" s="14">
        <v>2256.1224000000002</v>
      </c>
      <c r="DN174" s="14">
        <v>1656.9503999999999</v>
      </c>
      <c r="DO174" s="14">
        <v>1873.5275999999999</v>
      </c>
      <c r="DP174" s="14">
        <v>2004.6096</v>
      </c>
      <c r="DQ174" s="14">
        <v>1985.886</v>
      </c>
      <c r="DR174" s="14">
        <v>2463.2075999999997</v>
      </c>
      <c r="DS174" s="14">
        <v>1882.7003999999999</v>
      </c>
      <c r="DT174" s="14">
        <v>1854.9132</v>
      </c>
      <c r="DU174" s="14">
        <v>2153.3568</v>
      </c>
      <c r="DV174" s="15">
        <v>2153.3568</v>
      </c>
      <c r="DY174" s="35" t="s">
        <v>13</v>
      </c>
      <c r="DZ174" s="11">
        <f t="shared" si="67"/>
        <v>1.6666666666666666E-2</v>
      </c>
      <c r="EA174" s="13">
        <f t="shared" si="67"/>
        <v>1.6666666666666666E-2</v>
      </c>
      <c r="EB174" s="13">
        <f t="shared" si="67"/>
        <v>1.6666666666666666E-2</v>
      </c>
      <c r="EC174" s="13">
        <f t="shared" si="67"/>
        <v>1.6666666666666666E-2</v>
      </c>
      <c r="ED174" s="13">
        <f t="shared" si="67"/>
        <v>1.6666666666666666E-2</v>
      </c>
      <c r="EE174" s="13">
        <f t="shared" si="67"/>
        <v>1.6666666666666666E-2</v>
      </c>
      <c r="EF174" s="13">
        <f t="shared" si="67"/>
        <v>1.6666666666666666E-2</v>
      </c>
      <c r="EG174" s="13">
        <f t="shared" si="67"/>
        <v>1.6666666666666666E-2</v>
      </c>
      <c r="EH174" s="13">
        <f t="shared" si="67"/>
        <v>1.6666666666666666E-2</v>
      </c>
      <c r="EI174" s="13">
        <f t="shared" si="67"/>
        <v>1.6666666666666666E-2</v>
      </c>
      <c r="EJ174" s="13">
        <f t="shared" si="67"/>
        <v>1.6666666666666666E-2</v>
      </c>
      <c r="EK174" s="13">
        <f t="shared" si="67"/>
        <v>1.6666666666666666E-2</v>
      </c>
      <c r="EL174" s="12">
        <v>0.6</v>
      </c>
      <c r="EM174" s="14">
        <v>4.6511627906976744E-3</v>
      </c>
      <c r="EN174" s="14">
        <v>4.6511627906976744E-3</v>
      </c>
      <c r="EO174" s="14">
        <v>7.1428571428571435E-3</v>
      </c>
      <c r="EP174" s="14">
        <v>7.1428571428571435E-3</v>
      </c>
      <c r="EQ174" s="14">
        <v>7.1428571428571435E-3</v>
      </c>
      <c r="ER174" s="14">
        <v>7.1428571428571435E-3</v>
      </c>
      <c r="ES174" s="14">
        <v>7.1428571428571435E-3</v>
      </c>
      <c r="ET174" s="14">
        <v>7.1428571428571435E-3</v>
      </c>
      <c r="EU174" s="14">
        <v>7.1428571428571435E-3</v>
      </c>
      <c r="EV174" s="14">
        <v>7.1428571428571435E-3</v>
      </c>
      <c r="EW174" s="14">
        <v>7.1428571428571435E-3</v>
      </c>
      <c r="EX174" s="14">
        <v>7.1428571428571435E-3</v>
      </c>
      <c r="EY174" s="14">
        <v>7.1428571428571435E-3</v>
      </c>
      <c r="EZ174" s="14">
        <v>7.1428571428571435E-3</v>
      </c>
      <c r="FA174" s="14">
        <v>7.1428571428571435E-3</v>
      </c>
      <c r="FB174" s="14">
        <v>7.1428571428571435E-3</v>
      </c>
      <c r="FC174" s="14">
        <v>7.1428571428571435E-3</v>
      </c>
      <c r="FD174" s="14">
        <v>7.1428571428571435E-3</v>
      </c>
      <c r="FE174" s="14">
        <v>7.1428571428571435E-3</v>
      </c>
      <c r="FF174" s="14">
        <v>5.7142857142857143E-3</v>
      </c>
      <c r="FG174" s="14">
        <v>5.7142857142857143E-3</v>
      </c>
      <c r="FH174" s="14">
        <v>5.7142857142857143E-3</v>
      </c>
      <c r="FI174" s="14">
        <v>5.7142857142857143E-3</v>
      </c>
      <c r="FJ174" s="14">
        <v>5.7142857142857143E-3</v>
      </c>
      <c r="FK174" s="14">
        <v>5.7142857142857143E-3</v>
      </c>
      <c r="FL174" s="14">
        <v>5.7142857142857143E-3</v>
      </c>
      <c r="FM174" s="14">
        <v>4.7619047619047623E-3</v>
      </c>
      <c r="FN174" s="14">
        <v>4.7619047619047623E-3</v>
      </c>
      <c r="FO174" s="14">
        <v>4.7619047619047623E-3</v>
      </c>
      <c r="FP174" s="14">
        <v>5.7142857142857143E-3</v>
      </c>
      <c r="FQ174" s="14">
        <v>5.7142857142857143E-3</v>
      </c>
      <c r="FR174" s="14">
        <v>5.7142857142857143E-3</v>
      </c>
      <c r="FS174" s="14">
        <v>5.7142857142857143E-3</v>
      </c>
      <c r="FT174" s="14">
        <v>5.8823529411764705E-3</v>
      </c>
      <c r="FU174" s="14">
        <v>5.7142857142857143E-3</v>
      </c>
      <c r="FV174" s="14">
        <v>5.7142857142857143E-3</v>
      </c>
      <c r="FW174" s="14">
        <v>4.5454545454545461E-3</v>
      </c>
      <c r="FX174" s="14">
        <v>4.5454545454545461E-3</v>
      </c>
      <c r="FY174" s="14">
        <v>5.7142857142857143E-3</v>
      </c>
      <c r="FZ174" s="14">
        <v>7.1428571428571435E-3</v>
      </c>
      <c r="GA174" s="14">
        <v>5.7142857142857143E-3</v>
      </c>
      <c r="GB174" s="14">
        <v>5.7142857142857143E-3</v>
      </c>
      <c r="GC174" s="14">
        <v>5.7142857142857143E-3</v>
      </c>
      <c r="GD174" s="14">
        <v>7.1428571428571435E-3</v>
      </c>
      <c r="GE174" s="14">
        <v>7.1428571428571435E-3</v>
      </c>
      <c r="GF174" s="14">
        <v>4.6511627906976744E-3</v>
      </c>
      <c r="GG174" s="14">
        <v>4.6511627906976744E-3</v>
      </c>
      <c r="GH174" s="15">
        <v>4.6511627906976744E-3</v>
      </c>
    </row>
    <row r="175" spans="1:190" x14ac:dyDescent="0.3">
      <c r="A175" s="35" t="s">
        <v>14</v>
      </c>
      <c r="B175" s="16" t="s">
        <v>62</v>
      </c>
      <c r="C175" s="14" t="s">
        <v>62</v>
      </c>
      <c r="D175" s="14" t="s">
        <v>62</v>
      </c>
      <c r="E175" s="14" t="s">
        <v>62</v>
      </c>
      <c r="F175" s="14" t="s">
        <v>62</v>
      </c>
      <c r="G175" s="14" t="s">
        <v>62</v>
      </c>
      <c r="H175" s="14" t="s">
        <v>62</v>
      </c>
      <c r="I175" s="14" t="s">
        <v>62</v>
      </c>
      <c r="J175" s="14" t="s">
        <v>62</v>
      </c>
      <c r="K175" s="14" t="s">
        <v>62</v>
      </c>
      <c r="L175" s="14" t="s">
        <v>62</v>
      </c>
      <c r="M175" s="14" t="s">
        <v>62</v>
      </c>
      <c r="N175" s="14" t="s">
        <v>62</v>
      </c>
      <c r="O175" s="12">
        <f>IF(AND(Distances!CB118=0,Distances!EN118=0),CA175*EM175*O161*2,"")</f>
        <v>0</v>
      </c>
      <c r="P175" s="13" t="s">
        <v>62</v>
      </c>
      <c r="Q175" s="14" t="s">
        <v>62</v>
      </c>
      <c r="R175" s="14" t="s">
        <v>62</v>
      </c>
      <c r="S175" s="14" t="s">
        <v>62</v>
      </c>
      <c r="T175" s="14" t="s">
        <v>62</v>
      </c>
      <c r="U175" s="14" t="s">
        <v>62</v>
      </c>
      <c r="V175" s="14" t="s">
        <v>62</v>
      </c>
      <c r="W175" s="14" t="s">
        <v>62</v>
      </c>
      <c r="X175" s="14" t="s">
        <v>62</v>
      </c>
      <c r="Y175" s="14" t="s">
        <v>62</v>
      </c>
      <c r="Z175" s="14" t="s">
        <v>62</v>
      </c>
      <c r="AA175" s="14" t="s">
        <v>62</v>
      </c>
      <c r="AB175" s="14" t="s">
        <v>62</v>
      </c>
      <c r="AC175" s="14" t="s">
        <v>62</v>
      </c>
      <c r="AD175" s="14" t="s">
        <v>62</v>
      </c>
      <c r="AE175" s="14" t="s">
        <v>62</v>
      </c>
      <c r="AF175" s="14" t="s">
        <v>62</v>
      </c>
      <c r="AG175" s="14" t="s">
        <v>62</v>
      </c>
      <c r="AH175" s="14" t="s">
        <v>62</v>
      </c>
      <c r="AI175" s="14" t="s">
        <v>62</v>
      </c>
      <c r="AJ175" s="14" t="s">
        <v>62</v>
      </c>
      <c r="AK175" s="14" t="s">
        <v>62</v>
      </c>
      <c r="AL175" s="14" t="s">
        <v>62</v>
      </c>
      <c r="AM175" s="14" t="s">
        <v>62</v>
      </c>
      <c r="AN175" s="14" t="s">
        <v>62</v>
      </c>
      <c r="AO175" s="14" t="s">
        <v>62</v>
      </c>
      <c r="AP175" s="14" t="s">
        <v>62</v>
      </c>
      <c r="AQ175" s="14" t="s">
        <v>62</v>
      </c>
      <c r="AR175" s="14" t="s">
        <v>62</v>
      </c>
      <c r="AS175" s="14" t="s">
        <v>62</v>
      </c>
      <c r="AT175" s="14" t="s">
        <v>62</v>
      </c>
      <c r="AU175" s="14" t="s">
        <v>62</v>
      </c>
      <c r="AV175" s="14" t="s">
        <v>62</v>
      </c>
      <c r="AW175" s="14" t="s">
        <v>62</v>
      </c>
      <c r="AX175" s="14" t="s">
        <v>62</v>
      </c>
      <c r="AY175" s="14" t="s">
        <v>62</v>
      </c>
      <c r="AZ175" s="14" t="s">
        <v>62</v>
      </c>
      <c r="BA175" s="14" t="s">
        <v>62</v>
      </c>
      <c r="BB175" s="14" t="s">
        <v>62</v>
      </c>
      <c r="BC175" s="14" t="s">
        <v>62</v>
      </c>
      <c r="BD175" s="14" t="s">
        <v>62</v>
      </c>
      <c r="BE175" s="14" t="s">
        <v>62</v>
      </c>
      <c r="BF175" s="14" t="s">
        <v>62</v>
      </c>
      <c r="BG175" s="14" t="s">
        <v>62</v>
      </c>
      <c r="BH175" s="12" t="s">
        <v>62</v>
      </c>
      <c r="BI175" s="12" t="s">
        <v>62</v>
      </c>
      <c r="BJ175" s="17" t="s">
        <v>62</v>
      </c>
      <c r="BM175" s="35" t="s">
        <v>14</v>
      </c>
      <c r="BN175" s="16">
        <v>814.16160000000002</v>
      </c>
      <c r="BO175" s="14">
        <v>810.66719999999998</v>
      </c>
      <c r="BP175" s="14">
        <v>1656.0935999999999</v>
      </c>
      <c r="BQ175" s="14">
        <v>1656.0935999999999</v>
      </c>
      <c r="BR175" s="14">
        <v>1754.4156</v>
      </c>
      <c r="BS175" s="14">
        <v>1547.4564</v>
      </c>
      <c r="BT175" s="14">
        <v>1442.0952</v>
      </c>
      <c r="BU175" s="14">
        <v>1547.4564</v>
      </c>
      <c r="BV175" s="14">
        <v>1721.6471999999999</v>
      </c>
      <c r="BW175" s="14">
        <v>1721.6471999999999</v>
      </c>
      <c r="BX175" s="14">
        <v>1456.2239999999999</v>
      </c>
      <c r="BY175" s="14">
        <v>1456.2239999999999</v>
      </c>
      <c r="BZ175" s="14">
        <v>858.76559999999995</v>
      </c>
      <c r="CA175" s="12">
        <v>0</v>
      </c>
      <c r="CB175" s="13">
        <v>876.72479999999996</v>
      </c>
      <c r="CC175" s="14">
        <v>1509.8748000000001</v>
      </c>
      <c r="CD175" s="14">
        <v>1495.6368</v>
      </c>
      <c r="CE175" s="14">
        <v>1538.3423999999998</v>
      </c>
      <c r="CF175" s="14">
        <v>1467.1692</v>
      </c>
      <c r="CG175" s="14">
        <v>1057.5852</v>
      </c>
      <c r="CH175" s="14">
        <v>1806.1931999999999</v>
      </c>
      <c r="CI175" s="14">
        <v>1481.3987999999999</v>
      </c>
      <c r="CJ175" s="14">
        <v>1747.7796000000001</v>
      </c>
      <c r="CK175" s="14">
        <v>1467.1692</v>
      </c>
      <c r="CL175" s="14">
        <v>1151.7323999999999</v>
      </c>
      <c r="CM175" s="14">
        <v>1130.808</v>
      </c>
      <c r="CN175" s="14">
        <v>1088.9675999999999</v>
      </c>
      <c r="CO175" s="14">
        <v>1078.5096000000001</v>
      </c>
      <c r="CP175" s="14">
        <v>1747.7796000000001</v>
      </c>
      <c r="CQ175" s="14">
        <v>1806.1931999999999</v>
      </c>
      <c r="CR175" s="14">
        <v>1806.1931999999999</v>
      </c>
      <c r="CS175" s="14">
        <v>1806.1931999999999</v>
      </c>
      <c r="CT175" s="14">
        <v>1583.0387999999998</v>
      </c>
      <c r="CU175" s="14">
        <v>1294.7339999999999</v>
      </c>
      <c r="CV175" s="14">
        <v>1583.0387999999998</v>
      </c>
      <c r="CW175" s="14">
        <v>1332.4164000000001</v>
      </c>
      <c r="CX175" s="14">
        <v>2066.7024000000001</v>
      </c>
      <c r="CY175" s="14">
        <v>2066.7024000000001</v>
      </c>
      <c r="CZ175" s="14">
        <v>2066.7024000000001</v>
      </c>
      <c r="DA175" s="14">
        <v>1639.6043999999999</v>
      </c>
      <c r="DB175" s="14">
        <v>1671.4235999999999</v>
      </c>
      <c r="DC175" s="14">
        <v>1790.8968</v>
      </c>
      <c r="DD175" s="14">
        <v>1481.3987999999999</v>
      </c>
      <c r="DE175" s="14">
        <v>1481.3987999999999</v>
      </c>
      <c r="DF175" s="14">
        <v>1481.3987999999999</v>
      </c>
      <c r="DG175" s="14">
        <v>1003.6319999999999</v>
      </c>
      <c r="DH175" s="14">
        <v>954.48359999999991</v>
      </c>
      <c r="DI175" s="14">
        <v>954.48359999999991</v>
      </c>
      <c r="DJ175" s="14">
        <v>1022.7252</v>
      </c>
      <c r="DK175" s="14">
        <v>0</v>
      </c>
      <c r="DL175" s="14">
        <v>2990.7864</v>
      </c>
      <c r="DM175" s="14">
        <v>1040.8607999999999</v>
      </c>
      <c r="DN175" s="14">
        <v>936.66719999999987</v>
      </c>
      <c r="DO175" s="14">
        <v>955.00440000000003</v>
      </c>
      <c r="DP175" s="14">
        <v>1022.7252</v>
      </c>
      <c r="DQ175" s="14">
        <v>1013.1828</v>
      </c>
      <c r="DR175" s="14">
        <v>1058.6351999999999</v>
      </c>
      <c r="DS175" s="14">
        <v>963.41280000000006</v>
      </c>
      <c r="DT175" s="12">
        <v>678.31679999999994</v>
      </c>
      <c r="DU175" s="12">
        <v>499.43039999999996</v>
      </c>
      <c r="DV175" s="17">
        <v>499.43039999999996</v>
      </c>
      <c r="DY175" s="35" t="s">
        <v>14</v>
      </c>
      <c r="DZ175" s="16">
        <f>0.2/32</f>
        <v>6.2500000000000003E-3</v>
      </c>
      <c r="EA175" s="14">
        <v>6.2500000000000003E-3</v>
      </c>
      <c r="EB175" s="14">
        <v>6.2500000000000003E-3</v>
      </c>
      <c r="EC175" s="14">
        <v>6.2500000000000003E-3</v>
      </c>
      <c r="ED175" s="14">
        <v>6.2500000000000003E-3</v>
      </c>
      <c r="EE175" s="14">
        <v>6.2500000000000003E-3</v>
      </c>
      <c r="EF175" s="14">
        <v>6.2500000000000003E-3</v>
      </c>
      <c r="EG175" s="14">
        <v>6.2500000000000003E-3</v>
      </c>
      <c r="EH175" s="14">
        <v>6.2500000000000003E-3</v>
      </c>
      <c r="EI175" s="14">
        <v>6.2500000000000003E-3</v>
      </c>
      <c r="EJ175" s="14">
        <v>6.2500000000000003E-3</v>
      </c>
      <c r="EK175" s="14">
        <v>6.2500000000000003E-3</v>
      </c>
      <c r="EL175" s="14">
        <v>6.2500000000000003E-3</v>
      </c>
      <c r="EM175" s="12">
        <v>0.6</v>
      </c>
      <c r="EN175" s="13">
        <v>0.2</v>
      </c>
      <c r="EO175" s="14">
        <v>7.1428571428571435E-3</v>
      </c>
      <c r="EP175" s="14">
        <v>7.1428571428571435E-3</v>
      </c>
      <c r="EQ175" s="14">
        <v>7.1428571428571435E-3</v>
      </c>
      <c r="ER175" s="14">
        <v>7.1428571428571435E-3</v>
      </c>
      <c r="ES175" s="14">
        <v>7.1428571428571435E-3</v>
      </c>
      <c r="ET175" s="14">
        <v>7.1428571428571435E-3</v>
      </c>
      <c r="EU175" s="14">
        <v>7.1428571428571435E-3</v>
      </c>
      <c r="EV175" s="14">
        <v>7.1428571428571435E-3</v>
      </c>
      <c r="EW175" s="14">
        <v>7.1428571428571435E-3</v>
      </c>
      <c r="EX175" s="14">
        <v>7.1428571428571435E-3</v>
      </c>
      <c r="EY175" s="14">
        <v>7.1428571428571435E-3</v>
      </c>
      <c r="EZ175" s="14">
        <v>7.1428571428571435E-3</v>
      </c>
      <c r="FA175" s="14">
        <v>7.1428571428571435E-3</v>
      </c>
      <c r="FB175" s="14">
        <v>7.1428571428571435E-3</v>
      </c>
      <c r="FC175" s="14">
        <v>7.1428571428571435E-3</v>
      </c>
      <c r="FD175" s="14">
        <v>7.1428571428571435E-3</v>
      </c>
      <c r="FE175" s="14">
        <v>7.1428571428571435E-3</v>
      </c>
      <c r="FF175" s="14">
        <v>5.7142857142857143E-3</v>
      </c>
      <c r="FG175" s="14">
        <v>5.7142857142857143E-3</v>
      </c>
      <c r="FH175" s="14">
        <v>5.7142857142857143E-3</v>
      </c>
      <c r="FI175" s="14">
        <v>5.7142857142857143E-3</v>
      </c>
      <c r="FJ175" s="14">
        <v>5.7142857142857143E-3</v>
      </c>
      <c r="FK175" s="14">
        <v>5.7142857142857143E-3</v>
      </c>
      <c r="FL175" s="14">
        <v>5.7142857142857143E-3</v>
      </c>
      <c r="FM175" s="14">
        <v>4.7619047619047623E-3</v>
      </c>
      <c r="FN175" s="14">
        <v>4.7619047619047623E-3</v>
      </c>
      <c r="FO175" s="14">
        <v>4.7619047619047623E-3</v>
      </c>
      <c r="FP175" s="14">
        <v>5.7142857142857143E-3</v>
      </c>
      <c r="FQ175" s="14">
        <v>5.7142857142857143E-3</v>
      </c>
      <c r="FR175" s="14">
        <v>5.7142857142857143E-3</v>
      </c>
      <c r="FS175" s="14">
        <v>5.7142857142857143E-3</v>
      </c>
      <c r="FT175" s="14">
        <v>5.8823529411764705E-3</v>
      </c>
      <c r="FU175" s="14">
        <v>5.7142857142857143E-3</v>
      </c>
      <c r="FV175" s="14">
        <v>5.7142857142857143E-3</v>
      </c>
      <c r="FW175" s="14">
        <v>4.5454545454545461E-3</v>
      </c>
      <c r="FX175" s="14">
        <v>4.5454545454545461E-3</v>
      </c>
      <c r="FY175" s="14">
        <v>5.7142857142857143E-3</v>
      </c>
      <c r="FZ175" s="14">
        <v>7.1428571428571435E-3</v>
      </c>
      <c r="GA175" s="14">
        <v>5.7142857142857143E-3</v>
      </c>
      <c r="GB175" s="14">
        <v>5.7142857142857143E-3</v>
      </c>
      <c r="GC175" s="14">
        <v>5.7142857142857143E-3</v>
      </c>
      <c r="GD175" s="14">
        <v>7.1428571428571435E-3</v>
      </c>
      <c r="GE175" s="14">
        <v>7.1428571428571435E-3</v>
      </c>
      <c r="GF175" s="12">
        <v>0.6</v>
      </c>
      <c r="GG175" s="12">
        <v>0.6</v>
      </c>
      <c r="GH175" s="17">
        <v>0.6</v>
      </c>
    </row>
    <row r="176" spans="1:190" x14ac:dyDescent="0.3">
      <c r="A176" s="35" t="s">
        <v>15</v>
      </c>
      <c r="B176" s="16" t="s">
        <v>62</v>
      </c>
      <c r="C176" s="14" t="s">
        <v>62</v>
      </c>
      <c r="D176" s="14" t="s">
        <v>62</v>
      </c>
      <c r="E176" s="14" t="s">
        <v>62</v>
      </c>
      <c r="F176" s="14" t="s">
        <v>62</v>
      </c>
      <c r="G176" s="14" t="s">
        <v>62</v>
      </c>
      <c r="H176" s="14" t="s">
        <v>62</v>
      </c>
      <c r="I176" s="14" t="s">
        <v>62</v>
      </c>
      <c r="J176" s="14" t="s">
        <v>62</v>
      </c>
      <c r="K176" s="14" t="s">
        <v>62</v>
      </c>
      <c r="L176" s="14" t="s">
        <v>62</v>
      </c>
      <c r="M176" s="14" t="s">
        <v>62</v>
      </c>
      <c r="N176" s="14" t="s">
        <v>62</v>
      </c>
      <c r="O176" s="13" t="s">
        <v>62</v>
      </c>
      <c r="P176" s="12">
        <f>IF(AND(Distances!CC119=0,Distances!EO119=0),CB176*EN176*P161*2,"")</f>
        <v>0</v>
      </c>
      <c r="Q176" s="14" t="s">
        <v>62</v>
      </c>
      <c r="R176" s="14" t="s">
        <v>62</v>
      </c>
      <c r="S176" s="14" t="s">
        <v>62</v>
      </c>
      <c r="T176" s="14" t="s">
        <v>62</v>
      </c>
      <c r="U176" s="14" t="s">
        <v>62</v>
      </c>
      <c r="V176" s="14" t="s">
        <v>62</v>
      </c>
      <c r="W176" s="14" t="s">
        <v>62</v>
      </c>
      <c r="X176" s="14" t="s">
        <v>62</v>
      </c>
      <c r="Y176" s="14" t="s">
        <v>62</v>
      </c>
      <c r="Z176" s="14" t="s">
        <v>62</v>
      </c>
      <c r="AA176" s="14" t="s">
        <v>62</v>
      </c>
      <c r="AB176" s="14" t="s">
        <v>62</v>
      </c>
      <c r="AC176" s="14" t="s">
        <v>62</v>
      </c>
      <c r="AD176" s="14" t="s">
        <v>62</v>
      </c>
      <c r="AE176" s="14" t="s">
        <v>62</v>
      </c>
      <c r="AF176" s="14" t="s">
        <v>62</v>
      </c>
      <c r="AG176" s="14" t="s">
        <v>62</v>
      </c>
      <c r="AH176" s="14" t="s">
        <v>62</v>
      </c>
      <c r="AI176" s="14" t="s">
        <v>62</v>
      </c>
      <c r="AJ176" s="14" t="s">
        <v>62</v>
      </c>
      <c r="AK176" s="14" t="s">
        <v>62</v>
      </c>
      <c r="AL176" s="14" t="s">
        <v>62</v>
      </c>
      <c r="AM176" s="14" t="s">
        <v>62</v>
      </c>
      <c r="AN176" s="14" t="s">
        <v>62</v>
      </c>
      <c r="AO176" s="14" t="s">
        <v>62</v>
      </c>
      <c r="AP176" s="14" t="s">
        <v>62</v>
      </c>
      <c r="AQ176" s="14" t="s">
        <v>62</v>
      </c>
      <c r="AR176" s="14" t="s">
        <v>62</v>
      </c>
      <c r="AS176" s="14" t="s">
        <v>62</v>
      </c>
      <c r="AT176" s="14" t="s">
        <v>62</v>
      </c>
      <c r="AU176" s="14" t="s">
        <v>62</v>
      </c>
      <c r="AV176" s="14" t="s">
        <v>62</v>
      </c>
      <c r="AW176" s="14" t="s">
        <v>62</v>
      </c>
      <c r="AX176" s="14" t="s">
        <v>62</v>
      </c>
      <c r="AY176" s="14" t="s">
        <v>62</v>
      </c>
      <c r="AZ176" s="14" t="s">
        <v>62</v>
      </c>
      <c r="BA176" s="14" t="s">
        <v>62</v>
      </c>
      <c r="BB176" s="14" t="s">
        <v>62</v>
      </c>
      <c r="BC176" s="14" t="s">
        <v>62</v>
      </c>
      <c r="BD176" s="14" t="s">
        <v>62</v>
      </c>
      <c r="BE176" s="14" t="s">
        <v>62</v>
      </c>
      <c r="BF176" s="14" t="s">
        <v>62</v>
      </c>
      <c r="BG176" s="14" t="s">
        <v>62</v>
      </c>
      <c r="BH176" s="13" t="s">
        <v>62</v>
      </c>
      <c r="BI176" s="13" t="s">
        <v>62</v>
      </c>
      <c r="BJ176" s="18" t="s">
        <v>62</v>
      </c>
      <c r="BM176" s="35" t="s">
        <v>15</v>
      </c>
      <c r="BN176" s="16">
        <v>1551.0347999999999</v>
      </c>
      <c r="BO176" s="14">
        <v>1542.8196</v>
      </c>
      <c r="BP176" s="14">
        <v>1374.1392000000001</v>
      </c>
      <c r="BQ176" s="14">
        <v>1374.1392000000001</v>
      </c>
      <c r="BR176" s="14">
        <v>1455.7115999999999</v>
      </c>
      <c r="BS176" s="14">
        <v>2196.0036</v>
      </c>
      <c r="BT176" s="14">
        <v>2085.9720000000002</v>
      </c>
      <c r="BU176" s="14">
        <v>2196.0036</v>
      </c>
      <c r="BV176" s="14">
        <v>1428.5207999999998</v>
      </c>
      <c r="BW176" s="14">
        <v>1428.5207999999998</v>
      </c>
      <c r="BX176" s="14">
        <v>1266.4176</v>
      </c>
      <c r="BY176" s="14">
        <v>1266.4176</v>
      </c>
      <c r="BZ176" s="14">
        <v>1634.4048</v>
      </c>
      <c r="CA176" s="13">
        <v>876.72479999999996</v>
      </c>
      <c r="CB176" s="12">
        <v>0</v>
      </c>
      <c r="CC176" s="14">
        <v>2096.7408</v>
      </c>
      <c r="CD176" s="14">
        <v>2076.9756000000002</v>
      </c>
      <c r="CE176" s="14">
        <v>2136.2879999999996</v>
      </c>
      <c r="CF176" s="14">
        <v>2037.4284</v>
      </c>
      <c r="CG176" s="14">
        <v>1578.8388</v>
      </c>
      <c r="CH176" s="14">
        <v>1933.3775999999998</v>
      </c>
      <c r="CI176" s="14">
        <v>2057.2020000000002</v>
      </c>
      <c r="CJ176" s="14">
        <v>2464.6019999999999</v>
      </c>
      <c r="CK176" s="14">
        <v>2037.4284</v>
      </c>
      <c r="CL176" s="14">
        <v>1719.4295999999999</v>
      </c>
      <c r="CM176" s="14">
        <v>1688.1899999999998</v>
      </c>
      <c r="CN176" s="14">
        <v>1625.7023999999999</v>
      </c>
      <c r="CO176" s="14">
        <v>1610.0783999999999</v>
      </c>
      <c r="CP176" s="14">
        <v>2464.6019999999999</v>
      </c>
      <c r="CQ176" s="14">
        <v>1933.3775999999998</v>
      </c>
      <c r="CR176" s="14">
        <v>1933.3775999999998</v>
      </c>
      <c r="CS176" s="14">
        <v>1933.3775999999998</v>
      </c>
      <c r="CT176" s="14">
        <v>1628.8943999999999</v>
      </c>
      <c r="CU176" s="14">
        <v>1329.6528000000001</v>
      </c>
      <c r="CV176" s="14">
        <v>1628.8943999999999</v>
      </c>
      <c r="CW176" s="14">
        <v>1368.36</v>
      </c>
      <c r="CX176" s="14">
        <v>2132.6843999999996</v>
      </c>
      <c r="CY176" s="14">
        <v>2132.6843999999996</v>
      </c>
      <c r="CZ176" s="14">
        <v>2132.6843999999996</v>
      </c>
      <c r="DA176" s="14">
        <v>2423.5679999999998</v>
      </c>
      <c r="DB176" s="14">
        <v>2470.6079999999997</v>
      </c>
      <c r="DC176" s="14">
        <v>2227.0668000000001</v>
      </c>
      <c r="DD176" s="14">
        <v>2803.5084000000002</v>
      </c>
      <c r="DE176" s="14">
        <v>2803.5084000000002</v>
      </c>
      <c r="DF176" s="14">
        <v>2803.5084000000002</v>
      </c>
      <c r="DG176" s="14">
        <v>1896.1403999999998</v>
      </c>
      <c r="DH176" s="14">
        <v>1843.8167999999998</v>
      </c>
      <c r="DI176" s="14">
        <v>1843.8167999999998</v>
      </c>
      <c r="DJ176" s="14">
        <v>1932.2352000000001</v>
      </c>
      <c r="DK176" s="14">
        <v>0</v>
      </c>
      <c r="DL176" s="14">
        <v>3098.1215999999995</v>
      </c>
      <c r="DM176" s="14">
        <v>1849.8227999999999</v>
      </c>
      <c r="DN176" s="14">
        <v>1809.3684000000001</v>
      </c>
      <c r="DO176" s="14">
        <v>1805.8907999999999</v>
      </c>
      <c r="DP176" s="14">
        <v>1932.2352000000001</v>
      </c>
      <c r="DQ176" s="14">
        <v>1913.7636</v>
      </c>
      <c r="DR176" s="14">
        <v>1993.5971999999999</v>
      </c>
      <c r="DS176" s="14">
        <v>1772.3832</v>
      </c>
      <c r="DT176" s="13">
        <v>1489.278</v>
      </c>
      <c r="DU176" s="13">
        <v>1172.4551999999999</v>
      </c>
      <c r="DV176" s="18">
        <v>1172.4551999999999</v>
      </c>
      <c r="DY176" s="35" t="s">
        <v>15</v>
      </c>
      <c r="DZ176" s="16">
        <v>6.2500000000000003E-3</v>
      </c>
      <c r="EA176" s="14">
        <v>6.2500000000000003E-3</v>
      </c>
      <c r="EB176" s="14">
        <v>6.2500000000000003E-3</v>
      </c>
      <c r="EC176" s="14">
        <v>6.2500000000000003E-3</v>
      </c>
      <c r="ED176" s="14">
        <v>6.2500000000000003E-3</v>
      </c>
      <c r="EE176" s="14">
        <v>6.2500000000000003E-3</v>
      </c>
      <c r="EF176" s="14">
        <v>6.2500000000000003E-3</v>
      </c>
      <c r="EG176" s="14">
        <v>6.2500000000000003E-3</v>
      </c>
      <c r="EH176" s="14">
        <v>6.2500000000000003E-3</v>
      </c>
      <c r="EI176" s="14">
        <v>6.2500000000000003E-3</v>
      </c>
      <c r="EJ176" s="14">
        <v>6.2500000000000003E-3</v>
      </c>
      <c r="EK176" s="14">
        <v>6.2500000000000003E-3</v>
      </c>
      <c r="EL176" s="14">
        <v>6.2500000000000003E-3</v>
      </c>
      <c r="EM176" s="13">
        <v>0.2</v>
      </c>
      <c r="EN176" s="12">
        <v>0.6</v>
      </c>
      <c r="EO176" s="14">
        <v>7.1428571428571435E-3</v>
      </c>
      <c r="EP176" s="14">
        <v>7.1428571428571435E-3</v>
      </c>
      <c r="EQ176" s="14">
        <v>7.1428571428571435E-3</v>
      </c>
      <c r="ER176" s="14">
        <v>7.1428571428571435E-3</v>
      </c>
      <c r="ES176" s="14">
        <v>7.1428571428571435E-3</v>
      </c>
      <c r="ET176" s="14">
        <v>7.1428571428571435E-3</v>
      </c>
      <c r="EU176" s="14">
        <v>7.1428571428571435E-3</v>
      </c>
      <c r="EV176" s="14">
        <v>7.1428571428571435E-3</v>
      </c>
      <c r="EW176" s="14">
        <v>7.1428571428571435E-3</v>
      </c>
      <c r="EX176" s="14">
        <v>7.1428571428571435E-3</v>
      </c>
      <c r="EY176" s="14">
        <v>7.1428571428571435E-3</v>
      </c>
      <c r="EZ176" s="14">
        <v>7.1428571428571435E-3</v>
      </c>
      <c r="FA176" s="14">
        <v>7.1428571428571435E-3</v>
      </c>
      <c r="FB176" s="14">
        <v>7.1428571428571435E-3</v>
      </c>
      <c r="FC176" s="14">
        <v>7.1428571428571435E-3</v>
      </c>
      <c r="FD176" s="14">
        <v>7.1428571428571435E-3</v>
      </c>
      <c r="FE176" s="14">
        <v>7.1428571428571435E-3</v>
      </c>
      <c r="FF176" s="14">
        <v>5.7142857142857143E-3</v>
      </c>
      <c r="FG176" s="14">
        <v>5.7142857142857143E-3</v>
      </c>
      <c r="FH176" s="14">
        <v>5.7142857142857143E-3</v>
      </c>
      <c r="FI176" s="14">
        <v>5.7142857142857143E-3</v>
      </c>
      <c r="FJ176" s="14">
        <v>5.7142857142857143E-3</v>
      </c>
      <c r="FK176" s="14">
        <v>5.7142857142857143E-3</v>
      </c>
      <c r="FL176" s="14">
        <v>5.7142857142857143E-3</v>
      </c>
      <c r="FM176" s="14">
        <v>4.7619047619047623E-3</v>
      </c>
      <c r="FN176" s="14">
        <v>4.7619047619047623E-3</v>
      </c>
      <c r="FO176" s="14">
        <v>4.7619047619047623E-3</v>
      </c>
      <c r="FP176" s="14">
        <v>5.7142857142857143E-3</v>
      </c>
      <c r="FQ176" s="14">
        <v>5.7142857142857143E-3</v>
      </c>
      <c r="FR176" s="14">
        <v>5.7142857142857143E-3</v>
      </c>
      <c r="FS176" s="14">
        <v>5.7142857142857143E-3</v>
      </c>
      <c r="FT176" s="14">
        <v>5.8823529411764705E-3</v>
      </c>
      <c r="FU176" s="14">
        <v>5.7142857142857143E-3</v>
      </c>
      <c r="FV176" s="14">
        <v>5.7142857142857143E-3</v>
      </c>
      <c r="FW176" s="14">
        <v>4.5454545454545461E-3</v>
      </c>
      <c r="FX176" s="14">
        <v>4.5454545454545461E-3</v>
      </c>
      <c r="FY176" s="14">
        <v>5.7142857142857143E-3</v>
      </c>
      <c r="FZ176" s="14">
        <v>7.1428571428571435E-3</v>
      </c>
      <c r="GA176" s="14">
        <v>5.7142857142857143E-3</v>
      </c>
      <c r="GB176" s="14">
        <v>5.7142857142857143E-3</v>
      </c>
      <c r="GC176" s="14">
        <v>5.7142857142857143E-3</v>
      </c>
      <c r="GD176" s="14">
        <v>7.1428571428571435E-3</v>
      </c>
      <c r="GE176" s="14">
        <v>7.1428571428571435E-3</v>
      </c>
      <c r="GF176" s="13">
        <v>0.2</v>
      </c>
      <c r="GG176" s="13">
        <v>0.2</v>
      </c>
      <c r="GH176" s="18">
        <v>0.2</v>
      </c>
    </row>
    <row r="177" spans="1:190" x14ac:dyDescent="0.3">
      <c r="A177" s="35" t="s">
        <v>16</v>
      </c>
      <c r="B177" s="16">
        <f>IF(AND(Distances!BO120=0,Distances!EA120=0),BN177*DZ177*B161*2,"")</f>
        <v>2461.52655</v>
      </c>
      <c r="C177" s="14">
        <f>IF(AND(Distances!BP120=0,Distances!EB120=0),BO177*EA177*C161*2,"")</f>
        <v>3218.9568600000002</v>
      </c>
      <c r="D177" s="14" t="s">
        <v>62</v>
      </c>
      <c r="E177" s="14">
        <f>IF(AND(Distances!BR120=0,Distances!ED120=0),BQ177*EC177*E161*2,"")</f>
        <v>1974.24801</v>
      </c>
      <c r="F177" s="14" t="s">
        <v>62</v>
      </c>
      <c r="G177" s="14" t="s">
        <v>62</v>
      </c>
      <c r="H177" s="14">
        <f>IF(AND(Distances!BU120=0,Distances!EG120=0),BT177*EF177*H161*2,"")</f>
        <v>6797.508060000001</v>
      </c>
      <c r="I177" s="14">
        <f>IF(AND(Distances!BV120=0,Distances!EH120=0),BU177*EG177*I161*2,"")</f>
        <v>6551.7265799999996</v>
      </c>
      <c r="J177" s="14" t="s">
        <v>62</v>
      </c>
      <c r="K177" s="14">
        <f>IF(AND(Distances!BX120=0,Distances!EJ120=0),BW177*EI177*K161*2,"")</f>
        <v>40.640459999999997</v>
      </c>
      <c r="L177" s="14" t="s">
        <v>62</v>
      </c>
      <c r="M177" s="14">
        <f>IF(AND(Distances!BZ120=0,Distances!EL120=0),BY177*EK177*M161*2,"")</f>
        <v>135.92334</v>
      </c>
      <c r="N177" s="14" t="s">
        <v>62</v>
      </c>
      <c r="O177" s="14" t="s">
        <v>62</v>
      </c>
      <c r="P177" s="14" t="s">
        <v>62</v>
      </c>
      <c r="Q177" s="12">
        <f>IF(AND(Distances!CD120=0,Distances!EP120=0),CC177*EO177*Q161*2,"")</f>
        <v>0</v>
      </c>
      <c r="R177" s="13">
        <f>IF(AND(Distances!CE120=0,Distances!EQ120=0),CD177*EP177*R161*2,"")</f>
        <v>890.55749999999989</v>
      </c>
      <c r="S177" s="13">
        <f>IF(AND(Distances!CF120=0,Distances!ER120=0),CE177*EQ177*S161*2,"")</f>
        <v>915.96749999999997</v>
      </c>
      <c r="T177" s="13" t="s">
        <v>62</v>
      </c>
      <c r="U177" s="13" t="s">
        <v>62</v>
      </c>
      <c r="V177" s="13" t="s">
        <v>62</v>
      </c>
      <c r="W177" s="13">
        <f>IF(AND(Distances!CJ120=0,Distances!EV120=0),CI177*EU177*W161*2,"")</f>
        <v>1023.21744</v>
      </c>
      <c r="X177" s="13" t="s">
        <v>62</v>
      </c>
      <c r="Y177" s="13" t="s">
        <v>62</v>
      </c>
      <c r="Z177" s="13" t="s">
        <v>62</v>
      </c>
      <c r="AA177" s="13" t="s">
        <v>62</v>
      </c>
      <c r="AB177" s="13" t="s">
        <v>62</v>
      </c>
      <c r="AC177" s="13">
        <f>IF(AND(Distances!CP120=0,Distances!FB120=0),CO177*FA177*AC161*2,"")</f>
        <v>39.213719999999995</v>
      </c>
      <c r="AD177" s="13">
        <f>IF(AND(Distances!CQ120=0,Distances!FC120=0),CP177*FB177*AD161*2,"")</f>
        <v>24.624179999999999</v>
      </c>
      <c r="AE177" s="13" t="s">
        <v>62</v>
      </c>
      <c r="AF177" s="13" t="s">
        <v>62</v>
      </c>
      <c r="AG177" s="13" t="s">
        <v>62</v>
      </c>
      <c r="AH177" s="14" t="s">
        <v>62</v>
      </c>
      <c r="AI177" s="14">
        <f>IF(AND(Distances!CV120=0,Distances!FH120=0),CU177*FG177*AI161*2,"")</f>
        <v>20.911776</v>
      </c>
      <c r="AJ177" s="14" t="s">
        <v>62</v>
      </c>
      <c r="AK177" s="14">
        <f>IF(AND(Distances!CX120=0,Distances!FJ120=0),CW177*FI177*AK161*2,"")</f>
        <v>21.520511999999997</v>
      </c>
      <c r="AL177" s="14">
        <f>IF(AND(Distances!CY120=0,Distances!FK120=0),CX177*FJ177*AL161*2,"")</f>
        <v>938.48025599999994</v>
      </c>
      <c r="AM177" s="14">
        <f>IF(AND(Distances!CZ120=0,Distances!FL120=0),CY177*FK177*AM161*2,"")</f>
        <v>938.48025599999994</v>
      </c>
      <c r="AN177" s="14" t="s">
        <v>62</v>
      </c>
      <c r="AO177" s="14">
        <f>IF(AND(Distances!DB120=0,Distances!FN120=0),DA177*FM177*AO161*2,"")</f>
        <v>24.34816</v>
      </c>
      <c r="AP177" s="14">
        <f>IF(AND(Distances!DC120=0,Distances!FO120=0),DB177*FN177*AP161*2,"")</f>
        <v>24.820640000000001</v>
      </c>
      <c r="AQ177" s="14">
        <f>IF(AND(Distances!DD120=0,Distances!FP120=0),DC177*FO177*AQ161*2,"")</f>
        <v>28.80048</v>
      </c>
      <c r="AR177" s="14">
        <f>IF(AND(Distances!DE120=0,Distances!FQ120=0),DD177*FP177*AR161*2,"")</f>
        <v>28.656768</v>
      </c>
      <c r="AS177" s="14" t="s">
        <v>62</v>
      </c>
      <c r="AT177" s="14" t="s">
        <v>62</v>
      </c>
      <c r="AU177" s="14" t="s">
        <v>62</v>
      </c>
      <c r="AV177" s="14" t="s">
        <v>62</v>
      </c>
      <c r="AW177" s="14" t="s">
        <v>62</v>
      </c>
      <c r="AX177" s="14">
        <f>IF(AND(Distances!DK120=0,Distances!FW120=0),DJ177*FV177*AX161*2,"")</f>
        <v>75.827039999999997</v>
      </c>
      <c r="AY177" s="14">
        <f>IF(AND(Distances!DL120=0,Distances!FX120=0),DK177*FW177*AY161*2,"")</f>
        <v>0</v>
      </c>
      <c r="AZ177" s="14" t="s">
        <v>62</v>
      </c>
      <c r="BA177" s="14">
        <f>IF(AND(Distances!DN120=0,Distances!FZ120=0),DM177*FY177*BA161*2,"")</f>
        <v>47.843328</v>
      </c>
      <c r="BB177" s="13">
        <f>IF(AND(Distances!DO120=0,Distances!GA120=0),DN177*FZ177*BB161*2,"")</f>
        <v>89.895960000000002</v>
      </c>
      <c r="BC177" s="14">
        <f>IF(AND(Distances!DP120=0,Distances!GB120=0),DO177*GA177*BC161*2,"")</f>
        <v>453.57158399999997</v>
      </c>
      <c r="BD177" s="14" t="s">
        <v>62</v>
      </c>
      <c r="BE177" s="14">
        <f>IF(AND(Distances!DR120=0,Distances!GD120=0),DQ177*GC177*BE161*2,"")</f>
        <v>480.76185600000002</v>
      </c>
      <c r="BF177" s="13" t="s">
        <v>62</v>
      </c>
      <c r="BG177" s="13" t="s">
        <v>62</v>
      </c>
      <c r="BH177" s="14" t="s">
        <v>62</v>
      </c>
      <c r="BI177" s="14" t="s">
        <v>62</v>
      </c>
      <c r="BJ177" s="15" t="s">
        <v>62</v>
      </c>
      <c r="BM177" s="35" t="s">
        <v>16</v>
      </c>
      <c r="BN177" s="16">
        <v>974.86199999999997</v>
      </c>
      <c r="BO177" s="14">
        <v>1274.8344</v>
      </c>
      <c r="BP177" s="14">
        <v>781.8803999999999</v>
      </c>
      <c r="BQ177" s="14">
        <v>781.8803999999999</v>
      </c>
      <c r="BR177" s="14">
        <v>828.27359999999999</v>
      </c>
      <c r="BS177" s="14">
        <v>2594.7431999999999</v>
      </c>
      <c r="BT177" s="14">
        <v>2692.0824000000002</v>
      </c>
      <c r="BU177" s="14">
        <v>2594.7431999999999</v>
      </c>
      <c r="BV177" s="14">
        <v>812.80919999999992</v>
      </c>
      <c r="BW177" s="14">
        <v>812.80919999999992</v>
      </c>
      <c r="BX177" s="14">
        <v>2718.4667999999997</v>
      </c>
      <c r="BY177" s="14">
        <v>2718.4667999999997</v>
      </c>
      <c r="BZ177" s="14">
        <v>1350.51</v>
      </c>
      <c r="CA177" s="14">
        <v>1509.8748000000001</v>
      </c>
      <c r="CB177" s="14">
        <v>2096.7408</v>
      </c>
      <c r="CC177" s="12">
        <v>0</v>
      </c>
      <c r="CD177" s="13">
        <v>712.44599999999991</v>
      </c>
      <c r="CE177" s="13">
        <v>732.774</v>
      </c>
      <c r="CF177" s="13">
        <v>698.89679999999998</v>
      </c>
      <c r="CG177" s="13">
        <v>769.07039999999995</v>
      </c>
      <c r="CH177" s="13">
        <v>976.6848</v>
      </c>
      <c r="CI177" s="13">
        <v>705.66719999999998</v>
      </c>
      <c r="CJ177" s="13">
        <v>492.48359999999997</v>
      </c>
      <c r="CK177" s="13">
        <v>698.89679999999998</v>
      </c>
      <c r="CL177" s="13">
        <v>837.50519999999995</v>
      </c>
      <c r="CM177" s="13">
        <v>822.30119999999988</v>
      </c>
      <c r="CN177" s="13">
        <v>791.87639999999999</v>
      </c>
      <c r="CO177" s="13">
        <v>784.2743999999999</v>
      </c>
      <c r="CP177" s="13">
        <v>492.48359999999997</v>
      </c>
      <c r="CQ177" s="13">
        <v>976.6848</v>
      </c>
      <c r="CR177" s="13">
        <v>976.6848</v>
      </c>
      <c r="CS177" s="13">
        <v>976.6848</v>
      </c>
      <c r="CT177" s="14">
        <v>1618.0667999999998</v>
      </c>
      <c r="CU177" s="14">
        <v>1829.7803999999999</v>
      </c>
      <c r="CV177" s="14">
        <v>1618.0667999999998</v>
      </c>
      <c r="CW177" s="14">
        <v>1883.0447999999997</v>
      </c>
      <c r="CX177" s="14">
        <v>1520.6855999999998</v>
      </c>
      <c r="CY177" s="14">
        <v>1520.6855999999998</v>
      </c>
      <c r="CZ177" s="14">
        <v>1520.6855999999998</v>
      </c>
      <c r="DA177" s="14">
        <v>1278.2783999999999</v>
      </c>
      <c r="DB177" s="14">
        <v>1303.0835999999999</v>
      </c>
      <c r="DC177" s="14">
        <v>1512.0251999999998</v>
      </c>
      <c r="DD177" s="14">
        <v>1253.7336</v>
      </c>
      <c r="DE177" s="14">
        <v>1253.7336</v>
      </c>
      <c r="DF177" s="14">
        <v>1253.7336</v>
      </c>
      <c r="DG177" s="14">
        <v>1302.1931999999999</v>
      </c>
      <c r="DH177" s="14">
        <v>916.0619999999999</v>
      </c>
      <c r="DI177" s="14">
        <v>916.0619999999999</v>
      </c>
      <c r="DJ177" s="14">
        <v>1326.9731999999999</v>
      </c>
      <c r="DK177" s="14">
        <v>0</v>
      </c>
      <c r="DL177" s="14">
        <v>3811.9704000000002</v>
      </c>
      <c r="DM177" s="14">
        <v>1046.5727999999999</v>
      </c>
      <c r="DN177" s="13">
        <v>898.95960000000002</v>
      </c>
      <c r="DO177" s="14">
        <v>1240.2348</v>
      </c>
      <c r="DP177" s="14">
        <v>1326.9731999999999</v>
      </c>
      <c r="DQ177" s="14">
        <v>1314.5832</v>
      </c>
      <c r="DR177" s="13">
        <v>1524.6168</v>
      </c>
      <c r="DS177" s="13">
        <v>1056.3503999999998</v>
      </c>
      <c r="DT177" s="14">
        <v>2858.6879999999996</v>
      </c>
      <c r="DU177" s="14">
        <v>2142.3779999999997</v>
      </c>
      <c r="DV177" s="15">
        <v>2142.3779999999997</v>
      </c>
      <c r="DY177" s="35" t="s">
        <v>16</v>
      </c>
      <c r="DZ177" s="16">
        <v>6.2500000000000003E-3</v>
      </c>
      <c r="EA177" s="14">
        <v>6.2500000000000003E-3</v>
      </c>
      <c r="EB177" s="14">
        <v>6.2500000000000003E-3</v>
      </c>
      <c r="EC177" s="14">
        <v>6.2500000000000003E-3</v>
      </c>
      <c r="ED177" s="14">
        <v>6.2500000000000003E-3</v>
      </c>
      <c r="EE177" s="14">
        <v>6.2500000000000003E-3</v>
      </c>
      <c r="EF177" s="14">
        <v>6.2500000000000003E-3</v>
      </c>
      <c r="EG177" s="14">
        <v>6.2500000000000003E-3</v>
      </c>
      <c r="EH177" s="14">
        <v>6.2500000000000003E-3</v>
      </c>
      <c r="EI177" s="14">
        <v>6.2500000000000003E-3</v>
      </c>
      <c r="EJ177" s="14">
        <v>6.2500000000000003E-3</v>
      </c>
      <c r="EK177" s="14">
        <v>6.2500000000000003E-3</v>
      </c>
      <c r="EL177" s="14">
        <v>6.2500000000000003E-3</v>
      </c>
      <c r="EM177" s="14">
        <v>4.6511627906976744E-3</v>
      </c>
      <c r="EN177" s="14">
        <v>4.6511627906976744E-3</v>
      </c>
      <c r="EO177" s="12">
        <v>0.6</v>
      </c>
      <c r="EP177" s="13">
        <f t="shared" ref="EP177:FE192" si="68">0.2/16</f>
        <v>1.2500000000000001E-2</v>
      </c>
      <c r="EQ177" s="13">
        <f t="shared" si="68"/>
        <v>1.2500000000000001E-2</v>
      </c>
      <c r="ER177" s="13">
        <f t="shared" si="68"/>
        <v>1.2500000000000001E-2</v>
      </c>
      <c r="ES177" s="13">
        <f t="shared" si="68"/>
        <v>1.2500000000000001E-2</v>
      </c>
      <c r="ET177" s="13">
        <f t="shared" si="68"/>
        <v>1.2500000000000001E-2</v>
      </c>
      <c r="EU177" s="13">
        <f t="shared" si="68"/>
        <v>1.2500000000000001E-2</v>
      </c>
      <c r="EV177" s="13">
        <f t="shared" si="68"/>
        <v>1.2500000000000001E-2</v>
      </c>
      <c r="EW177" s="13">
        <f t="shared" si="68"/>
        <v>1.2500000000000001E-2</v>
      </c>
      <c r="EX177" s="13">
        <f t="shared" si="68"/>
        <v>1.2500000000000001E-2</v>
      </c>
      <c r="EY177" s="13">
        <f t="shared" si="68"/>
        <v>1.2500000000000001E-2</v>
      </c>
      <c r="EZ177" s="13">
        <f t="shared" si="68"/>
        <v>1.2500000000000001E-2</v>
      </c>
      <c r="FA177" s="13">
        <f t="shared" si="68"/>
        <v>1.2500000000000001E-2</v>
      </c>
      <c r="FB177" s="13">
        <f t="shared" si="68"/>
        <v>1.2500000000000001E-2</v>
      </c>
      <c r="FC177" s="13">
        <f t="shared" si="68"/>
        <v>1.2500000000000001E-2</v>
      </c>
      <c r="FD177" s="13">
        <f t="shared" si="68"/>
        <v>1.2500000000000001E-2</v>
      </c>
      <c r="FE177" s="13">
        <f t="shared" si="68"/>
        <v>1.2500000000000001E-2</v>
      </c>
      <c r="FF177" s="14">
        <v>5.7142857142857143E-3</v>
      </c>
      <c r="FG177" s="14">
        <v>5.7142857142857143E-3</v>
      </c>
      <c r="FH177" s="14">
        <v>5.7142857142857143E-3</v>
      </c>
      <c r="FI177" s="14">
        <v>5.7142857142857143E-3</v>
      </c>
      <c r="FJ177" s="14">
        <v>5.7142857142857143E-3</v>
      </c>
      <c r="FK177" s="14">
        <v>5.7142857142857143E-3</v>
      </c>
      <c r="FL177" s="14">
        <v>5.7142857142857143E-3</v>
      </c>
      <c r="FM177" s="14">
        <v>4.7619047619047623E-3</v>
      </c>
      <c r="FN177" s="14">
        <v>4.7619047619047623E-3</v>
      </c>
      <c r="FO177" s="14">
        <v>4.7619047619047623E-3</v>
      </c>
      <c r="FP177" s="14">
        <v>5.7142857142857143E-3</v>
      </c>
      <c r="FQ177" s="14">
        <v>5.7142857142857143E-3</v>
      </c>
      <c r="FR177" s="14">
        <v>5.7142857142857143E-3</v>
      </c>
      <c r="FS177" s="14">
        <v>5.7142857142857143E-3</v>
      </c>
      <c r="FT177" s="14">
        <v>5.8823529411764705E-3</v>
      </c>
      <c r="FU177" s="14">
        <v>5.7142857142857143E-3</v>
      </c>
      <c r="FV177" s="14">
        <v>5.7142857142857143E-3</v>
      </c>
      <c r="FW177" s="14">
        <v>4.5454545454545461E-3</v>
      </c>
      <c r="FX177" s="14">
        <v>4.5454545454545461E-3</v>
      </c>
      <c r="FY177" s="14">
        <v>5.7142857142857143E-3</v>
      </c>
      <c r="FZ177" s="13">
        <f t="shared" ref="FZ177:FZ182" si="69">0.2/16</f>
        <v>1.2500000000000001E-2</v>
      </c>
      <c r="GA177" s="14">
        <v>5.7142857142857143E-3</v>
      </c>
      <c r="GB177" s="14">
        <v>5.7142857142857143E-3</v>
      </c>
      <c r="GC177" s="14">
        <v>5.7142857142857143E-3</v>
      </c>
      <c r="GD177" s="13">
        <f t="shared" ref="GD177:GE192" si="70">0.2/16</f>
        <v>1.2500000000000001E-2</v>
      </c>
      <c r="GE177" s="13">
        <f t="shared" si="70"/>
        <v>1.2500000000000001E-2</v>
      </c>
      <c r="GF177" s="14">
        <v>4.6511627906976744E-3</v>
      </c>
      <c r="GG177" s="14">
        <v>4.6511627906976744E-3</v>
      </c>
      <c r="GH177" s="15">
        <v>4.6511627906976744E-3</v>
      </c>
    </row>
    <row r="178" spans="1:190" x14ac:dyDescent="0.3">
      <c r="A178" s="35" t="s">
        <v>17</v>
      </c>
      <c r="B178" s="16">
        <f>IF(AND(Distances!BO121=0,Distances!EA121=0),BN178*DZ178*B161*2,"")</f>
        <v>2438.3228100000001</v>
      </c>
      <c r="C178" s="14">
        <f>IF(AND(Distances!BP121=0,Distances!EB121=0),BO178*EA178*C161*2,"")</f>
        <v>3188.6265599999997</v>
      </c>
      <c r="D178" s="14" t="s">
        <v>62</v>
      </c>
      <c r="E178" s="14">
        <f>IF(AND(Distances!BR121=0,Distances!ED121=0),BQ178*EC178*E161*2,"")</f>
        <v>1955.6468400000001</v>
      </c>
      <c r="F178" s="14" t="s">
        <v>62</v>
      </c>
      <c r="G178" s="14" t="s">
        <v>62</v>
      </c>
      <c r="H178" s="14">
        <f>IF(AND(Distances!BU121=0,Distances!EG121=0),BT178*EF178*H161*2,"")</f>
        <v>6733.4114399999999</v>
      </c>
      <c r="I178" s="14">
        <f>IF(AND(Distances!BV121=0,Distances!EH121=0),BU178*EG178*I161*2,"")</f>
        <v>6489.9418500000002</v>
      </c>
      <c r="J178" s="14" t="s">
        <v>62</v>
      </c>
      <c r="K178" s="14">
        <f>IF(AND(Distances!BX121=0,Distances!EJ121=0),BW178*EI178*K161*2,"")</f>
        <v>40.257419999999996</v>
      </c>
      <c r="L178" s="14" t="s">
        <v>62</v>
      </c>
      <c r="M178" s="14">
        <f>IF(AND(Distances!BZ121=0,Distances!EL121=0),BY178*EK178*M161*2,"")</f>
        <v>134.64150000000001</v>
      </c>
      <c r="N178" s="14" t="s">
        <v>62</v>
      </c>
      <c r="O178" s="14" t="s">
        <v>62</v>
      </c>
      <c r="P178" s="14" t="s">
        <v>62</v>
      </c>
      <c r="Q178" s="13">
        <f>IF(AND(Distances!CD121=0,Distances!EP121=0),CC178*EO178*Q161*2,"")</f>
        <v>890.55749999999989</v>
      </c>
      <c r="R178" s="12">
        <f>IF(AND(Distances!CE121=0,Distances!EQ121=0),CD178*EP178*R161*2,"")</f>
        <v>0</v>
      </c>
      <c r="S178" s="13">
        <f>IF(AND(Distances!CF121=0,Distances!ER121=0),CE178*EQ178*S161*2,"")</f>
        <v>907.33650000000011</v>
      </c>
      <c r="T178" s="13" t="s">
        <v>62</v>
      </c>
      <c r="U178" s="13" t="s">
        <v>62</v>
      </c>
      <c r="V178" s="13" t="s">
        <v>62</v>
      </c>
      <c r="W178" s="13">
        <f>IF(AND(Distances!CJ121=0,Distances!EV121=0),CI178*EU178*W161*2,"")</f>
        <v>1017.23706</v>
      </c>
      <c r="X178" s="13" t="s">
        <v>62</v>
      </c>
      <c r="Y178" s="13" t="s">
        <v>62</v>
      </c>
      <c r="Z178" s="13" t="s">
        <v>62</v>
      </c>
      <c r="AA178" s="13" t="s">
        <v>62</v>
      </c>
      <c r="AB178" s="13" t="s">
        <v>62</v>
      </c>
      <c r="AC178" s="13">
        <f>IF(AND(Distances!CP121=0,Distances!FB121=0),CO178*FA178*AC161*2,"")</f>
        <v>38.844540000000002</v>
      </c>
      <c r="AD178" s="13">
        <f>IF(AND(Distances!CQ121=0,Distances!FC121=0),CP178*FB178*AD161*2,"")</f>
        <v>24.392340000000001</v>
      </c>
      <c r="AE178" s="13" t="s">
        <v>62</v>
      </c>
      <c r="AF178" s="13" t="s">
        <v>62</v>
      </c>
      <c r="AG178" s="13" t="s">
        <v>62</v>
      </c>
      <c r="AH178" s="14" t="s">
        <v>62</v>
      </c>
      <c r="AI178" s="14">
        <f>IF(AND(Distances!CV121=0,Distances!FH121=0),CU178*FG178*AI161*2,"")</f>
        <v>20.714687999999999</v>
      </c>
      <c r="AJ178" s="14" t="s">
        <v>62</v>
      </c>
      <c r="AK178" s="14">
        <f>IF(AND(Distances!CX121=0,Distances!FJ121=0),CW178*FI178*AK161*2,"")</f>
        <v>21.317664000000001</v>
      </c>
      <c r="AL178" s="14">
        <f>IF(AND(Distances!CY121=0,Distances!FK121=0),CX178*FJ178*AL161*2,"")</f>
        <v>929.63116800000012</v>
      </c>
      <c r="AM178" s="14">
        <f>IF(AND(Distances!CZ121=0,Distances!FL121=0),CY178*FK178*AM161*2,"")</f>
        <v>929.63116800000012</v>
      </c>
      <c r="AN178" s="14" t="s">
        <v>62</v>
      </c>
      <c r="AO178" s="14">
        <f>IF(AND(Distances!DB121=0,Distances!FN121=0),DA178*FM178*AO161*2,"")</f>
        <v>24.118720000000003</v>
      </c>
      <c r="AP178" s="14">
        <f>IF(AND(Distances!DC121=0,Distances!FO121=0),DB178*FN178*AP161*2,"")</f>
        <v>24.586560000000002</v>
      </c>
      <c r="AQ178" s="14">
        <f>IF(AND(Distances!DD121=0,Distances!FP121=0),DC178*FO178*AQ161*2,"")</f>
        <v>28.528960000000001</v>
      </c>
      <c r="AR178" s="14">
        <f>IF(AND(Distances!DE121=0,Distances!FQ121=0),DD178*FP178*AR161*2,"")</f>
        <v>28.386624000000001</v>
      </c>
      <c r="AS178" s="14" t="s">
        <v>62</v>
      </c>
      <c r="AT178" s="14" t="s">
        <v>62</v>
      </c>
      <c r="AU178" s="14" t="s">
        <v>62</v>
      </c>
      <c r="AV178" s="14" t="s">
        <v>62</v>
      </c>
      <c r="AW178" s="14" t="s">
        <v>62</v>
      </c>
      <c r="AX178" s="14">
        <f>IF(AND(Distances!DK121=0,Distances!FW121=0),DJ178*FV178*AX161*2,"")</f>
        <v>75.112319999999997</v>
      </c>
      <c r="AY178" s="14">
        <f>IF(AND(Distances!DL121=0,Distances!FX121=0),DK178*FW178*AY161*2,"")</f>
        <v>0</v>
      </c>
      <c r="AZ178" s="14" t="s">
        <v>62</v>
      </c>
      <c r="BA178" s="14">
        <f>IF(AND(Distances!DN121=0,Distances!FZ121=0),DM178*FY178*BA161*2,"")</f>
        <v>47.392511999999996</v>
      </c>
      <c r="BB178" s="13">
        <f>IF(AND(Distances!DO121=0,Distances!GA121=0),DN178*FZ178*BB161*2,"")</f>
        <v>89.049239999999998</v>
      </c>
      <c r="BC178" s="14">
        <f>IF(AND(Distances!DP121=0,Distances!GB121=0),DO178*GA178*BC161*2,"")</f>
        <v>449.29535999999996</v>
      </c>
      <c r="BD178" s="14" t="s">
        <v>62</v>
      </c>
      <c r="BE178" s="14">
        <f>IF(AND(Distances!DR121=0,Distances!GD121=0),DQ178*GC178*BE161*2,"")</f>
        <v>476.23065599999995</v>
      </c>
      <c r="BF178" s="13" t="s">
        <v>62</v>
      </c>
      <c r="BG178" s="13" t="s">
        <v>62</v>
      </c>
      <c r="BH178" s="14" t="s">
        <v>62</v>
      </c>
      <c r="BI178" s="14" t="s">
        <v>62</v>
      </c>
      <c r="BJ178" s="15" t="s">
        <v>62</v>
      </c>
      <c r="BM178" s="35" t="s">
        <v>17</v>
      </c>
      <c r="BN178" s="16">
        <v>965.67239999999993</v>
      </c>
      <c r="BO178" s="14">
        <v>1262.8223999999998</v>
      </c>
      <c r="BP178" s="14">
        <v>774.5136</v>
      </c>
      <c r="BQ178" s="14">
        <v>774.5136</v>
      </c>
      <c r="BR178" s="14">
        <v>820.46999999999991</v>
      </c>
      <c r="BS178" s="14">
        <v>2570.2739999999999</v>
      </c>
      <c r="BT178" s="14">
        <v>2666.6976</v>
      </c>
      <c r="BU178" s="14">
        <v>2570.2739999999999</v>
      </c>
      <c r="BV178" s="14">
        <v>805.14839999999992</v>
      </c>
      <c r="BW178" s="14">
        <v>805.14839999999992</v>
      </c>
      <c r="BX178" s="14">
        <v>2692.83</v>
      </c>
      <c r="BY178" s="14">
        <v>2692.83</v>
      </c>
      <c r="BZ178" s="14">
        <v>1337.7755999999999</v>
      </c>
      <c r="CA178" s="14">
        <v>1495.6368</v>
      </c>
      <c r="CB178" s="14">
        <v>2076.9756000000002</v>
      </c>
      <c r="CC178" s="13">
        <v>712.44599999999991</v>
      </c>
      <c r="CD178" s="12">
        <v>0</v>
      </c>
      <c r="CE178" s="13">
        <v>725.86919999999998</v>
      </c>
      <c r="CF178" s="13">
        <v>692.31119999999999</v>
      </c>
      <c r="CG178" s="13">
        <v>761.82119999999998</v>
      </c>
      <c r="CH178" s="13">
        <v>967.4867999999999</v>
      </c>
      <c r="CI178" s="13">
        <v>701.54279999999994</v>
      </c>
      <c r="CJ178" s="13">
        <v>487.84679999999997</v>
      </c>
      <c r="CK178" s="13">
        <v>692.31119999999999</v>
      </c>
      <c r="CL178" s="13">
        <v>829.61759999999992</v>
      </c>
      <c r="CM178" s="13">
        <v>814.548</v>
      </c>
      <c r="CN178" s="13">
        <v>784.41719999999998</v>
      </c>
      <c r="CO178" s="13">
        <v>776.89080000000001</v>
      </c>
      <c r="CP178" s="13">
        <v>487.84679999999997</v>
      </c>
      <c r="CQ178" s="13">
        <v>967.4867999999999</v>
      </c>
      <c r="CR178" s="13">
        <v>967.4867999999999</v>
      </c>
      <c r="CS178" s="13">
        <v>967.4867999999999</v>
      </c>
      <c r="CT178" s="14">
        <v>1602.8123999999998</v>
      </c>
      <c r="CU178" s="14">
        <v>1812.5352</v>
      </c>
      <c r="CV178" s="14">
        <v>1602.8123999999998</v>
      </c>
      <c r="CW178" s="14">
        <v>1865.2956000000001</v>
      </c>
      <c r="CX178" s="14">
        <v>1506.3468</v>
      </c>
      <c r="CY178" s="14">
        <v>1506.3468</v>
      </c>
      <c r="CZ178" s="14">
        <v>1506.3468</v>
      </c>
      <c r="DA178" s="14">
        <v>1266.2328</v>
      </c>
      <c r="DB178" s="14">
        <v>1290.7944</v>
      </c>
      <c r="DC178" s="14">
        <v>1497.7703999999999</v>
      </c>
      <c r="DD178" s="14">
        <v>1241.9148</v>
      </c>
      <c r="DE178" s="14">
        <v>1241.9148</v>
      </c>
      <c r="DF178" s="14">
        <v>1241.9148</v>
      </c>
      <c r="DG178" s="14">
        <v>1289.9123999999999</v>
      </c>
      <c r="DH178" s="14">
        <v>907.4351999999999</v>
      </c>
      <c r="DI178" s="14">
        <v>907.4351999999999</v>
      </c>
      <c r="DJ178" s="14">
        <v>1314.4656</v>
      </c>
      <c r="DK178" s="14">
        <v>0</v>
      </c>
      <c r="DL178" s="14">
        <v>3776.0183999999999</v>
      </c>
      <c r="DM178" s="14">
        <v>1036.7112</v>
      </c>
      <c r="DN178" s="13">
        <v>890.49239999999986</v>
      </c>
      <c r="DO178" s="14">
        <v>1228.5419999999999</v>
      </c>
      <c r="DP178" s="14">
        <v>1314.4656</v>
      </c>
      <c r="DQ178" s="14">
        <v>1302.1931999999999</v>
      </c>
      <c r="DR178" s="13">
        <v>1510.2444</v>
      </c>
      <c r="DS178" s="13">
        <v>1046.3964000000001</v>
      </c>
      <c r="DT178" s="14">
        <v>2831.7239999999997</v>
      </c>
      <c r="DU178" s="14">
        <v>2122.1759999999999</v>
      </c>
      <c r="DV178" s="15">
        <v>2122.1759999999999</v>
      </c>
      <c r="DY178" s="35" t="s">
        <v>17</v>
      </c>
      <c r="DZ178" s="16">
        <v>6.2500000000000003E-3</v>
      </c>
      <c r="EA178" s="14">
        <v>6.2500000000000003E-3</v>
      </c>
      <c r="EB178" s="14">
        <v>6.2500000000000003E-3</v>
      </c>
      <c r="EC178" s="14">
        <v>6.2500000000000003E-3</v>
      </c>
      <c r="ED178" s="14">
        <v>6.2500000000000003E-3</v>
      </c>
      <c r="EE178" s="14">
        <v>6.2500000000000003E-3</v>
      </c>
      <c r="EF178" s="14">
        <v>6.2500000000000003E-3</v>
      </c>
      <c r="EG178" s="14">
        <v>6.2500000000000003E-3</v>
      </c>
      <c r="EH178" s="14">
        <v>6.2500000000000003E-3</v>
      </c>
      <c r="EI178" s="14">
        <v>6.2500000000000003E-3</v>
      </c>
      <c r="EJ178" s="14">
        <v>6.2500000000000003E-3</v>
      </c>
      <c r="EK178" s="14">
        <v>6.2500000000000003E-3</v>
      </c>
      <c r="EL178" s="14">
        <v>6.2500000000000003E-3</v>
      </c>
      <c r="EM178" s="14">
        <v>4.6511627906976744E-3</v>
      </c>
      <c r="EN178" s="14">
        <v>4.6511627906976744E-3</v>
      </c>
      <c r="EO178" s="13">
        <f>0.2/16</f>
        <v>1.2500000000000001E-2</v>
      </c>
      <c r="EP178" s="12">
        <v>0.6</v>
      </c>
      <c r="EQ178" s="13">
        <f t="shared" si="68"/>
        <v>1.2500000000000001E-2</v>
      </c>
      <c r="ER178" s="13">
        <f t="shared" si="68"/>
        <v>1.2500000000000001E-2</v>
      </c>
      <c r="ES178" s="13">
        <f t="shared" si="68"/>
        <v>1.2500000000000001E-2</v>
      </c>
      <c r="ET178" s="13">
        <f t="shared" si="68"/>
        <v>1.2500000000000001E-2</v>
      </c>
      <c r="EU178" s="13">
        <f t="shared" si="68"/>
        <v>1.2500000000000001E-2</v>
      </c>
      <c r="EV178" s="13">
        <f t="shared" si="68"/>
        <v>1.2500000000000001E-2</v>
      </c>
      <c r="EW178" s="13">
        <f t="shared" si="68"/>
        <v>1.2500000000000001E-2</v>
      </c>
      <c r="EX178" s="13">
        <f t="shared" si="68"/>
        <v>1.2500000000000001E-2</v>
      </c>
      <c r="EY178" s="13">
        <f t="shared" si="68"/>
        <v>1.2500000000000001E-2</v>
      </c>
      <c r="EZ178" s="13">
        <f t="shared" si="68"/>
        <v>1.2500000000000001E-2</v>
      </c>
      <c r="FA178" s="13">
        <f t="shared" si="68"/>
        <v>1.2500000000000001E-2</v>
      </c>
      <c r="FB178" s="13">
        <f t="shared" si="68"/>
        <v>1.2500000000000001E-2</v>
      </c>
      <c r="FC178" s="13">
        <f t="shared" si="68"/>
        <v>1.2500000000000001E-2</v>
      </c>
      <c r="FD178" s="13">
        <f t="shared" si="68"/>
        <v>1.2500000000000001E-2</v>
      </c>
      <c r="FE178" s="13">
        <f t="shared" si="68"/>
        <v>1.2500000000000001E-2</v>
      </c>
      <c r="FF178" s="14">
        <v>5.7142857142857143E-3</v>
      </c>
      <c r="FG178" s="14">
        <v>5.7142857142857143E-3</v>
      </c>
      <c r="FH178" s="14">
        <v>5.7142857142857143E-3</v>
      </c>
      <c r="FI178" s="14">
        <v>5.7142857142857143E-3</v>
      </c>
      <c r="FJ178" s="14">
        <v>5.7142857142857143E-3</v>
      </c>
      <c r="FK178" s="14">
        <v>5.7142857142857143E-3</v>
      </c>
      <c r="FL178" s="14">
        <v>5.7142857142857143E-3</v>
      </c>
      <c r="FM178" s="14">
        <v>4.7619047619047623E-3</v>
      </c>
      <c r="FN178" s="14">
        <v>4.7619047619047623E-3</v>
      </c>
      <c r="FO178" s="14">
        <v>4.7619047619047623E-3</v>
      </c>
      <c r="FP178" s="14">
        <v>5.7142857142857143E-3</v>
      </c>
      <c r="FQ178" s="14">
        <v>5.7142857142857143E-3</v>
      </c>
      <c r="FR178" s="14">
        <v>5.7142857142857143E-3</v>
      </c>
      <c r="FS178" s="14">
        <v>5.7142857142857143E-3</v>
      </c>
      <c r="FT178" s="14">
        <v>5.8823529411764705E-3</v>
      </c>
      <c r="FU178" s="14">
        <v>5.7142857142857143E-3</v>
      </c>
      <c r="FV178" s="14">
        <v>5.7142857142857143E-3</v>
      </c>
      <c r="FW178" s="14">
        <v>4.5454545454545461E-3</v>
      </c>
      <c r="FX178" s="14">
        <v>4.5454545454545461E-3</v>
      </c>
      <c r="FY178" s="14">
        <v>5.7142857142857143E-3</v>
      </c>
      <c r="FZ178" s="13">
        <f t="shared" si="69"/>
        <v>1.2500000000000001E-2</v>
      </c>
      <c r="GA178" s="14">
        <v>5.7142857142857143E-3</v>
      </c>
      <c r="GB178" s="14">
        <v>5.7142857142857143E-3</v>
      </c>
      <c r="GC178" s="14">
        <v>5.7142857142857143E-3</v>
      </c>
      <c r="GD178" s="13">
        <f t="shared" si="70"/>
        <v>1.2500000000000001E-2</v>
      </c>
      <c r="GE178" s="13">
        <f t="shared" si="70"/>
        <v>1.2500000000000001E-2</v>
      </c>
      <c r="GF178" s="14">
        <v>4.6511627906976744E-3</v>
      </c>
      <c r="GG178" s="14">
        <v>4.6511627906976744E-3</v>
      </c>
      <c r="GH178" s="15">
        <v>4.6511627906976744E-3</v>
      </c>
    </row>
    <row r="179" spans="1:190" x14ac:dyDescent="0.3">
      <c r="A179" s="35" t="s">
        <v>18</v>
      </c>
      <c r="B179" s="16">
        <f>IF(AND(Distances!BO122=0,Distances!EA122=0),BN179*DZ179*B161*2,"")</f>
        <v>2507.9128200000005</v>
      </c>
      <c r="C179" s="14">
        <f>IF(AND(Distances!BP122=0,Distances!EB122=0),BO179*EA179*C161*2,"")</f>
        <v>3279.6386700000003</v>
      </c>
      <c r="D179" s="14" t="s">
        <v>62</v>
      </c>
      <c r="E179" s="14">
        <f>IF(AND(Distances!BR122=0,Distances!ED122=0),BQ179*EC179*E161*2,"")</f>
        <v>2011.4503500000003</v>
      </c>
      <c r="F179" s="14" t="s">
        <v>62</v>
      </c>
      <c r="G179" s="14" t="s">
        <v>62</v>
      </c>
      <c r="H179" s="14">
        <f>IF(AND(Distances!BU122=0,Distances!EG122=0),BT179*EF179*H161*2,"")</f>
        <v>6925.7225100000005</v>
      </c>
      <c r="I179" s="14">
        <f>IF(AND(Distances!BV122=0,Distances!EH122=0),BU179*EG179*I161*2,"")</f>
        <v>6675.2960399999993</v>
      </c>
      <c r="J179" s="14" t="s">
        <v>62</v>
      </c>
      <c r="K179" s="14">
        <f>IF(AND(Distances!BX122=0,Distances!EJ122=0),BW179*EI179*K161*2,"")</f>
        <v>41.406120000000001</v>
      </c>
      <c r="L179" s="14" t="s">
        <v>62</v>
      </c>
      <c r="M179" s="14">
        <f>IF(AND(Distances!BZ122=0,Distances!EL122=0),BY179*EK179*M161*2,"")</f>
        <v>138.48702</v>
      </c>
      <c r="N179" s="14" t="s">
        <v>62</v>
      </c>
      <c r="O179" s="14" t="s">
        <v>62</v>
      </c>
      <c r="P179" s="14" t="s">
        <v>62</v>
      </c>
      <c r="Q179" s="13">
        <f>IF(AND(Distances!CD122=0,Distances!EP122=0),CC179*EO179*Q161*2,"")</f>
        <v>915.96749999999997</v>
      </c>
      <c r="R179" s="13">
        <f>IF(AND(Distances!CE122=0,Distances!EQ122=0),CD179*EP179*R161*2,"")</f>
        <v>907.33650000000011</v>
      </c>
      <c r="S179" s="12">
        <f>IF(AND(Distances!CF122=0,Distances!ER122=0),CE179*EQ179*S161*2,"")</f>
        <v>0</v>
      </c>
      <c r="T179" s="13" t="s">
        <v>62</v>
      </c>
      <c r="U179" s="13" t="s">
        <v>62</v>
      </c>
      <c r="V179" s="13" t="s">
        <v>62</v>
      </c>
      <c r="W179" s="13">
        <f>IF(AND(Distances!CJ122=0,Distances!EV122=0),CI179*EU179*W161*2,"")</f>
        <v>1042.49838</v>
      </c>
      <c r="X179" s="13" t="s">
        <v>62</v>
      </c>
      <c r="Y179" s="13" t="s">
        <v>62</v>
      </c>
      <c r="Z179" s="13" t="s">
        <v>62</v>
      </c>
      <c r="AA179" s="13" t="s">
        <v>62</v>
      </c>
      <c r="AB179" s="13" t="s">
        <v>62</v>
      </c>
      <c r="AC179" s="13">
        <f>IF(AND(Distances!CP122=0,Distances!FB122=0),CO179*FA179*AC161*2,"")</f>
        <v>39.952920000000006</v>
      </c>
      <c r="AD179" s="13">
        <f>IF(AND(Distances!CQ122=0,Distances!FC122=0),CP179*FB179*AD161*2,"")</f>
        <v>25.087860000000003</v>
      </c>
      <c r="AE179" s="13" t="s">
        <v>62</v>
      </c>
      <c r="AF179" s="13" t="s">
        <v>62</v>
      </c>
      <c r="AG179" s="13" t="s">
        <v>62</v>
      </c>
      <c r="AH179" s="14" t="s">
        <v>62</v>
      </c>
      <c r="AI179" s="14">
        <f>IF(AND(Distances!CV122=0,Distances!FH122=0),CU179*FG179*AI161*2,"")</f>
        <v>21.306144</v>
      </c>
      <c r="AJ179" s="14" t="s">
        <v>62</v>
      </c>
      <c r="AK179" s="14">
        <f>IF(AND(Distances!CX122=0,Distances!FJ122=0),CW179*FI179*AK161*2,"")</f>
        <v>21.926400000000001</v>
      </c>
      <c r="AL179" s="14">
        <f>IF(AND(Distances!CY122=0,Distances!FK122=0),CX179*FJ179*AL161*2,"")</f>
        <v>956.17324799999994</v>
      </c>
      <c r="AM179" s="14">
        <f>IF(AND(Distances!CZ122=0,Distances!FL122=0),CY179*FK179*AM161*2,"")</f>
        <v>956.17324799999994</v>
      </c>
      <c r="AN179" s="14" t="s">
        <v>62</v>
      </c>
      <c r="AO179" s="14">
        <f>IF(AND(Distances!DB122=0,Distances!FN122=0),DA179*FM179*AO161*2,"")</f>
        <v>24.807200000000002</v>
      </c>
      <c r="AP179" s="14">
        <f>IF(AND(Distances!DC122=0,Distances!FO122=0),DB179*FN179*AP161*2,"")</f>
        <v>25.28848</v>
      </c>
      <c r="AQ179" s="14">
        <f>IF(AND(Distances!DD122=0,Distances!FP122=0),DC179*FO179*AQ161*2,"")</f>
        <v>29.343520000000002</v>
      </c>
      <c r="AR179" s="14">
        <f>IF(AND(Distances!DE122=0,Distances!FQ122=0),DD179*FP179*AR161*2,"")</f>
        <v>29.196864000000001</v>
      </c>
      <c r="AS179" s="14" t="s">
        <v>62</v>
      </c>
      <c r="AT179" s="14" t="s">
        <v>62</v>
      </c>
      <c r="AU179" s="14" t="s">
        <v>62</v>
      </c>
      <c r="AV179" s="14" t="s">
        <v>62</v>
      </c>
      <c r="AW179" s="14" t="s">
        <v>62</v>
      </c>
      <c r="AX179" s="14">
        <f>IF(AND(Distances!DK122=0,Distances!FW122=0),DJ179*FV179*AX161*2,"")</f>
        <v>77.256959999999992</v>
      </c>
      <c r="AY179" s="14">
        <f>IF(AND(Distances!DL122=0,Distances!FX122=0),DK179*FW179*AY161*2,"")</f>
        <v>0</v>
      </c>
      <c r="AZ179" s="14" t="s">
        <v>62</v>
      </c>
      <c r="BA179" s="14">
        <f>IF(AND(Distances!DN122=0,Distances!FZ122=0),DM179*FY179*BA161*2,"")</f>
        <v>48.745344000000003</v>
      </c>
      <c r="BB179" s="13">
        <f>IF(AND(Distances!DO122=0,Distances!GA122=0),DN179*FZ179*BB161*2,"")</f>
        <v>91.590239999999994</v>
      </c>
      <c r="BC179" s="14">
        <f>IF(AND(Distances!DP122=0,Distances!GB122=0),DO179*GA179*BC161*2,"")</f>
        <v>462.12095999999997</v>
      </c>
      <c r="BD179" s="14" t="s">
        <v>62</v>
      </c>
      <c r="BE179" s="14">
        <f>IF(AND(Distances!DR122=0,Distances!GD122=0),DQ179*GC179*BE161*2,"")</f>
        <v>489.82732799999997</v>
      </c>
      <c r="BF179" s="13" t="s">
        <v>62</v>
      </c>
      <c r="BG179" s="13" t="s">
        <v>62</v>
      </c>
      <c r="BH179" s="14" t="s">
        <v>62</v>
      </c>
      <c r="BI179" s="14" t="s">
        <v>62</v>
      </c>
      <c r="BJ179" s="15" t="s">
        <v>62</v>
      </c>
      <c r="BM179" s="35" t="s">
        <v>18</v>
      </c>
      <c r="BN179" s="16">
        <v>993.2328</v>
      </c>
      <c r="BO179" s="14">
        <v>1298.8668</v>
      </c>
      <c r="BP179" s="14">
        <v>796.61400000000003</v>
      </c>
      <c r="BQ179" s="14">
        <v>796.61400000000003</v>
      </c>
      <c r="BR179" s="14">
        <v>843.88080000000002</v>
      </c>
      <c r="BS179" s="14">
        <v>2643.6815999999999</v>
      </c>
      <c r="BT179" s="14">
        <v>2742.8604</v>
      </c>
      <c r="BU179" s="14">
        <v>2643.6815999999999</v>
      </c>
      <c r="BV179" s="14">
        <v>828.12239999999997</v>
      </c>
      <c r="BW179" s="14">
        <v>828.12239999999997</v>
      </c>
      <c r="BX179" s="14">
        <v>2769.7403999999997</v>
      </c>
      <c r="BY179" s="14">
        <v>2769.7403999999997</v>
      </c>
      <c r="BZ179" s="14">
        <v>1375.9703999999999</v>
      </c>
      <c r="CA179" s="14">
        <v>1538.3423999999998</v>
      </c>
      <c r="CB179" s="14">
        <v>2136.2879999999996</v>
      </c>
      <c r="CC179" s="13">
        <v>732.774</v>
      </c>
      <c r="CD179" s="13">
        <v>725.86919999999998</v>
      </c>
      <c r="CE179" s="12">
        <v>0</v>
      </c>
      <c r="CF179" s="13">
        <v>712.05960000000005</v>
      </c>
      <c r="CG179" s="13">
        <v>783.56039999999996</v>
      </c>
      <c r="CH179" s="13">
        <v>995.09760000000006</v>
      </c>
      <c r="CI179" s="13">
        <v>718.96439999999996</v>
      </c>
      <c r="CJ179" s="13">
        <v>501.75720000000001</v>
      </c>
      <c r="CK179" s="13">
        <v>712.05960000000005</v>
      </c>
      <c r="CL179" s="13">
        <v>853.28880000000004</v>
      </c>
      <c r="CM179" s="13">
        <v>837.79079999999999</v>
      </c>
      <c r="CN179" s="13">
        <v>806.80319999999995</v>
      </c>
      <c r="CO179" s="13">
        <v>799.05840000000001</v>
      </c>
      <c r="CP179" s="13">
        <v>501.75720000000001</v>
      </c>
      <c r="CQ179" s="13">
        <v>995.09760000000006</v>
      </c>
      <c r="CR179" s="13">
        <v>995.09760000000006</v>
      </c>
      <c r="CS179" s="13">
        <v>995.09760000000006</v>
      </c>
      <c r="CT179" s="14">
        <v>1648.5755999999999</v>
      </c>
      <c r="CU179" s="14">
        <v>1864.2875999999999</v>
      </c>
      <c r="CV179" s="14">
        <v>1648.5755999999999</v>
      </c>
      <c r="CW179" s="14">
        <v>1918.56</v>
      </c>
      <c r="CX179" s="14">
        <v>1549.3548000000001</v>
      </c>
      <c r="CY179" s="14">
        <v>1549.3548000000001</v>
      </c>
      <c r="CZ179" s="14">
        <v>1549.3548000000001</v>
      </c>
      <c r="DA179" s="14">
        <v>1302.3779999999999</v>
      </c>
      <c r="DB179" s="14">
        <v>1327.6451999999999</v>
      </c>
      <c r="DC179" s="14">
        <v>1540.5347999999999</v>
      </c>
      <c r="DD179" s="14">
        <v>1277.3628000000001</v>
      </c>
      <c r="DE179" s="14">
        <v>1277.3628000000001</v>
      </c>
      <c r="DF179" s="14">
        <v>1277.3628000000001</v>
      </c>
      <c r="DG179" s="14">
        <v>1326.7380000000001</v>
      </c>
      <c r="DH179" s="14">
        <v>933.33239999999989</v>
      </c>
      <c r="DI179" s="14">
        <v>933.33239999999989</v>
      </c>
      <c r="DJ179" s="14">
        <v>1351.9967999999999</v>
      </c>
      <c r="DK179" s="14">
        <v>0</v>
      </c>
      <c r="DL179" s="14">
        <v>3883.8743999999997</v>
      </c>
      <c r="DM179" s="14">
        <v>1066.3044</v>
      </c>
      <c r="DN179" s="13">
        <v>915.90239999999983</v>
      </c>
      <c r="DO179" s="14">
        <v>1263.6119999999999</v>
      </c>
      <c r="DP179" s="14">
        <v>1351.9967999999999</v>
      </c>
      <c r="DQ179" s="14">
        <v>1339.3715999999999</v>
      </c>
      <c r="DR179" s="13">
        <v>1553.3616</v>
      </c>
      <c r="DS179" s="13">
        <v>1076.2667999999999</v>
      </c>
      <c r="DT179" s="14">
        <v>2912.6075999999998</v>
      </c>
      <c r="DU179" s="14">
        <v>2182.7820000000002</v>
      </c>
      <c r="DV179" s="15">
        <v>2182.7820000000002</v>
      </c>
      <c r="DY179" s="35" t="s">
        <v>18</v>
      </c>
      <c r="DZ179" s="16">
        <v>6.2500000000000003E-3</v>
      </c>
      <c r="EA179" s="14">
        <v>6.2500000000000003E-3</v>
      </c>
      <c r="EB179" s="14">
        <v>6.2500000000000003E-3</v>
      </c>
      <c r="EC179" s="14">
        <v>6.2500000000000003E-3</v>
      </c>
      <c r="ED179" s="14">
        <v>6.2500000000000003E-3</v>
      </c>
      <c r="EE179" s="14">
        <v>6.2500000000000003E-3</v>
      </c>
      <c r="EF179" s="14">
        <v>6.2500000000000003E-3</v>
      </c>
      <c r="EG179" s="14">
        <v>6.2500000000000003E-3</v>
      </c>
      <c r="EH179" s="14">
        <v>6.2500000000000003E-3</v>
      </c>
      <c r="EI179" s="14">
        <v>6.2500000000000003E-3</v>
      </c>
      <c r="EJ179" s="14">
        <v>6.2500000000000003E-3</v>
      </c>
      <c r="EK179" s="14">
        <v>6.2500000000000003E-3</v>
      </c>
      <c r="EL179" s="14">
        <v>6.2500000000000003E-3</v>
      </c>
      <c r="EM179" s="14">
        <v>4.6511627906976744E-3</v>
      </c>
      <c r="EN179" s="14">
        <v>4.6511627906976744E-3</v>
      </c>
      <c r="EO179" s="13">
        <f t="shared" ref="EO179:FC193" si="71">0.2/16</f>
        <v>1.2500000000000001E-2</v>
      </c>
      <c r="EP179" s="13">
        <f t="shared" si="71"/>
        <v>1.2500000000000001E-2</v>
      </c>
      <c r="EQ179" s="12">
        <v>0.6</v>
      </c>
      <c r="ER179" s="13">
        <f t="shared" si="68"/>
        <v>1.2500000000000001E-2</v>
      </c>
      <c r="ES179" s="13">
        <f t="shared" si="68"/>
        <v>1.2500000000000001E-2</v>
      </c>
      <c r="ET179" s="13">
        <f t="shared" si="68"/>
        <v>1.2500000000000001E-2</v>
      </c>
      <c r="EU179" s="13">
        <f t="shared" si="68"/>
        <v>1.2500000000000001E-2</v>
      </c>
      <c r="EV179" s="13">
        <f t="shared" si="68"/>
        <v>1.2500000000000001E-2</v>
      </c>
      <c r="EW179" s="13">
        <f t="shared" si="68"/>
        <v>1.2500000000000001E-2</v>
      </c>
      <c r="EX179" s="13">
        <f t="shared" si="68"/>
        <v>1.2500000000000001E-2</v>
      </c>
      <c r="EY179" s="13">
        <f t="shared" si="68"/>
        <v>1.2500000000000001E-2</v>
      </c>
      <c r="EZ179" s="13">
        <f t="shared" si="68"/>
        <v>1.2500000000000001E-2</v>
      </c>
      <c r="FA179" s="13">
        <f t="shared" si="68"/>
        <v>1.2500000000000001E-2</v>
      </c>
      <c r="FB179" s="13">
        <f t="shared" si="68"/>
        <v>1.2500000000000001E-2</v>
      </c>
      <c r="FC179" s="13">
        <f t="shared" si="68"/>
        <v>1.2500000000000001E-2</v>
      </c>
      <c r="FD179" s="13">
        <f t="shared" si="68"/>
        <v>1.2500000000000001E-2</v>
      </c>
      <c r="FE179" s="13">
        <f t="shared" si="68"/>
        <v>1.2500000000000001E-2</v>
      </c>
      <c r="FF179" s="14">
        <v>5.7142857142857143E-3</v>
      </c>
      <c r="FG179" s="14">
        <v>5.7142857142857143E-3</v>
      </c>
      <c r="FH179" s="14">
        <v>5.7142857142857143E-3</v>
      </c>
      <c r="FI179" s="14">
        <v>5.7142857142857143E-3</v>
      </c>
      <c r="FJ179" s="14">
        <v>5.7142857142857143E-3</v>
      </c>
      <c r="FK179" s="14">
        <v>5.7142857142857143E-3</v>
      </c>
      <c r="FL179" s="14">
        <v>5.7142857142857143E-3</v>
      </c>
      <c r="FM179" s="14">
        <v>4.7619047619047623E-3</v>
      </c>
      <c r="FN179" s="14">
        <v>4.7619047619047623E-3</v>
      </c>
      <c r="FO179" s="14">
        <v>4.7619047619047623E-3</v>
      </c>
      <c r="FP179" s="14">
        <v>5.7142857142857143E-3</v>
      </c>
      <c r="FQ179" s="14">
        <v>5.7142857142857143E-3</v>
      </c>
      <c r="FR179" s="14">
        <v>5.7142857142857143E-3</v>
      </c>
      <c r="FS179" s="14">
        <v>5.7142857142857143E-3</v>
      </c>
      <c r="FT179" s="14">
        <v>5.8823529411764705E-3</v>
      </c>
      <c r="FU179" s="14">
        <v>5.7142857142857143E-3</v>
      </c>
      <c r="FV179" s="14">
        <v>5.7142857142857143E-3</v>
      </c>
      <c r="FW179" s="14">
        <v>4.5454545454545461E-3</v>
      </c>
      <c r="FX179" s="14">
        <v>4.5454545454545461E-3</v>
      </c>
      <c r="FY179" s="14">
        <v>5.7142857142857143E-3</v>
      </c>
      <c r="FZ179" s="13">
        <f t="shared" si="69"/>
        <v>1.2500000000000001E-2</v>
      </c>
      <c r="GA179" s="14">
        <v>5.7142857142857143E-3</v>
      </c>
      <c r="GB179" s="14">
        <v>5.7142857142857143E-3</v>
      </c>
      <c r="GC179" s="14">
        <v>5.7142857142857143E-3</v>
      </c>
      <c r="GD179" s="13">
        <f t="shared" si="70"/>
        <v>1.2500000000000001E-2</v>
      </c>
      <c r="GE179" s="13">
        <f t="shared" si="70"/>
        <v>1.2500000000000001E-2</v>
      </c>
      <c r="GF179" s="14">
        <v>4.6511627906976744E-3</v>
      </c>
      <c r="GG179" s="14">
        <v>4.6511627906976744E-3</v>
      </c>
      <c r="GH179" s="15">
        <v>4.6511627906976744E-3</v>
      </c>
    </row>
    <row r="180" spans="1:190" x14ac:dyDescent="0.3">
      <c r="A180" s="35" t="s">
        <v>19</v>
      </c>
      <c r="B180" s="16" t="s">
        <v>62</v>
      </c>
      <c r="C180" s="14" t="s">
        <v>62</v>
      </c>
      <c r="D180" s="14" t="s">
        <v>62</v>
      </c>
      <c r="E180" s="14" t="s">
        <v>62</v>
      </c>
      <c r="F180" s="14" t="s">
        <v>62</v>
      </c>
      <c r="G180" s="14" t="s">
        <v>62</v>
      </c>
      <c r="H180" s="14" t="s">
        <v>62</v>
      </c>
      <c r="I180" s="14" t="s">
        <v>62</v>
      </c>
      <c r="J180" s="14" t="s">
        <v>62</v>
      </c>
      <c r="K180" s="14" t="s">
        <v>62</v>
      </c>
      <c r="L180" s="14" t="s">
        <v>62</v>
      </c>
      <c r="M180" s="14" t="s">
        <v>62</v>
      </c>
      <c r="N180" s="14" t="s">
        <v>62</v>
      </c>
      <c r="O180" s="14" t="s">
        <v>62</v>
      </c>
      <c r="P180" s="14" t="s">
        <v>62</v>
      </c>
      <c r="Q180" s="13" t="s">
        <v>62</v>
      </c>
      <c r="R180" s="13" t="s">
        <v>62</v>
      </c>
      <c r="S180" s="13" t="s">
        <v>62</v>
      </c>
      <c r="T180" s="12">
        <f>IF(AND(Distances!CG123=0,Distances!ES123=0),CF180*ER180*T161*2,"")</f>
        <v>0</v>
      </c>
      <c r="U180" s="13" t="s">
        <v>62</v>
      </c>
      <c r="V180" s="13" t="s">
        <v>62</v>
      </c>
      <c r="W180" s="13" t="s">
        <v>62</v>
      </c>
      <c r="X180" s="13" t="s">
        <v>62</v>
      </c>
      <c r="Y180" s="13" t="s">
        <v>62</v>
      </c>
      <c r="Z180" s="13" t="s">
        <v>62</v>
      </c>
      <c r="AA180" s="13" t="s">
        <v>62</v>
      </c>
      <c r="AB180" s="13" t="s">
        <v>62</v>
      </c>
      <c r="AC180" s="13" t="s">
        <v>62</v>
      </c>
      <c r="AD180" s="13" t="s">
        <v>62</v>
      </c>
      <c r="AE180" s="13" t="s">
        <v>62</v>
      </c>
      <c r="AF180" s="13" t="s">
        <v>62</v>
      </c>
      <c r="AG180" s="13" t="s">
        <v>62</v>
      </c>
      <c r="AH180" s="14" t="s">
        <v>62</v>
      </c>
      <c r="AI180" s="14" t="s">
        <v>62</v>
      </c>
      <c r="AJ180" s="14" t="s">
        <v>62</v>
      </c>
      <c r="AK180" s="14" t="s">
        <v>62</v>
      </c>
      <c r="AL180" s="14" t="s">
        <v>62</v>
      </c>
      <c r="AM180" s="14" t="s">
        <v>62</v>
      </c>
      <c r="AN180" s="14" t="s">
        <v>62</v>
      </c>
      <c r="AO180" s="14" t="s">
        <v>62</v>
      </c>
      <c r="AP180" s="14" t="s">
        <v>62</v>
      </c>
      <c r="AQ180" s="14" t="s">
        <v>62</v>
      </c>
      <c r="AR180" s="14" t="s">
        <v>62</v>
      </c>
      <c r="AS180" s="14" t="s">
        <v>62</v>
      </c>
      <c r="AT180" s="14" t="s">
        <v>62</v>
      </c>
      <c r="AU180" s="14" t="s">
        <v>62</v>
      </c>
      <c r="AV180" s="14" t="s">
        <v>62</v>
      </c>
      <c r="AW180" s="14" t="s">
        <v>62</v>
      </c>
      <c r="AX180" s="14" t="s">
        <v>62</v>
      </c>
      <c r="AY180" s="14" t="s">
        <v>62</v>
      </c>
      <c r="AZ180" s="14" t="s">
        <v>62</v>
      </c>
      <c r="BA180" s="14" t="s">
        <v>62</v>
      </c>
      <c r="BB180" s="13" t="s">
        <v>62</v>
      </c>
      <c r="BC180" s="14" t="s">
        <v>62</v>
      </c>
      <c r="BD180" s="14" t="s">
        <v>62</v>
      </c>
      <c r="BE180" s="14" t="s">
        <v>62</v>
      </c>
      <c r="BF180" s="13" t="s">
        <v>62</v>
      </c>
      <c r="BG180" s="13" t="s">
        <v>62</v>
      </c>
      <c r="BH180" s="14" t="s">
        <v>62</v>
      </c>
      <c r="BI180" s="14" t="s">
        <v>62</v>
      </c>
      <c r="BJ180" s="15" t="s">
        <v>62</v>
      </c>
      <c r="BM180" s="35" t="s">
        <v>19</v>
      </c>
      <c r="BN180" s="16">
        <v>947.30160000000001</v>
      </c>
      <c r="BO180" s="14">
        <v>1238.7816</v>
      </c>
      <c r="BP180" s="14">
        <v>759.78</v>
      </c>
      <c r="BQ180" s="14">
        <v>759.78</v>
      </c>
      <c r="BR180" s="14">
        <v>804.85439999999994</v>
      </c>
      <c r="BS180" s="14">
        <v>2521.3355999999999</v>
      </c>
      <c r="BT180" s="14">
        <v>2616.1715999999997</v>
      </c>
      <c r="BU180" s="14">
        <v>2521.3355999999999</v>
      </c>
      <c r="BV180" s="14">
        <v>789.83519999999999</v>
      </c>
      <c r="BW180" s="14">
        <v>789.83519999999999</v>
      </c>
      <c r="BX180" s="14">
        <v>2641.5563999999999</v>
      </c>
      <c r="BY180" s="14">
        <v>2641.5563999999999</v>
      </c>
      <c r="BZ180" s="14">
        <v>1312.3152</v>
      </c>
      <c r="CA180" s="14">
        <v>1467.1692</v>
      </c>
      <c r="CB180" s="14">
        <v>2037.4284</v>
      </c>
      <c r="CC180" s="13">
        <v>698.89679999999998</v>
      </c>
      <c r="CD180" s="13">
        <v>692.31119999999999</v>
      </c>
      <c r="CE180" s="13">
        <v>712.05960000000005</v>
      </c>
      <c r="CF180" s="12">
        <v>0</v>
      </c>
      <c r="CG180" s="13">
        <v>747.33119999999997</v>
      </c>
      <c r="CH180" s="13">
        <v>949.07399999999984</v>
      </c>
      <c r="CI180" s="13">
        <v>685.72559999999999</v>
      </c>
      <c r="CJ180" s="13">
        <v>478.57319999999999</v>
      </c>
      <c r="CK180" s="13">
        <v>679.14</v>
      </c>
      <c r="CL180" s="13">
        <v>813.83399999999995</v>
      </c>
      <c r="CM180" s="13">
        <v>799.05840000000001</v>
      </c>
      <c r="CN180" s="13">
        <v>769.49879999999996</v>
      </c>
      <c r="CO180" s="13">
        <v>762.10679999999991</v>
      </c>
      <c r="CP180" s="13">
        <v>478.57319999999999</v>
      </c>
      <c r="CQ180" s="13">
        <v>949.07399999999984</v>
      </c>
      <c r="CR180" s="13">
        <v>949.07399999999984</v>
      </c>
      <c r="CS180" s="13">
        <v>949.07399999999984</v>
      </c>
      <c r="CT180" s="14">
        <v>1572.3036</v>
      </c>
      <c r="CU180" s="14">
        <v>1778.0279999999998</v>
      </c>
      <c r="CV180" s="14">
        <v>1572.3036</v>
      </c>
      <c r="CW180" s="14">
        <v>1829.7803999999999</v>
      </c>
      <c r="CX180" s="14">
        <v>1477.6692</v>
      </c>
      <c r="CY180" s="14">
        <v>1477.6692</v>
      </c>
      <c r="CZ180" s="14">
        <v>1477.6692</v>
      </c>
      <c r="DA180" s="14">
        <v>1242.1332</v>
      </c>
      <c r="DB180" s="14">
        <v>1266.2328</v>
      </c>
      <c r="DC180" s="14">
        <v>1469.2607999999998</v>
      </c>
      <c r="DD180" s="14">
        <v>1218.2772</v>
      </c>
      <c r="DE180" s="14">
        <v>1218.2772</v>
      </c>
      <c r="DF180" s="14">
        <v>1218.2772</v>
      </c>
      <c r="DG180" s="14">
        <v>1265.3676</v>
      </c>
      <c r="DH180" s="14">
        <v>890.16480000000001</v>
      </c>
      <c r="DI180" s="14">
        <v>890.16480000000001</v>
      </c>
      <c r="DJ180" s="14">
        <v>1289.4503999999999</v>
      </c>
      <c r="DK180" s="14">
        <v>0</v>
      </c>
      <c r="DL180" s="14">
        <v>3704.1143999999999</v>
      </c>
      <c r="DM180" s="14">
        <v>1016.9796</v>
      </c>
      <c r="DN180" s="13">
        <v>873.54960000000005</v>
      </c>
      <c r="DO180" s="14">
        <v>1205.1564000000001</v>
      </c>
      <c r="DP180" s="14">
        <v>1289.4503999999999</v>
      </c>
      <c r="DQ180" s="14">
        <v>1277.4048</v>
      </c>
      <c r="DR180" s="13">
        <v>1481.4911999999999</v>
      </c>
      <c r="DS180" s="13">
        <v>1026.4884</v>
      </c>
      <c r="DT180" s="14">
        <v>2777.8128000000002</v>
      </c>
      <c r="DU180" s="14">
        <v>2081.7719999999999</v>
      </c>
      <c r="DV180" s="15">
        <v>2081.7719999999999</v>
      </c>
      <c r="DY180" s="35" t="s">
        <v>19</v>
      </c>
      <c r="DZ180" s="16">
        <v>6.2500000000000003E-3</v>
      </c>
      <c r="EA180" s="14">
        <v>6.2500000000000003E-3</v>
      </c>
      <c r="EB180" s="14">
        <v>6.2500000000000003E-3</v>
      </c>
      <c r="EC180" s="14">
        <v>6.2500000000000003E-3</v>
      </c>
      <c r="ED180" s="14">
        <v>6.2500000000000003E-3</v>
      </c>
      <c r="EE180" s="14">
        <v>6.2500000000000003E-3</v>
      </c>
      <c r="EF180" s="14">
        <v>6.2500000000000003E-3</v>
      </c>
      <c r="EG180" s="14">
        <v>6.2500000000000003E-3</v>
      </c>
      <c r="EH180" s="14">
        <v>6.2500000000000003E-3</v>
      </c>
      <c r="EI180" s="14">
        <v>6.2500000000000003E-3</v>
      </c>
      <c r="EJ180" s="14">
        <v>6.2500000000000003E-3</v>
      </c>
      <c r="EK180" s="14">
        <v>6.2500000000000003E-3</v>
      </c>
      <c r="EL180" s="14">
        <v>6.2500000000000003E-3</v>
      </c>
      <c r="EM180" s="14">
        <v>4.6511627906976744E-3</v>
      </c>
      <c r="EN180" s="14">
        <v>4.6511627906976744E-3</v>
      </c>
      <c r="EO180" s="13">
        <f t="shared" si="71"/>
        <v>1.2500000000000001E-2</v>
      </c>
      <c r="EP180" s="13">
        <f t="shared" si="71"/>
        <v>1.2500000000000001E-2</v>
      </c>
      <c r="EQ180" s="13">
        <f t="shared" si="71"/>
        <v>1.2500000000000001E-2</v>
      </c>
      <c r="ER180" s="12">
        <v>0.6</v>
      </c>
      <c r="ES180" s="13">
        <f t="shared" si="68"/>
        <v>1.2500000000000001E-2</v>
      </c>
      <c r="ET180" s="13">
        <f t="shared" si="68"/>
        <v>1.2500000000000001E-2</v>
      </c>
      <c r="EU180" s="13">
        <f t="shared" si="68"/>
        <v>1.2500000000000001E-2</v>
      </c>
      <c r="EV180" s="13">
        <f t="shared" si="68"/>
        <v>1.2500000000000001E-2</v>
      </c>
      <c r="EW180" s="13">
        <f t="shared" si="68"/>
        <v>1.2500000000000001E-2</v>
      </c>
      <c r="EX180" s="13">
        <f t="shared" si="68"/>
        <v>1.2500000000000001E-2</v>
      </c>
      <c r="EY180" s="13">
        <f t="shared" si="68"/>
        <v>1.2500000000000001E-2</v>
      </c>
      <c r="EZ180" s="13">
        <f t="shared" si="68"/>
        <v>1.2500000000000001E-2</v>
      </c>
      <c r="FA180" s="13">
        <f t="shared" si="68"/>
        <v>1.2500000000000001E-2</v>
      </c>
      <c r="FB180" s="13">
        <f t="shared" si="68"/>
        <v>1.2500000000000001E-2</v>
      </c>
      <c r="FC180" s="13">
        <f t="shared" si="68"/>
        <v>1.2500000000000001E-2</v>
      </c>
      <c r="FD180" s="13">
        <f t="shared" si="68"/>
        <v>1.2500000000000001E-2</v>
      </c>
      <c r="FE180" s="13">
        <f t="shared" si="68"/>
        <v>1.2500000000000001E-2</v>
      </c>
      <c r="FF180" s="14">
        <v>5.7142857142857143E-3</v>
      </c>
      <c r="FG180" s="14">
        <v>5.7142857142857143E-3</v>
      </c>
      <c r="FH180" s="14">
        <v>5.7142857142857143E-3</v>
      </c>
      <c r="FI180" s="14">
        <v>5.7142857142857143E-3</v>
      </c>
      <c r="FJ180" s="14">
        <v>5.7142857142857143E-3</v>
      </c>
      <c r="FK180" s="14">
        <v>5.7142857142857143E-3</v>
      </c>
      <c r="FL180" s="14">
        <v>5.7142857142857143E-3</v>
      </c>
      <c r="FM180" s="14">
        <v>4.7619047619047623E-3</v>
      </c>
      <c r="FN180" s="14">
        <v>4.7619047619047623E-3</v>
      </c>
      <c r="FO180" s="14">
        <v>4.7619047619047623E-3</v>
      </c>
      <c r="FP180" s="14">
        <v>5.7142857142857143E-3</v>
      </c>
      <c r="FQ180" s="14">
        <v>5.7142857142857143E-3</v>
      </c>
      <c r="FR180" s="14">
        <v>5.7142857142857143E-3</v>
      </c>
      <c r="FS180" s="14">
        <v>5.7142857142857143E-3</v>
      </c>
      <c r="FT180" s="14">
        <v>5.8823529411764705E-3</v>
      </c>
      <c r="FU180" s="14">
        <v>5.7142857142857143E-3</v>
      </c>
      <c r="FV180" s="14">
        <v>5.7142857142857143E-3</v>
      </c>
      <c r="FW180" s="14">
        <v>4.5454545454545461E-3</v>
      </c>
      <c r="FX180" s="14">
        <v>4.5454545454545461E-3</v>
      </c>
      <c r="FY180" s="14">
        <v>5.7142857142857143E-3</v>
      </c>
      <c r="FZ180" s="13">
        <f t="shared" si="69"/>
        <v>1.2500000000000001E-2</v>
      </c>
      <c r="GA180" s="14">
        <v>5.7142857142857143E-3</v>
      </c>
      <c r="GB180" s="14">
        <v>5.7142857142857143E-3</v>
      </c>
      <c r="GC180" s="14">
        <v>5.7142857142857143E-3</v>
      </c>
      <c r="GD180" s="13">
        <f t="shared" si="70"/>
        <v>1.2500000000000001E-2</v>
      </c>
      <c r="GE180" s="13">
        <f t="shared" si="70"/>
        <v>1.2500000000000001E-2</v>
      </c>
      <c r="GF180" s="14">
        <v>4.6511627906976744E-3</v>
      </c>
      <c r="GG180" s="14">
        <v>4.6511627906976744E-3</v>
      </c>
      <c r="GH180" s="15">
        <v>4.6511627906976744E-3</v>
      </c>
    </row>
    <row r="181" spans="1:190" x14ac:dyDescent="0.3">
      <c r="A181" s="35" t="s">
        <v>20</v>
      </c>
      <c r="B181" s="16" t="s">
        <v>62</v>
      </c>
      <c r="C181" s="14" t="s">
        <v>62</v>
      </c>
      <c r="D181" s="14" t="s">
        <v>62</v>
      </c>
      <c r="E181" s="14" t="s">
        <v>62</v>
      </c>
      <c r="F181" s="14" t="s">
        <v>62</v>
      </c>
      <c r="G181" s="14" t="s">
        <v>62</v>
      </c>
      <c r="H181" s="14" t="s">
        <v>62</v>
      </c>
      <c r="I181" s="14" t="s">
        <v>62</v>
      </c>
      <c r="J181" s="14" t="s">
        <v>62</v>
      </c>
      <c r="K181" s="14" t="s">
        <v>62</v>
      </c>
      <c r="L181" s="14" t="s">
        <v>62</v>
      </c>
      <c r="M181" s="14" t="s">
        <v>62</v>
      </c>
      <c r="N181" s="14" t="s">
        <v>62</v>
      </c>
      <c r="O181" s="14" t="s">
        <v>62</v>
      </c>
      <c r="P181" s="14" t="s">
        <v>62</v>
      </c>
      <c r="Q181" s="13" t="s">
        <v>62</v>
      </c>
      <c r="R181" s="13" t="s">
        <v>62</v>
      </c>
      <c r="S181" s="13" t="s">
        <v>62</v>
      </c>
      <c r="T181" s="13" t="s">
        <v>62</v>
      </c>
      <c r="U181" s="12">
        <f>IF(AND(Distances!CH124=0,Distances!ET124=0),CG181*ES181*U161*2,"")</f>
        <v>0</v>
      </c>
      <c r="V181" s="13" t="s">
        <v>62</v>
      </c>
      <c r="W181" s="13" t="s">
        <v>62</v>
      </c>
      <c r="X181" s="13" t="s">
        <v>62</v>
      </c>
      <c r="Y181" s="13" t="s">
        <v>62</v>
      </c>
      <c r="Z181" s="13" t="s">
        <v>62</v>
      </c>
      <c r="AA181" s="13" t="s">
        <v>62</v>
      </c>
      <c r="AB181" s="13" t="s">
        <v>62</v>
      </c>
      <c r="AC181" s="13" t="s">
        <v>62</v>
      </c>
      <c r="AD181" s="13" t="s">
        <v>62</v>
      </c>
      <c r="AE181" s="13" t="s">
        <v>62</v>
      </c>
      <c r="AF181" s="13" t="s">
        <v>62</v>
      </c>
      <c r="AG181" s="13" t="s">
        <v>62</v>
      </c>
      <c r="AH181" s="14" t="s">
        <v>62</v>
      </c>
      <c r="AI181" s="14" t="s">
        <v>62</v>
      </c>
      <c r="AJ181" s="14" t="s">
        <v>62</v>
      </c>
      <c r="AK181" s="14" t="s">
        <v>62</v>
      </c>
      <c r="AL181" s="14" t="s">
        <v>62</v>
      </c>
      <c r="AM181" s="14" t="s">
        <v>62</v>
      </c>
      <c r="AN181" s="14" t="s">
        <v>62</v>
      </c>
      <c r="AO181" s="14" t="s">
        <v>62</v>
      </c>
      <c r="AP181" s="14" t="s">
        <v>62</v>
      </c>
      <c r="AQ181" s="14" t="s">
        <v>62</v>
      </c>
      <c r="AR181" s="14" t="s">
        <v>62</v>
      </c>
      <c r="AS181" s="14" t="s">
        <v>62</v>
      </c>
      <c r="AT181" s="14" t="s">
        <v>62</v>
      </c>
      <c r="AU181" s="14" t="s">
        <v>62</v>
      </c>
      <c r="AV181" s="14" t="s">
        <v>62</v>
      </c>
      <c r="AW181" s="14" t="s">
        <v>62</v>
      </c>
      <c r="AX181" s="14" t="s">
        <v>62</v>
      </c>
      <c r="AY181" s="14" t="s">
        <v>62</v>
      </c>
      <c r="AZ181" s="14" t="s">
        <v>62</v>
      </c>
      <c r="BA181" s="14" t="s">
        <v>62</v>
      </c>
      <c r="BB181" s="13" t="s">
        <v>62</v>
      </c>
      <c r="BC181" s="14" t="s">
        <v>62</v>
      </c>
      <c r="BD181" s="14" t="s">
        <v>62</v>
      </c>
      <c r="BE181" s="14" t="s">
        <v>62</v>
      </c>
      <c r="BF181" s="13" t="s">
        <v>62</v>
      </c>
      <c r="BG181" s="13" t="s">
        <v>62</v>
      </c>
      <c r="BH181" s="14" t="s">
        <v>62</v>
      </c>
      <c r="BI181" s="14" t="s">
        <v>62</v>
      </c>
      <c r="BJ181" s="15" t="s">
        <v>62</v>
      </c>
      <c r="BM181" s="35" t="s">
        <v>20</v>
      </c>
      <c r="BN181" s="16">
        <v>1294.5155999999999</v>
      </c>
      <c r="BO181" s="14">
        <v>1557.4607999999998</v>
      </c>
      <c r="BP181" s="14">
        <v>864.71280000000002</v>
      </c>
      <c r="BQ181" s="14">
        <v>864.71280000000002</v>
      </c>
      <c r="BR181" s="14">
        <v>916.02</v>
      </c>
      <c r="BS181" s="14">
        <v>1900.6343999999999</v>
      </c>
      <c r="BT181" s="14">
        <v>2331.672</v>
      </c>
      <c r="BU181" s="14">
        <v>1900.6343999999999</v>
      </c>
      <c r="BV181" s="14">
        <v>898.91760000000011</v>
      </c>
      <c r="BW181" s="14">
        <v>898.91760000000011</v>
      </c>
      <c r="BX181" s="14">
        <v>2354.52</v>
      </c>
      <c r="BY181" s="14">
        <v>2354.52</v>
      </c>
      <c r="BZ181" s="14">
        <v>1649.9195999999999</v>
      </c>
      <c r="CA181" s="14">
        <v>1057.5852</v>
      </c>
      <c r="CB181" s="14">
        <v>1578.8388</v>
      </c>
      <c r="CC181" s="13">
        <v>769.07039999999995</v>
      </c>
      <c r="CD181" s="13">
        <v>761.82119999999998</v>
      </c>
      <c r="CE181" s="13">
        <v>783.56039999999996</v>
      </c>
      <c r="CF181" s="13">
        <v>747.33119999999997</v>
      </c>
      <c r="CG181" s="12">
        <v>0</v>
      </c>
      <c r="CH181" s="13">
        <v>858.42119999999989</v>
      </c>
      <c r="CI181" s="13">
        <v>699.24959999999999</v>
      </c>
      <c r="CJ181" s="13">
        <v>987.59640000000002</v>
      </c>
      <c r="CK181" s="13">
        <v>692.53800000000001</v>
      </c>
      <c r="CL181" s="13">
        <v>706.70039999999995</v>
      </c>
      <c r="CM181" s="13">
        <v>693.89880000000005</v>
      </c>
      <c r="CN181" s="13">
        <v>668.24519999999995</v>
      </c>
      <c r="CO181" s="13">
        <v>661.81920000000002</v>
      </c>
      <c r="CP181" s="13">
        <v>987.59640000000002</v>
      </c>
      <c r="CQ181" s="13">
        <v>858.42119999999989</v>
      </c>
      <c r="CR181" s="13">
        <v>858.42119999999989</v>
      </c>
      <c r="CS181" s="13">
        <v>858.42119999999989</v>
      </c>
      <c r="CT181" s="14">
        <v>765.5927999999999</v>
      </c>
      <c r="CU181" s="14">
        <v>1208.8944000000001</v>
      </c>
      <c r="CV181" s="14">
        <v>765.5927999999999</v>
      </c>
      <c r="CW181" s="14">
        <v>1244.0819999999999</v>
      </c>
      <c r="CX181" s="14">
        <v>441.084</v>
      </c>
      <c r="CY181" s="14">
        <v>441.084</v>
      </c>
      <c r="CZ181" s="14">
        <v>441.084</v>
      </c>
      <c r="DA181" s="14">
        <v>981.43079999999986</v>
      </c>
      <c r="DB181" s="14">
        <v>1000.4735999999999</v>
      </c>
      <c r="DC181" s="14">
        <v>1276.2371999999998</v>
      </c>
      <c r="DD181" s="14">
        <v>1027.8323999999998</v>
      </c>
      <c r="DE181" s="14">
        <v>1027.8323999999998</v>
      </c>
      <c r="DF181" s="14">
        <v>1027.8323999999998</v>
      </c>
      <c r="DG181" s="14">
        <v>1000.4735999999999</v>
      </c>
      <c r="DH181" s="14">
        <v>956.55</v>
      </c>
      <c r="DI181" s="14">
        <v>956.55</v>
      </c>
      <c r="DJ181" s="14">
        <v>1019.508</v>
      </c>
      <c r="DK181" s="14">
        <v>0</v>
      </c>
      <c r="DL181" s="14">
        <v>3006.5196000000001</v>
      </c>
      <c r="DM181" s="14">
        <v>765.32399999999996</v>
      </c>
      <c r="DN181" s="13">
        <v>938.69159999999999</v>
      </c>
      <c r="DO181" s="14">
        <v>952.87920000000008</v>
      </c>
      <c r="DP181" s="14">
        <v>1019.508</v>
      </c>
      <c r="DQ181" s="14">
        <v>1009.9907999999999</v>
      </c>
      <c r="DR181" s="13">
        <v>1084.2551999999998</v>
      </c>
      <c r="DS181" s="13">
        <v>681.07199999999989</v>
      </c>
      <c r="DT181" s="14">
        <v>2319.6936000000001</v>
      </c>
      <c r="DU181" s="14">
        <v>1670.5583999999999</v>
      </c>
      <c r="DV181" s="15">
        <v>1670.5583999999999</v>
      </c>
      <c r="DY181" s="35" t="s">
        <v>20</v>
      </c>
      <c r="DZ181" s="16">
        <v>6.2500000000000003E-3</v>
      </c>
      <c r="EA181" s="14">
        <v>6.2500000000000003E-3</v>
      </c>
      <c r="EB181" s="14">
        <v>6.2500000000000003E-3</v>
      </c>
      <c r="EC181" s="14">
        <v>6.2500000000000003E-3</v>
      </c>
      <c r="ED181" s="14">
        <v>6.2500000000000003E-3</v>
      </c>
      <c r="EE181" s="14">
        <v>6.2500000000000003E-3</v>
      </c>
      <c r="EF181" s="14">
        <v>6.2500000000000003E-3</v>
      </c>
      <c r="EG181" s="14">
        <v>6.2500000000000003E-3</v>
      </c>
      <c r="EH181" s="14">
        <v>6.2500000000000003E-3</v>
      </c>
      <c r="EI181" s="14">
        <v>6.2500000000000003E-3</v>
      </c>
      <c r="EJ181" s="14">
        <v>6.2500000000000003E-3</v>
      </c>
      <c r="EK181" s="14">
        <v>6.2500000000000003E-3</v>
      </c>
      <c r="EL181" s="14">
        <v>6.2500000000000003E-3</v>
      </c>
      <c r="EM181" s="14">
        <v>4.6511627906976744E-3</v>
      </c>
      <c r="EN181" s="14">
        <v>4.6511627906976744E-3</v>
      </c>
      <c r="EO181" s="13">
        <f t="shared" si="71"/>
        <v>1.2500000000000001E-2</v>
      </c>
      <c r="EP181" s="13">
        <f t="shared" si="71"/>
        <v>1.2500000000000001E-2</v>
      </c>
      <c r="EQ181" s="13">
        <f t="shared" si="71"/>
        <v>1.2500000000000001E-2</v>
      </c>
      <c r="ER181" s="13">
        <f t="shared" si="71"/>
        <v>1.2500000000000001E-2</v>
      </c>
      <c r="ES181" s="12">
        <v>0.6</v>
      </c>
      <c r="ET181" s="13">
        <f t="shared" si="68"/>
        <v>1.2500000000000001E-2</v>
      </c>
      <c r="EU181" s="13">
        <f t="shared" si="68"/>
        <v>1.2500000000000001E-2</v>
      </c>
      <c r="EV181" s="13">
        <f t="shared" si="68"/>
        <v>1.2500000000000001E-2</v>
      </c>
      <c r="EW181" s="13">
        <f t="shared" si="68"/>
        <v>1.2500000000000001E-2</v>
      </c>
      <c r="EX181" s="13">
        <f t="shared" si="68"/>
        <v>1.2500000000000001E-2</v>
      </c>
      <c r="EY181" s="13">
        <f t="shared" si="68"/>
        <v>1.2500000000000001E-2</v>
      </c>
      <c r="EZ181" s="13">
        <f t="shared" si="68"/>
        <v>1.2500000000000001E-2</v>
      </c>
      <c r="FA181" s="13">
        <f t="shared" si="68"/>
        <v>1.2500000000000001E-2</v>
      </c>
      <c r="FB181" s="13">
        <f t="shared" si="68"/>
        <v>1.2500000000000001E-2</v>
      </c>
      <c r="FC181" s="13">
        <f t="shared" si="68"/>
        <v>1.2500000000000001E-2</v>
      </c>
      <c r="FD181" s="13">
        <f t="shared" si="68"/>
        <v>1.2500000000000001E-2</v>
      </c>
      <c r="FE181" s="13">
        <f t="shared" si="68"/>
        <v>1.2500000000000001E-2</v>
      </c>
      <c r="FF181" s="14">
        <v>5.7142857142857143E-3</v>
      </c>
      <c r="FG181" s="14">
        <v>5.7142857142857143E-3</v>
      </c>
      <c r="FH181" s="14">
        <v>5.7142857142857143E-3</v>
      </c>
      <c r="FI181" s="14">
        <v>5.7142857142857143E-3</v>
      </c>
      <c r="FJ181" s="14">
        <v>5.7142857142857143E-3</v>
      </c>
      <c r="FK181" s="14">
        <v>5.7142857142857143E-3</v>
      </c>
      <c r="FL181" s="14">
        <v>5.7142857142857143E-3</v>
      </c>
      <c r="FM181" s="14">
        <v>4.7619047619047623E-3</v>
      </c>
      <c r="FN181" s="14">
        <v>4.7619047619047623E-3</v>
      </c>
      <c r="FO181" s="14">
        <v>4.7619047619047623E-3</v>
      </c>
      <c r="FP181" s="14">
        <v>5.7142857142857143E-3</v>
      </c>
      <c r="FQ181" s="14">
        <v>5.7142857142857143E-3</v>
      </c>
      <c r="FR181" s="14">
        <v>5.7142857142857143E-3</v>
      </c>
      <c r="FS181" s="14">
        <v>5.7142857142857143E-3</v>
      </c>
      <c r="FT181" s="14">
        <v>5.8823529411764705E-3</v>
      </c>
      <c r="FU181" s="14">
        <v>5.7142857142857143E-3</v>
      </c>
      <c r="FV181" s="14">
        <v>5.7142857142857143E-3</v>
      </c>
      <c r="FW181" s="14">
        <v>4.5454545454545461E-3</v>
      </c>
      <c r="FX181" s="14">
        <v>4.5454545454545461E-3</v>
      </c>
      <c r="FY181" s="14">
        <v>5.7142857142857143E-3</v>
      </c>
      <c r="FZ181" s="13">
        <f t="shared" si="69"/>
        <v>1.2500000000000001E-2</v>
      </c>
      <c r="GA181" s="14">
        <v>5.7142857142857143E-3</v>
      </c>
      <c r="GB181" s="14">
        <v>5.7142857142857143E-3</v>
      </c>
      <c r="GC181" s="14">
        <v>5.7142857142857143E-3</v>
      </c>
      <c r="GD181" s="13">
        <f t="shared" si="70"/>
        <v>1.2500000000000001E-2</v>
      </c>
      <c r="GE181" s="13">
        <f t="shared" si="70"/>
        <v>1.2500000000000001E-2</v>
      </c>
      <c r="GF181" s="14">
        <v>4.6511627906976744E-3</v>
      </c>
      <c r="GG181" s="14">
        <v>4.6511627906976744E-3</v>
      </c>
      <c r="GH181" s="15">
        <v>4.6511627906976744E-3</v>
      </c>
    </row>
    <row r="182" spans="1:190" x14ac:dyDescent="0.3">
      <c r="A182" s="35" t="s">
        <v>21</v>
      </c>
      <c r="B182" s="16" t="s">
        <v>62</v>
      </c>
      <c r="C182" s="14" t="s">
        <v>62</v>
      </c>
      <c r="D182" s="14" t="s">
        <v>62</v>
      </c>
      <c r="E182" s="14" t="s">
        <v>62</v>
      </c>
      <c r="F182" s="14" t="s">
        <v>62</v>
      </c>
      <c r="G182" s="14" t="s">
        <v>62</v>
      </c>
      <c r="H182" s="14" t="s">
        <v>62</v>
      </c>
      <c r="I182" s="14" t="s">
        <v>62</v>
      </c>
      <c r="J182" s="14" t="s">
        <v>62</v>
      </c>
      <c r="K182" s="14" t="s">
        <v>62</v>
      </c>
      <c r="L182" s="14" t="s">
        <v>62</v>
      </c>
      <c r="M182" s="14" t="s">
        <v>62</v>
      </c>
      <c r="N182" s="14" t="s">
        <v>62</v>
      </c>
      <c r="O182" s="14" t="s">
        <v>62</v>
      </c>
      <c r="P182" s="14" t="s">
        <v>62</v>
      </c>
      <c r="Q182" s="13" t="s">
        <v>62</v>
      </c>
      <c r="R182" s="13" t="s">
        <v>62</v>
      </c>
      <c r="S182" s="13" t="s">
        <v>62</v>
      </c>
      <c r="T182" s="13" t="s">
        <v>62</v>
      </c>
      <c r="U182" s="13" t="s">
        <v>62</v>
      </c>
      <c r="V182" s="12">
        <f>IF(AND(Distances!CI125=0,Distances!EU125=0),CH182*ET182*V161*2,"")</f>
        <v>0</v>
      </c>
      <c r="W182" s="13" t="s">
        <v>62</v>
      </c>
      <c r="X182" s="13" t="s">
        <v>62</v>
      </c>
      <c r="Y182" s="13" t="s">
        <v>62</v>
      </c>
      <c r="Z182" s="13" t="s">
        <v>62</v>
      </c>
      <c r="AA182" s="13" t="s">
        <v>62</v>
      </c>
      <c r="AB182" s="13" t="s">
        <v>62</v>
      </c>
      <c r="AC182" s="13" t="s">
        <v>62</v>
      </c>
      <c r="AD182" s="13" t="s">
        <v>62</v>
      </c>
      <c r="AE182" s="13" t="s">
        <v>62</v>
      </c>
      <c r="AF182" s="13" t="s">
        <v>62</v>
      </c>
      <c r="AG182" s="13" t="s">
        <v>62</v>
      </c>
      <c r="AH182" s="14" t="s">
        <v>62</v>
      </c>
      <c r="AI182" s="14" t="s">
        <v>62</v>
      </c>
      <c r="AJ182" s="14" t="s">
        <v>62</v>
      </c>
      <c r="AK182" s="14" t="s">
        <v>62</v>
      </c>
      <c r="AL182" s="14" t="s">
        <v>62</v>
      </c>
      <c r="AM182" s="14" t="s">
        <v>62</v>
      </c>
      <c r="AN182" s="14" t="s">
        <v>62</v>
      </c>
      <c r="AO182" s="14" t="s">
        <v>62</v>
      </c>
      <c r="AP182" s="14" t="s">
        <v>62</v>
      </c>
      <c r="AQ182" s="14" t="s">
        <v>62</v>
      </c>
      <c r="AR182" s="14" t="s">
        <v>62</v>
      </c>
      <c r="AS182" s="14" t="s">
        <v>62</v>
      </c>
      <c r="AT182" s="14" t="s">
        <v>62</v>
      </c>
      <c r="AU182" s="14" t="s">
        <v>62</v>
      </c>
      <c r="AV182" s="14" t="s">
        <v>62</v>
      </c>
      <c r="AW182" s="14" t="s">
        <v>62</v>
      </c>
      <c r="AX182" s="14" t="s">
        <v>62</v>
      </c>
      <c r="AY182" s="14" t="s">
        <v>62</v>
      </c>
      <c r="AZ182" s="14" t="s">
        <v>62</v>
      </c>
      <c r="BA182" s="14" t="s">
        <v>62</v>
      </c>
      <c r="BB182" s="13" t="s">
        <v>62</v>
      </c>
      <c r="BC182" s="14" t="s">
        <v>62</v>
      </c>
      <c r="BD182" s="14" t="s">
        <v>62</v>
      </c>
      <c r="BE182" s="14" t="s">
        <v>62</v>
      </c>
      <c r="BF182" s="13" t="s">
        <v>62</v>
      </c>
      <c r="BG182" s="13" t="s">
        <v>62</v>
      </c>
      <c r="BH182" s="14" t="s">
        <v>62</v>
      </c>
      <c r="BI182" s="14" t="s">
        <v>62</v>
      </c>
      <c r="BJ182" s="15" t="s">
        <v>62</v>
      </c>
      <c r="BM182" s="35" t="s">
        <v>21</v>
      </c>
      <c r="BN182" s="16">
        <v>1599.1751999999999</v>
      </c>
      <c r="BO182" s="14">
        <v>1865.5391999999999</v>
      </c>
      <c r="BP182" s="14">
        <v>1125.6504</v>
      </c>
      <c r="BQ182" s="14">
        <v>1125.6504</v>
      </c>
      <c r="BR182" s="14">
        <v>1192.4555999999998</v>
      </c>
      <c r="BS182" s="14">
        <v>2937.5135999999998</v>
      </c>
      <c r="BT182" s="14">
        <v>3032.9543999999996</v>
      </c>
      <c r="BU182" s="14">
        <v>2937.5135999999998</v>
      </c>
      <c r="BV182" s="14">
        <v>1170.1871999999998</v>
      </c>
      <c r="BW182" s="14">
        <v>1170.1871999999998</v>
      </c>
      <c r="BX182" s="14">
        <v>3062.6736000000001</v>
      </c>
      <c r="BY182" s="14">
        <v>3062.6736000000001</v>
      </c>
      <c r="BZ182" s="14">
        <v>1976.3015999999998</v>
      </c>
      <c r="CA182" s="14">
        <v>1806.1931999999999</v>
      </c>
      <c r="CB182" s="14">
        <v>1933.3775999999998</v>
      </c>
      <c r="CC182" s="13">
        <v>976.6848</v>
      </c>
      <c r="CD182" s="13">
        <v>967.4867999999999</v>
      </c>
      <c r="CE182" s="13">
        <v>995.09760000000006</v>
      </c>
      <c r="CF182" s="13">
        <v>949.07399999999984</v>
      </c>
      <c r="CG182" s="13">
        <v>858.42119999999989</v>
      </c>
      <c r="CH182" s="12">
        <v>0</v>
      </c>
      <c r="CI182" s="13">
        <v>1282.7807999999998</v>
      </c>
      <c r="CJ182" s="13">
        <v>785.77800000000002</v>
      </c>
      <c r="CK182" s="13">
        <v>1045.8335999999999</v>
      </c>
      <c r="CL182" s="13">
        <v>755.6472</v>
      </c>
      <c r="CM182" s="13">
        <v>741.92160000000001</v>
      </c>
      <c r="CN182" s="13">
        <v>714.47879999999998</v>
      </c>
      <c r="CO182" s="13">
        <v>707.62439999999992</v>
      </c>
      <c r="CP182" s="13">
        <v>785.77800000000002</v>
      </c>
      <c r="CQ182" s="13">
        <v>0</v>
      </c>
      <c r="CR182" s="13">
        <v>0</v>
      </c>
      <c r="CS182" s="13">
        <v>0</v>
      </c>
      <c r="CT182" s="14">
        <v>302.83679999999998</v>
      </c>
      <c r="CU182" s="14">
        <v>1128.3887999999999</v>
      </c>
      <c r="CV182" s="14">
        <v>302.83679999999998</v>
      </c>
      <c r="CW182" s="14">
        <v>1161.2244000000001</v>
      </c>
      <c r="CX182" s="14">
        <v>462.5292</v>
      </c>
      <c r="CY182" s="14">
        <v>462.5292</v>
      </c>
      <c r="CZ182" s="14">
        <v>462.5292</v>
      </c>
      <c r="DA182" s="14">
        <v>965.94119999999998</v>
      </c>
      <c r="DB182" s="14">
        <v>984.6816</v>
      </c>
      <c r="DC182" s="14">
        <v>1364.6219999999998</v>
      </c>
      <c r="DD182" s="14">
        <v>1522.0632000000001</v>
      </c>
      <c r="DE182" s="14">
        <v>1522.0632000000001</v>
      </c>
      <c r="DF182" s="14">
        <v>1522.0632000000001</v>
      </c>
      <c r="DG182" s="14">
        <v>1626.2736</v>
      </c>
      <c r="DH182" s="14">
        <v>1179.5447999999999</v>
      </c>
      <c r="DI182" s="14">
        <v>1179.5447999999999</v>
      </c>
      <c r="DJ182" s="14">
        <v>1657.2275999999999</v>
      </c>
      <c r="DK182" s="14">
        <v>0</v>
      </c>
      <c r="DL182" s="14">
        <v>3677.4107999999997</v>
      </c>
      <c r="DM182" s="14">
        <v>1022.1539999999999</v>
      </c>
      <c r="DN182" s="13">
        <v>1157.52</v>
      </c>
      <c r="DO182" s="14">
        <v>1548.8843999999999</v>
      </c>
      <c r="DP182" s="14">
        <v>1657.2275999999999</v>
      </c>
      <c r="DQ182" s="14">
        <v>1641.7547999999999</v>
      </c>
      <c r="DR182" s="13">
        <v>975.24</v>
      </c>
      <c r="DS182" s="13">
        <v>565.58879999999999</v>
      </c>
      <c r="DT182" s="14">
        <v>3198.3755999999998</v>
      </c>
      <c r="DU182" s="14">
        <v>2443.4004</v>
      </c>
      <c r="DV182" s="15">
        <v>2443.4004</v>
      </c>
      <c r="DY182" s="35" t="s">
        <v>21</v>
      </c>
      <c r="DZ182" s="16">
        <v>6.2500000000000003E-3</v>
      </c>
      <c r="EA182" s="14">
        <v>6.2500000000000003E-3</v>
      </c>
      <c r="EB182" s="14">
        <v>6.2500000000000003E-3</v>
      </c>
      <c r="EC182" s="14">
        <v>6.2500000000000003E-3</v>
      </c>
      <c r="ED182" s="14">
        <v>6.2500000000000003E-3</v>
      </c>
      <c r="EE182" s="14">
        <v>6.2500000000000003E-3</v>
      </c>
      <c r="EF182" s="14">
        <v>6.2500000000000003E-3</v>
      </c>
      <c r="EG182" s="14">
        <v>6.2500000000000003E-3</v>
      </c>
      <c r="EH182" s="14">
        <v>6.2500000000000003E-3</v>
      </c>
      <c r="EI182" s="14">
        <v>6.2500000000000003E-3</v>
      </c>
      <c r="EJ182" s="14">
        <v>6.2500000000000003E-3</v>
      </c>
      <c r="EK182" s="14">
        <v>6.2500000000000003E-3</v>
      </c>
      <c r="EL182" s="14">
        <v>6.2500000000000003E-3</v>
      </c>
      <c r="EM182" s="14">
        <v>4.6511627906976744E-3</v>
      </c>
      <c r="EN182" s="14">
        <v>4.6511627906976744E-3</v>
      </c>
      <c r="EO182" s="13">
        <f t="shared" si="71"/>
        <v>1.2500000000000001E-2</v>
      </c>
      <c r="EP182" s="13">
        <f t="shared" si="71"/>
        <v>1.2500000000000001E-2</v>
      </c>
      <c r="EQ182" s="13">
        <f t="shared" si="71"/>
        <v>1.2500000000000001E-2</v>
      </c>
      <c r="ER182" s="13">
        <f t="shared" si="71"/>
        <v>1.2500000000000001E-2</v>
      </c>
      <c r="ES182" s="13">
        <f t="shared" si="71"/>
        <v>1.2500000000000001E-2</v>
      </c>
      <c r="ET182" s="12">
        <v>0.6</v>
      </c>
      <c r="EU182" s="13">
        <f t="shared" si="68"/>
        <v>1.2500000000000001E-2</v>
      </c>
      <c r="EV182" s="13">
        <f t="shared" si="68"/>
        <v>1.2500000000000001E-2</v>
      </c>
      <c r="EW182" s="13">
        <f t="shared" si="68"/>
        <v>1.2500000000000001E-2</v>
      </c>
      <c r="EX182" s="13">
        <f t="shared" si="68"/>
        <v>1.2500000000000001E-2</v>
      </c>
      <c r="EY182" s="13">
        <f t="shared" si="68"/>
        <v>1.2500000000000001E-2</v>
      </c>
      <c r="EZ182" s="13">
        <f t="shared" si="68"/>
        <v>1.2500000000000001E-2</v>
      </c>
      <c r="FA182" s="13">
        <f t="shared" si="68"/>
        <v>1.2500000000000001E-2</v>
      </c>
      <c r="FB182" s="13">
        <f t="shared" si="68"/>
        <v>1.2500000000000001E-2</v>
      </c>
      <c r="FC182" s="13">
        <f t="shared" si="68"/>
        <v>1.2500000000000001E-2</v>
      </c>
      <c r="FD182" s="13">
        <f t="shared" si="68"/>
        <v>1.2500000000000001E-2</v>
      </c>
      <c r="FE182" s="13">
        <f t="shared" si="68"/>
        <v>1.2500000000000001E-2</v>
      </c>
      <c r="FF182" s="14">
        <v>5.7142857142857143E-3</v>
      </c>
      <c r="FG182" s="14">
        <v>5.7142857142857143E-3</v>
      </c>
      <c r="FH182" s="14">
        <v>5.7142857142857143E-3</v>
      </c>
      <c r="FI182" s="14">
        <v>5.7142857142857143E-3</v>
      </c>
      <c r="FJ182" s="14">
        <v>5.7142857142857143E-3</v>
      </c>
      <c r="FK182" s="14">
        <v>5.7142857142857143E-3</v>
      </c>
      <c r="FL182" s="14">
        <v>5.7142857142857143E-3</v>
      </c>
      <c r="FM182" s="14">
        <v>4.7619047619047623E-3</v>
      </c>
      <c r="FN182" s="14">
        <v>4.7619047619047623E-3</v>
      </c>
      <c r="FO182" s="14">
        <v>4.7619047619047623E-3</v>
      </c>
      <c r="FP182" s="14">
        <v>5.7142857142857143E-3</v>
      </c>
      <c r="FQ182" s="14">
        <v>5.7142857142857143E-3</v>
      </c>
      <c r="FR182" s="14">
        <v>5.7142857142857143E-3</v>
      </c>
      <c r="FS182" s="14">
        <v>5.7142857142857143E-3</v>
      </c>
      <c r="FT182" s="14">
        <v>5.8823529411764705E-3</v>
      </c>
      <c r="FU182" s="14">
        <v>5.7142857142857143E-3</v>
      </c>
      <c r="FV182" s="14">
        <v>5.7142857142857143E-3</v>
      </c>
      <c r="FW182" s="14">
        <v>4.5454545454545461E-3</v>
      </c>
      <c r="FX182" s="14">
        <v>4.5454545454545461E-3</v>
      </c>
      <c r="FY182" s="14">
        <v>5.7142857142857143E-3</v>
      </c>
      <c r="FZ182" s="13">
        <f t="shared" si="69"/>
        <v>1.2500000000000001E-2</v>
      </c>
      <c r="GA182" s="14">
        <v>5.7142857142857143E-3</v>
      </c>
      <c r="GB182" s="14">
        <v>5.7142857142857143E-3</v>
      </c>
      <c r="GC182" s="14">
        <v>5.7142857142857143E-3</v>
      </c>
      <c r="GD182" s="13">
        <f t="shared" si="70"/>
        <v>1.2500000000000001E-2</v>
      </c>
      <c r="GE182" s="13">
        <f t="shared" si="70"/>
        <v>1.2500000000000001E-2</v>
      </c>
      <c r="GF182" s="14">
        <v>4.6511627906976744E-3</v>
      </c>
      <c r="GG182" s="14">
        <v>4.6511627906976744E-3</v>
      </c>
      <c r="GH182" s="15">
        <v>4.6511627906976744E-3</v>
      </c>
    </row>
    <row r="183" spans="1:190" x14ac:dyDescent="0.3">
      <c r="A183" s="35" t="s">
        <v>22</v>
      </c>
      <c r="B183" s="16">
        <f>IF(AND(Distances!BO126=0,Distances!EA126=0),BN183*DZ183*B161*2,"")</f>
        <v>2415.1190700000002</v>
      </c>
      <c r="C183" s="14">
        <f>IF(AND(Distances!BP126=0,Distances!EB126=0),BO183*EA183*C161*2,"")</f>
        <v>3158.2750499999997</v>
      </c>
      <c r="D183" s="14" t="s">
        <v>62</v>
      </c>
      <c r="E183" s="14">
        <f>IF(AND(Distances!BR126=0,Distances!ED126=0),BQ183*EC183*E161*2,"")</f>
        <v>1937.04567</v>
      </c>
      <c r="F183" s="14" t="s">
        <v>62</v>
      </c>
      <c r="G183" s="14" t="s">
        <v>62</v>
      </c>
      <c r="H183" s="14">
        <f>IF(AND(Distances!BU126=0,Distances!EG126=0),BT183*EF183*H161*2,"")</f>
        <v>6669.2936100000006</v>
      </c>
      <c r="I183" s="14">
        <f>IF(AND(Distances!BV126=0,Distances!EH126=0),BU183*EG183*I161*2,"")</f>
        <v>6428.1571199999998</v>
      </c>
      <c r="J183" s="14" t="s">
        <v>62</v>
      </c>
      <c r="K183" s="14">
        <f>IF(AND(Distances!BX126=0,Distances!EJ126=0),BW183*EI183*K161*2,"")</f>
        <v>39.874380000000002</v>
      </c>
      <c r="L183" s="14" t="s">
        <v>62</v>
      </c>
      <c r="M183" s="14">
        <f>IF(AND(Distances!BZ126=0,Distances!EL126=0),BY183*EK183*M161*2,"")</f>
        <v>133.35965999999999</v>
      </c>
      <c r="N183" s="14" t="s">
        <v>62</v>
      </c>
      <c r="O183" s="14" t="s">
        <v>62</v>
      </c>
      <c r="P183" s="14" t="s">
        <v>62</v>
      </c>
      <c r="Q183" s="13">
        <f>IF(AND(Distances!CD126=0,Distances!EP126=0),CC183*EO183*Q161*2,"")</f>
        <v>882.08400000000006</v>
      </c>
      <c r="R183" s="13">
        <f>IF(AND(Distances!CE126=0,Distances!EQ126=0),CD183*EP183*R161*2,"")</f>
        <v>876.92849999999999</v>
      </c>
      <c r="S183" s="13">
        <f>IF(AND(Distances!CF126=0,Distances!ER126=0),CE183*EQ183*S161*2,"")</f>
        <v>898.70550000000003</v>
      </c>
      <c r="T183" s="13" t="s">
        <v>62</v>
      </c>
      <c r="U183" s="13" t="s">
        <v>62</v>
      </c>
      <c r="V183" s="13" t="s">
        <v>62</v>
      </c>
      <c r="W183" s="12">
        <f>IF(AND(Distances!CJ126=0,Distances!EV126=0),CI183*EU183*W161*2,"")</f>
        <v>0</v>
      </c>
      <c r="X183" s="13" t="s">
        <v>62</v>
      </c>
      <c r="Y183" s="13" t="s">
        <v>62</v>
      </c>
      <c r="Z183" s="13" t="s">
        <v>62</v>
      </c>
      <c r="AA183" s="13" t="s">
        <v>62</v>
      </c>
      <c r="AB183" s="13" t="s">
        <v>62</v>
      </c>
      <c r="AC183" s="13">
        <f>IF(AND(Distances!CP126=0,Distances!FB126=0),CO183*FA183*AC161*2,"")</f>
        <v>38.474940000000004</v>
      </c>
      <c r="AD183" s="13">
        <f>IF(AND(Distances!CQ126=0,Distances!FC126=0),CP183*FB183*AD161*2,"")</f>
        <v>24.160499999999999</v>
      </c>
      <c r="AE183" s="13" t="s">
        <v>62</v>
      </c>
      <c r="AF183" s="13" t="s">
        <v>62</v>
      </c>
      <c r="AG183" s="13" t="s">
        <v>62</v>
      </c>
      <c r="AH183" s="14" t="s">
        <v>62</v>
      </c>
      <c r="AI183" s="14">
        <f>IF(AND(Distances!CV126=0,Distances!FH126=0),CU183*FG183*AI161*2,"")</f>
        <v>20.517503999999999</v>
      </c>
      <c r="AJ183" s="14" t="s">
        <v>62</v>
      </c>
      <c r="AK183" s="14">
        <f>IF(AND(Distances!CX126=0,Distances!FJ126=0),CW183*FI183*AK161*2,"")</f>
        <v>21.114719999999998</v>
      </c>
      <c r="AL183" s="14">
        <f>IF(AND(Distances!CY126=0,Distances!FK126=0),CX183*FJ183*AL161*2,"")</f>
        <v>920.78207999999995</v>
      </c>
      <c r="AM183" s="14">
        <f>IF(AND(Distances!CZ126=0,Distances!FL126=0),CY183*FK183*AM161*2,"")</f>
        <v>920.78207999999995</v>
      </c>
      <c r="AN183" s="14" t="s">
        <v>62</v>
      </c>
      <c r="AO183" s="14">
        <f>IF(AND(Distances!DB126=0,Distances!FN126=0),DA183*FM183*AO161*2,"")</f>
        <v>23.889120000000002</v>
      </c>
      <c r="AP183" s="14">
        <f>IF(AND(Distances!DC126=0,Distances!FO126=0),DB183*FN183*AP161*2,"")</f>
        <v>24.352640000000001</v>
      </c>
      <c r="AQ183" s="14">
        <f>IF(AND(Distances!DD126=0,Distances!FP126=0),DC183*FO183*AQ161*2,"")</f>
        <v>28.257440000000003</v>
      </c>
      <c r="AR183" s="14">
        <f>IF(AND(Distances!DE126=0,Distances!FQ126=0),DD183*FP183*AR161*2,"")</f>
        <v>28.116479999999999</v>
      </c>
      <c r="AS183" s="14" t="s">
        <v>62</v>
      </c>
      <c r="AT183" s="14" t="s">
        <v>62</v>
      </c>
      <c r="AU183" s="14" t="s">
        <v>62</v>
      </c>
      <c r="AV183" s="14" t="s">
        <v>62</v>
      </c>
      <c r="AW183" s="14" t="s">
        <v>62</v>
      </c>
      <c r="AX183" s="14">
        <f>IF(AND(Distances!DK126=0,Distances!FW126=0),DJ183*FV183*AX161*2,"")</f>
        <v>74.397600000000011</v>
      </c>
      <c r="AY183" s="14">
        <f>IF(AND(Distances!DL126=0,Distances!FX126=0),DK183*FW183*AY161*2,"")</f>
        <v>0</v>
      </c>
      <c r="AZ183" s="14" t="s">
        <v>62</v>
      </c>
      <c r="BA183" s="14">
        <f>IF(AND(Distances!DN126=0,Distances!FZ126=0),DM183*FY183*BA161*2,"")</f>
        <v>46.941696</v>
      </c>
      <c r="BB183" s="12">
        <f>IF(AND(Distances!DO126=0,Distances!GA126=0),DN183*FZ183*BB161*2,"")</f>
        <v>4233.6806399999996</v>
      </c>
      <c r="BC183" s="14">
        <f>IF(AND(Distances!DP126=0,Distances!GB126=0),DO183*GA183*BC161*2,"")</f>
        <v>445.01913600000006</v>
      </c>
      <c r="BD183" s="14" t="s">
        <v>62</v>
      </c>
      <c r="BE183" s="14">
        <f>IF(AND(Distances!DR126=0,Distances!GD126=0),DQ183*GC183*BE161*2,"")</f>
        <v>471.699456</v>
      </c>
      <c r="BF183" s="13" t="s">
        <v>62</v>
      </c>
      <c r="BG183" s="13" t="s">
        <v>62</v>
      </c>
      <c r="BH183" s="14" t="s">
        <v>62</v>
      </c>
      <c r="BI183" s="14" t="s">
        <v>62</v>
      </c>
      <c r="BJ183" s="15" t="s">
        <v>62</v>
      </c>
      <c r="BM183" s="35" t="s">
        <v>22</v>
      </c>
      <c r="BN183" s="16">
        <v>956.4828</v>
      </c>
      <c r="BO183" s="14">
        <v>1250.8019999999999</v>
      </c>
      <c r="BP183" s="14">
        <v>767.14679999999998</v>
      </c>
      <c r="BQ183" s="14">
        <v>767.14679999999998</v>
      </c>
      <c r="BR183" s="14">
        <v>812.65800000000002</v>
      </c>
      <c r="BS183" s="14">
        <v>2545.8047999999999</v>
      </c>
      <c r="BT183" s="14">
        <v>2641.3044</v>
      </c>
      <c r="BU183" s="14">
        <v>2545.8047999999999</v>
      </c>
      <c r="BV183" s="14">
        <v>797.48759999999993</v>
      </c>
      <c r="BW183" s="14">
        <v>797.48759999999993</v>
      </c>
      <c r="BX183" s="14">
        <v>2667.1931999999997</v>
      </c>
      <c r="BY183" s="14">
        <v>2667.1931999999997</v>
      </c>
      <c r="BZ183" s="14">
        <v>1325.0496000000001</v>
      </c>
      <c r="CA183" s="14">
        <v>1481.3987999999999</v>
      </c>
      <c r="CB183" s="14">
        <v>2057.2020000000002</v>
      </c>
      <c r="CC183" s="13">
        <v>705.66719999999998</v>
      </c>
      <c r="CD183" s="13">
        <v>701.54279999999994</v>
      </c>
      <c r="CE183" s="13">
        <v>718.96439999999996</v>
      </c>
      <c r="CF183" s="13">
        <v>685.72559999999999</v>
      </c>
      <c r="CG183" s="13">
        <v>699.24959999999999</v>
      </c>
      <c r="CH183" s="13">
        <v>1282.7807999999998</v>
      </c>
      <c r="CI183" s="12">
        <v>0</v>
      </c>
      <c r="CJ183" s="13">
        <v>483.21</v>
      </c>
      <c r="CK183" s="13">
        <v>685.72559999999999</v>
      </c>
      <c r="CL183" s="13">
        <v>821.72159999999997</v>
      </c>
      <c r="CM183" s="13">
        <v>806.80319999999995</v>
      </c>
      <c r="CN183" s="13">
        <v>776.95799999999997</v>
      </c>
      <c r="CO183" s="13">
        <v>769.49879999999996</v>
      </c>
      <c r="CP183" s="13">
        <v>483.21</v>
      </c>
      <c r="CQ183" s="13">
        <v>958.28039999999987</v>
      </c>
      <c r="CR183" s="13">
        <v>958.28039999999987</v>
      </c>
      <c r="CS183" s="13">
        <v>958.28039999999987</v>
      </c>
      <c r="CT183" s="14">
        <v>1587.558</v>
      </c>
      <c r="CU183" s="14">
        <v>1795.2815999999998</v>
      </c>
      <c r="CV183" s="14">
        <v>1587.558</v>
      </c>
      <c r="CW183" s="14">
        <v>1847.5379999999998</v>
      </c>
      <c r="CX183" s="14">
        <v>1492.008</v>
      </c>
      <c r="CY183" s="14">
        <v>1492.008</v>
      </c>
      <c r="CZ183" s="14">
        <v>1492.008</v>
      </c>
      <c r="DA183" s="14">
        <v>1254.1787999999999</v>
      </c>
      <c r="DB183" s="14">
        <v>1278.5136</v>
      </c>
      <c r="DC183" s="14">
        <v>1483.5155999999999</v>
      </c>
      <c r="DD183" s="14">
        <v>1230.096</v>
      </c>
      <c r="DE183" s="14">
        <v>1230.096</v>
      </c>
      <c r="DF183" s="14">
        <v>1230.096</v>
      </c>
      <c r="DG183" s="14">
        <v>1277.6399999999999</v>
      </c>
      <c r="DH183" s="14">
        <v>898.8</v>
      </c>
      <c r="DI183" s="14">
        <v>898.8</v>
      </c>
      <c r="DJ183" s="14">
        <v>1301.9580000000001</v>
      </c>
      <c r="DK183" s="14">
        <v>0</v>
      </c>
      <c r="DL183" s="14">
        <v>3740.0663999999997</v>
      </c>
      <c r="DM183" s="14">
        <v>1026.8496</v>
      </c>
      <c r="DN183" s="12">
        <v>882.01679999999999</v>
      </c>
      <c r="DO183" s="14">
        <v>1216.8492000000001</v>
      </c>
      <c r="DP183" s="14">
        <v>1301.9580000000001</v>
      </c>
      <c r="DQ183" s="14">
        <v>1289.8032000000001</v>
      </c>
      <c r="DR183" s="13">
        <v>1495.8719999999998</v>
      </c>
      <c r="DS183" s="13">
        <v>1036.4423999999999</v>
      </c>
      <c r="DT183" s="14">
        <v>2804.7683999999999</v>
      </c>
      <c r="DU183" s="14">
        <v>2101.9739999999997</v>
      </c>
      <c r="DV183" s="15">
        <v>2101.9739999999997</v>
      </c>
      <c r="DY183" s="35" t="s">
        <v>22</v>
      </c>
      <c r="DZ183" s="16">
        <v>6.2500000000000003E-3</v>
      </c>
      <c r="EA183" s="14">
        <v>6.2500000000000003E-3</v>
      </c>
      <c r="EB183" s="14">
        <v>6.2500000000000003E-3</v>
      </c>
      <c r="EC183" s="14">
        <v>6.2500000000000003E-3</v>
      </c>
      <c r="ED183" s="14">
        <v>6.2500000000000003E-3</v>
      </c>
      <c r="EE183" s="14">
        <v>6.2500000000000003E-3</v>
      </c>
      <c r="EF183" s="14">
        <v>6.2500000000000003E-3</v>
      </c>
      <c r="EG183" s="14">
        <v>6.2500000000000003E-3</v>
      </c>
      <c r="EH183" s="14">
        <v>6.2500000000000003E-3</v>
      </c>
      <c r="EI183" s="14">
        <v>6.2500000000000003E-3</v>
      </c>
      <c r="EJ183" s="14">
        <v>6.2500000000000003E-3</v>
      </c>
      <c r="EK183" s="14">
        <v>6.2500000000000003E-3</v>
      </c>
      <c r="EL183" s="14">
        <v>6.2500000000000003E-3</v>
      </c>
      <c r="EM183" s="14">
        <v>4.6511627906976744E-3</v>
      </c>
      <c r="EN183" s="14">
        <v>4.6511627906976744E-3</v>
      </c>
      <c r="EO183" s="13">
        <f t="shared" si="71"/>
        <v>1.2500000000000001E-2</v>
      </c>
      <c r="EP183" s="13">
        <f t="shared" si="71"/>
        <v>1.2500000000000001E-2</v>
      </c>
      <c r="EQ183" s="13">
        <f t="shared" si="71"/>
        <v>1.2500000000000001E-2</v>
      </c>
      <c r="ER183" s="13">
        <f t="shared" si="71"/>
        <v>1.2500000000000001E-2</v>
      </c>
      <c r="ES183" s="13">
        <f t="shared" si="71"/>
        <v>1.2500000000000001E-2</v>
      </c>
      <c r="ET183" s="13">
        <f t="shared" si="71"/>
        <v>1.2500000000000001E-2</v>
      </c>
      <c r="EU183" s="12">
        <v>0.6</v>
      </c>
      <c r="EV183" s="13">
        <f t="shared" si="68"/>
        <v>1.2500000000000001E-2</v>
      </c>
      <c r="EW183" s="13">
        <f t="shared" si="68"/>
        <v>1.2500000000000001E-2</v>
      </c>
      <c r="EX183" s="13">
        <f t="shared" si="68"/>
        <v>1.2500000000000001E-2</v>
      </c>
      <c r="EY183" s="13">
        <f t="shared" si="68"/>
        <v>1.2500000000000001E-2</v>
      </c>
      <c r="EZ183" s="13">
        <f t="shared" si="68"/>
        <v>1.2500000000000001E-2</v>
      </c>
      <c r="FA183" s="13">
        <f t="shared" si="68"/>
        <v>1.2500000000000001E-2</v>
      </c>
      <c r="FB183" s="13">
        <f t="shared" si="68"/>
        <v>1.2500000000000001E-2</v>
      </c>
      <c r="FC183" s="13">
        <f t="shared" si="68"/>
        <v>1.2500000000000001E-2</v>
      </c>
      <c r="FD183" s="13">
        <f t="shared" si="68"/>
        <v>1.2500000000000001E-2</v>
      </c>
      <c r="FE183" s="13">
        <f t="shared" si="68"/>
        <v>1.2500000000000001E-2</v>
      </c>
      <c r="FF183" s="14">
        <v>5.7142857142857143E-3</v>
      </c>
      <c r="FG183" s="14">
        <v>5.7142857142857143E-3</v>
      </c>
      <c r="FH183" s="14">
        <v>5.7142857142857143E-3</v>
      </c>
      <c r="FI183" s="14">
        <v>5.7142857142857143E-3</v>
      </c>
      <c r="FJ183" s="14">
        <v>5.7142857142857143E-3</v>
      </c>
      <c r="FK183" s="14">
        <v>5.7142857142857143E-3</v>
      </c>
      <c r="FL183" s="14">
        <v>5.7142857142857143E-3</v>
      </c>
      <c r="FM183" s="14">
        <v>4.7619047619047623E-3</v>
      </c>
      <c r="FN183" s="14">
        <v>4.7619047619047623E-3</v>
      </c>
      <c r="FO183" s="14">
        <v>4.7619047619047623E-3</v>
      </c>
      <c r="FP183" s="14">
        <v>5.7142857142857143E-3</v>
      </c>
      <c r="FQ183" s="14">
        <v>5.7142857142857143E-3</v>
      </c>
      <c r="FR183" s="14">
        <v>5.7142857142857143E-3</v>
      </c>
      <c r="FS183" s="14">
        <v>5.7142857142857143E-3</v>
      </c>
      <c r="FT183" s="14">
        <v>5.8823529411764705E-3</v>
      </c>
      <c r="FU183" s="14">
        <v>5.7142857142857143E-3</v>
      </c>
      <c r="FV183" s="14">
        <v>5.7142857142857143E-3</v>
      </c>
      <c r="FW183" s="14">
        <v>4.5454545454545461E-3</v>
      </c>
      <c r="FX183" s="14">
        <v>4.5454545454545461E-3</v>
      </c>
      <c r="FY183" s="14">
        <v>5.7142857142857143E-3</v>
      </c>
      <c r="FZ183" s="12">
        <v>0.6</v>
      </c>
      <c r="GA183" s="14">
        <v>5.7142857142857143E-3</v>
      </c>
      <c r="GB183" s="14">
        <v>5.7142857142857143E-3</v>
      </c>
      <c r="GC183" s="14">
        <v>5.7142857142857143E-3</v>
      </c>
      <c r="GD183" s="13">
        <f t="shared" si="70"/>
        <v>1.2500000000000001E-2</v>
      </c>
      <c r="GE183" s="13">
        <f t="shared" si="70"/>
        <v>1.2500000000000001E-2</v>
      </c>
      <c r="GF183" s="14">
        <v>4.6511627906976744E-3</v>
      </c>
      <c r="GG183" s="14">
        <v>4.6511627906976744E-3</v>
      </c>
      <c r="GH183" s="15">
        <v>4.6511627906976744E-3</v>
      </c>
    </row>
    <row r="184" spans="1:190" x14ac:dyDescent="0.3">
      <c r="A184" s="35" t="s">
        <v>23</v>
      </c>
      <c r="B184" s="16" t="s">
        <v>62</v>
      </c>
      <c r="C184" s="14" t="s">
        <v>62</v>
      </c>
      <c r="D184" s="14" t="s">
        <v>62</v>
      </c>
      <c r="E184" s="14" t="s">
        <v>62</v>
      </c>
      <c r="F184" s="14" t="s">
        <v>62</v>
      </c>
      <c r="G184" s="14" t="s">
        <v>62</v>
      </c>
      <c r="H184" s="14" t="s">
        <v>62</v>
      </c>
      <c r="I184" s="14" t="s">
        <v>62</v>
      </c>
      <c r="J184" s="14" t="s">
        <v>62</v>
      </c>
      <c r="K184" s="14" t="s">
        <v>62</v>
      </c>
      <c r="L184" s="14" t="s">
        <v>62</v>
      </c>
      <c r="M184" s="14" t="s">
        <v>62</v>
      </c>
      <c r="N184" s="14" t="s">
        <v>62</v>
      </c>
      <c r="O184" s="14" t="s">
        <v>62</v>
      </c>
      <c r="P184" s="14" t="s">
        <v>62</v>
      </c>
      <c r="Q184" s="13" t="s">
        <v>62</v>
      </c>
      <c r="R184" s="13" t="s">
        <v>62</v>
      </c>
      <c r="S184" s="13" t="s">
        <v>62</v>
      </c>
      <c r="T184" s="13" t="s">
        <v>62</v>
      </c>
      <c r="U184" s="13" t="s">
        <v>62</v>
      </c>
      <c r="V184" s="13" t="s">
        <v>62</v>
      </c>
      <c r="W184" s="13" t="s">
        <v>62</v>
      </c>
      <c r="X184" s="12">
        <f>IF(AND(Distances!CK127=0,Distances!EW127=0),CJ184*EV184*X161*2,"")</f>
        <v>0</v>
      </c>
      <c r="Y184" s="13" t="s">
        <v>62</v>
      </c>
      <c r="Z184" s="13" t="s">
        <v>62</v>
      </c>
      <c r="AA184" s="13" t="s">
        <v>62</v>
      </c>
      <c r="AB184" s="13" t="s">
        <v>62</v>
      </c>
      <c r="AC184" s="13" t="s">
        <v>62</v>
      </c>
      <c r="AD184" s="13" t="s">
        <v>62</v>
      </c>
      <c r="AE184" s="13" t="s">
        <v>62</v>
      </c>
      <c r="AF184" s="13" t="s">
        <v>62</v>
      </c>
      <c r="AG184" s="13" t="s">
        <v>62</v>
      </c>
      <c r="AH184" s="14" t="s">
        <v>62</v>
      </c>
      <c r="AI184" s="14" t="s">
        <v>62</v>
      </c>
      <c r="AJ184" s="14" t="s">
        <v>62</v>
      </c>
      <c r="AK184" s="14" t="s">
        <v>62</v>
      </c>
      <c r="AL184" s="14" t="s">
        <v>62</v>
      </c>
      <c r="AM184" s="14" t="s">
        <v>62</v>
      </c>
      <c r="AN184" s="14" t="s">
        <v>62</v>
      </c>
      <c r="AO184" s="14" t="s">
        <v>62</v>
      </c>
      <c r="AP184" s="14" t="s">
        <v>62</v>
      </c>
      <c r="AQ184" s="14" t="s">
        <v>62</v>
      </c>
      <c r="AR184" s="14" t="s">
        <v>62</v>
      </c>
      <c r="AS184" s="14" t="s">
        <v>62</v>
      </c>
      <c r="AT184" s="14" t="s">
        <v>62</v>
      </c>
      <c r="AU184" s="14" t="s">
        <v>62</v>
      </c>
      <c r="AV184" s="14" t="s">
        <v>62</v>
      </c>
      <c r="AW184" s="14" t="s">
        <v>62</v>
      </c>
      <c r="AX184" s="14" t="s">
        <v>62</v>
      </c>
      <c r="AY184" s="14" t="s">
        <v>62</v>
      </c>
      <c r="AZ184" s="14" t="s">
        <v>62</v>
      </c>
      <c r="BA184" s="14" t="s">
        <v>62</v>
      </c>
      <c r="BB184" s="13" t="s">
        <v>62</v>
      </c>
      <c r="BC184" s="14" t="s">
        <v>62</v>
      </c>
      <c r="BD184" s="14" t="s">
        <v>62</v>
      </c>
      <c r="BE184" s="14" t="s">
        <v>62</v>
      </c>
      <c r="BF184" s="13" t="s">
        <v>62</v>
      </c>
      <c r="BG184" s="13" t="s">
        <v>62</v>
      </c>
      <c r="BH184" s="14" t="s">
        <v>62</v>
      </c>
      <c r="BI184" s="14" t="s">
        <v>62</v>
      </c>
      <c r="BJ184" s="15" t="s">
        <v>62</v>
      </c>
      <c r="BM184" s="35" t="s">
        <v>23</v>
      </c>
      <c r="BN184" s="16">
        <v>1175.8571999999999</v>
      </c>
      <c r="BO184" s="14">
        <v>1466.2284</v>
      </c>
      <c r="BP184" s="14">
        <v>903.94920000000002</v>
      </c>
      <c r="BQ184" s="14">
        <v>903.94920000000002</v>
      </c>
      <c r="BR184" s="14">
        <v>957.58320000000003</v>
      </c>
      <c r="BS184" s="14">
        <v>2245.4375999999997</v>
      </c>
      <c r="BT184" s="14">
        <v>2346.4476</v>
      </c>
      <c r="BU184" s="14">
        <v>2245.4375999999997</v>
      </c>
      <c r="BV184" s="14">
        <v>939.70799999999997</v>
      </c>
      <c r="BW184" s="14">
        <v>939.70799999999997</v>
      </c>
      <c r="BX184" s="14">
        <v>2369.4467999999997</v>
      </c>
      <c r="BY184" s="14">
        <v>2369.4467999999997</v>
      </c>
      <c r="BZ184" s="14">
        <v>1553.2776000000001</v>
      </c>
      <c r="CA184" s="14">
        <v>1747.7796000000001</v>
      </c>
      <c r="CB184" s="14">
        <v>2464.6019999999999</v>
      </c>
      <c r="CC184" s="13">
        <v>492.48359999999997</v>
      </c>
      <c r="CD184" s="13">
        <v>487.84679999999997</v>
      </c>
      <c r="CE184" s="13">
        <v>501.75720000000001</v>
      </c>
      <c r="CF184" s="13">
        <v>478.57319999999999</v>
      </c>
      <c r="CG184" s="13">
        <v>987.59640000000002</v>
      </c>
      <c r="CH184" s="13">
        <v>785.77800000000002</v>
      </c>
      <c r="CI184" s="13">
        <v>483.21</v>
      </c>
      <c r="CJ184" s="12">
        <v>0</v>
      </c>
      <c r="CK184" s="13">
        <v>890.16480000000001</v>
      </c>
      <c r="CL184" s="13">
        <v>1041.7007999999998</v>
      </c>
      <c r="CM184" s="13">
        <v>1022.7755999999999</v>
      </c>
      <c r="CN184" s="13">
        <v>984.93359999999996</v>
      </c>
      <c r="CO184" s="13">
        <v>975.47519999999997</v>
      </c>
      <c r="CP184" s="13">
        <v>0</v>
      </c>
      <c r="CQ184" s="13">
        <v>1179.5447999999999</v>
      </c>
      <c r="CR184" s="13">
        <v>1179.5447999999999</v>
      </c>
      <c r="CS184" s="13">
        <v>1179.5447999999999</v>
      </c>
      <c r="CT184" s="14">
        <v>1474.1412</v>
      </c>
      <c r="CU184" s="14">
        <v>1640.3688</v>
      </c>
      <c r="CV184" s="14">
        <v>1474.1412</v>
      </c>
      <c r="CW184" s="14">
        <v>1688.106</v>
      </c>
      <c r="CX184" s="14">
        <v>1723.2936</v>
      </c>
      <c r="CY184" s="14">
        <v>1723.2936</v>
      </c>
      <c r="CZ184" s="14">
        <v>1723.2936</v>
      </c>
      <c r="DA184" s="14">
        <v>1474.1412</v>
      </c>
      <c r="DB184" s="14">
        <v>1502.7431999999999</v>
      </c>
      <c r="DC184" s="14">
        <v>1719.942</v>
      </c>
      <c r="DD184" s="14">
        <v>1451.1419999999998</v>
      </c>
      <c r="DE184" s="14">
        <v>1451.1419999999998</v>
      </c>
      <c r="DF184" s="14">
        <v>1451.1419999999998</v>
      </c>
      <c r="DG184" s="14">
        <v>933.43319999999994</v>
      </c>
      <c r="DH184" s="14">
        <v>688.97640000000001</v>
      </c>
      <c r="DI184" s="14">
        <v>688.97640000000001</v>
      </c>
      <c r="DJ184" s="14">
        <v>951.19079999999985</v>
      </c>
      <c r="DK184" s="14">
        <v>0</v>
      </c>
      <c r="DL184" s="14">
        <v>3653.0171999999998</v>
      </c>
      <c r="DM184" s="14">
        <v>1182.0816</v>
      </c>
      <c r="DN184" s="13">
        <v>676.12439999999992</v>
      </c>
      <c r="DO184" s="14">
        <v>889.03079999999989</v>
      </c>
      <c r="DP184" s="14">
        <v>951.19079999999985</v>
      </c>
      <c r="DQ184" s="14">
        <v>942.3119999999999</v>
      </c>
      <c r="DR184" s="13">
        <v>1204.9631999999999</v>
      </c>
      <c r="DS184" s="13">
        <v>771.24599999999998</v>
      </c>
      <c r="DT184" s="14">
        <v>3124.4387999999999</v>
      </c>
      <c r="DU184" s="14">
        <v>2380.2156</v>
      </c>
      <c r="DV184" s="15">
        <v>2380.2156</v>
      </c>
      <c r="DY184" s="35" t="s">
        <v>23</v>
      </c>
      <c r="DZ184" s="16">
        <v>6.2500000000000003E-3</v>
      </c>
      <c r="EA184" s="14">
        <v>6.2500000000000003E-3</v>
      </c>
      <c r="EB184" s="14">
        <v>6.2500000000000003E-3</v>
      </c>
      <c r="EC184" s="14">
        <v>6.2500000000000003E-3</v>
      </c>
      <c r="ED184" s="14">
        <v>6.2500000000000003E-3</v>
      </c>
      <c r="EE184" s="14">
        <v>6.2500000000000003E-3</v>
      </c>
      <c r="EF184" s="14">
        <v>6.2500000000000003E-3</v>
      </c>
      <c r="EG184" s="14">
        <v>6.2500000000000003E-3</v>
      </c>
      <c r="EH184" s="14">
        <v>6.2500000000000003E-3</v>
      </c>
      <c r="EI184" s="14">
        <v>6.2500000000000003E-3</v>
      </c>
      <c r="EJ184" s="14">
        <v>6.2500000000000003E-3</v>
      </c>
      <c r="EK184" s="14">
        <v>6.2500000000000003E-3</v>
      </c>
      <c r="EL184" s="14">
        <v>6.2500000000000003E-3</v>
      </c>
      <c r="EM184" s="14">
        <v>4.6511627906976744E-3</v>
      </c>
      <c r="EN184" s="14">
        <v>4.6511627906976744E-3</v>
      </c>
      <c r="EO184" s="13">
        <f t="shared" si="71"/>
        <v>1.2500000000000001E-2</v>
      </c>
      <c r="EP184" s="13">
        <f t="shared" si="71"/>
        <v>1.2500000000000001E-2</v>
      </c>
      <c r="EQ184" s="13">
        <f t="shared" si="71"/>
        <v>1.2500000000000001E-2</v>
      </c>
      <c r="ER184" s="13">
        <f t="shared" si="71"/>
        <v>1.2500000000000001E-2</v>
      </c>
      <c r="ES184" s="13">
        <f t="shared" si="71"/>
        <v>1.2500000000000001E-2</v>
      </c>
      <c r="ET184" s="13">
        <f t="shared" si="71"/>
        <v>1.2500000000000001E-2</v>
      </c>
      <c r="EU184" s="13">
        <f t="shared" si="71"/>
        <v>1.2500000000000001E-2</v>
      </c>
      <c r="EV184" s="12">
        <v>0.6</v>
      </c>
      <c r="EW184" s="13">
        <f t="shared" si="68"/>
        <v>1.2500000000000001E-2</v>
      </c>
      <c r="EX184" s="13">
        <f t="shared" si="68"/>
        <v>1.2500000000000001E-2</v>
      </c>
      <c r="EY184" s="13">
        <f t="shared" si="68"/>
        <v>1.2500000000000001E-2</v>
      </c>
      <c r="EZ184" s="13">
        <f t="shared" si="68"/>
        <v>1.2500000000000001E-2</v>
      </c>
      <c r="FA184" s="13">
        <f t="shared" si="68"/>
        <v>1.2500000000000001E-2</v>
      </c>
      <c r="FB184" s="13">
        <f t="shared" si="68"/>
        <v>1.2500000000000001E-2</v>
      </c>
      <c r="FC184" s="13">
        <f t="shared" si="68"/>
        <v>1.2500000000000001E-2</v>
      </c>
      <c r="FD184" s="13">
        <f t="shared" si="68"/>
        <v>1.2500000000000001E-2</v>
      </c>
      <c r="FE184" s="13">
        <f t="shared" si="68"/>
        <v>1.2500000000000001E-2</v>
      </c>
      <c r="FF184" s="14">
        <v>5.7142857142857143E-3</v>
      </c>
      <c r="FG184" s="14">
        <v>5.7142857142857143E-3</v>
      </c>
      <c r="FH184" s="14">
        <v>5.7142857142857143E-3</v>
      </c>
      <c r="FI184" s="14">
        <v>5.7142857142857143E-3</v>
      </c>
      <c r="FJ184" s="14">
        <v>5.7142857142857143E-3</v>
      </c>
      <c r="FK184" s="14">
        <v>5.7142857142857143E-3</v>
      </c>
      <c r="FL184" s="14">
        <v>5.7142857142857143E-3</v>
      </c>
      <c r="FM184" s="14">
        <v>4.7619047619047623E-3</v>
      </c>
      <c r="FN184" s="14">
        <v>4.7619047619047623E-3</v>
      </c>
      <c r="FO184" s="14">
        <v>4.7619047619047623E-3</v>
      </c>
      <c r="FP184" s="14">
        <v>5.7142857142857143E-3</v>
      </c>
      <c r="FQ184" s="14">
        <v>5.7142857142857143E-3</v>
      </c>
      <c r="FR184" s="14">
        <v>5.7142857142857143E-3</v>
      </c>
      <c r="FS184" s="14">
        <v>5.7142857142857143E-3</v>
      </c>
      <c r="FT184" s="14">
        <v>5.8823529411764705E-3</v>
      </c>
      <c r="FU184" s="14">
        <v>5.7142857142857143E-3</v>
      </c>
      <c r="FV184" s="14">
        <v>5.7142857142857143E-3</v>
      </c>
      <c r="FW184" s="14">
        <v>4.5454545454545461E-3</v>
      </c>
      <c r="FX184" s="14">
        <v>4.5454545454545461E-3</v>
      </c>
      <c r="FY184" s="14">
        <v>5.7142857142857143E-3</v>
      </c>
      <c r="FZ184" s="13">
        <f t="shared" ref="FZ184:FZ193" si="72">0.2/16</f>
        <v>1.2500000000000001E-2</v>
      </c>
      <c r="GA184" s="14">
        <v>5.7142857142857143E-3</v>
      </c>
      <c r="GB184" s="14">
        <v>5.7142857142857143E-3</v>
      </c>
      <c r="GC184" s="14">
        <v>5.7142857142857143E-3</v>
      </c>
      <c r="GD184" s="13">
        <f t="shared" si="70"/>
        <v>1.2500000000000001E-2</v>
      </c>
      <c r="GE184" s="13">
        <f t="shared" si="70"/>
        <v>1.2500000000000001E-2</v>
      </c>
      <c r="GF184" s="14">
        <v>4.6511627906976744E-3</v>
      </c>
      <c r="GG184" s="14">
        <v>4.6511627906976744E-3</v>
      </c>
      <c r="GH184" s="15">
        <v>4.6511627906976744E-3</v>
      </c>
    </row>
    <row r="185" spans="1:190" x14ac:dyDescent="0.3">
      <c r="A185" s="35" t="s">
        <v>24</v>
      </c>
      <c r="B185" s="16" t="s">
        <v>62</v>
      </c>
      <c r="C185" s="14" t="s">
        <v>62</v>
      </c>
      <c r="D185" s="14" t="s">
        <v>62</v>
      </c>
      <c r="E185" s="14" t="s">
        <v>62</v>
      </c>
      <c r="F185" s="14" t="s">
        <v>62</v>
      </c>
      <c r="G185" s="14" t="s">
        <v>62</v>
      </c>
      <c r="H185" s="14" t="s">
        <v>62</v>
      </c>
      <c r="I185" s="14" t="s">
        <v>62</v>
      </c>
      <c r="J185" s="14" t="s">
        <v>62</v>
      </c>
      <c r="K185" s="14" t="s">
        <v>62</v>
      </c>
      <c r="L185" s="14" t="s">
        <v>62</v>
      </c>
      <c r="M185" s="14" t="s">
        <v>62</v>
      </c>
      <c r="N185" s="14" t="s">
        <v>62</v>
      </c>
      <c r="O185" s="14" t="s">
        <v>62</v>
      </c>
      <c r="P185" s="14" t="s">
        <v>62</v>
      </c>
      <c r="Q185" s="13" t="s">
        <v>62</v>
      </c>
      <c r="R185" s="13" t="s">
        <v>62</v>
      </c>
      <c r="S185" s="13" t="s">
        <v>62</v>
      </c>
      <c r="T185" s="13" t="s">
        <v>62</v>
      </c>
      <c r="U185" s="13" t="s">
        <v>62</v>
      </c>
      <c r="V185" s="13" t="s">
        <v>62</v>
      </c>
      <c r="W185" s="13" t="s">
        <v>62</v>
      </c>
      <c r="X185" s="13" t="s">
        <v>62</v>
      </c>
      <c r="Y185" s="12">
        <f>IF(AND(Distances!CL128=0,Distances!EX128=0),CK185*EW185*Y161*2,"")</f>
        <v>0</v>
      </c>
      <c r="Z185" s="13" t="s">
        <v>62</v>
      </c>
      <c r="AA185" s="13" t="s">
        <v>62</v>
      </c>
      <c r="AB185" s="13" t="s">
        <v>62</v>
      </c>
      <c r="AC185" s="13" t="s">
        <v>62</v>
      </c>
      <c r="AD185" s="13" t="s">
        <v>62</v>
      </c>
      <c r="AE185" s="13" t="s">
        <v>62</v>
      </c>
      <c r="AF185" s="13" t="s">
        <v>62</v>
      </c>
      <c r="AG185" s="13" t="s">
        <v>62</v>
      </c>
      <c r="AH185" s="14" t="s">
        <v>62</v>
      </c>
      <c r="AI185" s="14" t="s">
        <v>62</v>
      </c>
      <c r="AJ185" s="14" t="s">
        <v>62</v>
      </c>
      <c r="AK185" s="14" t="s">
        <v>62</v>
      </c>
      <c r="AL185" s="14" t="s">
        <v>62</v>
      </c>
      <c r="AM185" s="14" t="s">
        <v>62</v>
      </c>
      <c r="AN185" s="14" t="s">
        <v>62</v>
      </c>
      <c r="AO185" s="14" t="s">
        <v>62</v>
      </c>
      <c r="AP185" s="14" t="s">
        <v>62</v>
      </c>
      <c r="AQ185" s="14" t="s">
        <v>62</v>
      </c>
      <c r="AR185" s="14" t="s">
        <v>62</v>
      </c>
      <c r="AS185" s="14" t="s">
        <v>62</v>
      </c>
      <c r="AT185" s="14" t="s">
        <v>62</v>
      </c>
      <c r="AU185" s="14" t="s">
        <v>62</v>
      </c>
      <c r="AV185" s="14" t="s">
        <v>62</v>
      </c>
      <c r="AW185" s="14" t="s">
        <v>62</v>
      </c>
      <c r="AX185" s="14" t="s">
        <v>62</v>
      </c>
      <c r="AY185" s="14" t="s">
        <v>62</v>
      </c>
      <c r="AZ185" s="14" t="s">
        <v>62</v>
      </c>
      <c r="BA185" s="14" t="s">
        <v>62</v>
      </c>
      <c r="BB185" s="13" t="s">
        <v>62</v>
      </c>
      <c r="BC185" s="14" t="s">
        <v>62</v>
      </c>
      <c r="BD185" s="14" t="s">
        <v>62</v>
      </c>
      <c r="BE185" s="14" t="s">
        <v>62</v>
      </c>
      <c r="BF185" s="13" t="s">
        <v>62</v>
      </c>
      <c r="BG185" s="13" t="s">
        <v>62</v>
      </c>
      <c r="BH185" s="14" t="s">
        <v>62</v>
      </c>
      <c r="BI185" s="14" t="s">
        <v>62</v>
      </c>
      <c r="BJ185" s="15" t="s">
        <v>62</v>
      </c>
      <c r="BM185" s="35" t="s">
        <v>24</v>
      </c>
      <c r="BN185" s="16">
        <v>947.30160000000001</v>
      </c>
      <c r="BO185" s="14">
        <v>1238.7816</v>
      </c>
      <c r="BP185" s="14">
        <v>759.78</v>
      </c>
      <c r="BQ185" s="14">
        <v>759.78</v>
      </c>
      <c r="BR185" s="14">
        <v>804.85439999999994</v>
      </c>
      <c r="BS185" s="14">
        <v>2521.3355999999999</v>
      </c>
      <c r="BT185" s="14">
        <v>2615.9196000000002</v>
      </c>
      <c r="BU185" s="14">
        <v>2521.3355999999999</v>
      </c>
      <c r="BV185" s="14">
        <v>789.83519999999999</v>
      </c>
      <c r="BW185" s="14">
        <v>789.83519999999999</v>
      </c>
      <c r="BX185" s="14">
        <v>2641.5563999999999</v>
      </c>
      <c r="BY185" s="14">
        <v>2641.5563999999999</v>
      </c>
      <c r="BZ185" s="14">
        <v>1312.3152</v>
      </c>
      <c r="CA185" s="14">
        <v>1467.1692</v>
      </c>
      <c r="CB185" s="14">
        <v>2037.4284</v>
      </c>
      <c r="CC185" s="13">
        <v>698.89679999999998</v>
      </c>
      <c r="CD185" s="13">
        <v>692.31119999999999</v>
      </c>
      <c r="CE185" s="13">
        <v>712.05960000000005</v>
      </c>
      <c r="CF185" s="13">
        <v>679.14</v>
      </c>
      <c r="CG185" s="13">
        <v>692.53800000000001</v>
      </c>
      <c r="CH185" s="13">
        <v>1045.8335999999999</v>
      </c>
      <c r="CI185" s="13">
        <v>685.72559999999999</v>
      </c>
      <c r="CJ185" s="13">
        <v>890.16480000000001</v>
      </c>
      <c r="CK185" s="12">
        <v>0</v>
      </c>
      <c r="CL185" s="13">
        <v>813.83399999999995</v>
      </c>
      <c r="CM185" s="13">
        <v>799.05840000000001</v>
      </c>
      <c r="CN185" s="13">
        <v>769.49879999999996</v>
      </c>
      <c r="CO185" s="13">
        <v>762.10679999999991</v>
      </c>
      <c r="CP185" s="13">
        <v>478.57319999999999</v>
      </c>
      <c r="CQ185" s="13">
        <v>949.07399999999984</v>
      </c>
      <c r="CR185" s="13">
        <v>949.07399999999984</v>
      </c>
      <c r="CS185" s="13">
        <v>949.07399999999984</v>
      </c>
      <c r="CT185" s="14">
        <v>1572.3036</v>
      </c>
      <c r="CU185" s="14">
        <v>1778.0279999999998</v>
      </c>
      <c r="CV185" s="14">
        <v>1572.3036</v>
      </c>
      <c r="CW185" s="14">
        <v>1829.7803999999999</v>
      </c>
      <c r="CX185" s="14">
        <v>1477.6692</v>
      </c>
      <c r="CY185" s="14">
        <v>1477.6692</v>
      </c>
      <c r="CZ185" s="14">
        <v>1477.6692</v>
      </c>
      <c r="DA185" s="14">
        <v>1242.1332</v>
      </c>
      <c r="DB185" s="14">
        <v>1266.2328</v>
      </c>
      <c r="DC185" s="14">
        <v>1469.2607999999998</v>
      </c>
      <c r="DD185" s="14">
        <v>1218.2772</v>
      </c>
      <c r="DE185" s="14">
        <v>1218.2772</v>
      </c>
      <c r="DF185" s="14">
        <v>1218.2772</v>
      </c>
      <c r="DG185" s="14">
        <v>1265.3676</v>
      </c>
      <c r="DH185" s="14">
        <v>890.16480000000001</v>
      </c>
      <c r="DI185" s="14">
        <v>890.16480000000001</v>
      </c>
      <c r="DJ185" s="14">
        <v>1289.4503999999999</v>
      </c>
      <c r="DK185" s="14">
        <v>0</v>
      </c>
      <c r="DL185" s="14">
        <v>3704.1143999999999</v>
      </c>
      <c r="DM185" s="14">
        <v>1016.9796</v>
      </c>
      <c r="DN185" s="13">
        <v>873.54960000000005</v>
      </c>
      <c r="DO185" s="14">
        <v>1205.1564000000001</v>
      </c>
      <c r="DP185" s="14">
        <v>1289.4503999999999</v>
      </c>
      <c r="DQ185" s="14">
        <v>1277.4048</v>
      </c>
      <c r="DR185" s="13">
        <v>1481.4911999999999</v>
      </c>
      <c r="DS185" s="13">
        <v>1026.4884</v>
      </c>
      <c r="DT185" s="14">
        <v>2777.8128000000002</v>
      </c>
      <c r="DU185" s="14">
        <v>2081.7719999999999</v>
      </c>
      <c r="DV185" s="15">
        <v>2081.7719999999999</v>
      </c>
      <c r="DY185" s="35" t="s">
        <v>24</v>
      </c>
      <c r="DZ185" s="16">
        <v>6.2500000000000003E-3</v>
      </c>
      <c r="EA185" s="14">
        <v>6.2500000000000003E-3</v>
      </c>
      <c r="EB185" s="14">
        <v>6.2500000000000003E-3</v>
      </c>
      <c r="EC185" s="14">
        <v>6.2500000000000003E-3</v>
      </c>
      <c r="ED185" s="14">
        <v>6.2500000000000003E-3</v>
      </c>
      <c r="EE185" s="14">
        <v>6.2500000000000003E-3</v>
      </c>
      <c r="EF185" s="14">
        <v>6.2500000000000003E-3</v>
      </c>
      <c r="EG185" s="14">
        <v>6.2500000000000003E-3</v>
      </c>
      <c r="EH185" s="14">
        <v>6.2500000000000003E-3</v>
      </c>
      <c r="EI185" s="14">
        <v>6.2500000000000003E-3</v>
      </c>
      <c r="EJ185" s="14">
        <v>6.2500000000000003E-3</v>
      </c>
      <c r="EK185" s="14">
        <v>6.2500000000000003E-3</v>
      </c>
      <c r="EL185" s="14">
        <v>6.2500000000000003E-3</v>
      </c>
      <c r="EM185" s="14">
        <v>4.6511627906976744E-3</v>
      </c>
      <c r="EN185" s="14">
        <v>4.6511627906976744E-3</v>
      </c>
      <c r="EO185" s="13">
        <f t="shared" si="71"/>
        <v>1.2500000000000001E-2</v>
      </c>
      <c r="EP185" s="13">
        <f t="shared" si="71"/>
        <v>1.2500000000000001E-2</v>
      </c>
      <c r="EQ185" s="13">
        <f t="shared" si="71"/>
        <v>1.2500000000000001E-2</v>
      </c>
      <c r="ER185" s="13">
        <f t="shared" si="71"/>
        <v>1.2500000000000001E-2</v>
      </c>
      <c r="ES185" s="13">
        <f t="shared" si="71"/>
        <v>1.2500000000000001E-2</v>
      </c>
      <c r="ET185" s="13">
        <f t="shared" si="71"/>
        <v>1.2500000000000001E-2</v>
      </c>
      <c r="EU185" s="13">
        <f t="shared" si="71"/>
        <v>1.2500000000000001E-2</v>
      </c>
      <c r="EV185" s="13">
        <f t="shared" si="71"/>
        <v>1.2500000000000001E-2</v>
      </c>
      <c r="EW185" s="12">
        <v>0.6</v>
      </c>
      <c r="EX185" s="13">
        <f t="shared" si="68"/>
        <v>1.2500000000000001E-2</v>
      </c>
      <c r="EY185" s="13">
        <f t="shared" si="68"/>
        <v>1.2500000000000001E-2</v>
      </c>
      <c r="EZ185" s="13">
        <f t="shared" si="68"/>
        <v>1.2500000000000001E-2</v>
      </c>
      <c r="FA185" s="13">
        <f t="shared" si="68"/>
        <v>1.2500000000000001E-2</v>
      </c>
      <c r="FB185" s="13">
        <f t="shared" si="68"/>
        <v>1.2500000000000001E-2</v>
      </c>
      <c r="FC185" s="13">
        <f t="shared" si="68"/>
        <v>1.2500000000000001E-2</v>
      </c>
      <c r="FD185" s="13">
        <f t="shared" si="68"/>
        <v>1.2500000000000001E-2</v>
      </c>
      <c r="FE185" s="13">
        <f t="shared" si="68"/>
        <v>1.2500000000000001E-2</v>
      </c>
      <c r="FF185" s="14">
        <v>5.7142857142857143E-3</v>
      </c>
      <c r="FG185" s="14">
        <v>5.7142857142857143E-3</v>
      </c>
      <c r="FH185" s="14">
        <v>5.7142857142857143E-3</v>
      </c>
      <c r="FI185" s="14">
        <v>5.7142857142857143E-3</v>
      </c>
      <c r="FJ185" s="14">
        <v>5.7142857142857143E-3</v>
      </c>
      <c r="FK185" s="14">
        <v>5.7142857142857143E-3</v>
      </c>
      <c r="FL185" s="14">
        <v>5.7142857142857143E-3</v>
      </c>
      <c r="FM185" s="14">
        <v>4.7619047619047623E-3</v>
      </c>
      <c r="FN185" s="14">
        <v>4.7619047619047623E-3</v>
      </c>
      <c r="FO185" s="14">
        <v>4.7619047619047623E-3</v>
      </c>
      <c r="FP185" s="14">
        <v>5.7142857142857143E-3</v>
      </c>
      <c r="FQ185" s="14">
        <v>5.7142857142857143E-3</v>
      </c>
      <c r="FR185" s="14">
        <v>5.7142857142857143E-3</v>
      </c>
      <c r="FS185" s="14">
        <v>5.7142857142857143E-3</v>
      </c>
      <c r="FT185" s="14">
        <v>5.8823529411764705E-3</v>
      </c>
      <c r="FU185" s="14">
        <v>5.7142857142857143E-3</v>
      </c>
      <c r="FV185" s="14">
        <v>5.7142857142857143E-3</v>
      </c>
      <c r="FW185" s="14">
        <v>4.5454545454545461E-3</v>
      </c>
      <c r="FX185" s="14">
        <v>4.5454545454545461E-3</v>
      </c>
      <c r="FY185" s="14">
        <v>5.7142857142857143E-3</v>
      </c>
      <c r="FZ185" s="13">
        <f t="shared" si="72"/>
        <v>1.2500000000000001E-2</v>
      </c>
      <c r="GA185" s="14">
        <v>5.7142857142857143E-3</v>
      </c>
      <c r="GB185" s="14">
        <v>5.7142857142857143E-3</v>
      </c>
      <c r="GC185" s="14">
        <v>5.7142857142857143E-3</v>
      </c>
      <c r="GD185" s="13">
        <f t="shared" si="70"/>
        <v>1.2500000000000001E-2</v>
      </c>
      <c r="GE185" s="13">
        <f t="shared" si="70"/>
        <v>1.2500000000000001E-2</v>
      </c>
      <c r="GF185" s="14">
        <v>4.6511627906976744E-3</v>
      </c>
      <c r="GG185" s="14">
        <v>4.6511627906976744E-3</v>
      </c>
      <c r="GH185" s="15">
        <v>4.6511627906976744E-3</v>
      </c>
    </row>
    <row r="186" spans="1:190" x14ac:dyDescent="0.3">
      <c r="A186" s="35" t="s">
        <v>25</v>
      </c>
      <c r="B186" s="16" t="s">
        <v>62</v>
      </c>
      <c r="C186" s="14" t="s">
        <v>62</v>
      </c>
      <c r="D186" s="14" t="s">
        <v>62</v>
      </c>
      <c r="E186" s="14" t="s">
        <v>62</v>
      </c>
      <c r="F186" s="14" t="s">
        <v>62</v>
      </c>
      <c r="G186" s="14" t="s">
        <v>62</v>
      </c>
      <c r="H186" s="14" t="s">
        <v>62</v>
      </c>
      <c r="I186" s="14" t="s">
        <v>62</v>
      </c>
      <c r="J186" s="14" t="s">
        <v>62</v>
      </c>
      <c r="K186" s="14" t="s">
        <v>62</v>
      </c>
      <c r="L186" s="14" t="s">
        <v>62</v>
      </c>
      <c r="M186" s="14" t="s">
        <v>62</v>
      </c>
      <c r="N186" s="14" t="s">
        <v>62</v>
      </c>
      <c r="O186" s="14" t="s">
        <v>62</v>
      </c>
      <c r="P186" s="14" t="s">
        <v>62</v>
      </c>
      <c r="Q186" s="13" t="s">
        <v>62</v>
      </c>
      <c r="R186" s="13" t="s">
        <v>62</v>
      </c>
      <c r="S186" s="13" t="s">
        <v>62</v>
      </c>
      <c r="T186" s="13" t="s">
        <v>62</v>
      </c>
      <c r="U186" s="13" t="s">
        <v>62</v>
      </c>
      <c r="V186" s="13" t="s">
        <v>62</v>
      </c>
      <c r="W186" s="13" t="s">
        <v>62</v>
      </c>
      <c r="X186" s="13" t="s">
        <v>62</v>
      </c>
      <c r="Y186" s="13" t="s">
        <v>62</v>
      </c>
      <c r="Z186" s="12">
        <f>IF(AND(Distances!CM129=0,Distances!EY129=0),CL186*EX186*Z161*2,"")</f>
        <v>0</v>
      </c>
      <c r="AA186" s="13" t="s">
        <v>62</v>
      </c>
      <c r="AB186" s="13" t="s">
        <v>62</v>
      </c>
      <c r="AC186" s="13" t="s">
        <v>62</v>
      </c>
      <c r="AD186" s="13" t="s">
        <v>62</v>
      </c>
      <c r="AE186" s="13" t="s">
        <v>62</v>
      </c>
      <c r="AF186" s="13" t="s">
        <v>62</v>
      </c>
      <c r="AG186" s="13" t="s">
        <v>62</v>
      </c>
      <c r="AH186" s="14" t="s">
        <v>62</v>
      </c>
      <c r="AI186" s="14" t="s">
        <v>62</v>
      </c>
      <c r="AJ186" s="14" t="s">
        <v>62</v>
      </c>
      <c r="AK186" s="14" t="s">
        <v>62</v>
      </c>
      <c r="AL186" s="14" t="s">
        <v>62</v>
      </c>
      <c r="AM186" s="14" t="s">
        <v>62</v>
      </c>
      <c r="AN186" s="14" t="s">
        <v>62</v>
      </c>
      <c r="AO186" s="14" t="s">
        <v>62</v>
      </c>
      <c r="AP186" s="14" t="s">
        <v>62</v>
      </c>
      <c r="AQ186" s="14" t="s">
        <v>62</v>
      </c>
      <c r="AR186" s="14" t="s">
        <v>62</v>
      </c>
      <c r="AS186" s="14" t="s">
        <v>62</v>
      </c>
      <c r="AT186" s="14" t="s">
        <v>62</v>
      </c>
      <c r="AU186" s="14" t="s">
        <v>62</v>
      </c>
      <c r="AV186" s="14" t="s">
        <v>62</v>
      </c>
      <c r="AW186" s="14" t="s">
        <v>62</v>
      </c>
      <c r="AX186" s="14" t="s">
        <v>62</v>
      </c>
      <c r="AY186" s="14" t="s">
        <v>62</v>
      </c>
      <c r="AZ186" s="14" t="s">
        <v>62</v>
      </c>
      <c r="BA186" s="14" t="s">
        <v>62</v>
      </c>
      <c r="BB186" s="13" t="s">
        <v>62</v>
      </c>
      <c r="BC186" s="14" t="s">
        <v>62</v>
      </c>
      <c r="BD186" s="14" t="s">
        <v>62</v>
      </c>
      <c r="BE186" s="14" t="s">
        <v>62</v>
      </c>
      <c r="BF186" s="13" t="s">
        <v>62</v>
      </c>
      <c r="BG186" s="13" t="s">
        <v>62</v>
      </c>
      <c r="BH186" s="14" t="s">
        <v>62</v>
      </c>
      <c r="BI186" s="14" t="s">
        <v>62</v>
      </c>
      <c r="BJ186" s="15" t="s">
        <v>62</v>
      </c>
      <c r="BM186" s="35" t="s">
        <v>25</v>
      </c>
      <c r="BN186" s="16">
        <v>1409.7803999999999</v>
      </c>
      <c r="BO186" s="14">
        <v>1696.1532</v>
      </c>
      <c r="BP186" s="14">
        <v>941.67359999999996</v>
      </c>
      <c r="BQ186" s="14">
        <v>941.67359999999996</v>
      </c>
      <c r="BR186" s="14">
        <v>997.55879999999991</v>
      </c>
      <c r="BS186" s="14">
        <v>2435.8488000000002</v>
      </c>
      <c r="BT186" s="14">
        <v>2539.3535999999999</v>
      </c>
      <c r="BU186" s="14">
        <v>2435.8488000000002</v>
      </c>
      <c r="BV186" s="14">
        <v>978.9276000000001</v>
      </c>
      <c r="BW186" s="14">
        <v>978.9276000000001</v>
      </c>
      <c r="BX186" s="14">
        <v>2565.9143999999997</v>
      </c>
      <c r="BY186" s="14">
        <v>2565.9143999999997</v>
      </c>
      <c r="BZ186" s="14">
        <v>1796.8524</v>
      </c>
      <c r="CA186" s="14">
        <v>1151.7323999999999</v>
      </c>
      <c r="CB186" s="14">
        <v>1719.4295999999999</v>
      </c>
      <c r="CC186" s="13">
        <v>837.50519999999995</v>
      </c>
      <c r="CD186" s="13">
        <v>829.61759999999992</v>
      </c>
      <c r="CE186" s="13">
        <v>853.28880000000004</v>
      </c>
      <c r="CF186" s="13">
        <v>813.83399999999995</v>
      </c>
      <c r="CG186" s="13">
        <v>706.70039999999995</v>
      </c>
      <c r="CH186" s="13">
        <v>755.6472</v>
      </c>
      <c r="CI186" s="13">
        <v>821.72159999999997</v>
      </c>
      <c r="CJ186" s="13">
        <v>1041.7007999999998</v>
      </c>
      <c r="CK186" s="13">
        <v>813.83399999999995</v>
      </c>
      <c r="CL186" s="12">
        <v>0</v>
      </c>
      <c r="CM186" s="13">
        <v>755.6472</v>
      </c>
      <c r="CN186" s="13">
        <v>727.69199999999989</v>
      </c>
      <c r="CO186" s="13">
        <v>720.70320000000004</v>
      </c>
      <c r="CP186" s="13">
        <v>1075.5107999999998</v>
      </c>
      <c r="CQ186" s="13">
        <v>934.81920000000002</v>
      </c>
      <c r="CR186" s="13">
        <v>934.81920000000002</v>
      </c>
      <c r="CS186" s="13">
        <v>934.81920000000002</v>
      </c>
      <c r="CT186" s="14">
        <v>833.72519999999997</v>
      </c>
      <c r="CU186" s="14">
        <v>1316.5319999999999</v>
      </c>
      <c r="CV186" s="14">
        <v>833.72519999999997</v>
      </c>
      <c r="CW186" s="14">
        <v>1354.8444</v>
      </c>
      <c r="CX186" s="14">
        <v>480.29519999999997</v>
      </c>
      <c r="CY186" s="14">
        <v>480.29519999999997</v>
      </c>
      <c r="CZ186" s="14">
        <v>480.29519999999997</v>
      </c>
      <c r="DA186" s="14">
        <v>1068.7992000000002</v>
      </c>
      <c r="DB186" s="14">
        <v>1089.5303999999999</v>
      </c>
      <c r="DC186" s="14">
        <v>1389.8724</v>
      </c>
      <c r="DD186" s="14">
        <v>1119.3335999999999</v>
      </c>
      <c r="DE186" s="14">
        <v>1119.3335999999999</v>
      </c>
      <c r="DF186" s="14">
        <v>1119.3335999999999</v>
      </c>
      <c r="DG186" s="14">
        <v>1089.5303999999999</v>
      </c>
      <c r="DH186" s="14">
        <v>1041.7007999999998</v>
      </c>
      <c r="DI186" s="14">
        <v>1041.7007999999998</v>
      </c>
      <c r="DJ186" s="14">
        <v>1110.27</v>
      </c>
      <c r="DK186" s="14">
        <v>0</v>
      </c>
      <c r="DL186" s="14">
        <v>3274.3368</v>
      </c>
      <c r="DM186" s="14">
        <v>833.43119999999988</v>
      </c>
      <c r="DN186" s="13">
        <v>1022.2464</v>
      </c>
      <c r="DO186" s="14">
        <v>1037.7023999999999</v>
      </c>
      <c r="DP186" s="14">
        <v>1110.27</v>
      </c>
      <c r="DQ186" s="14">
        <v>1099.896</v>
      </c>
      <c r="DR186" s="13">
        <v>1180.7796000000001</v>
      </c>
      <c r="DS186" s="13">
        <v>741.66960000000006</v>
      </c>
      <c r="DT186" s="14">
        <v>2526.3083999999999</v>
      </c>
      <c r="DU186" s="14">
        <v>1819.3224</v>
      </c>
      <c r="DV186" s="15">
        <v>1819.3224</v>
      </c>
      <c r="DY186" s="35" t="s">
        <v>25</v>
      </c>
      <c r="DZ186" s="16">
        <v>6.2500000000000003E-3</v>
      </c>
      <c r="EA186" s="14">
        <v>6.2500000000000003E-3</v>
      </c>
      <c r="EB186" s="14">
        <v>6.2500000000000003E-3</v>
      </c>
      <c r="EC186" s="14">
        <v>6.2500000000000003E-3</v>
      </c>
      <c r="ED186" s="14">
        <v>6.2500000000000003E-3</v>
      </c>
      <c r="EE186" s="14">
        <v>6.2500000000000003E-3</v>
      </c>
      <c r="EF186" s="14">
        <v>6.2500000000000003E-3</v>
      </c>
      <c r="EG186" s="14">
        <v>6.2500000000000003E-3</v>
      </c>
      <c r="EH186" s="14">
        <v>6.2500000000000003E-3</v>
      </c>
      <c r="EI186" s="14">
        <v>6.2500000000000003E-3</v>
      </c>
      <c r="EJ186" s="14">
        <v>6.2500000000000003E-3</v>
      </c>
      <c r="EK186" s="14">
        <v>6.2500000000000003E-3</v>
      </c>
      <c r="EL186" s="14">
        <v>6.2500000000000003E-3</v>
      </c>
      <c r="EM186" s="14">
        <v>4.6511627906976744E-3</v>
      </c>
      <c r="EN186" s="14">
        <v>4.6511627906976744E-3</v>
      </c>
      <c r="EO186" s="13">
        <f t="shared" si="71"/>
        <v>1.2500000000000001E-2</v>
      </c>
      <c r="EP186" s="13">
        <f t="shared" si="71"/>
        <v>1.2500000000000001E-2</v>
      </c>
      <c r="EQ186" s="13">
        <f t="shared" si="71"/>
        <v>1.2500000000000001E-2</v>
      </c>
      <c r="ER186" s="13">
        <f t="shared" si="71"/>
        <v>1.2500000000000001E-2</v>
      </c>
      <c r="ES186" s="13">
        <f t="shared" si="71"/>
        <v>1.2500000000000001E-2</v>
      </c>
      <c r="ET186" s="13">
        <f t="shared" si="71"/>
        <v>1.2500000000000001E-2</v>
      </c>
      <c r="EU186" s="13">
        <f t="shared" si="71"/>
        <v>1.2500000000000001E-2</v>
      </c>
      <c r="EV186" s="13">
        <f t="shared" si="71"/>
        <v>1.2500000000000001E-2</v>
      </c>
      <c r="EW186" s="13">
        <f t="shared" si="71"/>
        <v>1.2500000000000001E-2</v>
      </c>
      <c r="EX186" s="12">
        <v>0.6</v>
      </c>
      <c r="EY186" s="13">
        <f t="shared" si="68"/>
        <v>1.2500000000000001E-2</v>
      </c>
      <c r="EZ186" s="13">
        <f t="shared" si="68"/>
        <v>1.2500000000000001E-2</v>
      </c>
      <c r="FA186" s="13">
        <f t="shared" si="68"/>
        <v>1.2500000000000001E-2</v>
      </c>
      <c r="FB186" s="13">
        <f t="shared" si="68"/>
        <v>1.2500000000000001E-2</v>
      </c>
      <c r="FC186" s="13">
        <f t="shared" si="68"/>
        <v>1.2500000000000001E-2</v>
      </c>
      <c r="FD186" s="13">
        <f t="shared" si="68"/>
        <v>1.2500000000000001E-2</v>
      </c>
      <c r="FE186" s="13">
        <f t="shared" si="68"/>
        <v>1.2500000000000001E-2</v>
      </c>
      <c r="FF186" s="14">
        <v>5.7142857142857143E-3</v>
      </c>
      <c r="FG186" s="14">
        <v>5.7142857142857143E-3</v>
      </c>
      <c r="FH186" s="14">
        <v>5.7142857142857143E-3</v>
      </c>
      <c r="FI186" s="14">
        <v>5.7142857142857143E-3</v>
      </c>
      <c r="FJ186" s="14">
        <v>5.7142857142857143E-3</v>
      </c>
      <c r="FK186" s="14">
        <v>5.7142857142857143E-3</v>
      </c>
      <c r="FL186" s="14">
        <v>5.7142857142857143E-3</v>
      </c>
      <c r="FM186" s="14">
        <v>4.7619047619047623E-3</v>
      </c>
      <c r="FN186" s="14">
        <v>4.7619047619047623E-3</v>
      </c>
      <c r="FO186" s="14">
        <v>4.7619047619047623E-3</v>
      </c>
      <c r="FP186" s="14">
        <v>5.7142857142857143E-3</v>
      </c>
      <c r="FQ186" s="14">
        <v>5.7142857142857143E-3</v>
      </c>
      <c r="FR186" s="14">
        <v>5.7142857142857143E-3</v>
      </c>
      <c r="FS186" s="14">
        <v>5.7142857142857143E-3</v>
      </c>
      <c r="FT186" s="14">
        <v>5.8823529411764705E-3</v>
      </c>
      <c r="FU186" s="14">
        <v>5.7142857142857143E-3</v>
      </c>
      <c r="FV186" s="14">
        <v>5.7142857142857143E-3</v>
      </c>
      <c r="FW186" s="14">
        <v>4.5454545454545461E-3</v>
      </c>
      <c r="FX186" s="14">
        <v>4.5454545454545461E-3</v>
      </c>
      <c r="FY186" s="14">
        <v>5.7142857142857143E-3</v>
      </c>
      <c r="FZ186" s="13">
        <f t="shared" si="72"/>
        <v>1.2500000000000001E-2</v>
      </c>
      <c r="GA186" s="14">
        <v>5.7142857142857143E-3</v>
      </c>
      <c r="GB186" s="14">
        <v>5.7142857142857143E-3</v>
      </c>
      <c r="GC186" s="14">
        <v>5.7142857142857143E-3</v>
      </c>
      <c r="GD186" s="13">
        <f t="shared" si="70"/>
        <v>1.2500000000000001E-2</v>
      </c>
      <c r="GE186" s="13">
        <f t="shared" si="70"/>
        <v>1.2500000000000001E-2</v>
      </c>
      <c r="GF186" s="14">
        <v>4.6511627906976744E-3</v>
      </c>
      <c r="GG186" s="14">
        <v>4.6511627906976744E-3</v>
      </c>
      <c r="GH186" s="15">
        <v>4.6511627906976744E-3</v>
      </c>
    </row>
    <row r="187" spans="1:190" x14ac:dyDescent="0.3">
      <c r="A187" s="35" t="s">
        <v>26</v>
      </c>
      <c r="B187" s="16" t="s">
        <v>62</v>
      </c>
      <c r="C187" s="14" t="s">
        <v>62</v>
      </c>
      <c r="D187" s="14" t="s">
        <v>62</v>
      </c>
      <c r="E187" s="14" t="s">
        <v>62</v>
      </c>
      <c r="F187" s="14" t="s">
        <v>62</v>
      </c>
      <c r="G187" s="14" t="s">
        <v>62</v>
      </c>
      <c r="H187" s="14" t="s">
        <v>62</v>
      </c>
      <c r="I187" s="14" t="s">
        <v>62</v>
      </c>
      <c r="J187" s="14" t="s">
        <v>62</v>
      </c>
      <c r="K187" s="14" t="s">
        <v>62</v>
      </c>
      <c r="L187" s="14" t="s">
        <v>62</v>
      </c>
      <c r="M187" s="14" t="s">
        <v>62</v>
      </c>
      <c r="N187" s="14" t="s">
        <v>62</v>
      </c>
      <c r="O187" s="14" t="s">
        <v>62</v>
      </c>
      <c r="P187" s="14" t="s">
        <v>62</v>
      </c>
      <c r="Q187" s="13" t="s">
        <v>62</v>
      </c>
      <c r="R187" s="13" t="s">
        <v>62</v>
      </c>
      <c r="S187" s="13" t="s">
        <v>62</v>
      </c>
      <c r="T187" s="13" t="s">
        <v>62</v>
      </c>
      <c r="U187" s="13" t="s">
        <v>62</v>
      </c>
      <c r="V187" s="13" t="s">
        <v>62</v>
      </c>
      <c r="W187" s="13" t="s">
        <v>62</v>
      </c>
      <c r="X187" s="13" t="s">
        <v>62</v>
      </c>
      <c r="Y187" s="13" t="s">
        <v>62</v>
      </c>
      <c r="Z187" s="13" t="s">
        <v>62</v>
      </c>
      <c r="AA187" s="12">
        <f>IF(AND(Distances!CN130=0,Distances!EZ130=0),CM187*EY187*AA161*2,"")</f>
        <v>0</v>
      </c>
      <c r="AB187" s="13" t="s">
        <v>62</v>
      </c>
      <c r="AC187" s="13" t="s">
        <v>62</v>
      </c>
      <c r="AD187" s="13" t="s">
        <v>62</v>
      </c>
      <c r="AE187" s="13" t="s">
        <v>62</v>
      </c>
      <c r="AF187" s="13" t="s">
        <v>62</v>
      </c>
      <c r="AG187" s="13" t="s">
        <v>62</v>
      </c>
      <c r="AH187" s="14" t="s">
        <v>62</v>
      </c>
      <c r="AI187" s="14" t="s">
        <v>62</v>
      </c>
      <c r="AJ187" s="14" t="s">
        <v>62</v>
      </c>
      <c r="AK187" s="14" t="s">
        <v>62</v>
      </c>
      <c r="AL187" s="14" t="s">
        <v>62</v>
      </c>
      <c r="AM187" s="14" t="s">
        <v>62</v>
      </c>
      <c r="AN187" s="14" t="s">
        <v>62</v>
      </c>
      <c r="AO187" s="14" t="s">
        <v>62</v>
      </c>
      <c r="AP187" s="14" t="s">
        <v>62</v>
      </c>
      <c r="AQ187" s="14" t="s">
        <v>62</v>
      </c>
      <c r="AR187" s="14" t="s">
        <v>62</v>
      </c>
      <c r="AS187" s="14" t="s">
        <v>62</v>
      </c>
      <c r="AT187" s="14" t="s">
        <v>62</v>
      </c>
      <c r="AU187" s="14" t="s">
        <v>62</v>
      </c>
      <c r="AV187" s="14" t="s">
        <v>62</v>
      </c>
      <c r="AW187" s="14" t="s">
        <v>62</v>
      </c>
      <c r="AX187" s="14" t="s">
        <v>62</v>
      </c>
      <c r="AY187" s="14" t="s">
        <v>62</v>
      </c>
      <c r="AZ187" s="14" t="s">
        <v>62</v>
      </c>
      <c r="BA187" s="14" t="s">
        <v>62</v>
      </c>
      <c r="BB187" s="13" t="s">
        <v>62</v>
      </c>
      <c r="BC187" s="14" t="s">
        <v>62</v>
      </c>
      <c r="BD187" s="14" t="s">
        <v>62</v>
      </c>
      <c r="BE187" s="14" t="s">
        <v>62</v>
      </c>
      <c r="BF187" s="13" t="s">
        <v>62</v>
      </c>
      <c r="BG187" s="13" t="s">
        <v>62</v>
      </c>
      <c r="BH187" s="14" t="s">
        <v>62</v>
      </c>
      <c r="BI187" s="14" t="s">
        <v>62</v>
      </c>
      <c r="BJ187" s="15" t="s">
        <v>62</v>
      </c>
      <c r="BM187" s="35" t="s">
        <v>26</v>
      </c>
      <c r="BN187" s="16">
        <v>1384.1604</v>
      </c>
      <c r="BO187" s="14">
        <v>1665.3335999999999</v>
      </c>
      <c r="BP187" s="14">
        <v>924.57119999999998</v>
      </c>
      <c r="BQ187" s="14">
        <v>924.57119999999998</v>
      </c>
      <c r="BR187" s="14">
        <v>979.43999999999994</v>
      </c>
      <c r="BS187" s="14">
        <v>2391.5807999999997</v>
      </c>
      <c r="BT187" s="14">
        <v>2493.1956</v>
      </c>
      <c r="BU187" s="14">
        <v>2391.5807999999997</v>
      </c>
      <c r="BV187" s="14">
        <v>961.15319999999997</v>
      </c>
      <c r="BW187" s="14">
        <v>961.15319999999997</v>
      </c>
      <c r="BX187" s="14">
        <v>2517.6311999999998</v>
      </c>
      <c r="BY187" s="14">
        <v>2517.6311999999998</v>
      </c>
      <c r="BZ187" s="14">
        <v>1764.2015999999996</v>
      </c>
      <c r="CA187" s="14">
        <v>1130.808</v>
      </c>
      <c r="CB187" s="14">
        <v>1688.1899999999998</v>
      </c>
      <c r="CC187" s="13">
        <v>822.30119999999988</v>
      </c>
      <c r="CD187" s="13">
        <v>814.548</v>
      </c>
      <c r="CE187" s="13">
        <v>837.79079999999999</v>
      </c>
      <c r="CF187" s="13">
        <v>799.05840000000001</v>
      </c>
      <c r="CG187" s="13">
        <v>693.89880000000005</v>
      </c>
      <c r="CH187" s="13">
        <v>741.92160000000001</v>
      </c>
      <c r="CI187" s="13">
        <v>806.80319999999995</v>
      </c>
      <c r="CJ187" s="13">
        <v>1022.7755999999999</v>
      </c>
      <c r="CK187" s="13">
        <v>799.05840000000001</v>
      </c>
      <c r="CL187" s="13">
        <v>755.6472</v>
      </c>
      <c r="CM187" s="12">
        <v>0</v>
      </c>
      <c r="CN187" s="13">
        <v>714.47879999999998</v>
      </c>
      <c r="CO187" s="13">
        <v>707.62439999999992</v>
      </c>
      <c r="CP187" s="13">
        <v>1055.9807999999998</v>
      </c>
      <c r="CQ187" s="13">
        <v>917.84280000000001</v>
      </c>
      <c r="CR187" s="13">
        <v>917.84280000000001</v>
      </c>
      <c r="CS187" s="13">
        <v>917.84280000000001</v>
      </c>
      <c r="CT187" s="14">
        <v>818.57999999999993</v>
      </c>
      <c r="CU187" s="14">
        <v>1292.6088</v>
      </c>
      <c r="CV187" s="14">
        <v>818.57999999999993</v>
      </c>
      <c r="CW187" s="14">
        <v>1330.2323999999999</v>
      </c>
      <c r="CX187" s="14">
        <v>471.58439999999996</v>
      </c>
      <c r="CY187" s="14">
        <v>471.58439999999996</v>
      </c>
      <c r="CZ187" s="14">
        <v>471.58439999999996</v>
      </c>
      <c r="DA187" s="14">
        <v>1049.3868</v>
      </c>
      <c r="DB187" s="14">
        <v>1069.74</v>
      </c>
      <c r="DC187" s="14">
        <v>1364.6219999999998</v>
      </c>
      <c r="DD187" s="14">
        <v>1098.9971999999998</v>
      </c>
      <c r="DE187" s="14">
        <v>1098.9971999999998</v>
      </c>
      <c r="DF187" s="14">
        <v>1098.9971999999998</v>
      </c>
      <c r="DG187" s="14">
        <v>1069.74</v>
      </c>
      <c r="DH187" s="14">
        <v>1022.7755999999999</v>
      </c>
      <c r="DI187" s="14">
        <v>1022.7755999999999</v>
      </c>
      <c r="DJ187" s="14">
        <v>1090.1016</v>
      </c>
      <c r="DK187" s="14">
        <v>0</v>
      </c>
      <c r="DL187" s="14">
        <v>3214.8143999999998</v>
      </c>
      <c r="DM187" s="14">
        <v>818.30279999999993</v>
      </c>
      <c r="DN187" s="13">
        <v>1003.6823999999999</v>
      </c>
      <c r="DO187" s="14">
        <v>1018.8528</v>
      </c>
      <c r="DP187" s="14">
        <v>1090.1016</v>
      </c>
      <c r="DQ187" s="14">
        <v>1079.9207999999999</v>
      </c>
      <c r="DR187" s="13">
        <v>1159.326</v>
      </c>
      <c r="DS187" s="13">
        <v>728.20439999999996</v>
      </c>
      <c r="DT187" s="14">
        <v>2480.3939999999998</v>
      </c>
      <c r="DU187" s="14">
        <v>1786.2684000000002</v>
      </c>
      <c r="DV187" s="15">
        <v>1786.2684000000002</v>
      </c>
      <c r="DY187" s="35" t="s">
        <v>26</v>
      </c>
      <c r="DZ187" s="16">
        <v>6.2500000000000003E-3</v>
      </c>
      <c r="EA187" s="14">
        <v>6.2500000000000003E-3</v>
      </c>
      <c r="EB187" s="14">
        <v>6.2500000000000003E-3</v>
      </c>
      <c r="EC187" s="14">
        <v>6.2500000000000003E-3</v>
      </c>
      <c r="ED187" s="14">
        <v>6.2500000000000003E-3</v>
      </c>
      <c r="EE187" s="14">
        <v>6.2500000000000003E-3</v>
      </c>
      <c r="EF187" s="14">
        <v>6.2500000000000003E-3</v>
      </c>
      <c r="EG187" s="14">
        <v>6.2500000000000003E-3</v>
      </c>
      <c r="EH187" s="14">
        <v>6.2500000000000003E-3</v>
      </c>
      <c r="EI187" s="14">
        <v>6.2500000000000003E-3</v>
      </c>
      <c r="EJ187" s="14">
        <v>6.2500000000000003E-3</v>
      </c>
      <c r="EK187" s="14">
        <v>6.2500000000000003E-3</v>
      </c>
      <c r="EL187" s="14">
        <v>6.2500000000000003E-3</v>
      </c>
      <c r="EM187" s="14">
        <v>4.6511627906976744E-3</v>
      </c>
      <c r="EN187" s="14">
        <v>4.6511627906976744E-3</v>
      </c>
      <c r="EO187" s="13">
        <f t="shared" si="71"/>
        <v>1.2500000000000001E-2</v>
      </c>
      <c r="EP187" s="13">
        <f t="shared" si="71"/>
        <v>1.2500000000000001E-2</v>
      </c>
      <c r="EQ187" s="13">
        <f t="shared" si="71"/>
        <v>1.2500000000000001E-2</v>
      </c>
      <c r="ER187" s="13">
        <f t="shared" si="71"/>
        <v>1.2500000000000001E-2</v>
      </c>
      <c r="ES187" s="13">
        <f t="shared" si="71"/>
        <v>1.2500000000000001E-2</v>
      </c>
      <c r="ET187" s="13">
        <f t="shared" si="71"/>
        <v>1.2500000000000001E-2</v>
      </c>
      <c r="EU187" s="13">
        <f t="shared" si="71"/>
        <v>1.2500000000000001E-2</v>
      </c>
      <c r="EV187" s="13">
        <f t="shared" si="71"/>
        <v>1.2500000000000001E-2</v>
      </c>
      <c r="EW187" s="13">
        <f t="shared" si="71"/>
        <v>1.2500000000000001E-2</v>
      </c>
      <c r="EX187" s="13">
        <f t="shared" si="71"/>
        <v>1.2500000000000001E-2</v>
      </c>
      <c r="EY187" s="12">
        <v>0.6</v>
      </c>
      <c r="EZ187" s="13">
        <f t="shared" si="68"/>
        <v>1.2500000000000001E-2</v>
      </c>
      <c r="FA187" s="13">
        <f t="shared" si="68"/>
        <v>1.2500000000000001E-2</v>
      </c>
      <c r="FB187" s="13">
        <f t="shared" si="68"/>
        <v>1.2500000000000001E-2</v>
      </c>
      <c r="FC187" s="13">
        <f t="shared" si="68"/>
        <v>1.2500000000000001E-2</v>
      </c>
      <c r="FD187" s="13">
        <f t="shared" si="68"/>
        <v>1.2500000000000001E-2</v>
      </c>
      <c r="FE187" s="13">
        <f t="shared" si="68"/>
        <v>1.2500000000000001E-2</v>
      </c>
      <c r="FF187" s="14">
        <v>5.7142857142857143E-3</v>
      </c>
      <c r="FG187" s="14">
        <v>5.7142857142857143E-3</v>
      </c>
      <c r="FH187" s="14">
        <v>5.7142857142857143E-3</v>
      </c>
      <c r="FI187" s="14">
        <v>5.7142857142857143E-3</v>
      </c>
      <c r="FJ187" s="14">
        <v>5.7142857142857143E-3</v>
      </c>
      <c r="FK187" s="14">
        <v>5.7142857142857143E-3</v>
      </c>
      <c r="FL187" s="14">
        <v>5.7142857142857143E-3</v>
      </c>
      <c r="FM187" s="14">
        <v>4.7619047619047623E-3</v>
      </c>
      <c r="FN187" s="14">
        <v>4.7619047619047623E-3</v>
      </c>
      <c r="FO187" s="14">
        <v>4.7619047619047623E-3</v>
      </c>
      <c r="FP187" s="14">
        <v>5.7142857142857143E-3</v>
      </c>
      <c r="FQ187" s="14">
        <v>5.7142857142857143E-3</v>
      </c>
      <c r="FR187" s="14">
        <v>5.7142857142857143E-3</v>
      </c>
      <c r="FS187" s="14">
        <v>5.7142857142857143E-3</v>
      </c>
      <c r="FT187" s="14">
        <v>5.8823529411764705E-3</v>
      </c>
      <c r="FU187" s="14">
        <v>5.7142857142857143E-3</v>
      </c>
      <c r="FV187" s="14">
        <v>5.7142857142857143E-3</v>
      </c>
      <c r="FW187" s="14">
        <v>4.5454545454545461E-3</v>
      </c>
      <c r="FX187" s="14">
        <v>4.5454545454545461E-3</v>
      </c>
      <c r="FY187" s="14">
        <v>5.7142857142857143E-3</v>
      </c>
      <c r="FZ187" s="13">
        <f t="shared" si="72"/>
        <v>1.2500000000000001E-2</v>
      </c>
      <c r="GA187" s="14">
        <v>5.7142857142857143E-3</v>
      </c>
      <c r="GB187" s="14">
        <v>5.7142857142857143E-3</v>
      </c>
      <c r="GC187" s="14">
        <v>5.7142857142857143E-3</v>
      </c>
      <c r="GD187" s="13">
        <f t="shared" si="70"/>
        <v>1.2500000000000001E-2</v>
      </c>
      <c r="GE187" s="13">
        <f t="shared" si="70"/>
        <v>1.2500000000000001E-2</v>
      </c>
      <c r="GF187" s="14">
        <v>4.6511627906976744E-3</v>
      </c>
      <c r="GG187" s="14">
        <v>4.6511627906976744E-3</v>
      </c>
      <c r="GH187" s="15">
        <v>4.6511627906976744E-3</v>
      </c>
    </row>
    <row r="188" spans="1:190" x14ac:dyDescent="0.3">
      <c r="A188" s="35" t="s">
        <v>27</v>
      </c>
      <c r="B188" s="16" t="s">
        <v>62</v>
      </c>
      <c r="C188" s="14" t="s">
        <v>62</v>
      </c>
      <c r="D188" s="14" t="s">
        <v>62</v>
      </c>
      <c r="E188" s="14" t="s">
        <v>62</v>
      </c>
      <c r="F188" s="14" t="s">
        <v>62</v>
      </c>
      <c r="G188" s="14" t="s">
        <v>62</v>
      </c>
      <c r="H188" s="14" t="s">
        <v>62</v>
      </c>
      <c r="I188" s="14" t="s">
        <v>62</v>
      </c>
      <c r="J188" s="14" t="s">
        <v>62</v>
      </c>
      <c r="K188" s="14" t="s">
        <v>62</v>
      </c>
      <c r="L188" s="14" t="s">
        <v>62</v>
      </c>
      <c r="M188" s="14" t="s">
        <v>62</v>
      </c>
      <c r="N188" s="14" t="s">
        <v>62</v>
      </c>
      <c r="O188" s="14" t="s">
        <v>62</v>
      </c>
      <c r="P188" s="14" t="s">
        <v>62</v>
      </c>
      <c r="Q188" s="13" t="s">
        <v>62</v>
      </c>
      <c r="R188" s="13" t="s">
        <v>62</v>
      </c>
      <c r="S188" s="13" t="s">
        <v>62</v>
      </c>
      <c r="T188" s="13" t="s">
        <v>62</v>
      </c>
      <c r="U188" s="13" t="s">
        <v>62</v>
      </c>
      <c r="V188" s="13" t="s">
        <v>62</v>
      </c>
      <c r="W188" s="13" t="s">
        <v>62</v>
      </c>
      <c r="X188" s="13" t="s">
        <v>62</v>
      </c>
      <c r="Y188" s="13" t="s">
        <v>62</v>
      </c>
      <c r="Z188" s="13" t="s">
        <v>62</v>
      </c>
      <c r="AA188" s="13" t="s">
        <v>62</v>
      </c>
      <c r="AB188" s="12">
        <f>IF(AND(Distances!CO131=0,Distances!FA131=0),CN188*EZ188*AB161*2,"")</f>
        <v>0</v>
      </c>
      <c r="AC188" s="13" t="s">
        <v>62</v>
      </c>
      <c r="AD188" s="13" t="s">
        <v>62</v>
      </c>
      <c r="AE188" s="13" t="s">
        <v>62</v>
      </c>
      <c r="AF188" s="13" t="s">
        <v>62</v>
      </c>
      <c r="AG188" s="13" t="s">
        <v>62</v>
      </c>
      <c r="AH188" s="14" t="s">
        <v>62</v>
      </c>
      <c r="AI188" s="14" t="s">
        <v>62</v>
      </c>
      <c r="AJ188" s="14" t="s">
        <v>62</v>
      </c>
      <c r="AK188" s="14" t="s">
        <v>62</v>
      </c>
      <c r="AL188" s="14" t="s">
        <v>62</v>
      </c>
      <c r="AM188" s="14" t="s">
        <v>62</v>
      </c>
      <c r="AN188" s="14" t="s">
        <v>62</v>
      </c>
      <c r="AO188" s="14" t="s">
        <v>62</v>
      </c>
      <c r="AP188" s="14" t="s">
        <v>62</v>
      </c>
      <c r="AQ188" s="14" t="s">
        <v>62</v>
      </c>
      <c r="AR188" s="14" t="s">
        <v>62</v>
      </c>
      <c r="AS188" s="14" t="s">
        <v>62</v>
      </c>
      <c r="AT188" s="14" t="s">
        <v>62</v>
      </c>
      <c r="AU188" s="14" t="s">
        <v>62</v>
      </c>
      <c r="AV188" s="14" t="s">
        <v>62</v>
      </c>
      <c r="AW188" s="14" t="s">
        <v>62</v>
      </c>
      <c r="AX188" s="14" t="s">
        <v>62</v>
      </c>
      <c r="AY188" s="14" t="s">
        <v>62</v>
      </c>
      <c r="AZ188" s="14" t="s">
        <v>62</v>
      </c>
      <c r="BA188" s="14" t="s">
        <v>62</v>
      </c>
      <c r="BB188" s="13" t="s">
        <v>62</v>
      </c>
      <c r="BC188" s="14" t="s">
        <v>62</v>
      </c>
      <c r="BD188" s="14" t="s">
        <v>62</v>
      </c>
      <c r="BE188" s="14" t="s">
        <v>62</v>
      </c>
      <c r="BF188" s="13" t="s">
        <v>62</v>
      </c>
      <c r="BG188" s="13" t="s">
        <v>62</v>
      </c>
      <c r="BH188" s="14" t="s">
        <v>62</v>
      </c>
      <c r="BI188" s="14" t="s">
        <v>62</v>
      </c>
      <c r="BJ188" s="15" t="s">
        <v>62</v>
      </c>
      <c r="BM188" s="35" t="s">
        <v>27</v>
      </c>
      <c r="BN188" s="16">
        <v>1332.9371999999998</v>
      </c>
      <c r="BO188" s="14">
        <v>1603.6944000000001</v>
      </c>
      <c r="BP188" s="14">
        <v>890.3664</v>
      </c>
      <c r="BQ188" s="14">
        <v>890.3664</v>
      </c>
      <c r="BR188" s="14">
        <v>943.2023999999999</v>
      </c>
      <c r="BS188" s="14">
        <v>2303.0364</v>
      </c>
      <c r="BT188" s="14">
        <v>2400.8964000000001</v>
      </c>
      <c r="BU188" s="14">
        <v>2303.0364</v>
      </c>
      <c r="BV188" s="14">
        <v>925.58760000000007</v>
      </c>
      <c r="BW188" s="14">
        <v>925.58760000000007</v>
      </c>
      <c r="BX188" s="14">
        <v>2424.4247999999998</v>
      </c>
      <c r="BY188" s="14">
        <v>2424.4247999999998</v>
      </c>
      <c r="BZ188" s="14">
        <v>1698.8999999999999</v>
      </c>
      <c r="CA188" s="14">
        <v>1088.9675999999999</v>
      </c>
      <c r="CB188" s="14">
        <v>1625.7023999999999</v>
      </c>
      <c r="CC188" s="13">
        <v>791.87639999999999</v>
      </c>
      <c r="CD188" s="13">
        <v>784.41719999999998</v>
      </c>
      <c r="CE188" s="13">
        <v>806.80319999999995</v>
      </c>
      <c r="CF188" s="13">
        <v>769.49879999999996</v>
      </c>
      <c r="CG188" s="13">
        <v>668.24519999999995</v>
      </c>
      <c r="CH188" s="13">
        <v>714.47879999999998</v>
      </c>
      <c r="CI188" s="13">
        <v>776.95799999999997</v>
      </c>
      <c r="CJ188" s="13">
        <v>984.93359999999996</v>
      </c>
      <c r="CK188" s="13">
        <v>769.49879999999996</v>
      </c>
      <c r="CL188" s="13">
        <v>727.69199999999989</v>
      </c>
      <c r="CM188" s="13">
        <v>714.47879999999998</v>
      </c>
      <c r="CN188" s="12">
        <v>0</v>
      </c>
      <c r="CO188" s="13">
        <v>681.44999999999993</v>
      </c>
      <c r="CP188" s="13">
        <v>1016.9039999999999</v>
      </c>
      <c r="CQ188" s="13">
        <v>883.88159999999993</v>
      </c>
      <c r="CR188" s="13">
        <v>883.88159999999993</v>
      </c>
      <c r="CS188" s="13">
        <v>883.88159999999993</v>
      </c>
      <c r="CT188" s="14">
        <v>788.30640000000005</v>
      </c>
      <c r="CU188" s="14">
        <v>1244.7791999999999</v>
      </c>
      <c r="CV188" s="14">
        <v>788.30640000000005</v>
      </c>
      <c r="CW188" s="14">
        <v>1281</v>
      </c>
      <c r="CX188" s="14">
        <v>454.15439999999995</v>
      </c>
      <c r="CY188" s="14">
        <v>454.15439999999995</v>
      </c>
      <c r="CZ188" s="14">
        <v>454.15439999999995</v>
      </c>
      <c r="DA188" s="14">
        <v>1010.5536</v>
      </c>
      <c r="DB188" s="14">
        <v>1030.1592000000001</v>
      </c>
      <c r="DC188" s="14">
        <v>1314.1128000000001</v>
      </c>
      <c r="DD188" s="14">
        <v>1058.3328000000001</v>
      </c>
      <c r="DE188" s="14">
        <v>1058.3328000000001</v>
      </c>
      <c r="DF188" s="14">
        <v>1058.3328000000001</v>
      </c>
      <c r="DG188" s="14">
        <v>1030.1592000000001</v>
      </c>
      <c r="DH188" s="14">
        <v>984.93359999999996</v>
      </c>
      <c r="DI188" s="14">
        <v>984.93359999999996</v>
      </c>
      <c r="DJ188" s="14">
        <v>1058.1648</v>
      </c>
      <c r="DK188" s="14">
        <v>0</v>
      </c>
      <c r="DL188" s="14">
        <v>3095.7864</v>
      </c>
      <c r="DM188" s="14">
        <v>788.02919999999995</v>
      </c>
      <c r="DN188" s="13">
        <v>966.54600000000005</v>
      </c>
      <c r="DO188" s="14">
        <v>981.15359999999998</v>
      </c>
      <c r="DP188" s="14">
        <v>1049.7647999999999</v>
      </c>
      <c r="DQ188" s="14">
        <v>1039.962</v>
      </c>
      <c r="DR188" s="13">
        <v>1116.4271999999999</v>
      </c>
      <c r="DS188" s="13">
        <v>701.26559999999995</v>
      </c>
      <c r="DT188" s="14">
        <v>2388.5652</v>
      </c>
      <c r="DU188" s="14">
        <v>1728.5436</v>
      </c>
      <c r="DV188" s="15">
        <v>1728.5436</v>
      </c>
      <c r="DY188" s="35" t="s">
        <v>27</v>
      </c>
      <c r="DZ188" s="16">
        <v>6.2500000000000003E-3</v>
      </c>
      <c r="EA188" s="14">
        <v>6.2500000000000003E-3</v>
      </c>
      <c r="EB188" s="14">
        <v>6.2500000000000003E-3</v>
      </c>
      <c r="EC188" s="14">
        <v>6.2500000000000003E-3</v>
      </c>
      <c r="ED188" s="14">
        <v>6.2500000000000003E-3</v>
      </c>
      <c r="EE188" s="14">
        <v>6.2500000000000003E-3</v>
      </c>
      <c r="EF188" s="14">
        <v>6.2500000000000003E-3</v>
      </c>
      <c r="EG188" s="14">
        <v>6.2500000000000003E-3</v>
      </c>
      <c r="EH188" s="14">
        <v>6.2500000000000003E-3</v>
      </c>
      <c r="EI188" s="14">
        <v>6.2500000000000003E-3</v>
      </c>
      <c r="EJ188" s="14">
        <v>6.2500000000000003E-3</v>
      </c>
      <c r="EK188" s="14">
        <v>6.2500000000000003E-3</v>
      </c>
      <c r="EL188" s="14">
        <v>6.2500000000000003E-3</v>
      </c>
      <c r="EM188" s="14">
        <v>4.6511627906976744E-3</v>
      </c>
      <c r="EN188" s="14">
        <v>4.6511627906976744E-3</v>
      </c>
      <c r="EO188" s="13">
        <f t="shared" si="71"/>
        <v>1.2500000000000001E-2</v>
      </c>
      <c r="EP188" s="13">
        <f t="shared" si="71"/>
        <v>1.2500000000000001E-2</v>
      </c>
      <c r="EQ188" s="13">
        <f t="shared" si="71"/>
        <v>1.2500000000000001E-2</v>
      </c>
      <c r="ER188" s="13">
        <f t="shared" si="71"/>
        <v>1.2500000000000001E-2</v>
      </c>
      <c r="ES188" s="13">
        <f t="shared" si="71"/>
        <v>1.2500000000000001E-2</v>
      </c>
      <c r="ET188" s="13">
        <f t="shared" si="71"/>
        <v>1.2500000000000001E-2</v>
      </c>
      <c r="EU188" s="13">
        <f t="shared" si="71"/>
        <v>1.2500000000000001E-2</v>
      </c>
      <c r="EV188" s="13">
        <f t="shared" si="71"/>
        <v>1.2500000000000001E-2</v>
      </c>
      <c r="EW188" s="13">
        <f t="shared" si="71"/>
        <v>1.2500000000000001E-2</v>
      </c>
      <c r="EX188" s="13">
        <f t="shared" si="71"/>
        <v>1.2500000000000001E-2</v>
      </c>
      <c r="EY188" s="13">
        <f t="shared" si="71"/>
        <v>1.2500000000000001E-2</v>
      </c>
      <c r="EZ188" s="12">
        <v>0.6</v>
      </c>
      <c r="FA188" s="13">
        <f t="shared" si="68"/>
        <v>1.2500000000000001E-2</v>
      </c>
      <c r="FB188" s="13">
        <f t="shared" si="68"/>
        <v>1.2500000000000001E-2</v>
      </c>
      <c r="FC188" s="13">
        <f t="shared" si="68"/>
        <v>1.2500000000000001E-2</v>
      </c>
      <c r="FD188" s="13">
        <f t="shared" si="68"/>
        <v>1.2500000000000001E-2</v>
      </c>
      <c r="FE188" s="13">
        <f t="shared" si="68"/>
        <v>1.2500000000000001E-2</v>
      </c>
      <c r="FF188" s="14">
        <v>5.7142857142857143E-3</v>
      </c>
      <c r="FG188" s="14">
        <v>5.7142857142857143E-3</v>
      </c>
      <c r="FH188" s="14">
        <v>5.7142857142857143E-3</v>
      </c>
      <c r="FI188" s="14">
        <v>5.7142857142857143E-3</v>
      </c>
      <c r="FJ188" s="14">
        <v>5.7142857142857143E-3</v>
      </c>
      <c r="FK188" s="14">
        <v>5.7142857142857143E-3</v>
      </c>
      <c r="FL188" s="14">
        <v>5.7142857142857143E-3</v>
      </c>
      <c r="FM188" s="14">
        <v>4.7619047619047623E-3</v>
      </c>
      <c r="FN188" s="14">
        <v>4.7619047619047623E-3</v>
      </c>
      <c r="FO188" s="14">
        <v>4.7619047619047623E-3</v>
      </c>
      <c r="FP188" s="14">
        <v>5.7142857142857143E-3</v>
      </c>
      <c r="FQ188" s="14">
        <v>5.7142857142857143E-3</v>
      </c>
      <c r="FR188" s="14">
        <v>5.7142857142857143E-3</v>
      </c>
      <c r="FS188" s="14">
        <v>5.7142857142857143E-3</v>
      </c>
      <c r="FT188" s="14">
        <v>5.8823529411764705E-3</v>
      </c>
      <c r="FU188" s="14">
        <v>5.7142857142857143E-3</v>
      </c>
      <c r="FV188" s="14">
        <v>5.7142857142857143E-3</v>
      </c>
      <c r="FW188" s="14">
        <v>4.5454545454545461E-3</v>
      </c>
      <c r="FX188" s="14">
        <v>4.5454545454545461E-3</v>
      </c>
      <c r="FY188" s="14">
        <v>5.7142857142857143E-3</v>
      </c>
      <c r="FZ188" s="13">
        <f t="shared" si="72"/>
        <v>1.2500000000000001E-2</v>
      </c>
      <c r="GA188" s="14">
        <v>5.7142857142857143E-3</v>
      </c>
      <c r="GB188" s="14">
        <v>5.7142857142857143E-3</v>
      </c>
      <c r="GC188" s="14">
        <v>5.7142857142857143E-3</v>
      </c>
      <c r="GD188" s="13">
        <f t="shared" si="70"/>
        <v>1.2500000000000001E-2</v>
      </c>
      <c r="GE188" s="13">
        <f t="shared" si="70"/>
        <v>1.2500000000000001E-2</v>
      </c>
      <c r="GF188" s="14">
        <v>4.6511627906976744E-3</v>
      </c>
      <c r="GG188" s="14">
        <v>4.6511627906976744E-3</v>
      </c>
      <c r="GH188" s="15">
        <v>4.6511627906976744E-3</v>
      </c>
    </row>
    <row r="189" spans="1:190" x14ac:dyDescent="0.3">
      <c r="A189" s="35" t="s">
        <v>65</v>
      </c>
      <c r="B189" s="16">
        <f>IF(AND(Distances!BO132=0,Distances!EA132=0),BN189*DZ189*B161*2,"")</f>
        <v>334.24839000000003</v>
      </c>
      <c r="C189" s="14">
        <f>IF(AND(Distances!BP132=0,Distances!EB132=0),BO189*EA189*C161*2,"")</f>
        <v>4010.4080099999996</v>
      </c>
      <c r="D189" s="14" t="s">
        <v>62</v>
      </c>
      <c r="E189" s="14">
        <f>IF(AND(Distances!BR132=0,Distances!ED132=0),BQ189*EC189*E161*2,"")</f>
        <v>2226.5833799999996</v>
      </c>
      <c r="F189" s="14" t="s">
        <v>62</v>
      </c>
      <c r="G189" s="14" t="s">
        <v>62</v>
      </c>
      <c r="H189" s="14">
        <f>IF(AND(Distances!BU132=0,Distances!EG132=0),BT189*EF189*H161*2,"")</f>
        <v>6003.9995399999998</v>
      </c>
      <c r="I189" s="14">
        <f>IF(AND(Distances!BV132=0,Distances!EH132=0),BU189*EG189*I161*2,"")</f>
        <v>5759.2785599999997</v>
      </c>
      <c r="J189" s="14" t="s">
        <v>62</v>
      </c>
      <c r="K189" s="14">
        <f>IF(AND(Distances!BX132=0,Distances!EJ132=0),BW189*EI189*K161*2,"")</f>
        <v>45.83502</v>
      </c>
      <c r="L189" s="14" t="s">
        <v>62</v>
      </c>
      <c r="M189" s="14">
        <f>IF(AND(Distances!BZ132=0,Distances!EL132=0),BY189*EK189*M161*2,"")</f>
        <v>120.05616000000001</v>
      </c>
      <c r="N189" s="14" t="s">
        <v>62</v>
      </c>
      <c r="O189" s="14" t="s">
        <v>62</v>
      </c>
      <c r="P189" s="14" t="s">
        <v>62</v>
      </c>
      <c r="Q189" s="13">
        <f>IF(AND(Distances!CD132=0,Distances!EP132=0),CC189*EO189*Q161*2,"")</f>
        <v>980.34299999999985</v>
      </c>
      <c r="R189" s="13">
        <f>IF(AND(Distances!CE132=0,Distances!EQ132=0),CD189*EP189*R161*2,"")</f>
        <v>971.11350000000004</v>
      </c>
      <c r="S189" s="13">
        <f>IF(AND(Distances!CF132=0,Distances!ER132=0),CE189*EQ189*S161*2,"")</f>
        <v>998.82300000000009</v>
      </c>
      <c r="T189" s="13" t="s">
        <v>62</v>
      </c>
      <c r="U189" s="13" t="s">
        <v>62</v>
      </c>
      <c r="V189" s="13" t="s">
        <v>62</v>
      </c>
      <c r="W189" s="13">
        <f>IF(AND(Distances!CJ132=0,Distances!EV132=0),CI189*EU189*W161*2,"")</f>
        <v>1115.7732600000002</v>
      </c>
      <c r="X189" s="13" t="s">
        <v>62</v>
      </c>
      <c r="Y189" s="13" t="s">
        <v>62</v>
      </c>
      <c r="Z189" s="13" t="s">
        <v>62</v>
      </c>
      <c r="AA189" s="13" t="s">
        <v>62</v>
      </c>
      <c r="AB189" s="13" t="s">
        <v>62</v>
      </c>
      <c r="AC189" s="12">
        <f>IF(AND(Distances!CP132=0,Distances!FB132=0),CO189*FA189*AC161*2,"")</f>
        <v>0</v>
      </c>
      <c r="AD189" s="13">
        <f>IF(AND(Distances!CQ132=0,Distances!FC132=0),CP189*FB189*AD161*2,"")</f>
        <v>50.356740000000002</v>
      </c>
      <c r="AE189" s="13" t="s">
        <v>62</v>
      </c>
      <c r="AF189" s="13" t="s">
        <v>62</v>
      </c>
      <c r="AG189" s="13" t="s">
        <v>62</v>
      </c>
      <c r="AH189" s="14" t="s">
        <v>62</v>
      </c>
      <c r="AI189" s="14">
        <f>IF(AND(Distances!CV132=0,Distances!FH132=0),CU189*FG189*AI161*2,"")</f>
        <v>14.089344000000001</v>
      </c>
      <c r="AJ189" s="14" t="s">
        <v>62</v>
      </c>
      <c r="AK189" s="14">
        <f>IF(AND(Distances!CX132=0,Distances!FJ132=0),CW189*FI189*AK161*2,"")</f>
        <v>14.499359999999999</v>
      </c>
      <c r="AL189" s="14">
        <f>IF(AND(Distances!CY132=0,Distances!FK132=0),CX189*FJ189*AL161*2,"")</f>
        <v>277.587648</v>
      </c>
      <c r="AM189" s="14">
        <f>IF(AND(Distances!CZ132=0,Distances!FL132=0),CY189*FK189*AM161*2,"")</f>
        <v>277.587648</v>
      </c>
      <c r="AN189" s="14" t="s">
        <v>62</v>
      </c>
      <c r="AO189" s="14">
        <f>IF(AND(Distances!DB132=0,Distances!FN132=0),DA189*FM189*AO161*2,"")</f>
        <v>19.063840000000003</v>
      </c>
      <c r="AP189" s="14">
        <f>IF(AND(Distances!DC132=0,Distances!FO132=0),DB189*FN189*AP161*2,"")</f>
        <v>19.433599999999998</v>
      </c>
      <c r="AQ189" s="14">
        <f>IF(AND(Distances!DD132=0,Distances!FP132=0),DC189*FO189*AQ161*2,"")</f>
        <v>24.790240000000001</v>
      </c>
      <c r="AR189" s="14">
        <f>IF(AND(Distances!DE132=0,Distances!FQ132=0),DD189*FP189*AR161*2,"")</f>
        <v>23.958143999999997</v>
      </c>
      <c r="AS189" s="14" t="s">
        <v>62</v>
      </c>
      <c r="AT189" s="14" t="s">
        <v>62</v>
      </c>
      <c r="AU189" s="14" t="s">
        <v>62</v>
      </c>
      <c r="AV189" s="14" t="s">
        <v>62</v>
      </c>
      <c r="AW189" s="14" t="s">
        <v>62</v>
      </c>
      <c r="AX189" s="14">
        <f>IF(AND(Distances!DK132=0,Distances!FW132=0),DJ189*FV189*AX161*2,"")</f>
        <v>59.410080000000001</v>
      </c>
      <c r="AY189" s="14">
        <f>IF(AND(Distances!DL132=0,Distances!FX132=0),DK189*FW189*AY161*2,"")</f>
        <v>0</v>
      </c>
      <c r="AZ189" s="14" t="s">
        <v>62</v>
      </c>
      <c r="BA189" s="14">
        <f>IF(AND(Distances!DN132=0,Distances!FZ132=0),DM189*FY189*BA161*2,"")</f>
        <v>35.678207999999998</v>
      </c>
      <c r="BB189" s="13">
        <f>IF(AND(Distances!DO132=0,Distances!GA132=0),DN189*FZ189*BB161*2,"")</f>
        <v>95.726399999999998</v>
      </c>
      <c r="BC189" s="14">
        <f>IF(AND(Distances!DP132=0,Distances!GB132=0),DO189*GA189*BC161*2,"")</f>
        <v>355.37510399999996</v>
      </c>
      <c r="BD189" s="14" t="s">
        <v>62</v>
      </c>
      <c r="BE189" s="14">
        <f>IF(AND(Distances!DR132=0,Distances!GD132=0),DQ189*GC189*BE161*2,"")</f>
        <v>376.67635200000001</v>
      </c>
      <c r="BF189" s="13" t="s">
        <v>62</v>
      </c>
      <c r="BG189" s="13" t="s">
        <v>62</v>
      </c>
      <c r="BH189" s="14" t="s">
        <v>62</v>
      </c>
      <c r="BI189" s="14" t="s">
        <v>62</v>
      </c>
      <c r="BJ189" s="15" t="s">
        <v>62</v>
      </c>
      <c r="BM189" s="35" t="s">
        <v>65</v>
      </c>
      <c r="BN189" s="16">
        <v>132.37559999999999</v>
      </c>
      <c r="BO189" s="14">
        <v>1588.2803999999999</v>
      </c>
      <c r="BP189" s="14">
        <v>881.81519999999989</v>
      </c>
      <c r="BQ189" s="14">
        <v>881.81519999999989</v>
      </c>
      <c r="BR189" s="14">
        <v>934.13879999999995</v>
      </c>
      <c r="BS189" s="14">
        <v>2280.9023999999999</v>
      </c>
      <c r="BT189" s="14">
        <v>2377.8215999999998</v>
      </c>
      <c r="BU189" s="14">
        <v>2280.9023999999999</v>
      </c>
      <c r="BV189" s="14">
        <v>916.70039999999995</v>
      </c>
      <c r="BW189" s="14">
        <v>916.70039999999995</v>
      </c>
      <c r="BX189" s="14">
        <v>2401.1232</v>
      </c>
      <c r="BY189" s="14">
        <v>2401.1232</v>
      </c>
      <c r="BZ189" s="14">
        <v>1682.5703999999998</v>
      </c>
      <c r="CA189" s="14">
        <v>1078.5096000000001</v>
      </c>
      <c r="CB189" s="14">
        <v>1610.0783999999999</v>
      </c>
      <c r="CC189" s="13">
        <v>784.2743999999999</v>
      </c>
      <c r="CD189" s="13">
        <v>776.89080000000001</v>
      </c>
      <c r="CE189" s="13">
        <v>799.05840000000001</v>
      </c>
      <c r="CF189" s="13">
        <v>762.10679999999991</v>
      </c>
      <c r="CG189" s="13">
        <v>661.81920000000002</v>
      </c>
      <c r="CH189" s="13">
        <v>707.62439999999992</v>
      </c>
      <c r="CI189" s="13">
        <v>769.49879999999996</v>
      </c>
      <c r="CJ189" s="13">
        <v>975.47519999999997</v>
      </c>
      <c r="CK189" s="13">
        <v>762.10679999999991</v>
      </c>
      <c r="CL189" s="13">
        <v>720.70320000000004</v>
      </c>
      <c r="CM189" s="13">
        <v>707.62439999999992</v>
      </c>
      <c r="CN189" s="13">
        <v>681.44999999999993</v>
      </c>
      <c r="CO189" s="12">
        <v>0</v>
      </c>
      <c r="CP189" s="13">
        <v>1007.1348</v>
      </c>
      <c r="CQ189" s="13">
        <v>875.39760000000001</v>
      </c>
      <c r="CR189" s="13">
        <v>875.39760000000001</v>
      </c>
      <c r="CS189" s="13">
        <v>875.39760000000001</v>
      </c>
      <c r="CT189" s="14">
        <v>780.7296</v>
      </c>
      <c r="CU189" s="14">
        <v>1232.8176000000001</v>
      </c>
      <c r="CV189" s="14">
        <v>780.7296</v>
      </c>
      <c r="CW189" s="14">
        <v>1268.694</v>
      </c>
      <c r="CX189" s="14">
        <v>449.79480000000001</v>
      </c>
      <c r="CY189" s="14">
        <v>449.79480000000001</v>
      </c>
      <c r="CZ189" s="14">
        <v>449.79480000000001</v>
      </c>
      <c r="DA189" s="14">
        <v>1000.8516</v>
      </c>
      <c r="DB189" s="14">
        <v>1020.2639999999999</v>
      </c>
      <c r="DC189" s="14">
        <v>1301.4875999999999</v>
      </c>
      <c r="DD189" s="14">
        <v>1048.1687999999999</v>
      </c>
      <c r="DE189" s="14">
        <v>1048.1687999999999</v>
      </c>
      <c r="DF189" s="14">
        <v>1048.1687999999999</v>
      </c>
      <c r="DG189" s="14">
        <v>1021.1039999999999</v>
      </c>
      <c r="DH189" s="14">
        <v>975.47519999999997</v>
      </c>
      <c r="DI189" s="14">
        <v>975.47519999999997</v>
      </c>
      <c r="DJ189" s="14">
        <v>1039.6764000000001</v>
      </c>
      <c r="DK189" s="14">
        <v>0</v>
      </c>
      <c r="DL189" s="14">
        <v>3066.0335999999998</v>
      </c>
      <c r="DM189" s="14">
        <v>780.46079999999995</v>
      </c>
      <c r="DN189" s="13">
        <v>957.2639999999999</v>
      </c>
      <c r="DO189" s="14">
        <v>971.72879999999986</v>
      </c>
      <c r="DP189" s="14">
        <v>1039.6764000000001</v>
      </c>
      <c r="DQ189" s="14">
        <v>1029.9744000000001</v>
      </c>
      <c r="DR189" s="13">
        <v>1105.7003999999999</v>
      </c>
      <c r="DS189" s="13">
        <v>694.53719999999998</v>
      </c>
      <c r="DT189" s="14">
        <v>2365.6079999999997</v>
      </c>
      <c r="DU189" s="14">
        <v>1703.6123999999998</v>
      </c>
      <c r="DV189" s="15">
        <v>1703.6123999999998</v>
      </c>
      <c r="DY189" s="35" t="s">
        <v>65</v>
      </c>
      <c r="DZ189" s="16">
        <v>6.2500000000000003E-3</v>
      </c>
      <c r="EA189" s="14">
        <v>6.2500000000000003E-3</v>
      </c>
      <c r="EB189" s="14">
        <v>6.2500000000000003E-3</v>
      </c>
      <c r="EC189" s="14">
        <v>6.2500000000000003E-3</v>
      </c>
      <c r="ED189" s="14">
        <v>6.2500000000000003E-3</v>
      </c>
      <c r="EE189" s="14">
        <v>6.2500000000000003E-3</v>
      </c>
      <c r="EF189" s="14">
        <v>6.2500000000000003E-3</v>
      </c>
      <c r="EG189" s="14">
        <v>6.2500000000000003E-3</v>
      </c>
      <c r="EH189" s="14">
        <v>6.2500000000000003E-3</v>
      </c>
      <c r="EI189" s="14">
        <v>6.2500000000000003E-3</v>
      </c>
      <c r="EJ189" s="14">
        <v>6.2500000000000003E-3</v>
      </c>
      <c r="EK189" s="14">
        <v>6.2500000000000003E-3</v>
      </c>
      <c r="EL189" s="14">
        <v>6.2500000000000003E-3</v>
      </c>
      <c r="EM189" s="14">
        <v>4.6511627906976744E-3</v>
      </c>
      <c r="EN189" s="14">
        <v>4.6511627906976744E-3</v>
      </c>
      <c r="EO189" s="13">
        <f t="shared" si="71"/>
        <v>1.2500000000000001E-2</v>
      </c>
      <c r="EP189" s="13">
        <f t="shared" si="71"/>
        <v>1.2500000000000001E-2</v>
      </c>
      <c r="EQ189" s="13">
        <f t="shared" si="71"/>
        <v>1.2500000000000001E-2</v>
      </c>
      <c r="ER189" s="13">
        <f t="shared" si="71"/>
        <v>1.2500000000000001E-2</v>
      </c>
      <c r="ES189" s="13">
        <f t="shared" si="71"/>
        <v>1.2500000000000001E-2</v>
      </c>
      <c r="ET189" s="13">
        <f t="shared" si="71"/>
        <v>1.2500000000000001E-2</v>
      </c>
      <c r="EU189" s="13">
        <f t="shared" si="71"/>
        <v>1.2500000000000001E-2</v>
      </c>
      <c r="EV189" s="13">
        <f t="shared" si="71"/>
        <v>1.2500000000000001E-2</v>
      </c>
      <c r="EW189" s="13">
        <f t="shared" si="71"/>
        <v>1.2500000000000001E-2</v>
      </c>
      <c r="EX189" s="13">
        <f t="shared" si="71"/>
        <v>1.2500000000000001E-2</v>
      </c>
      <c r="EY189" s="13">
        <f t="shared" si="71"/>
        <v>1.2500000000000001E-2</v>
      </c>
      <c r="EZ189" s="13">
        <f t="shared" si="71"/>
        <v>1.2500000000000001E-2</v>
      </c>
      <c r="FA189" s="12">
        <v>0.6</v>
      </c>
      <c r="FB189" s="13">
        <f t="shared" si="68"/>
        <v>1.2500000000000001E-2</v>
      </c>
      <c r="FC189" s="13">
        <f t="shared" si="68"/>
        <v>1.2500000000000001E-2</v>
      </c>
      <c r="FD189" s="13">
        <f t="shared" si="68"/>
        <v>1.2500000000000001E-2</v>
      </c>
      <c r="FE189" s="13">
        <f t="shared" si="68"/>
        <v>1.2500000000000001E-2</v>
      </c>
      <c r="FF189" s="14">
        <v>5.7142857142857143E-3</v>
      </c>
      <c r="FG189" s="14">
        <v>5.7142857142857143E-3</v>
      </c>
      <c r="FH189" s="14">
        <v>5.7142857142857143E-3</v>
      </c>
      <c r="FI189" s="14">
        <v>5.7142857142857143E-3</v>
      </c>
      <c r="FJ189" s="14">
        <v>5.7142857142857143E-3</v>
      </c>
      <c r="FK189" s="14">
        <v>5.7142857142857143E-3</v>
      </c>
      <c r="FL189" s="14">
        <v>5.7142857142857143E-3</v>
      </c>
      <c r="FM189" s="14">
        <v>4.7619047619047623E-3</v>
      </c>
      <c r="FN189" s="14">
        <v>4.7619047619047623E-3</v>
      </c>
      <c r="FO189" s="14">
        <v>4.7619047619047623E-3</v>
      </c>
      <c r="FP189" s="14">
        <v>5.7142857142857143E-3</v>
      </c>
      <c r="FQ189" s="14">
        <v>5.7142857142857143E-3</v>
      </c>
      <c r="FR189" s="14">
        <v>5.7142857142857143E-3</v>
      </c>
      <c r="FS189" s="14">
        <v>5.7142857142857143E-3</v>
      </c>
      <c r="FT189" s="14">
        <v>5.8823529411764705E-3</v>
      </c>
      <c r="FU189" s="14">
        <v>5.7142857142857143E-3</v>
      </c>
      <c r="FV189" s="14">
        <v>5.7142857142857143E-3</v>
      </c>
      <c r="FW189" s="14">
        <v>4.5454545454545461E-3</v>
      </c>
      <c r="FX189" s="14">
        <v>4.5454545454545461E-3</v>
      </c>
      <c r="FY189" s="14">
        <v>5.7142857142857143E-3</v>
      </c>
      <c r="FZ189" s="13">
        <f t="shared" si="72"/>
        <v>1.2500000000000001E-2</v>
      </c>
      <c r="GA189" s="14">
        <v>5.7142857142857143E-3</v>
      </c>
      <c r="GB189" s="14">
        <v>5.7142857142857143E-3</v>
      </c>
      <c r="GC189" s="14">
        <v>5.7142857142857143E-3</v>
      </c>
      <c r="GD189" s="13">
        <f t="shared" si="70"/>
        <v>1.2500000000000001E-2</v>
      </c>
      <c r="GE189" s="13">
        <f t="shared" si="70"/>
        <v>1.2500000000000001E-2</v>
      </c>
      <c r="GF189" s="14">
        <v>4.6511627906976744E-3</v>
      </c>
      <c r="GG189" s="14">
        <v>4.6511627906976744E-3</v>
      </c>
      <c r="GH189" s="15">
        <v>4.6511627906976744E-3</v>
      </c>
    </row>
    <row r="190" spans="1:190" x14ac:dyDescent="0.3">
      <c r="A190" s="35" t="s">
        <v>29</v>
      </c>
      <c r="B190" s="16">
        <f>IF(AND(Distances!BO133=0,Distances!EA133=0),BN190*DZ190*B161*2,"")</f>
        <v>2969.0394299999998</v>
      </c>
      <c r="C190" s="14">
        <f>IF(AND(Distances!BP133=0,Distances!EB133=0),BO190*EA190*C161*2,"")</f>
        <v>3702.2267099999999</v>
      </c>
      <c r="D190" s="14" t="s">
        <v>62</v>
      </c>
      <c r="E190" s="14">
        <f>IF(AND(Distances!BR133=0,Distances!ED133=0),BQ190*EC190*E161*2,"")</f>
        <v>2282.4717300000002</v>
      </c>
      <c r="F190" s="14" t="s">
        <v>62</v>
      </c>
      <c r="G190" s="14" t="s">
        <v>62</v>
      </c>
      <c r="H190" s="14">
        <f>IF(AND(Distances!BU133=0,Distances!EG133=0),BT190*EF190*H161*2,"")</f>
        <v>5924.7801900000004</v>
      </c>
      <c r="I190" s="14">
        <f>IF(AND(Distances!BV133=0,Distances!EH133=0),BU190*EG190*I161*2,"")</f>
        <v>5669.7299400000002</v>
      </c>
      <c r="J190" s="14" t="s">
        <v>62</v>
      </c>
      <c r="K190" s="14">
        <f>IF(AND(Distances!BX133=0,Distances!EJ133=0),BW190*EI190*K161*2,"")</f>
        <v>46.985399999999998</v>
      </c>
      <c r="L190" s="14" t="s">
        <v>62</v>
      </c>
      <c r="M190" s="14">
        <f>IF(AND(Distances!BZ133=0,Distances!EL133=0),BY190*EK190*M161*2,"")</f>
        <v>118.47233999999999</v>
      </c>
      <c r="N190" s="14" t="s">
        <v>62</v>
      </c>
      <c r="O190" s="14" t="s">
        <v>62</v>
      </c>
      <c r="P190" s="14" t="s">
        <v>62</v>
      </c>
      <c r="Q190" s="13">
        <f>IF(AND(Distances!CD133=0,Distances!EP133=0),CC190*EO190*Q161*2,"")</f>
        <v>615.60450000000003</v>
      </c>
      <c r="R190" s="13">
        <f>IF(AND(Distances!CE133=0,Distances!EQ133=0),CD190*EP190*R161*2,"")</f>
        <v>609.80849999999998</v>
      </c>
      <c r="S190" s="13">
        <f>IF(AND(Distances!CF133=0,Distances!ER133=0),CE190*EQ190*S161*2,"")</f>
        <v>627.19650000000001</v>
      </c>
      <c r="T190" s="13" t="s">
        <v>62</v>
      </c>
      <c r="U190" s="13" t="s">
        <v>62</v>
      </c>
      <c r="V190" s="13" t="s">
        <v>62</v>
      </c>
      <c r="W190" s="13">
        <f>IF(AND(Distances!CJ133=0,Distances!EV133=0),CI190*EU190*W161*2,"")</f>
        <v>700.65449999999998</v>
      </c>
      <c r="X190" s="13" t="s">
        <v>62</v>
      </c>
      <c r="Y190" s="13" t="s">
        <v>62</v>
      </c>
      <c r="Z190" s="13" t="s">
        <v>62</v>
      </c>
      <c r="AA190" s="13" t="s">
        <v>62</v>
      </c>
      <c r="AB190" s="13" t="s">
        <v>62</v>
      </c>
      <c r="AC190" s="13">
        <f>IF(AND(Distances!CP133=0,Distances!FB133=0),CO190*FA190*AC161*2,"")</f>
        <v>50.356740000000002</v>
      </c>
      <c r="AD190" s="12">
        <f>IF(AND(Distances!CQ133=0,Distances!FC133=0),CP190*FB190*AD161*2,"")</f>
        <v>0</v>
      </c>
      <c r="AE190" s="13" t="s">
        <v>62</v>
      </c>
      <c r="AF190" s="13" t="s">
        <v>62</v>
      </c>
      <c r="AG190" s="13" t="s">
        <v>62</v>
      </c>
      <c r="AH190" s="14" t="s">
        <v>62</v>
      </c>
      <c r="AI190" s="14">
        <f>IF(AND(Distances!CV133=0,Distances!FH133=0),CU190*FG190*AI161*2,"")</f>
        <v>18.747071999999999</v>
      </c>
      <c r="AJ190" s="14" t="s">
        <v>62</v>
      </c>
      <c r="AK190" s="14">
        <f>IF(AND(Distances!CX133=0,Distances!FJ133=0),CW190*FI190*AK161*2,"")</f>
        <v>19.292639999999999</v>
      </c>
      <c r="AL190" s="14">
        <f>IF(AND(Distances!CY133=0,Distances!FK133=0),CX190*FJ190*AL161*2,"")</f>
        <v>1063.5183359999999</v>
      </c>
      <c r="AM190" s="14">
        <f>IF(AND(Distances!CZ133=0,Distances!FL133=0),CY190*FK190*AM161*2,"")</f>
        <v>1063.5183359999999</v>
      </c>
      <c r="AN190" s="14" t="s">
        <v>62</v>
      </c>
      <c r="AO190" s="14">
        <f>IF(AND(Distances!DB133=0,Distances!FN133=0),DA190*FM190*AO161*2,"")</f>
        <v>28.078880000000002</v>
      </c>
      <c r="AP190" s="14">
        <f>IF(AND(Distances!DC133=0,Distances!FO133=0),DB190*FN190*AP161*2,"")</f>
        <v>28.62368</v>
      </c>
      <c r="AQ190" s="14">
        <f>IF(AND(Distances!DD133=0,Distances!FP133=0),DC190*FO190*AQ161*2,"")</f>
        <v>32.760800000000003</v>
      </c>
      <c r="AR190" s="14">
        <f>IF(AND(Distances!DE133=0,Distances!FQ133=0),DD190*FP190*AR161*2,"")</f>
        <v>33.168959999999998</v>
      </c>
      <c r="AS190" s="14" t="s">
        <v>62</v>
      </c>
      <c r="AT190" s="14" t="s">
        <v>62</v>
      </c>
      <c r="AU190" s="14" t="s">
        <v>62</v>
      </c>
      <c r="AV190" s="14" t="s">
        <v>62</v>
      </c>
      <c r="AW190" s="14" t="s">
        <v>62</v>
      </c>
      <c r="AX190" s="14">
        <f>IF(AND(Distances!DK133=0,Distances!FW133=0),DJ190*FV190*AX161*2,"")</f>
        <v>54.353759999999987</v>
      </c>
      <c r="AY190" s="14">
        <f>IF(AND(Distances!DL133=0,Distances!FX133=0),DK190*FW190*AY161*2,"")</f>
        <v>0</v>
      </c>
      <c r="AZ190" s="14" t="s">
        <v>62</v>
      </c>
      <c r="BA190" s="14">
        <f>IF(AND(Distances!DN133=0,Distances!FZ133=0),DM190*FY190*BA161*2,"")</f>
        <v>54.038015999999999</v>
      </c>
      <c r="BB190" s="13">
        <f>IF(AND(Distances!DO133=0,Distances!GA133=0),DN190*FZ190*BB161*2,"")</f>
        <v>67.612439999999992</v>
      </c>
      <c r="BC190" s="14">
        <f>IF(AND(Distances!DP133=0,Distances!GB133=0),DO190*GA190*BC161*2,"")</f>
        <v>325.13126399999993</v>
      </c>
      <c r="BD190" s="14" t="s">
        <v>62</v>
      </c>
      <c r="BE190" s="14">
        <f>IF(AND(Distances!DR133=0,Distances!GD133=0),DQ190*GC190*BE161*2,"")</f>
        <v>344.61695999999995</v>
      </c>
      <c r="BF190" s="13" t="s">
        <v>62</v>
      </c>
      <c r="BG190" s="13" t="s">
        <v>62</v>
      </c>
      <c r="BH190" s="14" t="s">
        <v>62</v>
      </c>
      <c r="BI190" s="14" t="s">
        <v>62</v>
      </c>
      <c r="BJ190" s="15" t="s">
        <v>62</v>
      </c>
      <c r="BM190" s="35" t="s">
        <v>29</v>
      </c>
      <c r="BN190" s="16">
        <v>1175.8571999999999</v>
      </c>
      <c r="BO190" s="14">
        <v>1466.2284</v>
      </c>
      <c r="BP190" s="14">
        <v>903.94920000000002</v>
      </c>
      <c r="BQ190" s="14">
        <v>903.94920000000002</v>
      </c>
      <c r="BR190" s="14">
        <v>957.58320000000003</v>
      </c>
      <c r="BS190" s="14">
        <v>2245.4375999999997</v>
      </c>
      <c r="BT190" s="14">
        <v>2346.4476</v>
      </c>
      <c r="BU190" s="14">
        <v>2245.4375999999997</v>
      </c>
      <c r="BV190" s="14">
        <v>939.70799999999997</v>
      </c>
      <c r="BW190" s="14">
        <v>939.70799999999997</v>
      </c>
      <c r="BX190" s="14">
        <v>2369.4467999999997</v>
      </c>
      <c r="BY190" s="14">
        <v>2369.4467999999997</v>
      </c>
      <c r="BZ190" s="14">
        <v>1553.2776000000001</v>
      </c>
      <c r="CA190" s="14">
        <v>1747.7796000000001</v>
      </c>
      <c r="CB190" s="14">
        <v>2464.6019999999999</v>
      </c>
      <c r="CC190" s="13">
        <v>492.48359999999997</v>
      </c>
      <c r="CD190" s="13">
        <v>487.84679999999997</v>
      </c>
      <c r="CE190" s="13">
        <v>501.75720000000001</v>
      </c>
      <c r="CF190" s="13">
        <v>478.57319999999999</v>
      </c>
      <c r="CG190" s="13">
        <v>987.59640000000002</v>
      </c>
      <c r="CH190" s="13">
        <v>785.77800000000002</v>
      </c>
      <c r="CI190" s="13">
        <v>483.21</v>
      </c>
      <c r="CJ190" s="13">
        <v>0</v>
      </c>
      <c r="CK190" s="13">
        <v>478.57319999999999</v>
      </c>
      <c r="CL190" s="13">
        <v>1075.5107999999998</v>
      </c>
      <c r="CM190" s="13">
        <v>1055.9807999999998</v>
      </c>
      <c r="CN190" s="13">
        <v>1016.9039999999999</v>
      </c>
      <c r="CO190" s="13">
        <v>1007.1348</v>
      </c>
      <c r="CP190" s="12">
        <v>0</v>
      </c>
      <c r="CQ190" s="13">
        <v>1179.5447999999999</v>
      </c>
      <c r="CR190" s="13">
        <v>1179.5447999999999</v>
      </c>
      <c r="CS190" s="13">
        <v>1179.5447999999999</v>
      </c>
      <c r="CT190" s="14">
        <v>1474.1412</v>
      </c>
      <c r="CU190" s="14">
        <v>1640.3688</v>
      </c>
      <c r="CV190" s="14">
        <v>1474.1412</v>
      </c>
      <c r="CW190" s="14">
        <v>1688.106</v>
      </c>
      <c r="CX190" s="14">
        <v>1723.2936</v>
      </c>
      <c r="CY190" s="14">
        <v>1723.2936</v>
      </c>
      <c r="CZ190" s="14">
        <v>1723.2936</v>
      </c>
      <c r="DA190" s="14">
        <v>1474.1412</v>
      </c>
      <c r="DB190" s="14">
        <v>1502.7431999999999</v>
      </c>
      <c r="DC190" s="14">
        <v>1719.942</v>
      </c>
      <c r="DD190" s="14">
        <v>1451.1419999999998</v>
      </c>
      <c r="DE190" s="14">
        <v>1451.1419999999998</v>
      </c>
      <c r="DF190" s="14">
        <v>1451.1419999999998</v>
      </c>
      <c r="DG190" s="14">
        <v>933.43319999999994</v>
      </c>
      <c r="DH190" s="14">
        <v>688.97640000000001</v>
      </c>
      <c r="DI190" s="14">
        <v>688.97640000000001</v>
      </c>
      <c r="DJ190" s="14">
        <v>951.19079999999985</v>
      </c>
      <c r="DK190" s="14">
        <v>0</v>
      </c>
      <c r="DL190" s="14">
        <v>3653.0171999999998</v>
      </c>
      <c r="DM190" s="14">
        <v>1182.0816</v>
      </c>
      <c r="DN190" s="13">
        <v>676.12439999999992</v>
      </c>
      <c r="DO190" s="14">
        <v>889.03079999999989</v>
      </c>
      <c r="DP190" s="14">
        <v>951.19079999999985</v>
      </c>
      <c r="DQ190" s="14">
        <v>942.3119999999999</v>
      </c>
      <c r="DR190" s="13">
        <v>1204.9631999999999</v>
      </c>
      <c r="DS190" s="13">
        <v>771.24599999999998</v>
      </c>
      <c r="DT190" s="14">
        <v>3124.4387999999999</v>
      </c>
      <c r="DU190" s="14">
        <v>2380.2156</v>
      </c>
      <c r="DV190" s="15">
        <v>2380.2156</v>
      </c>
      <c r="DY190" s="35" t="s">
        <v>29</v>
      </c>
      <c r="DZ190" s="16">
        <v>6.2500000000000003E-3</v>
      </c>
      <c r="EA190" s="14">
        <v>6.2500000000000003E-3</v>
      </c>
      <c r="EB190" s="14">
        <v>6.2500000000000003E-3</v>
      </c>
      <c r="EC190" s="14">
        <v>6.2500000000000003E-3</v>
      </c>
      <c r="ED190" s="14">
        <v>6.2500000000000003E-3</v>
      </c>
      <c r="EE190" s="14">
        <v>6.2500000000000003E-3</v>
      </c>
      <c r="EF190" s="14">
        <v>6.2500000000000003E-3</v>
      </c>
      <c r="EG190" s="14">
        <v>6.2500000000000003E-3</v>
      </c>
      <c r="EH190" s="14">
        <v>6.2500000000000003E-3</v>
      </c>
      <c r="EI190" s="14">
        <v>6.2500000000000003E-3</v>
      </c>
      <c r="EJ190" s="14">
        <v>6.2500000000000003E-3</v>
      </c>
      <c r="EK190" s="14">
        <v>6.2500000000000003E-3</v>
      </c>
      <c r="EL190" s="14">
        <v>6.2500000000000003E-3</v>
      </c>
      <c r="EM190" s="14">
        <v>4.6511627906976744E-3</v>
      </c>
      <c r="EN190" s="14">
        <v>4.6511627906976744E-3</v>
      </c>
      <c r="EO190" s="13">
        <f t="shared" si="71"/>
        <v>1.2500000000000001E-2</v>
      </c>
      <c r="EP190" s="13">
        <f t="shared" si="71"/>
        <v>1.2500000000000001E-2</v>
      </c>
      <c r="EQ190" s="13">
        <f t="shared" si="71"/>
        <v>1.2500000000000001E-2</v>
      </c>
      <c r="ER190" s="13">
        <f t="shared" si="71"/>
        <v>1.2500000000000001E-2</v>
      </c>
      <c r="ES190" s="13">
        <f t="shared" si="71"/>
        <v>1.2500000000000001E-2</v>
      </c>
      <c r="ET190" s="13">
        <f t="shared" si="71"/>
        <v>1.2500000000000001E-2</v>
      </c>
      <c r="EU190" s="13">
        <f t="shared" si="71"/>
        <v>1.2500000000000001E-2</v>
      </c>
      <c r="EV190" s="13">
        <f t="shared" si="71"/>
        <v>1.2500000000000001E-2</v>
      </c>
      <c r="EW190" s="13">
        <f t="shared" si="71"/>
        <v>1.2500000000000001E-2</v>
      </c>
      <c r="EX190" s="13">
        <f t="shared" si="71"/>
        <v>1.2500000000000001E-2</v>
      </c>
      <c r="EY190" s="13">
        <f t="shared" si="71"/>
        <v>1.2500000000000001E-2</v>
      </c>
      <c r="EZ190" s="13">
        <f t="shared" si="71"/>
        <v>1.2500000000000001E-2</v>
      </c>
      <c r="FA190" s="13">
        <f t="shared" si="71"/>
        <v>1.2500000000000001E-2</v>
      </c>
      <c r="FB190" s="12">
        <v>0.6</v>
      </c>
      <c r="FC190" s="13">
        <f t="shared" si="68"/>
        <v>1.2500000000000001E-2</v>
      </c>
      <c r="FD190" s="13">
        <f t="shared" si="68"/>
        <v>1.2500000000000001E-2</v>
      </c>
      <c r="FE190" s="13">
        <f t="shared" si="68"/>
        <v>1.2500000000000001E-2</v>
      </c>
      <c r="FF190" s="14">
        <v>5.7142857142857143E-3</v>
      </c>
      <c r="FG190" s="14">
        <v>5.7142857142857143E-3</v>
      </c>
      <c r="FH190" s="14">
        <v>5.7142857142857143E-3</v>
      </c>
      <c r="FI190" s="14">
        <v>5.7142857142857143E-3</v>
      </c>
      <c r="FJ190" s="14">
        <v>5.7142857142857143E-3</v>
      </c>
      <c r="FK190" s="14">
        <v>5.7142857142857143E-3</v>
      </c>
      <c r="FL190" s="14">
        <v>5.7142857142857143E-3</v>
      </c>
      <c r="FM190" s="14">
        <v>4.7619047619047623E-3</v>
      </c>
      <c r="FN190" s="14">
        <v>4.7619047619047623E-3</v>
      </c>
      <c r="FO190" s="14">
        <v>4.7619047619047623E-3</v>
      </c>
      <c r="FP190" s="14">
        <v>5.7142857142857143E-3</v>
      </c>
      <c r="FQ190" s="14">
        <v>5.7142857142857143E-3</v>
      </c>
      <c r="FR190" s="14">
        <v>5.7142857142857143E-3</v>
      </c>
      <c r="FS190" s="14">
        <v>5.7142857142857143E-3</v>
      </c>
      <c r="FT190" s="14">
        <v>5.8823529411764705E-3</v>
      </c>
      <c r="FU190" s="14">
        <v>5.7142857142857143E-3</v>
      </c>
      <c r="FV190" s="14">
        <v>5.7142857142857143E-3</v>
      </c>
      <c r="FW190" s="14">
        <v>4.5454545454545461E-3</v>
      </c>
      <c r="FX190" s="14">
        <v>4.5454545454545461E-3</v>
      </c>
      <c r="FY190" s="14">
        <v>5.7142857142857143E-3</v>
      </c>
      <c r="FZ190" s="13">
        <f t="shared" si="72"/>
        <v>1.2500000000000001E-2</v>
      </c>
      <c r="GA190" s="14">
        <v>5.7142857142857143E-3</v>
      </c>
      <c r="GB190" s="14">
        <v>5.7142857142857143E-3</v>
      </c>
      <c r="GC190" s="14">
        <v>5.7142857142857143E-3</v>
      </c>
      <c r="GD190" s="13">
        <f t="shared" si="70"/>
        <v>1.2500000000000001E-2</v>
      </c>
      <c r="GE190" s="13">
        <f t="shared" si="70"/>
        <v>1.2500000000000001E-2</v>
      </c>
      <c r="GF190" s="14">
        <v>4.6511627906976744E-3</v>
      </c>
      <c r="GG190" s="14">
        <v>4.6511627906976744E-3</v>
      </c>
      <c r="GH190" s="15">
        <v>4.6511627906976744E-3</v>
      </c>
    </row>
    <row r="191" spans="1:190" x14ac:dyDescent="0.3">
      <c r="A191" s="35" t="s">
        <v>30</v>
      </c>
      <c r="B191" s="16" t="s">
        <v>62</v>
      </c>
      <c r="C191" s="14" t="s">
        <v>62</v>
      </c>
      <c r="D191" s="14" t="s">
        <v>62</v>
      </c>
      <c r="E191" s="14" t="s">
        <v>62</v>
      </c>
      <c r="F191" s="14" t="s">
        <v>62</v>
      </c>
      <c r="G191" s="14" t="s">
        <v>62</v>
      </c>
      <c r="H191" s="14" t="s">
        <v>62</v>
      </c>
      <c r="I191" s="14" t="s">
        <v>62</v>
      </c>
      <c r="J191" s="14" t="s">
        <v>62</v>
      </c>
      <c r="K191" s="14" t="s">
        <v>62</v>
      </c>
      <c r="L191" s="14" t="s">
        <v>62</v>
      </c>
      <c r="M191" s="14" t="s">
        <v>62</v>
      </c>
      <c r="N191" s="14" t="s">
        <v>62</v>
      </c>
      <c r="O191" s="14" t="s">
        <v>62</v>
      </c>
      <c r="P191" s="14" t="s">
        <v>62</v>
      </c>
      <c r="Q191" s="13" t="s">
        <v>62</v>
      </c>
      <c r="R191" s="13" t="s">
        <v>62</v>
      </c>
      <c r="S191" s="13" t="s">
        <v>62</v>
      </c>
      <c r="T191" s="13" t="s">
        <v>62</v>
      </c>
      <c r="U191" s="13" t="s">
        <v>62</v>
      </c>
      <c r="V191" s="13" t="s">
        <v>62</v>
      </c>
      <c r="W191" s="13" t="s">
        <v>62</v>
      </c>
      <c r="X191" s="13" t="s">
        <v>62</v>
      </c>
      <c r="Y191" s="13" t="s">
        <v>62</v>
      </c>
      <c r="Z191" s="13" t="s">
        <v>62</v>
      </c>
      <c r="AA191" s="13" t="s">
        <v>62</v>
      </c>
      <c r="AB191" s="13" t="s">
        <v>62</v>
      </c>
      <c r="AC191" s="13" t="s">
        <v>62</v>
      </c>
      <c r="AD191" s="13" t="s">
        <v>62</v>
      </c>
      <c r="AE191" s="12">
        <f>IF(AND(Distances!CR134=0,Distances!FD134=0),CQ191*FC191*AE161*2,"")</f>
        <v>0</v>
      </c>
      <c r="AF191" s="13" t="s">
        <v>62</v>
      </c>
      <c r="AG191" s="13" t="s">
        <v>62</v>
      </c>
      <c r="AH191" s="14" t="s">
        <v>62</v>
      </c>
      <c r="AI191" s="14" t="s">
        <v>62</v>
      </c>
      <c r="AJ191" s="14" t="s">
        <v>62</v>
      </c>
      <c r="AK191" s="14" t="s">
        <v>62</v>
      </c>
      <c r="AL191" s="14" t="s">
        <v>62</v>
      </c>
      <c r="AM191" s="14" t="s">
        <v>62</v>
      </c>
      <c r="AN191" s="14" t="s">
        <v>62</v>
      </c>
      <c r="AO191" s="14" t="s">
        <v>62</v>
      </c>
      <c r="AP191" s="14" t="s">
        <v>62</v>
      </c>
      <c r="AQ191" s="14" t="s">
        <v>62</v>
      </c>
      <c r="AR191" s="14" t="s">
        <v>62</v>
      </c>
      <c r="AS191" s="14" t="s">
        <v>62</v>
      </c>
      <c r="AT191" s="14" t="s">
        <v>62</v>
      </c>
      <c r="AU191" s="14" t="s">
        <v>62</v>
      </c>
      <c r="AV191" s="12" t="s">
        <v>62</v>
      </c>
      <c r="AW191" s="14" t="s">
        <v>62</v>
      </c>
      <c r="AX191" s="14" t="s">
        <v>62</v>
      </c>
      <c r="AY191" s="14" t="s">
        <v>62</v>
      </c>
      <c r="AZ191" s="14" t="s">
        <v>62</v>
      </c>
      <c r="BA191" s="14" t="s">
        <v>62</v>
      </c>
      <c r="BB191" s="13" t="s">
        <v>62</v>
      </c>
      <c r="BC191" s="14" t="s">
        <v>62</v>
      </c>
      <c r="BD191" s="14" t="s">
        <v>62</v>
      </c>
      <c r="BE191" s="14" t="s">
        <v>62</v>
      </c>
      <c r="BF191" s="12" t="s">
        <v>62</v>
      </c>
      <c r="BG191" s="13" t="s">
        <v>62</v>
      </c>
      <c r="BH191" s="14" t="s">
        <v>62</v>
      </c>
      <c r="BI191" s="14" t="s">
        <v>62</v>
      </c>
      <c r="BJ191" s="15" t="s">
        <v>62</v>
      </c>
      <c r="BM191" s="35" t="s">
        <v>30</v>
      </c>
      <c r="BN191" s="16">
        <v>1599.1751999999999</v>
      </c>
      <c r="BO191" s="14">
        <v>1865.5391999999999</v>
      </c>
      <c r="BP191" s="14">
        <v>1125.6504</v>
      </c>
      <c r="BQ191" s="14">
        <v>1125.6504</v>
      </c>
      <c r="BR191" s="14">
        <v>1192.4555999999998</v>
      </c>
      <c r="BS191" s="14">
        <v>2937.5135999999998</v>
      </c>
      <c r="BT191" s="14">
        <v>3032.9543999999996</v>
      </c>
      <c r="BU191" s="14">
        <v>2937.5135999999998</v>
      </c>
      <c r="BV191" s="14">
        <v>1170.1871999999998</v>
      </c>
      <c r="BW191" s="14">
        <v>1170.1871999999998</v>
      </c>
      <c r="BX191" s="14">
        <v>3062.6736000000001</v>
      </c>
      <c r="BY191" s="14">
        <v>3062.6736000000001</v>
      </c>
      <c r="BZ191" s="14">
        <v>1976.3015999999998</v>
      </c>
      <c r="CA191" s="14">
        <v>1806.1931999999999</v>
      </c>
      <c r="CB191" s="14">
        <v>1933.3775999999998</v>
      </c>
      <c r="CC191" s="13">
        <v>976.6848</v>
      </c>
      <c r="CD191" s="13">
        <v>967.4867999999999</v>
      </c>
      <c r="CE191" s="13">
        <v>995.09760000000006</v>
      </c>
      <c r="CF191" s="13">
        <v>949.07399999999984</v>
      </c>
      <c r="CG191" s="13">
        <v>858.42119999999989</v>
      </c>
      <c r="CH191" s="13">
        <v>0</v>
      </c>
      <c r="CI191" s="13">
        <v>958.28039999999987</v>
      </c>
      <c r="CJ191" s="13">
        <v>1179.5447999999999</v>
      </c>
      <c r="CK191" s="13">
        <v>949.07399999999984</v>
      </c>
      <c r="CL191" s="13">
        <v>934.81920000000002</v>
      </c>
      <c r="CM191" s="13">
        <v>917.84280000000001</v>
      </c>
      <c r="CN191" s="13">
        <v>883.88159999999993</v>
      </c>
      <c r="CO191" s="13">
        <v>875.39760000000001</v>
      </c>
      <c r="CP191" s="13">
        <v>1179.5447999999999</v>
      </c>
      <c r="CQ191" s="12">
        <v>0</v>
      </c>
      <c r="CR191" s="13">
        <v>0</v>
      </c>
      <c r="CS191" s="13">
        <v>0</v>
      </c>
      <c r="CT191" s="14">
        <v>302.83679999999998</v>
      </c>
      <c r="CU191" s="14">
        <v>1128.3887999999999</v>
      </c>
      <c r="CV191" s="14">
        <v>302.83679999999998</v>
      </c>
      <c r="CW191" s="14">
        <v>1161.2244000000001</v>
      </c>
      <c r="CX191" s="14">
        <v>462.5292</v>
      </c>
      <c r="CY191" s="14">
        <v>462.5292</v>
      </c>
      <c r="CZ191" s="14">
        <v>462.5292</v>
      </c>
      <c r="DA191" s="14">
        <v>965.94119999999998</v>
      </c>
      <c r="DB191" s="14">
        <v>984.6816</v>
      </c>
      <c r="DC191" s="14">
        <v>1364.6219999999998</v>
      </c>
      <c r="DD191" s="14">
        <v>1522.0632000000001</v>
      </c>
      <c r="DE191" s="14">
        <v>1522.0632000000001</v>
      </c>
      <c r="DF191" s="14">
        <v>1522.0632000000001</v>
      </c>
      <c r="DG191" s="14">
        <v>1626.2736</v>
      </c>
      <c r="DH191" s="12">
        <v>1179.5447999999999</v>
      </c>
      <c r="DI191" s="14">
        <v>1179.5447999999999</v>
      </c>
      <c r="DJ191" s="14">
        <v>1657.2275999999999</v>
      </c>
      <c r="DK191" s="14">
        <v>0</v>
      </c>
      <c r="DL191" s="14">
        <v>3677.4107999999997</v>
      </c>
      <c r="DM191" s="14">
        <v>1022.1539999999999</v>
      </c>
      <c r="DN191" s="13">
        <v>1157.52</v>
      </c>
      <c r="DO191" s="14">
        <v>1548.8843999999999</v>
      </c>
      <c r="DP191" s="14">
        <v>1657.2275999999999</v>
      </c>
      <c r="DQ191" s="14">
        <v>1641.7547999999999</v>
      </c>
      <c r="DR191" s="12">
        <v>975.24</v>
      </c>
      <c r="DS191" s="13">
        <v>565.58879999999999</v>
      </c>
      <c r="DT191" s="14">
        <v>3198.3755999999998</v>
      </c>
      <c r="DU191" s="14">
        <v>2443.4004</v>
      </c>
      <c r="DV191" s="15">
        <v>2443.4004</v>
      </c>
      <c r="DY191" s="35" t="s">
        <v>30</v>
      </c>
      <c r="DZ191" s="16">
        <v>6.2500000000000003E-3</v>
      </c>
      <c r="EA191" s="14">
        <v>6.2500000000000003E-3</v>
      </c>
      <c r="EB191" s="14">
        <v>6.2500000000000003E-3</v>
      </c>
      <c r="EC191" s="14">
        <v>6.2500000000000003E-3</v>
      </c>
      <c r="ED191" s="14">
        <v>6.2500000000000003E-3</v>
      </c>
      <c r="EE191" s="14">
        <v>6.2500000000000003E-3</v>
      </c>
      <c r="EF191" s="14">
        <v>6.2500000000000003E-3</v>
      </c>
      <c r="EG191" s="14">
        <v>6.2500000000000003E-3</v>
      </c>
      <c r="EH191" s="14">
        <v>6.2500000000000003E-3</v>
      </c>
      <c r="EI191" s="14">
        <v>6.2500000000000003E-3</v>
      </c>
      <c r="EJ191" s="14">
        <v>6.2500000000000003E-3</v>
      </c>
      <c r="EK191" s="14">
        <v>6.2500000000000003E-3</v>
      </c>
      <c r="EL191" s="14">
        <v>6.2500000000000003E-3</v>
      </c>
      <c r="EM191" s="14">
        <v>4.6511627906976744E-3</v>
      </c>
      <c r="EN191" s="14">
        <v>4.6511627906976744E-3</v>
      </c>
      <c r="EO191" s="13">
        <f t="shared" si="71"/>
        <v>1.2500000000000001E-2</v>
      </c>
      <c r="EP191" s="13">
        <f t="shared" si="71"/>
        <v>1.2500000000000001E-2</v>
      </c>
      <c r="EQ191" s="13">
        <f t="shared" si="71"/>
        <v>1.2500000000000001E-2</v>
      </c>
      <c r="ER191" s="13">
        <f t="shared" si="71"/>
        <v>1.2500000000000001E-2</v>
      </c>
      <c r="ES191" s="13">
        <f t="shared" si="71"/>
        <v>1.2500000000000001E-2</v>
      </c>
      <c r="ET191" s="13">
        <f t="shared" si="71"/>
        <v>1.2500000000000001E-2</v>
      </c>
      <c r="EU191" s="13">
        <f t="shared" si="71"/>
        <v>1.2500000000000001E-2</v>
      </c>
      <c r="EV191" s="13">
        <f t="shared" si="71"/>
        <v>1.2500000000000001E-2</v>
      </c>
      <c r="EW191" s="13">
        <f t="shared" si="71"/>
        <v>1.2500000000000001E-2</v>
      </c>
      <c r="EX191" s="13">
        <f t="shared" si="71"/>
        <v>1.2500000000000001E-2</v>
      </c>
      <c r="EY191" s="13">
        <f t="shared" si="71"/>
        <v>1.2500000000000001E-2</v>
      </c>
      <c r="EZ191" s="13">
        <f t="shared" si="71"/>
        <v>1.2500000000000001E-2</v>
      </c>
      <c r="FA191" s="13">
        <f t="shared" si="71"/>
        <v>1.2500000000000001E-2</v>
      </c>
      <c r="FB191" s="13">
        <f t="shared" si="71"/>
        <v>1.2500000000000001E-2</v>
      </c>
      <c r="FC191" s="12">
        <v>0.6</v>
      </c>
      <c r="FD191" s="13">
        <f t="shared" si="68"/>
        <v>1.2500000000000001E-2</v>
      </c>
      <c r="FE191" s="13">
        <f t="shared" si="68"/>
        <v>1.2500000000000001E-2</v>
      </c>
      <c r="FF191" s="14">
        <v>5.7142857142857143E-3</v>
      </c>
      <c r="FG191" s="14">
        <v>5.7142857142857143E-3</v>
      </c>
      <c r="FH191" s="14">
        <v>5.7142857142857143E-3</v>
      </c>
      <c r="FI191" s="14">
        <v>5.7142857142857143E-3</v>
      </c>
      <c r="FJ191" s="14">
        <v>5.7142857142857143E-3</v>
      </c>
      <c r="FK191" s="14">
        <v>5.7142857142857143E-3</v>
      </c>
      <c r="FL191" s="14">
        <v>5.7142857142857143E-3</v>
      </c>
      <c r="FM191" s="14">
        <v>4.7619047619047623E-3</v>
      </c>
      <c r="FN191" s="14">
        <v>4.7619047619047623E-3</v>
      </c>
      <c r="FO191" s="14">
        <v>4.7619047619047623E-3</v>
      </c>
      <c r="FP191" s="14">
        <v>5.7142857142857143E-3</v>
      </c>
      <c r="FQ191" s="14">
        <v>5.7142857142857143E-3</v>
      </c>
      <c r="FR191" s="14">
        <v>5.7142857142857143E-3</v>
      </c>
      <c r="FS191" s="14">
        <v>5.7142857142857143E-3</v>
      </c>
      <c r="FT191" s="12">
        <v>0.6</v>
      </c>
      <c r="FU191" s="14">
        <v>5.7142857142857143E-3</v>
      </c>
      <c r="FV191" s="14">
        <v>5.7142857142857143E-3</v>
      </c>
      <c r="FW191" s="14">
        <v>4.5454545454545461E-3</v>
      </c>
      <c r="FX191" s="14">
        <v>4.5454545454545461E-3</v>
      </c>
      <c r="FY191" s="14">
        <v>5.7142857142857143E-3</v>
      </c>
      <c r="FZ191" s="13">
        <f t="shared" si="72"/>
        <v>1.2500000000000001E-2</v>
      </c>
      <c r="GA191" s="14">
        <v>5.7142857142857143E-3</v>
      </c>
      <c r="GB191" s="14">
        <v>5.7142857142857143E-3</v>
      </c>
      <c r="GC191" s="14">
        <v>5.7142857142857143E-3</v>
      </c>
      <c r="GD191" s="12">
        <v>0.6</v>
      </c>
      <c r="GE191" s="13">
        <f t="shared" si="70"/>
        <v>1.2500000000000001E-2</v>
      </c>
      <c r="GF191" s="14">
        <v>4.6511627906976744E-3</v>
      </c>
      <c r="GG191" s="14">
        <v>4.6511627906976744E-3</v>
      </c>
      <c r="GH191" s="15">
        <v>4.6511627906976744E-3</v>
      </c>
    </row>
    <row r="192" spans="1:190" x14ac:dyDescent="0.3">
      <c r="A192" s="35" t="s">
        <v>31</v>
      </c>
      <c r="B192" s="16" t="s">
        <v>62</v>
      </c>
      <c r="C192" s="14" t="s">
        <v>62</v>
      </c>
      <c r="D192" s="14" t="s">
        <v>62</v>
      </c>
      <c r="E192" s="14" t="s">
        <v>62</v>
      </c>
      <c r="F192" s="14" t="s">
        <v>62</v>
      </c>
      <c r="G192" s="14" t="s">
        <v>62</v>
      </c>
      <c r="H192" s="14" t="s">
        <v>62</v>
      </c>
      <c r="I192" s="14" t="s">
        <v>62</v>
      </c>
      <c r="J192" s="14" t="s">
        <v>62</v>
      </c>
      <c r="K192" s="14" t="s">
        <v>62</v>
      </c>
      <c r="L192" s="14" t="s">
        <v>62</v>
      </c>
      <c r="M192" s="14" t="s">
        <v>62</v>
      </c>
      <c r="N192" s="14" t="s">
        <v>62</v>
      </c>
      <c r="O192" s="14" t="s">
        <v>62</v>
      </c>
      <c r="P192" s="14" t="s">
        <v>62</v>
      </c>
      <c r="Q192" s="13" t="s">
        <v>62</v>
      </c>
      <c r="R192" s="13" t="s">
        <v>62</v>
      </c>
      <c r="S192" s="13" t="s">
        <v>62</v>
      </c>
      <c r="T192" s="13" t="s">
        <v>62</v>
      </c>
      <c r="U192" s="13" t="s">
        <v>62</v>
      </c>
      <c r="V192" s="13" t="s">
        <v>62</v>
      </c>
      <c r="W192" s="13" t="s">
        <v>62</v>
      </c>
      <c r="X192" s="13" t="s">
        <v>62</v>
      </c>
      <c r="Y192" s="13" t="s">
        <v>62</v>
      </c>
      <c r="Z192" s="13" t="s">
        <v>62</v>
      </c>
      <c r="AA192" s="13" t="s">
        <v>62</v>
      </c>
      <c r="AB192" s="13" t="s">
        <v>62</v>
      </c>
      <c r="AC192" s="13" t="s">
        <v>62</v>
      </c>
      <c r="AD192" s="13" t="s">
        <v>62</v>
      </c>
      <c r="AE192" s="13" t="s">
        <v>62</v>
      </c>
      <c r="AF192" s="12">
        <f>IF(AND(Distances!CS135=0,Distances!FE135=0),CR192*FD192*AF161*2,"")</f>
        <v>0</v>
      </c>
      <c r="AG192" s="13" t="s">
        <v>62</v>
      </c>
      <c r="AH192" s="14" t="s">
        <v>62</v>
      </c>
      <c r="AI192" s="14" t="s">
        <v>62</v>
      </c>
      <c r="AJ192" s="14" t="s">
        <v>62</v>
      </c>
      <c r="AK192" s="14" t="s">
        <v>62</v>
      </c>
      <c r="AL192" s="14" t="s">
        <v>62</v>
      </c>
      <c r="AM192" s="14" t="s">
        <v>62</v>
      </c>
      <c r="AN192" s="14" t="s">
        <v>62</v>
      </c>
      <c r="AO192" s="14" t="s">
        <v>62</v>
      </c>
      <c r="AP192" s="14" t="s">
        <v>62</v>
      </c>
      <c r="AQ192" s="14" t="s">
        <v>62</v>
      </c>
      <c r="AR192" s="14" t="s">
        <v>62</v>
      </c>
      <c r="AS192" s="14" t="s">
        <v>62</v>
      </c>
      <c r="AT192" s="14" t="s">
        <v>62</v>
      </c>
      <c r="AU192" s="14" t="s">
        <v>62</v>
      </c>
      <c r="AV192" s="14" t="s">
        <v>62</v>
      </c>
      <c r="AW192" s="14" t="s">
        <v>62</v>
      </c>
      <c r="AX192" s="14" t="s">
        <v>62</v>
      </c>
      <c r="AY192" s="14" t="s">
        <v>62</v>
      </c>
      <c r="AZ192" s="14" t="s">
        <v>62</v>
      </c>
      <c r="BA192" s="14" t="s">
        <v>62</v>
      </c>
      <c r="BB192" s="13" t="s">
        <v>62</v>
      </c>
      <c r="BC192" s="14" t="s">
        <v>62</v>
      </c>
      <c r="BD192" s="14" t="s">
        <v>62</v>
      </c>
      <c r="BE192" s="14" t="s">
        <v>62</v>
      </c>
      <c r="BF192" s="13" t="s">
        <v>62</v>
      </c>
      <c r="BG192" s="13" t="s">
        <v>62</v>
      </c>
      <c r="BH192" s="14" t="s">
        <v>62</v>
      </c>
      <c r="BI192" s="14" t="s">
        <v>62</v>
      </c>
      <c r="BJ192" s="15" t="s">
        <v>62</v>
      </c>
      <c r="BM192" s="35" t="s">
        <v>31</v>
      </c>
      <c r="BN192" s="16">
        <v>1599.1751999999999</v>
      </c>
      <c r="BO192" s="14">
        <v>1865.5391999999999</v>
      </c>
      <c r="BP192" s="14">
        <v>1125.6504</v>
      </c>
      <c r="BQ192" s="14">
        <v>1125.6504</v>
      </c>
      <c r="BR192" s="14">
        <v>1192.4555999999998</v>
      </c>
      <c r="BS192" s="14">
        <v>2937.5135999999998</v>
      </c>
      <c r="BT192" s="14">
        <v>3032.9543999999996</v>
      </c>
      <c r="BU192" s="14">
        <v>2937.5135999999998</v>
      </c>
      <c r="BV192" s="14">
        <v>1170.1871999999998</v>
      </c>
      <c r="BW192" s="14">
        <v>1170.1871999999998</v>
      </c>
      <c r="BX192" s="14">
        <v>3062.6736000000001</v>
      </c>
      <c r="BY192" s="14">
        <v>3062.6736000000001</v>
      </c>
      <c r="BZ192" s="14">
        <v>1976.3015999999998</v>
      </c>
      <c r="CA192" s="14">
        <v>1806.1931999999999</v>
      </c>
      <c r="CB192" s="14">
        <v>1933.3775999999998</v>
      </c>
      <c r="CC192" s="13">
        <v>976.6848</v>
      </c>
      <c r="CD192" s="13">
        <v>967.4867999999999</v>
      </c>
      <c r="CE192" s="13">
        <v>995.09760000000006</v>
      </c>
      <c r="CF192" s="13">
        <v>949.07399999999984</v>
      </c>
      <c r="CG192" s="13">
        <v>858.42119999999989</v>
      </c>
      <c r="CH192" s="13">
        <v>0</v>
      </c>
      <c r="CI192" s="13">
        <v>958.28039999999987</v>
      </c>
      <c r="CJ192" s="13">
        <v>1179.5447999999999</v>
      </c>
      <c r="CK192" s="13">
        <v>949.07399999999984</v>
      </c>
      <c r="CL192" s="13">
        <v>934.81920000000002</v>
      </c>
      <c r="CM192" s="13">
        <v>917.84280000000001</v>
      </c>
      <c r="CN192" s="13">
        <v>883.88159999999993</v>
      </c>
      <c r="CO192" s="13">
        <v>875.39760000000001</v>
      </c>
      <c r="CP192" s="13">
        <v>1179.5447999999999</v>
      </c>
      <c r="CQ192" s="13">
        <v>0</v>
      </c>
      <c r="CR192" s="12">
        <v>0</v>
      </c>
      <c r="CS192" s="13">
        <v>0</v>
      </c>
      <c r="CT192" s="14">
        <v>302.83679999999998</v>
      </c>
      <c r="CU192" s="14">
        <v>1128.3887999999999</v>
      </c>
      <c r="CV192" s="14">
        <v>302.83679999999998</v>
      </c>
      <c r="CW192" s="14">
        <v>1161.2244000000001</v>
      </c>
      <c r="CX192" s="14">
        <v>462.5292</v>
      </c>
      <c r="CY192" s="14">
        <v>462.5292</v>
      </c>
      <c r="CZ192" s="14">
        <v>462.5292</v>
      </c>
      <c r="DA192" s="14">
        <v>965.94119999999998</v>
      </c>
      <c r="DB192" s="14">
        <v>984.6816</v>
      </c>
      <c r="DC192" s="14">
        <v>1364.6219999999998</v>
      </c>
      <c r="DD192" s="14">
        <v>1522.0632000000001</v>
      </c>
      <c r="DE192" s="14">
        <v>1522.0632000000001</v>
      </c>
      <c r="DF192" s="14">
        <v>1522.0632000000001</v>
      </c>
      <c r="DG192" s="14">
        <v>1626.2736</v>
      </c>
      <c r="DH192" s="14">
        <v>1179.5447999999999</v>
      </c>
      <c r="DI192" s="14">
        <v>1179.5447999999999</v>
      </c>
      <c r="DJ192" s="14">
        <v>1657.2275999999999</v>
      </c>
      <c r="DK192" s="14">
        <v>0</v>
      </c>
      <c r="DL192" s="14">
        <v>3677.4107999999997</v>
      </c>
      <c r="DM192" s="14">
        <v>1022.1539999999999</v>
      </c>
      <c r="DN192" s="13">
        <v>1157.52</v>
      </c>
      <c r="DO192" s="14">
        <v>1548.8843999999999</v>
      </c>
      <c r="DP192" s="14">
        <v>1657.2275999999999</v>
      </c>
      <c r="DQ192" s="14">
        <v>1641.7547999999999</v>
      </c>
      <c r="DR192" s="13">
        <v>975.24</v>
      </c>
      <c r="DS192" s="13">
        <v>565.58879999999999</v>
      </c>
      <c r="DT192" s="14">
        <v>3198.3755999999998</v>
      </c>
      <c r="DU192" s="14">
        <v>2443.4004</v>
      </c>
      <c r="DV192" s="15">
        <v>2443.4004</v>
      </c>
      <c r="DY192" s="35" t="s">
        <v>31</v>
      </c>
      <c r="DZ192" s="16">
        <v>6.2500000000000003E-3</v>
      </c>
      <c r="EA192" s="14">
        <v>6.2500000000000003E-3</v>
      </c>
      <c r="EB192" s="14">
        <v>6.2500000000000003E-3</v>
      </c>
      <c r="EC192" s="14">
        <v>6.2500000000000003E-3</v>
      </c>
      <c r="ED192" s="14">
        <v>6.2500000000000003E-3</v>
      </c>
      <c r="EE192" s="14">
        <v>6.2500000000000003E-3</v>
      </c>
      <c r="EF192" s="14">
        <v>6.2500000000000003E-3</v>
      </c>
      <c r="EG192" s="14">
        <v>6.2500000000000003E-3</v>
      </c>
      <c r="EH192" s="14">
        <v>6.2500000000000003E-3</v>
      </c>
      <c r="EI192" s="14">
        <v>6.2500000000000003E-3</v>
      </c>
      <c r="EJ192" s="14">
        <v>6.2500000000000003E-3</v>
      </c>
      <c r="EK192" s="14">
        <v>6.2500000000000003E-3</v>
      </c>
      <c r="EL192" s="14">
        <v>6.2500000000000003E-3</v>
      </c>
      <c r="EM192" s="14">
        <v>4.6511627906976744E-3</v>
      </c>
      <c r="EN192" s="14">
        <v>4.6511627906976744E-3</v>
      </c>
      <c r="EO192" s="13">
        <f t="shared" si="71"/>
        <v>1.2500000000000001E-2</v>
      </c>
      <c r="EP192" s="13">
        <f t="shared" si="71"/>
        <v>1.2500000000000001E-2</v>
      </c>
      <c r="EQ192" s="13">
        <f t="shared" si="71"/>
        <v>1.2500000000000001E-2</v>
      </c>
      <c r="ER192" s="13">
        <f t="shared" si="71"/>
        <v>1.2500000000000001E-2</v>
      </c>
      <c r="ES192" s="13">
        <f t="shared" si="71"/>
        <v>1.2500000000000001E-2</v>
      </c>
      <c r="ET192" s="13">
        <f t="shared" si="71"/>
        <v>1.2500000000000001E-2</v>
      </c>
      <c r="EU192" s="13">
        <f t="shared" si="71"/>
        <v>1.2500000000000001E-2</v>
      </c>
      <c r="EV192" s="13">
        <f t="shared" si="71"/>
        <v>1.2500000000000001E-2</v>
      </c>
      <c r="EW192" s="13">
        <f t="shared" si="71"/>
        <v>1.2500000000000001E-2</v>
      </c>
      <c r="EX192" s="13">
        <f t="shared" si="71"/>
        <v>1.2500000000000001E-2</v>
      </c>
      <c r="EY192" s="13">
        <f t="shared" si="71"/>
        <v>1.2500000000000001E-2</v>
      </c>
      <c r="EZ192" s="13">
        <f t="shared" si="71"/>
        <v>1.2500000000000001E-2</v>
      </c>
      <c r="FA192" s="13">
        <f t="shared" si="71"/>
        <v>1.2500000000000001E-2</v>
      </c>
      <c r="FB192" s="13">
        <f t="shared" si="71"/>
        <v>1.2500000000000001E-2</v>
      </c>
      <c r="FC192" s="13">
        <f t="shared" si="71"/>
        <v>1.2500000000000001E-2</v>
      </c>
      <c r="FD192" s="12">
        <v>0.6</v>
      </c>
      <c r="FE192" s="13">
        <f t="shared" si="68"/>
        <v>1.2500000000000001E-2</v>
      </c>
      <c r="FF192" s="14">
        <v>5.7142857142857143E-3</v>
      </c>
      <c r="FG192" s="14">
        <v>5.7142857142857143E-3</v>
      </c>
      <c r="FH192" s="14">
        <v>5.7142857142857143E-3</v>
      </c>
      <c r="FI192" s="14">
        <v>5.7142857142857143E-3</v>
      </c>
      <c r="FJ192" s="14">
        <v>5.7142857142857143E-3</v>
      </c>
      <c r="FK192" s="14">
        <v>5.7142857142857143E-3</v>
      </c>
      <c r="FL192" s="14">
        <v>5.7142857142857143E-3</v>
      </c>
      <c r="FM192" s="14">
        <v>4.7619047619047623E-3</v>
      </c>
      <c r="FN192" s="14">
        <v>4.7619047619047623E-3</v>
      </c>
      <c r="FO192" s="14">
        <v>4.7619047619047623E-3</v>
      </c>
      <c r="FP192" s="14">
        <v>5.7142857142857143E-3</v>
      </c>
      <c r="FQ192" s="14">
        <v>5.7142857142857143E-3</v>
      </c>
      <c r="FR192" s="14">
        <v>5.7142857142857143E-3</v>
      </c>
      <c r="FS192" s="14">
        <v>5.7142857142857143E-3</v>
      </c>
      <c r="FT192" s="14">
        <v>5.8823529411764705E-3</v>
      </c>
      <c r="FU192" s="14">
        <v>5.7142857142857143E-3</v>
      </c>
      <c r="FV192" s="14">
        <v>5.7142857142857143E-3</v>
      </c>
      <c r="FW192" s="14">
        <v>4.5454545454545461E-3</v>
      </c>
      <c r="FX192" s="14">
        <v>4.5454545454545461E-3</v>
      </c>
      <c r="FY192" s="14">
        <v>5.7142857142857143E-3</v>
      </c>
      <c r="FZ192" s="13">
        <f t="shared" si="72"/>
        <v>1.2500000000000001E-2</v>
      </c>
      <c r="GA192" s="14">
        <v>5.7142857142857143E-3</v>
      </c>
      <c r="GB192" s="14">
        <v>5.7142857142857143E-3</v>
      </c>
      <c r="GC192" s="14">
        <v>5.7142857142857143E-3</v>
      </c>
      <c r="GD192" s="13">
        <f>0.2/16</f>
        <v>1.2500000000000001E-2</v>
      </c>
      <c r="GE192" s="13">
        <f t="shared" si="70"/>
        <v>1.2500000000000001E-2</v>
      </c>
      <c r="GF192" s="14">
        <v>4.6511627906976744E-3</v>
      </c>
      <c r="GG192" s="14">
        <v>4.6511627906976744E-3</v>
      </c>
      <c r="GH192" s="15">
        <v>4.6511627906976744E-3</v>
      </c>
    </row>
    <row r="193" spans="1:190" x14ac:dyDescent="0.3">
      <c r="A193" s="35" t="s">
        <v>32</v>
      </c>
      <c r="B193" s="16" t="s">
        <v>62</v>
      </c>
      <c r="C193" s="14" t="s">
        <v>62</v>
      </c>
      <c r="D193" s="14" t="s">
        <v>62</v>
      </c>
      <c r="E193" s="14" t="s">
        <v>62</v>
      </c>
      <c r="F193" s="14" t="s">
        <v>62</v>
      </c>
      <c r="G193" s="14" t="s">
        <v>62</v>
      </c>
      <c r="H193" s="14" t="s">
        <v>62</v>
      </c>
      <c r="I193" s="14" t="s">
        <v>62</v>
      </c>
      <c r="J193" s="14" t="s">
        <v>62</v>
      </c>
      <c r="K193" s="14" t="s">
        <v>62</v>
      </c>
      <c r="L193" s="14" t="s">
        <v>62</v>
      </c>
      <c r="M193" s="14" t="s">
        <v>62</v>
      </c>
      <c r="N193" s="14" t="s">
        <v>62</v>
      </c>
      <c r="O193" s="14" t="s">
        <v>62</v>
      </c>
      <c r="P193" s="14" t="s">
        <v>62</v>
      </c>
      <c r="Q193" s="13" t="s">
        <v>62</v>
      </c>
      <c r="R193" s="13" t="s">
        <v>62</v>
      </c>
      <c r="S193" s="13" t="s">
        <v>62</v>
      </c>
      <c r="T193" s="13" t="s">
        <v>62</v>
      </c>
      <c r="U193" s="13" t="s">
        <v>62</v>
      </c>
      <c r="V193" s="13" t="s">
        <v>62</v>
      </c>
      <c r="W193" s="13" t="s">
        <v>62</v>
      </c>
      <c r="X193" s="13" t="s">
        <v>62</v>
      </c>
      <c r="Y193" s="13" t="s">
        <v>62</v>
      </c>
      <c r="Z193" s="13" t="s">
        <v>62</v>
      </c>
      <c r="AA193" s="13" t="s">
        <v>62</v>
      </c>
      <c r="AB193" s="13" t="s">
        <v>62</v>
      </c>
      <c r="AC193" s="13" t="s">
        <v>62</v>
      </c>
      <c r="AD193" s="13" t="s">
        <v>62</v>
      </c>
      <c r="AE193" s="13" t="s">
        <v>62</v>
      </c>
      <c r="AF193" s="13" t="s">
        <v>62</v>
      </c>
      <c r="AG193" s="12">
        <f>IF(AND(Distances!CT136=0,Distances!FF136=0),CS193*FE193*AG161*2,"")</f>
        <v>0</v>
      </c>
      <c r="AH193" s="14" t="s">
        <v>62</v>
      </c>
      <c r="AI193" s="14" t="s">
        <v>62</v>
      </c>
      <c r="AJ193" s="14" t="s">
        <v>62</v>
      </c>
      <c r="AK193" s="14" t="s">
        <v>62</v>
      </c>
      <c r="AL193" s="14" t="s">
        <v>62</v>
      </c>
      <c r="AM193" s="14" t="s">
        <v>62</v>
      </c>
      <c r="AN193" s="14" t="s">
        <v>62</v>
      </c>
      <c r="AO193" s="14" t="s">
        <v>62</v>
      </c>
      <c r="AP193" s="14" t="s">
        <v>62</v>
      </c>
      <c r="AQ193" s="14" t="s">
        <v>62</v>
      </c>
      <c r="AR193" s="14" t="s">
        <v>62</v>
      </c>
      <c r="AS193" s="14" t="s">
        <v>62</v>
      </c>
      <c r="AT193" s="14" t="s">
        <v>62</v>
      </c>
      <c r="AU193" s="14" t="s">
        <v>62</v>
      </c>
      <c r="AV193" s="14" t="s">
        <v>62</v>
      </c>
      <c r="AW193" s="14" t="s">
        <v>62</v>
      </c>
      <c r="AX193" s="14" t="s">
        <v>62</v>
      </c>
      <c r="AY193" s="14" t="s">
        <v>62</v>
      </c>
      <c r="AZ193" s="14" t="s">
        <v>62</v>
      </c>
      <c r="BA193" s="14" t="s">
        <v>62</v>
      </c>
      <c r="BB193" s="13" t="s">
        <v>62</v>
      </c>
      <c r="BC193" s="14" t="s">
        <v>62</v>
      </c>
      <c r="BD193" s="14" t="s">
        <v>62</v>
      </c>
      <c r="BE193" s="14" t="s">
        <v>62</v>
      </c>
      <c r="BF193" s="13" t="s">
        <v>62</v>
      </c>
      <c r="BG193" s="12" t="s">
        <v>62</v>
      </c>
      <c r="BH193" s="14" t="s">
        <v>62</v>
      </c>
      <c r="BI193" s="14" t="s">
        <v>62</v>
      </c>
      <c r="BJ193" s="15" t="s">
        <v>62</v>
      </c>
      <c r="BM193" s="35" t="s">
        <v>32</v>
      </c>
      <c r="BN193" s="16">
        <v>1599.1751999999999</v>
      </c>
      <c r="BO193" s="14">
        <v>1865.5391999999999</v>
      </c>
      <c r="BP193" s="14">
        <v>1125.6504</v>
      </c>
      <c r="BQ193" s="14">
        <v>1125.6504</v>
      </c>
      <c r="BR193" s="14">
        <v>1192.4555999999998</v>
      </c>
      <c r="BS193" s="14">
        <v>2937.5135999999998</v>
      </c>
      <c r="BT193" s="14">
        <v>3032.9543999999996</v>
      </c>
      <c r="BU193" s="14">
        <v>2937.5135999999998</v>
      </c>
      <c r="BV193" s="14">
        <v>1170.1871999999998</v>
      </c>
      <c r="BW193" s="14">
        <v>1170.1871999999998</v>
      </c>
      <c r="BX193" s="14">
        <v>3062.6736000000001</v>
      </c>
      <c r="BY193" s="14">
        <v>3062.6736000000001</v>
      </c>
      <c r="BZ193" s="14">
        <v>1976.3015999999998</v>
      </c>
      <c r="CA193" s="14">
        <v>1806.1931999999999</v>
      </c>
      <c r="CB193" s="14">
        <v>1933.3775999999998</v>
      </c>
      <c r="CC193" s="13">
        <v>976.6848</v>
      </c>
      <c r="CD193" s="13">
        <v>967.4867999999999</v>
      </c>
      <c r="CE193" s="13">
        <v>995.09760000000006</v>
      </c>
      <c r="CF193" s="13">
        <v>949.07399999999984</v>
      </c>
      <c r="CG193" s="13">
        <v>858.42119999999989</v>
      </c>
      <c r="CH193" s="13">
        <v>0</v>
      </c>
      <c r="CI193" s="13">
        <v>958.28039999999987</v>
      </c>
      <c r="CJ193" s="13">
        <v>1179.5447999999999</v>
      </c>
      <c r="CK193" s="13">
        <v>949.07399999999984</v>
      </c>
      <c r="CL193" s="13">
        <v>934.81920000000002</v>
      </c>
      <c r="CM193" s="13">
        <v>917.84280000000001</v>
      </c>
      <c r="CN193" s="13">
        <v>883.88159999999993</v>
      </c>
      <c r="CO193" s="13">
        <v>875.39760000000001</v>
      </c>
      <c r="CP193" s="13">
        <v>1179.5447999999999</v>
      </c>
      <c r="CQ193" s="13">
        <v>0</v>
      </c>
      <c r="CR193" s="13">
        <v>0</v>
      </c>
      <c r="CS193" s="12">
        <v>0</v>
      </c>
      <c r="CT193" s="14">
        <v>302.83679999999998</v>
      </c>
      <c r="CU193" s="14">
        <v>1128.3887999999999</v>
      </c>
      <c r="CV193" s="14">
        <v>302.83679999999998</v>
      </c>
      <c r="CW193" s="14">
        <v>1161.2244000000001</v>
      </c>
      <c r="CX193" s="14">
        <v>462.5292</v>
      </c>
      <c r="CY193" s="14">
        <v>462.5292</v>
      </c>
      <c r="CZ193" s="14">
        <v>462.5292</v>
      </c>
      <c r="DA193" s="14">
        <v>965.94119999999998</v>
      </c>
      <c r="DB193" s="14">
        <v>984.6816</v>
      </c>
      <c r="DC193" s="14">
        <v>1364.6219999999998</v>
      </c>
      <c r="DD193" s="14">
        <v>1522.0632000000001</v>
      </c>
      <c r="DE193" s="14">
        <v>1522.0632000000001</v>
      </c>
      <c r="DF193" s="14">
        <v>1522.0632000000001</v>
      </c>
      <c r="DG193" s="14">
        <v>1626.2736</v>
      </c>
      <c r="DH193" s="14">
        <v>1179.5447999999999</v>
      </c>
      <c r="DI193" s="14">
        <v>1179.5447999999999</v>
      </c>
      <c r="DJ193" s="14">
        <v>1657.2275999999999</v>
      </c>
      <c r="DK193" s="14">
        <v>0</v>
      </c>
      <c r="DL193" s="14">
        <v>3677.4107999999997</v>
      </c>
      <c r="DM193" s="14">
        <v>1022.1539999999999</v>
      </c>
      <c r="DN193" s="13">
        <v>1157.52</v>
      </c>
      <c r="DO193" s="14">
        <v>1548.8843999999999</v>
      </c>
      <c r="DP193" s="14">
        <v>1657.2275999999999</v>
      </c>
      <c r="DQ193" s="14">
        <v>1641.7547999999999</v>
      </c>
      <c r="DR193" s="13">
        <v>975.24</v>
      </c>
      <c r="DS193" s="12">
        <v>565.58879999999999</v>
      </c>
      <c r="DT193" s="14">
        <v>3198.3755999999998</v>
      </c>
      <c r="DU193" s="14">
        <v>2443.4004</v>
      </c>
      <c r="DV193" s="15">
        <v>2443.4004</v>
      </c>
      <c r="DY193" s="35" t="s">
        <v>32</v>
      </c>
      <c r="DZ193" s="16">
        <v>6.2500000000000003E-3</v>
      </c>
      <c r="EA193" s="14">
        <v>6.2500000000000003E-3</v>
      </c>
      <c r="EB193" s="14">
        <v>6.2500000000000003E-3</v>
      </c>
      <c r="EC193" s="14">
        <v>6.2500000000000003E-3</v>
      </c>
      <c r="ED193" s="14">
        <v>6.2500000000000003E-3</v>
      </c>
      <c r="EE193" s="14">
        <v>6.2500000000000003E-3</v>
      </c>
      <c r="EF193" s="14">
        <v>6.2500000000000003E-3</v>
      </c>
      <c r="EG193" s="14">
        <v>6.2500000000000003E-3</v>
      </c>
      <c r="EH193" s="14">
        <v>6.2500000000000003E-3</v>
      </c>
      <c r="EI193" s="14">
        <v>6.2500000000000003E-3</v>
      </c>
      <c r="EJ193" s="14">
        <v>6.2500000000000003E-3</v>
      </c>
      <c r="EK193" s="14">
        <v>6.2500000000000003E-3</v>
      </c>
      <c r="EL193" s="14">
        <v>6.2500000000000003E-3</v>
      </c>
      <c r="EM193" s="14">
        <v>4.6511627906976744E-3</v>
      </c>
      <c r="EN193" s="14">
        <v>4.6511627906976744E-3</v>
      </c>
      <c r="EO193" s="13">
        <f t="shared" si="71"/>
        <v>1.2500000000000001E-2</v>
      </c>
      <c r="EP193" s="13">
        <f t="shared" si="71"/>
        <v>1.2500000000000001E-2</v>
      </c>
      <c r="EQ193" s="13">
        <f t="shared" si="71"/>
        <v>1.2500000000000001E-2</v>
      </c>
      <c r="ER193" s="13">
        <f t="shared" si="71"/>
        <v>1.2500000000000001E-2</v>
      </c>
      <c r="ES193" s="13">
        <f t="shared" si="71"/>
        <v>1.2500000000000001E-2</v>
      </c>
      <c r="ET193" s="13">
        <f t="shared" si="71"/>
        <v>1.2500000000000001E-2</v>
      </c>
      <c r="EU193" s="13">
        <f t="shared" si="71"/>
        <v>1.2500000000000001E-2</v>
      </c>
      <c r="EV193" s="13">
        <f t="shared" si="71"/>
        <v>1.2500000000000001E-2</v>
      </c>
      <c r="EW193" s="13">
        <f t="shared" si="71"/>
        <v>1.2500000000000001E-2</v>
      </c>
      <c r="EX193" s="13">
        <f t="shared" si="71"/>
        <v>1.2500000000000001E-2</v>
      </c>
      <c r="EY193" s="13">
        <f t="shared" si="71"/>
        <v>1.2500000000000001E-2</v>
      </c>
      <c r="EZ193" s="13">
        <f t="shared" si="71"/>
        <v>1.2500000000000001E-2</v>
      </c>
      <c r="FA193" s="13">
        <f t="shared" si="71"/>
        <v>1.2500000000000001E-2</v>
      </c>
      <c r="FB193" s="13">
        <f t="shared" si="71"/>
        <v>1.2500000000000001E-2</v>
      </c>
      <c r="FC193" s="13">
        <f t="shared" si="71"/>
        <v>1.2500000000000001E-2</v>
      </c>
      <c r="FD193" s="13">
        <f>0.2/16</f>
        <v>1.2500000000000001E-2</v>
      </c>
      <c r="FE193" s="12">
        <v>0.6</v>
      </c>
      <c r="FF193" s="14">
        <v>5.7142857142857143E-3</v>
      </c>
      <c r="FG193" s="14">
        <v>5.7142857142857143E-3</v>
      </c>
      <c r="FH193" s="14">
        <v>5.7142857142857143E-3</v>
      </c>
      <c r="FI193" s="14">
        <v>5.7142857142857143E-3</v>
      </c>
      <c r="FJ193" s="14">
        <v>5.7142857142857143E-3</v>
      </c>
      <c r="FK193" s="14">
        <v>5.7142857142857143E-3</v>
      </c>
      <c r="FL193" s="14">
        <v>5.7142857142857143E-3</v>
      </c>
      <c r="FM193" s="14">
        <v>4.7619047619047623E-3</v>
      </c>
      <c r="FN193" s="14">
        <v>4.7619047619047623E-3</v>
      </c>
      <c r="FO193" s="14">
        <v>4.7619047619047623E-3</v>
      </c>
      <c r="FP193" s="14">
        <v>5.7142857142857143E-3</v>
      </c>
      <c r="FQ193" s="14">
        <v>5.7142857142857143E-3</v>
      </c>
      <c r="FR193" s="14">
        <v>5.7142857142857143E-3</v>
      </c>
      <c r="FS193" s="14">
        <v>5.7142857142857143E-3</v>
      </c>
      <c r="FT193" s="14">
        <v>5.8823529411764705E-3</v>
      </c>
      <c r="FU193" s="14">
        <v>5.7142857142857143E-3</v>
      </c>
      <c r="FV193" s="14">
        <v>5.7142857142857143E-3</v>
      </c>
      <c r="FW193" s="14">
        <v>4.5454545454545461E-3</v>
      </c>
      <c r="FX193" s="14">
        <v>4.5454545454545461E-3</v>
      </c>
      <c r="FY193" s="14">
        <v>5.7142857142857143E-3</v>
      </c>
      <c r="FZ193" s="13">
        <f t="shared" si="72"/>
        <v>1.2500000000000001E-2</v>
      </c>
      <c r="GA193" s="14">
        <v>5.7142857142857143E-3</v>
      </c>
      <c r="GB193" s="14">
        <v>5.7142857142857143E-3</v>
      </c>
      <c r="GC193" s="14">
        <v>5.7142857142857143E-3</v>
      </c>
      <c r="GD193" s="13">
        <f>0.2/16</f>
        <v>1.2500000000000001E-2</v>
      </c>
      <c r="GE193" s="12">
        <v>0.6</v>
      </c>
      <c r="GF193" s="14">
        <v>4.6511627906976744E-3</v>
      </c>
      <c r="GG193" s="14">
        <v>4.6511627906976744E-3</v>
      </c>
      <c r="GH193" s="15">
        <v>4.6511627906976744E-3</v>
      </c>
    </row>
    <row r="194" spans="1:190" x14ac:dyDescent="0.3">
      <c r="A194" s="35" t="s">
        <v>33</v>
      </c>
      <c r="B194" s="16" t="s">
        <v>62</v>
      </c>
      <c r="C194" s="14" t="s">
        <v>62</v>
      </c>
      <c r="D194" s="14" t="s">
        <v>62</v>
      </c>
      <c r="E194" s="14" t="s">
        <v>62</v>
      </c>
      <c r="F194" s="14" t="s">
        <v>62</v>
      </c>
      <c r="G194" s="14" t="s">
        <v>62</v>
      </c>
      <c r="H194" s="14" t="s">
        <v>62</v>
      </c>
      <c r="I194" s="14" t="s">
        <v>62</v>
      </c>
      <c r="J194" s="14" t="s">
        <v>62</v>
      </c>
      <c r="K194" s="14" t="s">
        <v>62</v>
      </c>
      <c r="L194" s="14" t="s">
        <v>62</v>
      </c>
      <c r="M194" s="14" t="s">
        <v>62</v>
      </c>
      <c r="N194" s="14" t="s">
        <v>62</v>
      </c>
      <c r="O194" s="14" t="s">
        <v>62</v>
      </c>
      <c r="P194" s="14" t="s">
        <v>62</v>
      </c>
      <c r="Q194" s="14" t="s">
        <v>62</v>
      </c>
      <c r="R194" s="14" t="s">
        <v>62</v>
      </c>
      <c r="S194" s="14" t="s">
        <v>62</v>
      </c>
      <c r="T194" s="14" t="s">
        <v>62</v>
      </c>
      <c r="U194" s="14" t="s">
        <v>62</v>
      </c>
      <c r="V194" s="14" t="s">
        <v>62</v>
      </c>
      <c r="W194" s="14" t="s">
        <v>62</v>
      </c>
      <c r="X194" s="14" t="s">
        <v>62</v>
      </c>
      <c r="Y194" s="14" t="s">
        <v>62</v>
      </c>
      <c r="Z194" s="14" t="s">
        <v>62</v>
      </c>
      <c r="AA194" s="14" t="s">
        <v>62</v>
      </c>
      <c r="AB194" s="14" t="s">
        <v>62</v>
      </c>
      <c r="AC194" s="14" t="s">
        <v>62</v>
      </c>
      <c r="AD194" s="14" t="s">
        <v>62</v>
      </c>
      <c r="AE194" s="14" t="s">
        <v>62</v>
      </c>
      <c r="AF194" s="14" t="s">
        <v>62</v>
      </c>
      <c r="AG194" s="14" t="s">
        <v>62</v>
      </c>
      <c r="AH194" s="12">
        <f>IF(AND(Distances!CU137=0,Distances!FG137=0),CT194*FF194*AH161*2,"")</f>
        <v>0</v>
      </c>
      <c r="AI194" s="13" t="s">
        <v>62</v>
      </c>
      <c r="AJ194" s="13" t="s">
        <v>62</v>
      </c>
      <c r="AK194" s="13" t="s">
        <v>62</v>
      </c>
      <c r="AL194" s="13" t="s">
        <v>62</v>
      </c>
      <c r="AM194" s="13" t="s">
        <v>62</v>
      </c>
      <c r="AN194" s="13" t="s">
        <v>62</v>
      </c>
      <c r="AO194" s="14" t="s">
        <v>62</v>
      </c>
      <c r="AP194" s="14" t="s">
        <v>62</v>
      </c>
      <c r="AQ194" s="14" t="s">
        <v>62</v>
      </c>
      <c r="AR194" s="13" t="s">
        <v>62</v>
      </c>
      <c r="AS194" s="13" t="s">
        <v>62</v>
      </c>
      <c r="AT194" s="13" t="s">
        <v>62</v>
      </c>
      <c r="AU194" s="13" t="s">
        <v>62</v>
      </c>
      <c r="AV194" s="13" t="s">
        <v>62</v>
      </c>
      <c r="AW194" s="12" t="s">
        <v>62</v>
      </c>
      <c r="AX194" s="13" t="s">
        <v>62</v>
      </c>
      <c r="AY194" s="14" t="s">
        <v>62</v>
      </c>
      <c r="AZ194" s="14" t="s">
        <v>62</v>
      </c>
      <c r="BA194" s="13" t="s">
        <v>62</v>
      </c>
      <c r="BB194" s="14" t="s">
        <v>62</v>
      </c>
      <c r="BC194" s="13" t="s">
        <v>62</v>
      </c>
      <c r="BD194" s="13" t="s">
        <v>62</v>
      </c>
      <c r="BE194" s="13" t="s">
        <v>62</v>
      </c>
      <c r="BF194" s="14" t="s">
        <v>62</v>
      </c>
      <c r="BG194" s="14" t="s">
        <v>62</v>
      </c>
      <c r="BH194" s="14" t="s">
        <v>62</v>
      </c>
      <c r="BI194" s="14" t="s">
        <v>62</v>
      </c>
      <c r="BJ194" s="15" t="s">
        <v>62</v>
      </c>
      <c r="BM194" s="35" t="s">
        <v>33</v>
      </c>
      <c r="BN194" s="16">
        <v>1579.3344</v>
      </c>
      <c r="BO194" s="14">
        <v>2824.3907999999997</v>
      </c>
      <c r="BP194" s="14">
        <v>1892.9484000000002</v>
      </c>
      <c r="BQ194" s="14">
        <v>1892.9484000000002</v>
      </c>
      <c r="BR194" s="14">
        <v>2005.3403999999998</v>
      </c>
      <c r="BS194" s="14">
        <v>1260.7560000000001</v>
      </c>
      <c r="BT194" s="14">
        <v>1802.6904</v>
      </c>
      <c r="BU194" s="14">
        <v>1260.7560000000001</v>
      </c>
      <c r="BV194" s="14">
        <v>1967.8763999999999</v>
      </c>
      <c r="BW194" s="14">
        <v>1967.8763999999999</v>
      </c>
      <c r="BX194" s="14">
        <v>1820.3556000000001</v>
      </c>
      <c r="BY194" s="14">
        <v>1820.3556000000001</v>
      </c>
      <c r="BZ194" s="14">
        <v>2992.1135999999997</v>
      </c>
      <c r="CA194" s="14">
        <v>1583.0387999999998</v>
      </c>
      <c r="CB194" s="14">
        <v>1628.8943999999999</v>
      </c>
      <c r="CC194" s="14">
        <v>1618.0667999999998</v>
      </c>
      <c r="CD194" s="14">
        <v>1602.8123999999998</v>
      </c>
      <c r="CE194" s="14">
        <v>1648.5755999999999</v>
      </c>
      <c r="CF194" s="14">
        <v>1572.3036</v>
      </c>
      <c r="CG194" s="14">
        <v>765.5927999999999</v>
      </c>
      <c r="CH194" s="14">
        <v>302.83679999999998</v>
      </c>
      <c r="CI194" s="14">
        <v>1587.558</v>
      </c>
      <c r="CJ194" s="14">
        <v>1474.1412</v>
      </c>
      <c r="CK194" s="14">
        <v>1572.3036</v>
      </c>
      <c r="CL194" s="14">
        <v>833.72519999999997</v>
      </c>
      <c r="CM194" s="14">
        <v>818.57999999999993</v>
      </c>
      <c r="CN194" s="14">
        <v>788.30640000000005</v>
      </c>
      <c r="CO194" s="14">
        <v>780.7296</v>
      </c>
      <c r="CP194" s="14">
        <v>1474.1412</v>
      </c>
      <c r="CQ194" s="14">
        <v>302.83679999999998</v>
      </c>
      <c r="CR194" s="14">
        <v>302.83679999999998</v>
      </c>
      <c r="CS194" s="14">
        <v>302.83679999999998</v>
      </c>
      <c r="CT194" s="12">
        <v>0</v>
      </c>
      <c r="CU194" s="13">
        <v>350.65799999999996</v>
      </c>
      <c r="CV194" s="13">
        <v>0</v>
      </c>
      <c r="CW194" s="13">
        <v>360.84719999999999</v>
      </c>
      <c r="CX194" s="13">
        <v>408.36599999999999</v>
      </c>
      <c r="CY194" s="13">
        <v>408.36599999999999</v>
      </c>
      <c r="CZ194" s="13">
        <v>408.36599999999999</v>
      </c>
      <c r="DA194" s="14">
        <v>484.428</v>
      </c>
      <c r="DB194" s="14">
        <v>493.81079999999997</v>
      </c>
      <c r="DC194" s="14">
        <v>423.5616</v>
      </c>
      <c r="DD194" s="13">
        <v>631.8732</v>
      </c>
      <c r="DE194" s="13">
        <v>631.8732</v>
      </c>
      <c r="DF194" s="13">
        <v>631.8732</v>
      </c>
      <c r="DG194" s="13">
        <v>409.2312</v>
      </c>
      <c r="DH194" s="13">
        <v>1474.1412</v>
      </c>
      <c r="DI194" s="12">
        <v>1474.1412</v>
      </c>
      <c r="DJ194" s="13">
        <v>417.00959999999998</v>
      </c>
      <c r="DK194" s="14">
        <v>0</v>
      </c>
      <c r="DL194" s="14">
        <v>2483.6784000000002</v>
      </c>
      <c r="DM194" s="13">
        <v>488.39279999999997</v>
      </c>
      <c r="DN194" s="14">
        <v>1446.606</v>
      </c>
      <c r="DO194" s="13">
        <v>816.37919999999997</v>
      </c>
      <c r="DP194" s="13">
        <v>417.00959999999998</v>
      </c>
      <c r="DQ194" s="13">
        <v>413.12039999999996</v>
      </c>
      <c r="DR194" s="14">
        <v>655.93920000000003</v>
      </c>
      <c r="DS194" s="14">
        <v>297.24239999999998</v>
      </c>
      <c r="DT194" s="14">
        <v>2654.6352000000002</v>
      </c>
      <c r="DU194" s="14">
        <v>2194.5084000000002</v>
      </c>
      <c r="DV194" s="15">
        <v>2194.5084000000002</v>
      </c>
      <c r="DY194" s="35" t="s">
        <v>33</v>
      </c>
      <c r="DZ194" s="16">
        <v>6.2500000000000003E-3</v>
      </c>
      <c r="EA194" s="14">
        <v>6.2500000000000003E-3</v>
      </c>
      <c r="EB194" s="14">
        <v>6.2500000000000003E-3</v>
      </c>
      <c r="EC194" s="14">
        <v>6.2500000000000003E-3</v>
      </c>
      <c r="ED194" s="14">
        <v>6.2500000000000003E-3</v>
      </c>
      <c r="EE194" s="14">
        <v>6.2500000000000003E-3</v>
      </c>
      <c r="EF194" s="14">
        <v>6.2500000000000003E-3</v>
      </c>
      <c r="EG194" s="14">
        <v>6.2500000000000003E-3</v>
      </c>
      <c r="EH194" s="14">
        <v>6.2500000000000003E-3</v>
      </c>
      <c r="EI194" s="14">
        <v>6.2500000000000003E-3</v>
      </c>
      <c r="EJ194" s="14">
        <v>6.2500000000000003E-3</v>
      </c>
      <c r="EK194" s="14">
        <v>6.2500000000000003E-3</v>
      </c>
      <c r="EL194" s="14">
        <v>6.2500000000000003E-3</v>
      </c>
      <c r="EM194" s="14">
        <v>4.6511627906976744E-3</v>
      </c>
      <c r="EN194" s="14">
        <v>4.6511627906976744E-3</v>
      </c>
      <c r="EO194" s="14">
        <v>7.1428571428571435E-3</v>
      </c>
      <c r="EP194" s="14">
        <v>7.1428571428571435E-3</v>
      </c>
      <c r="EQ194" s="14">
        <v>7.1428571428571435E-3</v>
      </c>
      <c r="ER194" s="14">
        <v>7.1428571428571435E-3</v>
      </c>
      <c r="ES194" s="14">
        <v>7.1428571428571435E-3</v>
      </c>
      <c r="ET194" s="14">
        <v>7.1428571428571435E-3</v>
      </c>
      <c r="EU194" s="14">
        <v>7.1428571428571435E-3</v>
      </c>
      <c r="EV194" s="14">
        <v>7.1428571428571435E-3</v>
      </c>
      <c r="EW194" s="14">
        <v>7.1428571428571435E-3</v>
      </c>
      <c r="EX194" s="14">
        <v>7.1428571428571435E-3</v>
      </c>
      <c r="EY194" s="14">
        <v>7.1428571428571435E-3</v>
      </c>
      <c r="EZ194" s="14">
        <v>7.1428571428571435E-3</v>
      </c>
      <c r="FA194" s="14">
        <v>7.1428571428571435E-3</v>
      </c>
      <c r="FB194" s="14">
        <v>7.1428571428571435E-3</v>
      </c>
      <c r="FC194" s="14">
        <v>7.1428571428571435E-3</v>
      </c>
      <c r="FD194" s="14">
        <v>7.1428571428571435E-3</v>
      </c>
      <c r="FE194" s="14">
        <v>7.1428571428571435E-3</v>
      </c>
      <c r="FF194" s="12">
        <v>0.6</v>
      </c>
      <c r="FG194" s="13">
        <f>0.2/9</f>
        <v>2.2222222222222223E-2</v>
      </c>
      <c r="FH194" s="13">
        <f t="shared" ref="FH194:FL199" si="73">0.2/9</f>
        <v>2.2222222222222223E-2</v>
      </c>
      <c r="FI194" s="13">
        <f t="shared" si="73"/>
        <v>2.2222222222222223E-2</v>
      </c>
      <c r="FJ194" s="13">
        <f t="shared" si="73"/>
        <v>2.2222222222222223E-2</v>
      </c>
      <c r="FK194" s="13">
        <f t="shared" si="73"/>
        <v>2.2222222222222223E-2</v>
      </c>
      <c r="FL194" s="13">
        <f t="shared" si="73"/>
        <v>2.2222222222222223E-2</v>
      </c>
      <c r="FM194" s="14">
        <v>4.7619047619047623E-3</v>
      </c>
      <c r="FN194" s="14">
        <v>4.7619047619047623E-3</v>
      </c>
      <c r="FO194" s="14">
        <v>4.7619047619047623E-3</v>
      </c>
      <c r="FP194" s="13">
        <f>0.2/9</f>
        <v>2.2222222222222223E-2</v>
      </c>
      <c r="FQ194" s="13">
        <f t="shared" ref="FQ194:FS200" si="74">0.2/9</f>
        <v>2.2222222222222223E-2</v>
      </c>
      <c r="FR194" s="13">
        <f t="shared" si="74"/>
        <v>2.2222222222222223E-2</v>
      </c>
      <c r="FS194" s="13">
        <f>0.2/9</f>
        <v>2.2222222222222223E-2</v>
      </c>
      <c r="FT194" s="13">
        <f>0.2/10</f>
        <v>0.02</v>
      </c>
      <c r="FU194" s="12">
        <v>0.6</v>
      </c>
      <c r="FV194" s="13">
        <f>0.2/9</f>
        <v>2.2222222222222223E-2</v>
      </c>
      <c r="FW194" s="14">
        <v>4.5454545454545461E-3</v>
      </c>
      <c r="FX194" s="14">
        <v>4.5454545454545461E-3</v>
      </c>
      <c r="FY194" s="13">
        <f>0.2/9</f>
        <v>2.2222222222222223E-2</v>
      </c>
      <c r="FZ194" s="14">
        <v>7.1428571428571435E-3</v>
      </c>
      <c r="GA194" s="13">
        <f>0.2/9</f>
        <v>2.2222222222222223E-2</v>
      </c>
      <c r="GB194" s="13">
        <f>0.2/9</f>
        <v>2.2222222222222223E-2</v>
      </c>
      <c r="GC194" s="13">
        <f>0.2/9</f>
        <v>2.2222222222222223E-2</v>
      </c>
      <c r="GD194" s="14">
        <v>7.1428571428571435E-3</v>
      </c>
      <c r="GE194" s="14">
        <v>7.1428571428571435E-3</v>
      </c>
      <c r="GF194" s="14">
        <v>4.6511627906976744E-3</v>
      </c>
      <c r="GG194" s="14">
        <v>4.6511627906976744E-3</v>
      </c>
      <c r="GH194" s="15">
        <v>4.6511627906976744E-3</v>
      </c>
    </row>
    <row r="195" spans="1:190" x14ac:dyDescent="0.3">
      <c r="A195" s="35" t="s">
        <v>34</v>
      </c>
      <c r="B195" s="16">
        <f>IF(AND(Distances!BO138=0,Distances!EA138=0),BN195*DZ195*B161*2,"")</f>
        <v>4631.1186600000001</v>
      </c>
      <c r="C195" s="14">
        <f>IF(AND(Distances!BP138=0,Distances!EB138=0),BO195*EA195*C161*2,"")</f>
        <v>8125.1480100000008</v>
      </c>
      <c r="D195" s="14" t="s">
        <v>62</v>
      </c>
      <c r="E195" s="14">
        <f>IF(AND(Distances!BR138=0,Distances!ED138=0),BQ195*EC195*E161*2,"")</f>
        <v>4331.1244199999992</v>
      </c>
      <c r="F195" s="14" t="s">
        <v>62</v>
      </c>
      <c r="G195" s="14" t="s">
        <v>62</v>
      </c>
      <c r="H195" s="14">
        <f>IF(AND(Distances!BU138=0,Distances!EG138=0),BT195*EF195*H161*2,"")</f>
        <v>5404.9018800000003</v>
      </c>
      <c r="I195" s="14">
        <f>IF(AND(Distances!BV138=0,Distances!EH138=0),BU195*EG195*I161*2,"")</f>
        <v>4143.2250300000005</v>
      </c>
      <c r="J195" s="14" t="s">
        <v>62</v>
      </c>
      <c r="K195" s="14">
        <f>IF(AND(Distances!BX138=0,Distances!EJ138=0),BW195*EI195*K161*2,"")</f>
        <v>89.15928000000001</v>
      </c>
      <c r="L195" s="14" t="s">
        <v>62</v>
      </c>
      <c r="M195" s="14">
        <f>IF(AND(Distances!BZ138=0,Distances!EL138=0),BY195*EK195*M161*2,"")</f>
        <v>108.07692</v>
      </c>
      <c r="N195" s="14" t="s">
        <v>62</v>
      </c>
      <c r="O195" s="14" t="s">
        <v>62</v>
      </c>
      <c r="P195" s="14" t="s">
        <v>62</v>
      </c>
      <c r="Q195" s="14">
        <f>IF(AND(Distances!CD138=0,Distances!EP138=0),CC195*EO195*Q161*2,"")</f>
        <v>1306.9860000000001</v>
      </c>
      <c r="R195" s="14">
        <f>IF(AND(Distances!CE138=0,Distances!EQ138=0),CD195*EP195*R161*2,"")</f>
        <v>1294.6680000000001</v>
      </c>
      <c r="S195" s="14">
        <f>IF(AND(Distances!CF138=0,Distances!ER138=0),CE195*EQ195*S161*2,"")</f>
        <v>1331.634</v>
      </c>
      <c r="T195" s="14" t="s">
        <v>62</v>
      </c>
      <c r="U195" s="14" t="s">
        <v>62</v>
      </c>
      <c r="V195" s="14" t="s">
        <v>62</v>
      </c>
      <c r="W195" s="14">
        <f>IF(AND(Distances!CJ138=0,Distances!EV138=0),CI195*EU195*W161*2,"")</f>
        <v>1487.5190399999999</v>
      </c>
      <c r="X195" s="14" t="s">
        <v>62</v>
      </c>
      <c r="Y195" s="14" t="s">
        <v>62</v>
      </c>
      <c r="Z195" s="14" t="s">
        <v>62</v>
      </c>
      <c r="AA195" s="14" t="s">
        <v>62</v>
      </c>
      <c r="AB195" s="14" t="s">
        <v>62</v>
      </c>
      <c r="AC195" s="14">
        <f>IF(AND(Distances!CP138=0,Distances!FB138=0),CO195*FA195*AC161*2,"")</f>
        <v>35.223360000000007</v>
      </c>
      <c r="AD195" s="14">
        <f>IF(AND(Distances!CQ138=0,Distances!FC138=0),CP195*FB195*AD161*2,"")</f>
        <v>46.86768</v>
      </c>
      <c r="AE195" s="14" t="s">
        <v>62</v>
      </c>
      <c r="AF195" s="14" t="s">
        <v>62</v>
      </c>
      <c r="AG195" s="14" t="s">
        <v>62</v>
      </c>
      <c r="AH195" s="13" t="s">
        <v>62</v>
      </c>
      <c r="AI195" s="12">
        <f>IF(AND(Distances!CV138=0,Distances!FH138=0),CU195*FG195*AI161*2,"")</f>
        <v>0</v>
      </c>
      <c r="AJ195" s="13" t="s">
        <v>62</v>
      </c>
      <c r="AK195" s="13">
        <f>IF(AND(Distances!CX138=0,Distances!FJ138=0),CW195*FI195*AK161*2,"")</f>
        <v>15.611680000000002</v>
      </c>
      <c r="AL195" s="13">
        <f>IF(AND(Distances!CY138=0,Distances!FK138=0),CX195*FJ195*AL161*2,"")</f>
        <v>953.16480000000001</v>
      </c>
      <c r="AM195" s="13">
        <f>IF(AND(Distances!CZ138=0,Distances!FL138=0),CY195*FK195*AM161*2,"")</f>
        <v>953.16480000000001</v>
      </c>
      <c r="AN195" s="13" t="s">
        <v>62</v>
      </c>
      <c r="AO195" s="14">
        <f>IF(AND(Distances!DB138=0,Distances!FN138=0),DA195*FM195*AO161*2,"")</f>
        <v>8.9852800000000013</v>
      </c>
      <c r="AP195" s="14">
        <f>IF(AND(Distances!DC138=0,Distances!FO138=0),DB195*FN195*AP161*2,"")</f>
        <v>9.1593600000000013</v>
      </c>
      <c r="AQ195" s="14">
        <f>IF(AND(Distances!DD138=0,Distances!FP138=0),DC195*FO195*AQ161*2,"")</f>
        <v>7.8480000000000008</v>
      </c>
      <c r="AR195" s="13">
        <f>IF(AND(Distances!DE138=0,Distances!FQ138=0),DD195*FP195*AR161*2,"")</f>
        <v>54.647039999999997</v>
      </c>
      <c r="AS195" s="13" t="s">
        <v>62</v>
      </c>
      <c r="AT195" s="13" t="s">
        <v>62</v>
      </c>
      <c r="AU195" s="12" t="s">
        <v>62</v>
      </c>
      <c r="AV195" s="13" t="s">
        <v>62</v>
      </c>
      <c r="AW195" s="13" t="s">
        <v>62</v>
      </c>
      <c r="AX195" s="12">
        <f>IF(AND(Distances!DK138=0,Distances!FW138=0),DJ195*FV195*AX161*2,"")</f>
        <v>7747.2360000000008</v>
      </c>
      <c r="AY195" s="14">
        <f>IF(AND(Distances!DL138=0,Distances!FX138=0),DK195*FW195*AY161*2,"")</f>
        <v>0</v>
      </c>
      <c r="AZ195" s="14" t="s">
        <v>62</v>
      </c>
      <c r="BA195" s="13">
        <f>IF(AND(Distances!DN138=0,Distances!FZ138=0),DM195*FY195*BA161*2,"")</f>
        <v>150.69376</v>
      </c>
      <c r="BB195" s="14">
        <f>IF(AND(Distances!DO138=0,Distances!GA138=0),DN195*FZ195*BB161*2,"")</f>
        <v>91.983840000000001</v>
      </c>
      <c r="BC195" s="12">
        <f>IF(AND(Distances!DP138=0,Distances!GB138=0),DO195*GA195*BC161*2,"")</f>
        <v>46372.838400000001</v>
      </c>
      <c r="BD195" s="12" t="s">
        <v>62</v>
      </c>
      <c r="BE195" s="12">
        <f>IF(AND(Distances!DR138=0,Distances!GD138=0),DQ195*GC195*BE161*2,"")</f>
        <v>49119.436799999989</v>
      </c>
      <c r="BF195" s="14" t="s">
        <v>62</v>
      </c>
      <c r="BG195" s="14" t="s">
        <v>62</v>
      </c>
      <c r="BH195" s="14" t="s">
        <v>62</v>
      </c>
      <c r="BI195" s="14" t="s">
        <v>62</v>
      </c>
      <c r="BJ195" s="15" t="s">
        <v>62</v>
      </c>
      <c r="BM195" s="35" t="s">
        <v>34</v>
      </c>
      <c r="BN195" s="16">
        <v>1834.1063999999999</v>
      </c>
      <c r="BO195" s="14">
        <v>3217.8804</v>
      </c>
      <c r="BP195" s="14">
        <v>1715.2967999999998</v>
      </c>
      <c r="BQ195" s="14">
        <v>1715.2967999999998</v>
      </c>
      <c r="BR195" s="14">
        <v>1817.1299999999999</v>
      </c>
      <c r="BS195" s="14">
        <v>1640.8812</v>
      </c>
      <c r="BT195" s="14">
        <v>2140.5552000000002</v>
      </c>
      <c r="BU195" s="14">
        <v>1640.8812</v>
      </c>
      <c r="BV195" s="14">
        <v>1783.1856</v>
      </c>
      <c r="BW195" s="14">
        <v>1783.1856</v>
      </c>
      <c r="BX195" s="14">
        <v>2161.5383999999999</v>
      </c>
      <c r="BY195" s="14">
        <v>2161.5383999999999</v>
      </c>
      <c r="BZ195" s="14">
        <v>3408.9888000000001</v>
      </c>
      <c r="CA195" s="14">
        <v>1294.7339999999999</v>
      </c>
      <c r="CB195" s="14">
        <v>1329.6528000000001</v>
      </c>
      <c r="CC195" s="14">
        <v>1829.7803999999999</v>
      </c>
      <c r="CD195" s="14">
        <v>1812.5352</v>
      </c>
      <c r="CE195" s="14">
        <v>1864.2875999999999</v>
      </c>
      <c r="CF195" s="14">
        <v>1778.0279999999998</v>
      </c>
      <c r="CG195" s="14">
        <v>1208.8944000000001</v>
      </c>
      <c r="CH195" s="14">
        <v>1128.3887999999999</v>
      </c>
      <c r="CI195" s="14">
        <v>1795.2815999999998</v>
      </c>
      <c r="CJ195" s="14">
        <v>1640.3688</v>
      </c>
      <c r="CK195" s="14">
        <v>1778.0279999999998</v>
      </c>
      <c r="CL195" s="14">
        <v>1316.5319999999999</v>
      </c>
      <c r="CM195" s="14">
        <v>1292.6088</v>
      </c>
      <c r="CN195" s="14">
        <v>1244.7791999999999</v>
      </c>
      <c r="CO195" s="14">
        <v>1232.8176000000001</v>
      </c>
      <c r="CP195" s="14">
        <v>1640.3688</v>
      </c>
      <c r="CQ195" s="14">
        <v>1128.3887999999999</v>
      </c>
      <c r="CR195" s="14">
        <v>1128.3887999999999</v>
      </c>
      <c r="CS195" s="14">
        <v>1128.3887999999999</v>
      </c>
      <c r="CT195" s="13">
        <v>350.65799999999996</v>
      </c>
      <c r="CU195" s="12">
        <v>0</v>
      </c>
      <c r="CV195" s="13">
        <v>350.65799999999996</v>
      </c>
      <c r="CW195" s="13">
        <v>351.26280000000003</v>
      </c>
      <c r="CX195" s="13">
        <v>397.15199999999999</v>
      </c>
      <c r="CY195" s="13">
        <v>397.15199999999999</v>
      </c>
      <c r="CZ195" s="13">
        <v>397.15199999999999</v>
      </c>
      <c r="DA195" s="14">
        <v>471.72720000000004</v>
      </c>
      <c r="DB195" s="14">
        <v>480.8664</v>
      </c>
      <c r="DC195" s="14">
        <v>412.02</v>
      </c>
      <c r="DD195" s="13">
        <v>614.77919999999995</v>
      </c>
      <c r="DE195" s="13">
        <v>614.77919999999995</v>
      </c>
      <c r="DF195" s="13">
        <v>614.77919999999995</v>
      </c>
      <c r="DG195" s="12">
        <v>1267.0896</v>
      </c>
      <c r="DH195" s="13">
        <v>1640.3603999999998</v>
      </c>
      <c r="DI195" s="13">
        <v>1640.3603999999998</v>
      </c>
      <c r="DJ195" s="12">
        <v>1291.2060000000001</v>
      </c>
      <c r="DK195" s="14">
        <v>0</v>
      </c>
      <c r="DL195" s="14">
        <v>2506.8960000000002</v>
      </c>
      <c r="DM195" s="13">
        <v>847.65239999999994</v>
      </c>
      <c r="DN195" s="14">
        <v>1609.7171999999998</v>
      </c>
      <c r="DO195" s="12">
        <v>1207.626</v>
      </c>
      <c r="DP195" s="12">
        <v>1291.2060000000001</v>
      </c>
      <c r="DQ195" s="12">
        <v>1279.1519999999998</v>
      </c>
      <c r="DR195" s="14">
        <v>1371.0228</v>
      </c>
      <c r="DS195" s="14">
        <v>1107.5147999999999</v>
      </c>
      <c r="DT195" s="14">
        <v>3090.1163999999999</v>
      </c>
      <c r="DU195" s="14">
        <v>1913.9988000000001</v>
      </c>
      <c r="DV195" s="15">
        <v>1913.9988000000001</v>
      </c>
      <c r="DY195" s="35" t="s">
        <v>34</v>
      </c>
      <c r="DZ195" s="16">
        <v>6.2500000000000003E-3</v>
      </c>
      <c r="EA195" s="14">
        <v>6.2500000000000003E-3</v>
      </c>
      <c r="EB195" s="14">
        <v>6.2500000000000003E-3</v>
      </c>
      <c r="EC195" s="14">
        <v>6.2500000000000003E-3</v>
      </c>
      <c r="ED195" s="14">
        <v>6.2500000000000003E-3</v>
      </c>
      <c r="EE195" s="14">
        <v>6.2500000000000003E-3</v>
      </c>
      <c r="EF195" s="14">
        <v>6.2500000000000003E-3</v>
      </c>
      <c r="EG195" s="14">
        <v>6.2500000000000003E-3</v>
      </c>
      <c r="EH195" s="14">
        <v>6.2500000000000003E-3</v>
      </c>
      <c r="EI195" s="14">
        <v>6.2500000000000003E-3</v>
      </c>
      <c r="EJ195" s="14">
        <v>6.2500000000000003E-3</v>
      </c>
      <c r="EK195" s="14">
        <v>6.2500000000000003E-3</v>
      </c>
      <c r="EL195" s="14">
        <v>6.2500000000000003E-3</v>
      </c>
      <c r="EM195" s="14">
        <v>4.6511627906976744E-3</v>
      </c>
      <c r="EN195" s="14">
        <v>4.6511627906976744E-3</v>
      </c>
      <c r="EO195" s="14">
        <v>7.1428571428571435E-3</v>
      </c>
      <c r="EP195" s="14">
        <v>7.1428571428571435E-3</v>
      </c>
      <c r="EQ195" s="14">
        <v>7.1428571428571435E-3</v>
      </c>
      <c r="ER195" s="14">
        <v>7.1428571428571435E-3</v>
      </c>
      <c r="ES195" s="14">
        <v>7.1428571428571435E-3</v>
      </c>
      <c r="ET195" s="14">
        <v>7.1428571428571435E-3</v>
      </c>
      <c r="EU195" s="14">
        <v>7.1428571428571435E-3</v>
      </c>
      <c r="EV195" s="14">
        <v>7.1428571428571435E-3</v>
      </c>
      <c r="EW195" s="14">
        <v>7.1428571428571435E-3</v>
      </c>
      <c r="EX195" s="14">
        <v>7.1428571428571435E-3</v>
      </c>
      <c r="EY195" s="14">
        <v>7.1428571428571435E-3</v>
      </c>
      <c r="EZ195" s="14">
        <v>7.1428571428571435E-3</v>
      </c>
      <c r="FA195" s="14">
        <v>7.1428571428571435E-3</v>
      </c>
      <c r="FB195" s="14">
        <v>7.1428571428571435E-3</v>
      </c>
      <c r="FC195" s="14">
        <v>7.1428571428571435E-3</v>
      </c>
      <c r="FD195" s="14">
        <v>7.1428571428571435E-3</v>
      </c>
      <c r="FE195" s="14">
        <v>7.1428571428571435E-3</v>
      </c>
      <c r="FF195" s="13">
        <f>0.2/9</f>
        <v>2.2222222222222223E-2</v>
      </c>
      <c r="FG195" s="12">
        <v>0.6</v>
      </c>
      <c r="FH195" s="13">
        <f t="shared" si="73"/>
        <v>2.2222222222222223E-2</v>
      </c>
      <c r="FI195" s="13">
        <f t="shared" si="73"/>
        <v>2.2222222222222223E-2</v>
      </c>
      <c r="FJ195" s="13">
        <f t="shared" si="73"/>
        <v>2.2222222222222223E-2</v>
      </c>
      <c r="FK195" s="13">
        <f t="shared" si="73"/>
        <v>2.2222222222222223E-2</v>
      </c>
      <c r="FL195" s="13">
        <f t="shared" si="73"/>
        <v>2.2222222222222223E-2</v>
      </c>
      <c r="FM195" s="14">
        <v>4.7619047619047623E-3</v>
      </c>
      <c r="FN195" s="14">
        <v>4.7619047619047623E-3</v>
      </c>
      <c r="FO195" s="14">
        <v>4.7619047619047623E-3</v>
      </c>
      <c r="FP195" s="13">
        <f t="shared" ref="FP195:FP200" si="75">0.2/9</f>
        <v>2.2222222222222223E-2</v>
      </c>
      <c r="FQ195" s="13">
        <f t="shared" si="74"/>
        <v>2.2222222222222223E-2</v>
      </c>
      <c r="FR195" s="13">
        <f t="shared" si="74"/>
        <v>2.2222222222222223E-2</v>
      </c>
      <c r="FS195" s="12">
        <v>0.6</v>
      </c>
      <c r="FT195" s="13">
        <f t="shared" ref="FT195:FT200" si="76">0.2/10</f>
        <v>0.02</v>
      </c>
      <c r="FU195" s="13">
        <f t="shared" ref="FU195:FV200" si="77">0.2/9</f>
        <v>2.2222222222222223E-2</v>
      </c>
      <c r="FV195" s="12">
        <v>0.6</v>
      </c>
      <c r="FW195" s="14">
        <v>4.5454545454545461E-3</v>
      </c>
      <c r="FX195" s="14">
        <v>4.5454545454545461E-3</v>
      </c>
      <c r="FY195" s="13">
        <f t="shared" ref="FY195:FY200" si="78">0.2/9</f>
        <v>2.2222222222222223E-2</v>
      </c>
      <c r="FZ195" s="14">
        <v>7.1428571428571435E-3</v>
      </c>
      <c r="GA195" s="12">
        <v>0.6</v>
      </c>
      <c r="GB195" s="12">
        <v>0.6</v>
      </c>
      <c r="GC195" s="12">
        <v>0.6</v>
      </c>
      <c r="GD195" s="14">
        <v>7.1428571428571435E-3</v>
      </c>
      <c r="GE195" s="14">
        <v>7.1428571428571435E-3</v>
      </c>
      <c r="GF195" s="14">
        <v>4.6511627906976744E-3</v>
      </c>
      <c r="GG195" s="14">
        <v>4.6511627906976744E-3</v>
      </c>
      <c r="GH195" s="15">
        <v>4.6511627906976744E-3</v>
      </c>
    </row>
    <row r="196" spans="1:190" x14ac:dyDescent="0.3">
      <c r="A196" s="35" t="s">
        <v>35</v>
      </c>
      <c r="B196" s="16" t="s">
        <v>62</v>
      </c>
      <c r="C196" s="14" t="s">
        <v>62</v>
      </c>
      <c r="D196" s="14" t="s">
        <v>62</v>
      </c>
      <c r="E196" s="14" t="s">
        <v>62</v>
      </c>
      <c r="F196" s="14" t="s">
        <v>62</v>
      </c>
      <c r="G196" s="14" t="s">
        <v>62</v>
      </c>
      <c r="H196" s="14" t="s">
        <v>62</v>
      </c>
      <c r="I196" s="14" t="s">
        <v>62</v>
      </c>
      <c r="J196" s="14" t="s">
        <v>62</v>
      </c>
      <c r="K196" s="14" t="s">
        <v>62</v>
      </c>
      <c r="L196" s="14" t="s">
        <v>62</v>
      </c>
      <c r="M196" s="14" t="s">
        <v>62</v>
      </c>
      <c r="N196" s="14" t="s">
        <v>62</v>
      </c>
      <c r="O196" s="14" t="s">
        <v>62</v>
      </c>
      <c r="P196" s="14" t="s">
        <v>62</v>
      </c>
      <c r="Q196" s="14" t="s">
        <v>62</v>
      </c>
      <c r="R196" s="14" t="s">
        <v>62</v>
      </c>
      <c r="S196" s="14" t="s">
        <v>62</v>
      </c>
      <c r="T196" s="14" t="s">
        <v>62</v>
      </c>
      <c r="U196" s="14" t="s">
        <v>62</v>
      </c>
      <c r="V196" s="14" t="s">
        <v>62</v>
      </c>
      <c r="W196" s="14" t="s">
        <v>62</v>
      </c>
      <c r="X196" s="14" t="s">
        <v>62</v>
      </c>
      <c r="Y196" s="14" t="s">
        <v>62</v>
      </c>
      <c r="Z196" s="14" t="s">
        <v>62</v>
      </c>
      <c r="AA196" s="14" t="s">
        <v>62</v>
      </c>
      <c r="AB196" s="14" t="s">
        <v>62</v>
      </c>
      <c r="AC196" s="14" t="s">
        <v>62</v>
      </c>
      <c r="AD196" s="14" t="s">
        <v>62</v>
      </c>
      <c r="AE196" s="14" t="s">
        <v>62</v>
      </c>
      <c r="AF196" s="14" t="s">
        <v>62</v>
      </c>
      <c r="AG196" s="14" t="s">
        <v>62</v>
      </c>
      <c r="AH196" s="13" t="s">
        <v>62</v>
      </c>
      <c r="AI196" s="13" t="s">
        <v>62</v>
      </c>
      <c r="AJ196" s="12">
        <f>IF(AND(Distances!CW139=0,Distances!FI139=0),CV196*FH196*AJ161*2,"")</f>
        <v>0</v>
      </c>
      <c r="AK196" s="13" t="s">
        <v>62</v>
      </c>
      <c r="AL196" s="13" t="s">
        <v>62</v>
      </c>
      <c r="AM196" s="13" t="s">
        <v>62</v>
      </c>
      <c r="AN196" s="13" t="s">
        <v>62</v>
      </c>
      <c r="AO196" s="14" t="s">
        <v>62</v>
      </c>
      <c r="AP196" s="14" t="s">
        <v>62</v>
      </c>
      <c r="AQ196" s="14" t="s">
        <v>62</v>
      </c>
      <c r="AR196" s="13" t="s">
        <v>62</v>
      </c>
      <c r="AS196" s="13" t="s">
        <v>62</v>
      </c>
      <c r="AT196" s="13" t="s">
        <v>62</v>
      </c>
      <c r="AU196" s="13" t="s">
        <v>62</v>
      </c>
      <c r="AV196" s="13" t="s">
        <v>62</v>
      </c>
      <c r="AW196" s="13" t="s">
        <v>62</v>
      </c>
      <c r="AX196" s="13" t="s">
        <v>62</v>
      </c>
      <c r="AY196" s="14" t="s">
        <v>62</v>
      </c>
      <c r="AZ196" s="14" t="s">
        <v>62</v>
      </c>
      <c r="BA196" s="13" t="s">
        <v>62</v>
      </c>
      <c r="BB196" s="14" t="s">
        <v>62</v>
      </c>
      <c r="BC196" s="13" t="s">
        <v>62</v>
      </c>
      <c r="BD196" s="13" t="s">
        <v>62</v>
      </c>
      <c r="BE196" s="13" t="s">
        <v>62</v>
      </c>
      <c r="BF196" s="14" t="s">
        <v>62</v>
      </c>
      <c r="BG196" s="14" t="s">
        <v>62</v>
      </c>
      <c r="BH196" s="14" t="s">
        <v>62</v>
      </c>
      <c r="BI196" s="14" t="s">
        <v>62</v>
      </c>
      <c r="BJ196" s="15" t="s">
        <v>62</v>
      </c>
      <c r="BM196" s="35" t="s">
        <v>35</v>
      </c>
      <c r="BN196" s="16">
        <v>1579.3344</v>
      </c>
      <c r="BO196" s="14">
        <v>2824.3907999999997</v>
      </c>
      <c r="BP196" s="14">
        <v>1892.9484000000002</v>
      </c>
      <c r="BQ196" s="14">
        <v>1892.9484000000002</v>
      </c>
      <c r="BR196" s="14">
        <v>2005.3403999999998</v>
      </c>
      <c r="BS196" s="14">
        <v>1260.7560000000001</v>
      </c>
      <c r="BT196" s="14">
        <v>1802.6904</v>
      </c>
      <c r="BU196" s="14">
        <v>1260.7560000000001</v>
      </c>
      <c r="BV196" s="14">
        <v>1967.8763999999999</v>
      </c>
      <c r="BW196" s="14">
        <v>1967.8763999999999</v>
      </c>
      <c r="BX196" s="14">
        <v>1820.3556000000001</v>
      </c>
      <c r="BY196" s="14">
        <v>1820.3556000000001</v>
      </c>
      <c r="BZ196" s="14">
        <v>2992.1135999999997</v>
      </c>
      <c r="CA196" s="14">
        <v>1583.0387999999998</v>
      </c>
      <c r="CB196" s="14">
        <v>1628.8943999999999</v>
      </c>
      <c r="CC196" s="14">
        <v>1618.0667999999998</v>
      </c>
      <c r="CD196" s="14">
        <v>1602.8123999999998</v>
      </c>
      <c r="CE196" s="14">
        <v>1648.5755999999999</v>
      </c>
      <c r="CF196" s="14">
        <v>1572.3036</v>
      </c>
      <c r="CG196" s="14">
        <v>765.5927999999999</v>
      </c>
      <c r="CH196" s="14">
        <v>302.83679999999998</v>
      </c>
      <c r="CI196" s="14">
        <v>1587.558</v>
      </c>
      <c r="CJ196" s="14">
        <v>1474.1412</v>
      </c>
      <c r="CK196" s="14">
        <v>1572.3036</v>
      </c>
      <c r="CL196" s="14">
        <v>833.72519999999997</v>
      </c>
      <c r="CM196" s="14">
        <v>818.57999999999993</v>
      </c>
      <c r="CN196" s="14">
        <v>788.30640000000005</v>
      </c>
      <c r="CO196" s="14">
        <v>780.7296</v>
      </c>
      <c r="CP196" s="14">
        <v>1474.1412</v>
      </c>
      <c r="CQ196" s="14">
        <v>302.83679999999998</v>
      </c>
      <c r="CR196" s="14">
        <v>302.83679999999998</v>
      </c>
      <c r="CS196" s="14">
        <v>302.83679999999998</v>
      </c>
      <c r="CT196" s="13">
        <v>0</v>
      </c>
      <c r="CU196" s="13">
        <v>350.65799999999996</v>
      </c>
      <c r="CV196" s="12">
        <v>0</v>
      </c>
      <c r="CW196" s="13">
        <v>360.84719999999999</v>
      </c>
      <c r="CX196" s="13">
        <v>408.36599999999999</v>
      </c>
      <c r="CY196" s="13">
        <v>408.36599999999999</v>
      </c>
      <c r="CZ196" s="13">
        <v>408.36599999999999</v>
      </c>
      <c r="DA196" s="14">
        <v>484.428</v>
      </c>
      <c r="DB196" s="14">
        <v>493.81079999999997</v>
      </c>
      <c r="DC196" s="14">
        <v>423.5616</v>
      </c>
      <c r="DD196" s="13">
        <v>631.8732</v>
      </c>
      <c r="DE196" s="13">
        <v>631.8732</v>
      </c>
      <c r="DF196" s="13">
        <v>631.8732</v>
      </c>
      <c r="DG196" s="13">
        <v>409.2312</v>
      </c>
      <c r="DH196" s="13">
        <v>1474.1412</v>
      </c>
      <c r="DI196" s="13">
        <v>1474.1412</v>
      </c>
      <c r="DJ196" s="13">
        <v>417.00959999999998</v>
      </c>
      <c r="DK196" s="14">
        <v>0</v>
      </c>
      <c r="DL196" s="14">
        <v>2483.6784000000002</v>
      </c>
      <c r="DM196" s="13">
        <v>488.39279999999997</v>
      </c>
      <c r="DN196" s="14">
        <v>1446.606</v>
      </c>
      <c r="DO196" s="13">
        <v>816.37919999999997</v>
      </c>
      <c r="DP196" s="13">
        <v>417.00959999999998</v>
      </c>
      <c r="DQ196" s="13">
        <v>413.12039999999996</v>
      </c>
      <c r="DR196" s="14">
        <v>655.93920000000003</v>
      </c>
      <c r="DS196" s="14">
        <v>297.24239999999998</v>
      </c>
      <c r="DT196" s="14">
        <v>2654.6352000000002</v>
      </c>
      <c r="DU196" s="14">
        <v>2194.5084000000002</v>
      </c>
      <c r="DV196" s="15">
        <v>2194.5084000000002</v>
      </c>
      <c r="DY196" s="35" t="s">
        <v>35</v>
      </c>
      <c r="DZ196" s="16">
        <v>6.2500000000000003E-3</v>
      </c>
      <c r="EA196" s="14">
        <v>6.2500000000000003E-3</v>
      </c>
      <c r="EB196" s="14">
        <v>6.2500000000000003E-3</v>
      </c>
      <c r="EC196" s="14">
        <v>6.2500000000000003E-3</v>
      </c>
      <c r="ED196" s="14">
        <v>6.2500000000000003E-3</v>
      </c>
      <c r="EE196" s="14">
        <v>6.2500000000000003E-3</v>
      </c>
      <c r="EF196" s="14">
        <v>6.2500000000000003E-3</v>
      </c>
      <c r="EG196" s="14">
        <v>6.2500000000000003E-3</v>
      </c>
      <c r="EH196" s="14">
        <v>6.2500000000000003E-3</v>
      </c>
      <c r="EI196" s="14">
        <v>6.2500000000000003E-3</v>
      </c>
      <c r="EJ196" s="14">
        <v>6.2500000000000003E-3</v>
      </c>
      <c r="EK196" s="14">
        <v>6.2500000000000003E-3</v>
      </c>
      <c r="EL196" s="14">
        <v>6.2500000000000003E-3</v>
      </c>
      <c r="EM196" s="14">
        <v>4.6511627906976744E-3</v>
      </c>
      <c r="EN196" s="14">
        <v>4.6511627906976744E-3</v>
      </c>
      <c r="EO196" s="14">
        <v>7.1428571428571435E-3</v>
      </c>
      <c r="EP196" s="14">
        <v>7.1428571428571435E-3</v>
      </c>
      <c r="EQ196" s="14">
        <v>7.1428571428571435E-3</v>
      </c>
      <c r="ER196" s="14">
        <v>7.1428571428571435E-3</v>
      </c>
      <c r="ES196" s="14">
        <v>7.1428571428571435E-3</v>
      </c>
      <c r="ET196" s="14">
        <v>7.1428571428571435E-3</v>
      </c>
      <c r="EU196" s="14">
        <v>7.1428571428571435E-3</v>
      </c>
      <c r="EV196" s="14">
        <v>7.1428571428571435E-3</v>
      </c>
      <c r="EW196" s="14">
        <v>7.1428571428571435E-3</v>
      </c>
      <c r="EX196" s="14">
        <v>7.1428571428571435E-3</v>
      </c>
      <c r="EY196" s="14">
        <v>7.1428571428571435E-3</v>
      </c>
      <c r="EZ196" s="14">
        <v>7.1428571428571435E-3</v>
      </c>
      <c r="FA196" s="14">
        <v>7.1428571428571435E-3</v>
      </c>
      <c r="FB196" s="14">
        <v>7.1428571428571435E-3</v>
      </c>
      <c r="FC196" s="14">
        <v>7.1428571428571435E-3</v>
      </c>
      <c r="FD196" s="14">
        <v>7.1428571428571435E-3</v>
      </c>
      <c r="FE196" s="14">
        <v>7.1428571428571435E-3</v>
      </c>
      <c r="FF196" s="13">
        <f t="shared" ref="FF196:FJ200" si="79">0.2/9</f>
        <v>2.2222222222222223E-2</v>
      </c>
      <c r="FG196" s="13">
        <f t="shared" si="79"/>
        <v>2.2222222222222223E-2</v>
      </c>
      <c r="FH196" s="12">
        <v>0.6</v>
      </c>
      <c r="FI196" s="13">
        <f t="shared" si="73"/>
        <v>2.2222222222222223E-2</v>
      </c>
      <c r="FJ196" s="13">
        <f t="shared" si="73"/>
        <v>2.2222222222222223E-2</v>
      </c>
      <c r="FK196" s="13">
        <f t="shared" si="73"/>
        <v>2.2222222222222223E-2</v>
      </c>
      <c r="FL196" s="13">
        <f t="shared" si="73"/>
        <v>2.2222222222222223E-2</v>
      </c>
      <c r="FM196" s="14">
        <v>4.7619047619047623E-3</v>
      </c>
      <c r="FN196" s="14">
        <v>4.7619047619047623E-3</v>
      </c>
      <c r="FO196" s="14">
        <v>4.7619047619047623E-3</v>
      </c>
      <c r="FP196" s="13">
        <f t="shared" si="75"/>
        <v>2.2222222222222223E-2</v>
      </c>
      <c r="FQ196" s="13">
        <f t="shared" si="74"/>
        <v>2.2222222222222223E-2</v>
      </c>
      <c r="FR196" s="13">
        <f t="shared" si="74"/>
        <v>2.2222222222222223E-2</v>
      </c>
      <c r="FS196" s="13">
        <f t="shared" si="74"/>
        <v>2.2222222222222223E-2</v>
      </c>
      <c r="FT196" s="13">
        <f t="shared" si="76"/>
        <v>0.02</v>
      </c>
      <c r="FU196" s="13">
        <f t="shared" si="77"/>
        <v>2.2222222222222223E-2</v>
      </c>
      <c r="FV196" s="13">
        <f t="shared" si="77"/>
        <v>2.2222222222222223E-2</v>
      </c>
      <c r="FW196" s="14">
        <v>4.5454545454545461E-3</v>
      </c>
      <c r="FX196" s="14">
        <v>4.5454545454545461E-3</v>
      </c>
      <c r="FY196" s="13">
        <f t="shared" si="78"/>
        <v>2.2222222222222223E-2</v>
      </c>
      <c r="FZ196" s="14">
        <v>7.1428571428571435E-3</v>
      </c>
      <c r="GA196" s="13">
        <f t="shared" ref="GA196:GC200" si="80">0.2/9</f>
        <v>2.2222222222222223E-2</v>
      </c>
      <c r="GB196" s="13">
        <f t="shared" si="80"/>
        <v>2.2222222222222223E-2</v>
      </c>
      <c r="GC196" s="13">
        <f t="shared" si="80"/>
        <v>2.2222222222222223E-2</v>
      </c>
      <c r="GD196" s="14">
        <v>7.1428571428571435E-3</v>
      </c>
      <c r="GE196" s="14">
        <v>7.1428571428571435E-3</v>
      </c>
      <c r="GF196" s="14">
        <v>4.6511627906976744E-3</v>
      </c>
      <c r="GG196" s="14">
        <v>4.6511627906976744E-3</v>
      </c>
      <c r="GH196" s="15">
        <v>4.6511627906976744E-3</v>
      </c>
    </row>
    <row r="197" spans="1:190" x14ac:dyDescent="0.3">
      <c r="A197" s="35" t="s">
        <v>36</v>
      </c>
      <c r="B197" s="16">
        <f>IF(AND(Distances!BO140=0,Distances!EA140=0),BN197*DZ197*B161*2,"")</f>
        <v>4765.9294200000004</v>
      </c>
      <c r="C197" s="14">
        <f>IF(AND(Distances!BP140=0,Distances!EB140=0),BO197*EA197*C161*2,"")</f>
        <v>8361.7455599999994</v>
      </c>
      <c r="D197" s="14" t="s">
        <v>62</v>
      </c>
      <c r="E197" s="14">
        <f>IF(AND(Distances!BR140=0,Distances!ED140=0),BQ197*EC197*E161*2,"")</f>
        <v>4457.1966600000005</v>
      </c>
      <c r="F197" s="14" t="s">
        <v>62</v>
      </c>
      <c r="G197" s="14" t="s">
        <v>62</v>
      </c>
      <c r="H197" s="14">
        <f>IF(AND(Distances!BU140=0,Distances!EG140=0),BT197*EF197*H161*2,"")</f>
        <v>5562.2588699999988</v>
      </c>
      <c r="I197" s="14">
        <f>IF(AND(Distances!BV140=0,Distances!EH140=0),BU197*EG197*I161*2,"")</f>
        <v>4263.8250900000003</v>
      </c>
      <c r="J197" s="14" t="s">
        <v>62</v>
      </c>
      <c r="K197" s="14">
        <f>IF(AND(Distances!BX140=0,Distances!EJ140=0),BW197*EI197*K161*2,"")</f>
        <v>91.75488</v>
      </c>
      <c r="L197" s="14" t="s">
        <v>62</v>
      </c>
      <c r="M197" s="14">
        <f>IF(AND(Distances!BZ140=0,Distances!EL140=0),BY197*EK197*M161*2,"")</f>
        <v>111.22314</v>
      </c>
      <c r="N197" s="14" t="s">
        <v>62</v>
      </c>
      <c r="O197" s="14" t="s">
        <v>62</v>
      </c>
      <c r="P197" s="14" t="s">
        <v>62</v>
      </c>
      <c r="Q197" s="14">
        <f>IF(AND(Distances!CD140=0,Distances!EP140=0),CC197*EO197*Q161*2,"")</f>
        <v>1345.0319999999999</v>
      </c>
      <c r="R197" s="14">
        <f>IF(AND(Distances!CE140=0,Distances!EQ140=0),CD197*EP197*R161*2,"")</f>
        <v>1332.3540000000003</v>
      </c>
      <c r="S197" s="14">
        <f>IF(AND(Distances!CF140=0,Distances!ER140=0),CE197*EQ197*S161*2,"")</f>
        <v>1370.4</v>
      </c>
      <c r="T197" s="14" t="s">
        <v>62</v>
      </c>
      <c r="U197" s="14" t="s">
        <v>62</v>
      </c>
      <c r="V197" s="14" t="s">
        <v>62</v>
      </c>
      <c r="W197" s="14">
        <f>IF(AND(Distances!CJ140=0,Distances!EV140=0),CI197*EU197*W161*2,"")</f>
        <v>1530.8172</v>
      </c>
      <c r="X197" s="14" t="s">
        <v>62</v>
      </c>
      <c r="Y197" s="14" t="s">
        <v>62</v>
      </c>
      <c r="Z197" s="14" t="s">
        <v>62</v>
      </c>
      <c r="AA197" s="14" t="s">
        <v>62</v>
      </c>
      <c r="AB197" s="14" t="s">
        <v>62</v>
      </c>
      <c r="AC197" s="14">
        <f>IF(AND(Distances!CP140=0,Distances!FB140=0),CO197*FA197*AC161*2,"")</f>
        <v>36.248400000000004</v>
      </c>
      <c r="AD197" s="14">
        <f>IF(AND(Distances!CQ140=0,Distances!FC140=0),CP197*FB197*AD161*2,"")</f>
        <v>48.231600000000007</v>
      </c>
      <c r="AE197" s="14" t="s">
        <v>62</v>
      </c>
      <c r="AF197" s="14" t="s">
        <v>62</v>
      </c>
      <c r="AG197" s="14" t="s">
        <v>62</v>
      </c>
      <c r="AH197" s="13" t="s">
        <v>62</v>
      </c>
      <c r="AI197" s="13">
        <f>IF(AND(Distances!CV140=0,Distances!FH140=0),CU197*FG197*AI161*2,"")</f>
        <v>15.611680000000002</v>
      </c>
      <c r="AJ197" s="13" t="s">
        <v>62</v>
      </c>
      <c r="AK197" s="12">
        <f>IF(AND(Distances!CX140=0,Distances!FJ140=0),CW197*FI197*AK161*2,"")</f>
        <v>0</v>
      </c>
      <c r="AL197" s="13">
        <f>IF(AND(Distances!CY140=0,Distances!FK140=0),CX197*FJ197*AL161*2,"")</f>
        <v>980.84447999999998</v>
      </c>
      <c r="AM197" s="13">
        <f>IF(AND(Distances!CZ140=0,Distances!FL140=0),CY197*FK197*AM161*2,"")</f>
        <v>980.84447999999998</v>
      </c>
      <c r="AN197" s="13" t="s">
        <v>62</v>
      </c>
      <c r="AO197" s="14">
        <f>IF(AND(Distances!DB140=0,Distances!FN140=0),DA197*FM197*AO161*2,"")</f>
        <v>9.2464000000000013</v>
      </c>
      <c r="AP197" s="14">
        <f>IF(AND(Distances!DC140=0,Distances!FO140=0),DB197*FN197*AP161*2,"")</f>
        <v>9.4256000000000011</v>
      </c>
      <c r="AQ197" s="14">
        <f>IF(AND(Distances!DD140=0,Distances!FP140=0),DC197*FO197*AQ161*2,"")</f>
        <v>8.0760000000000005</v>
      </c>
      <c r="AR197" s="13">
        <f>IF(AND(Distances!DE140=0,Distances!FQ140=0),DD197*FP197*AR161*2,"")</f>
        <v>56.235946666666656</v>
      </c>
      <c r="AS197" s="13" t="s">
        <v>62</v>
      </c>
      <c r="AT197" s="13" t="s">
        <v>62</v>
      </c>
      <c r="AU197" s="13" t="s">
        <v>62</v>
      </c>
      <c r="AV197" s="13" t="s">
        <v>62</v>
      </c>
      <c r="AW197" s="13" t="s">
        <v>62</v>
      </c>
      <c r="AX197" s="13">
        <f>IF(AND(Distances!DK140=0,Distances!FW140=0),DJ197*FV197*AX161*2,"")</f>
        <v>295.28613333333334</v>
      </c>
      <c r="AY197" s="14">
        <f>IF(AND(Distances!DL140=0,Distances!FX140=0),DK197*FW197*AY161*2,"")</f>
        <v>0</v>
      </c>
      <c r="AZ197" s="14" t="s">
        <v>62</v>
      </c>
      <c r="BA197" s="13">
        <f>IF(AND(Distances!DN140=0,Distances!FZ140=0),DM197*FY197*BA161*2,"")</f>
        <v>155.07818666666668</v>
      </c>
      <c r="BB197" s="14">
        <f>IF(AND(Distances!DO140=0,Distances!GA140=0),DN197*FZ197*BB161*2,"")</f>
        <v>94.661279999999991</v>
      </c>
      <c r="BC197" s="13">
        <f>IF(AND(Distances!DP140=0,Distances!GB140=0),DO197*GA197*BC161*2,"")</f>
        <v>1767.4973866666667</v>
      </c>
      <c r="BD197" s="13" t="s">
        <v>62</v>
      </c>
      <c r="BE197" s="13">
        <f>IF(AND(Distances!DR140=0,Distances!GD140=0),DQ197*GC197*BE161*2,"")</f>
        <v>1872.1860266666665</v>
      </c>
      <c r="BF197" s="14" t="s">
        <v>62</v>
      </c>
      <c r="BG197" s="14" t="s">
        <v>62</v>
      </c>
      <c r="BH197" s="14" t="s">
        <v>62</v>
      </c>
      <c r="BI197" s="14" t="s">
        <v>62</v>
      </c>
      <c r="BJ197" s="15" t="s">
        <v>62</v>
      </c>
      <c r="BM197" s="35" t="s">
        <v>36</v>
      </c>
      <c r="BN197" s="16">
        <v>1887.4967999999999</v>
      </c>
      <c r="BO197" s="14">
        <v>3311.5823999999998</v>
      </c>
      <c r="BP197" s="14">
        <v>1765.2264</v>
      </c>
      <c r="BQ197" s="14">
        <v>1765.2264</v>
      </c>
      <c r="BR197" s="14">
        <v>1870.0331999999999</v>
      </c>
      <c r="BS197" s="14">
        <v>1688.6435999999999</v>
      </c>
      <c r="BT197" s="14">
        <v>2202.8747999999996</v>
      </c>
      <c r="BU197" s="14">
        <v>1688.6435999999999</v>
      </c>
      <c r="BV197" s="14">
        <v>1835.0975999999998</v>
      </c>
      <c r="BW197" s="14">
        <v>1835.0975999999998</v>
      </c>
      <c r="BX197" s="14">
        <v>2224.4627999999998</v>
      </c>
      <c r="BY197" s="14">
        <v>2224.4627999999998</v>
      </c>
      <c r="BZ197" s="14">
        <v>3508.2431999999994</v>
      </c>
      <c r="CA197" s="14">
        <v>1332.4164000000001</v>
      </c>
      <c r="CB197" s="14">
        <v>1368.36</v>
      </c>
      <c r="CC197" s="14">
        <v>1883.0447999999997</v>
      </c>
      <c r="CD197" s="14">
        <v>1865.2956000000001</v>
      </c>
      <c r="CE197" s="14">
        <v>1918.56</v>
      </c>
      <c r="CF197" s="14">
        <v>1829.7803999999999</v>
      </c>
      <c r="CG197" s="14">
        <v>1244.0819999999999</v>
      </c>
      <c r="CH197" s="14">
        <v>1161.2244000000001</v>
      </c>
      <c r="CI197" s="14">
        <v>1847.5379999999998</v>
      </c>
      <c r="CJ197" s="14">
        <v>1688.106</v>
      </c>
      <c r="CK197" s="14">
        <v>1829.7803999999999</v>
      </c>
      <c r="CL197" s="14">
        <v>1354.8444</v>
      </c>
      <c r="CM197" s="14">
        <v>1330.2323999999999</v>
      </c>
      <c r="CN197" s="14">
        <v>1281</v>
      </c>
      <c r="CO197" s="14">
        <v>1268.694</v>
      </c>
      <c r="CP197" s="14">
        <v>1688.106</v>
      </c>
      <c r="CQ197" s="14">
        <v>1161.2244000000001</v>
      </c>
      <c r="CR197" s="14">
        <v>1161.2244000000001</v>
      </c>
      <c r="CS197" s="14">
        <v>1161.2244000000001</v>
      </c>
      <c r="CT197" s="13">
        <v>360.84719999999999</v>
      </c>
      <c r="CU197" s="13">
        <v>351.26280000000003</v>
      </c>
      <c r="CV197" s="13">
        <v>360.84719999999999</v>
      </c>
      <c r="CW197" s="12">
        <v>0</v>
      </c>
      <c r="CX197" s="13">
        <v>408.68519999999995</v>
      </c>
      <c r="CY197" s="13">
        <v>408.68519999999995</v>
      </c>
      <c r="CZ197" s="13">
        <v>408.68519999999995</v>
      </c>
      <c r="DA197" s="14">
        <v>485.43599999999998</v>
      </c>
      <c r="DB197" s="14">
        <v>494.84399999999999</v>
      </c>
      <c r="DC197" s="14">
        <v>423.99</v>
      </c>
      <c r="DD197" s="13">
        <v>632.6543999999999</v>
      </c>
      <c r="DE197" s="13">
        <v>632.6543999999999</v>
      </c>
      <c r="DF197" s="13">
        <v>632.6543999999999</v>
      </c>
      <c r="DG197" s="13">
        <v>1303.9656</v>
      </c>
      <c r="DH197" s="13">
        <v>1688.106</v>
      </c>
      <c r="DI197" s="13">
        <v>1688.106</v>
      </c>
      <c r="DJ197" s="13">
        <v>1328.7876000000001</v>
      </c>
      <c r="DK197" s="14">
        <v>0</v>
      </c>
      <c r="DL197" s="14">
        <v>2579.8835999999997</v>
      </c>
      <c r="DM197" s="13">
        <v>872.31479999999999</v>
      </c>
      <c r="DN197" s="14">
        <v>1656.5723999999998</v>
      </c>
      <c r="DO197" s="13">
        <v>1242.7716</v>
      </c>
      <c r="DP197" s="13">
        <v>1328.7876000000001</v>
      </c>
      <c r="DQ197" s="13">
        <v>1316.3807999999999</v>
      </c>
      <c r="DR197" s="14">
        <v>1410.9312</v>
      </c>
      <c r="DS197" s="14">
        <v>1139.7371999999998</v>
      </c>
      <c r="DT197" s="14">
        <v>3180.0888</v>
      </c>
      <c r="DU197" s="14">
        <v>1969.7159999999999</v>
      </c>
      <c r="DV197" s="15">
        <v>1969.7159999999999</v>
      </c>
      <c r="DY197" s="35" t="s">
        <v>36</v>
      </c>
      <c r="DZ197" s="16">
        <v>6.2500000000000003E-3</v>
      </c>
      <c r="EA197" s="14">
        <v>6.2500000000000003E-3</v>
      </c>
      <c r="EB197" s="14">
        <v>6.2500000000000003E-3</v>
      </c>
      <c r="EC197" s="14">
        <v>6.2500000000000003E-3</v>
      </c>
      <c r="ED197" s="14">
        <v>6.2500000000000003E-3</v>
      </c>
      <c r="EE197" s="14">
        <v>6.2500000000000003E-3</v>
      </c>
      <c r="EF197" s="14">
        <v>6.2500000000000003E-3</v>
      </c>
      <c r="EG197" s="14">
        <v>6.2500000000000003E-3</v>
      </c>
      <c r="EH197" s="14">
        <v>6.2500000000000003E-3</v>
      </c>
      <c r="EI197" s="14">
        <v>6.2500000000000003E-3</v>
      </c>
      <c r="EJ197" s="14">
        <v>6.2500000000000003E-3</v>
      </c>
      <c r="EK197" s="14">
        <v>6.2500000000000003E-3</v>
      </c>
      <c r="EL197" s="14">
        <v>6.2500000000000003E-3</v>
      </c>
      <c r="EM197" s="14">
        <v>4.6511627906976744E-3</v>
      </c>
      <c r="EN197" s="14">
        <v>4.6511627906976744E-3</v>
      </c>
      <c r="EO197" s="14">
        <v>7.1428571428571435E-3</v>
      </c>
      <c r="EP197" s="14">
        <v>7.1428571428571435E-3</v>
      </c>
      <c r="EQ197" s="14">
        <v>7.1428571428571435E-3</v>
      </c>
      <c r="ER197" s="14">
        <v>7.1428571428571435E-3</v>
      </c>
      <c r="ES197" s="14">
        <v>7.1428571428571435E-3</v>
      </c>
      <c r="ET197" s="14">
        <v>7.1428571428571435E-3</v>
      </c>
      <c r="EU197" s="14">
        <v>7.1428571428571435E-3</v>
      </c>
      <c r="EV197" s="14">
        <v>7.1428571428571435E-3</v>
      </c>
      <c r="EW197" s="14">
        <v>7.1428571428571435E-3</v>
      </c>
      <c r="EX197" s="14">
        <v>7.1428571428571435E-3</v>
      </c>
      <c r="EY197" s="14">
        <v>7.1428571428571435E-3</v>
      </c>
      <c r="EZ197" s="14">
        <v>7.1428571428571435E-3</v>
      </c>
      <c r="FA197" s="14">
        <v>7.1428571428571435E-3</v>
      </c>
      <c r="FB197" s="14">
        <v>7.1428571428571435E-3</v>
      </c>
      <c r="FC197" s="14">
        <v>7.1428571428571435E-3</v>
      </c>
      <c r="FD197" s="14">
        <v>7.1428571428571435E-3</v>
      </c>
      <c r="FE197" s="14">
        <v>7.1428571428571435E-3</v>
      </c>
      <c r="FF197" s="13">
        <f t="shared" si="79"/>
        <v>2.2222222222222223E-2</v>
      </c>
      <c r="FG197" s="13">
        <f t="shared" si="79"/>
        <v>2.2222222222222223E-2</v>
      </c>
      <c r="FH197" s="13">
        <f t="shared" si="79"/>
        <v>2.2222222222222223E-2</v>
      </c>
      <c r="FI197" s="12">
        <v>0.6</v>
      </c>
      <c r="FJ197" s="13">
        <f t="shared" si="73"/>
        <v>2.2222222222222223E-2</v>
      </c>
      <c r="FK197" s="13">
        <f t="shared" si="73"/>
        <v>2.2222222222222223E-2</v>
      </c>
      <c r="FL197" s="13">
        <f t="shared" si="73"/>
        <v>2.2222222222222223E-2</v>
      </c>
      <c r="FM197" s="14">
        <v>4.7619047619047623E-3</v>
      </c>
      <c r="FN197" s="14">
        <v>4.7619047619047623E-3</v>
      </c>
      <c r="FO197" s="14">
        <v>4.7619047619047623E-3</v>
      </c>
      <c r="FP197" s="13">
        <f t="shared" si="75"/>
        <v>2.2222222222222223E-2</v>
      </c>
      <c r="FQ197" s="13">
        <f t="shared" si="74"/>
        <v>2.2222222222222223E-2</v>
      </c>
      <c r="FR197" s="13">
        <f t="shared" si="74"/>
        <v>2.2222222222222223E-2</v>
      </c>
      <c r="FS197" s="13">
        <f t="shared" si="74"/>
        <v>2.2222222222222223E-2</v>
      </c>
      <c r="FT197" s="13">
        <f t="shared" si="76"/>
        <v>0.02</v>
      </c>
      <c r="FU197" s="13">
        <f t="shared" si="77"/>
        <v>2.2222222222222223E-2</v>
      </c>
      <c r="FV197" s="13">
        <f t="shared" si="77"/>
        <v>2.2222222222222223E-2</v>
      </c>
      <c r="FW197" s="14">
        <v>4.5454545454545461E-3</v>
      </c>
      <c r="FX197" s="14">
        <v>4.5454545454545461E-3</v>
      </c>
      <c r="FY197" s="13">
        <f t="shared" si="78"/>
        <v>2.2222222222222223E-2</v>
      </c>
      <c r="FZ197" s="14">
        <v>7.1428571428571435E-3</v>
      </c>
      <c r="GA197" s="13">
        <f t="shared" si="80"/>
        <v>2.2222222222222223E-2</v>
      </c>
      <c r="GB197" s="13">
        <f t="shared" si="80"/>
        <v>2.2222222222222223E-2</v>
      </c>
      <c r="GC197" s="13">
        <f t="shared" si="80"/>
        <v>2.2222222222222223E-2</v>
      </c>
      <c r="GD197" s="14">
        <v>7.1428571428571435E-3</v>
      </c>
      <c r="GE197" s="14">
        <v>7.1428571428571435E-3</v>
      </c>
      <c r="GF197" s="14">
        <v>4.6511627906976744E-3</v>
      </c>
      <c r="GG197" s="14">
        <v>4.6511627906976744E-3</v>
      </c>
      <c r="GH197" s="15">
        <v>4.6511627906976744E-3</v>
      </c>
    </row>
    <row r="198" spans="1:190" x14ac:dyDescent="0.3">
      <c r="A198" s="35" t="s">
        <v>37</v>
      </c>
      <c r="B198" s="16">
        <f>IF(AND(Distances!BO141=0,Distances!EA141=0),BN198*DZ198*B161*2,"")</f>
        <v>4309.7023200000003</v>
      </c>
      <c r="C198" s="14">
        <f>IF(AND(Distances!BP141=0,Distances!EB141=0),BO198*EA198*C161*2,"")</f>
        <v>5150.2546199999997</v>
      </c>
      <c r="D198" s="14" t="s">
        <v>62</v>
      </c>
      <c r="E198" s="14">
        <f>IF(AND(Distances!BR141=0,Distances!ED141=0),BQ198*EC198*E161*2,"")</f>
        <v>4030.5363000000002</v>
      </c>
      <c r="F198" s="14" t="s">
        <v>62</v>
      </c>
      <c r="G198" s="14" t="s">
        <v>62</v>
      </c>
      <c r="H198" s="14">
        <f>IF(AND(Distances!BU141=0,Distances!EG141=0),BT198*EF198*H161*2,"")</f>
        <v>1124.72388</v>
      </c>
      <c r="I198" s="14">
        <f>IF(AND(Distances!BV141=0,Distances!EH141=0),BU198*EG198*I161*2,"")</f>
        <v>1033.3087800000001</v>
      </c>
      <c r="J198" s="14" t="s">
        <v>62</v>
      </c>
      <c r="K198" s="14">
        <f>IF(AND(Distances!BX141=0,Distances!EJ141=0),BW198*EI198*K161*2,"")</f>
        <v>82.971420000000009</v>
      </c>
      <c r="L198" s="14" t="s">
        <v>62</v>
      </c>
      <c r="M198" s="14">
        <f>IF(AND(Distances!BZ141=0,Distances!EL141=0),BY198*EK198*M161*2,"")</f>
        <v>22.489740000000001</v>
      </c>
      <c r="N198" s="14" t="s">
        <v>62</v>
      </c>
      <c r="O198" s="14" t="s">
        <v>62</v>
      </c>
      <c r="P198" s="14" t="s">
        <v>62</v>
      </c>
      <c r="Q198" s="14">
        <f>IF(AND(Distances!CD141=0,Distances!EP141=0),CC198*EO198*Q161*2,"")</f>
        <v>1086.204</v>
      </c>
      <c r="R198" s="14">
        <f>IF(AND(Distances!CE141=0,Distances!EQ141=0),CD198*EP198*R161*2,"")</f>
        <v>1075.9620000000002</v>
      </c>
      <c r="S198" s="14">
        <f>IF(AND(Distances!CF141=0,Distances!ER141=0),CE198*EQ198*S161*2,"")</f>
        <v>1106.6820000000002</v>
      </c>
      <c r="T198" s="14" t="s">
        <v>62</v>
      </c>
      <c r="U198" s="14" t="s">
        <v>62</v>
      </c>
      <c r="V198" s="14" t="s">
        <v>62</v>
      </c>
      <c r="W198" s="14">
        <f>IF(AND(Distances!CJ141=0,Distances!EV141=0),CI198*EU198*W161*2,"")</f>
        <v>1236.2352000000001</v>
      </c>
      <c r="X198" s="14" t="s">
        <v>62</v>
      </c>
      <c r="Y198" s="14" t="s">
        <v>62</v>
      </c>
      <c r="Z198" s="14" t="s">
        <v>62</v>
      </c>
      <c r="AA198" s="14" t="s">
        <v>62</v>
      </c>
      <c r="AB198" s="14" t="s">
        <v>62</v>
      </c>
      <c r="AC198" s="14">
        <f>IF(AND(Distances!CP141=0,Distances!FB141=0),CO198*FA198*AC161*2,"")</f>
        <v>12.851280000000001</v>
      </c>
      <c r="AD198" s="14">
        <f>IF(AND(Distances!CQ141=0,Distances!FC141=0),CP198*FB198*AD161*2,"")</f>
        <v>49.236960000000003</v>
      </c>
      <c r="AE198" s="14" t="s">
        <v>62</v>
      </c>
      <c r="AF198" s="14" t="s">
        <v>62</v>
      </c>
      <c r="AG198" s="14" t="s">
        <v>62</v>
      </c>
      <c r="AH198" s="13" t="s">
        <v>62</v>
      </c>
      <c r="AI198" s="13">
        <f>IF(AND(Distances!CV141=0,Distances!FH141=0),CU198*FG198*AI161*2,"")</f>
        <v>17.651199999999999</v>
      </c>
      <c r="AJ198" s="13" t="s">
        <v>62</v>
      </c>
      <c r="AK198" s="13">
        <f>IF(AND(Distances!CX141=0,Distances!FJ141=0),CW198*FI198*AK161*2,"")</f>
        <v>18.163786666666667</v>
      </c>
      <c r="AL198" s="12">
        <f>IF(AND(Distances!CY141=0,Distances!FK141=0),CX198*FJ198*AL161*2,"")</f>
        <v>0</v>
      </c>
      <c r="AM198" s="13">
        <f>IF(AND(Distances!CZ141=0,Distances!FL141=0),CY198*FK198*AM161*2,"")</f>
        <v>500.75423999999998</v>
      </c>
      <c r="AN198" s="13" t="s">
        <v>62</v>
      </c>
      <c r="AO198" s="14">
        <f>IF(AND(Distances!DB141=0,Distances!FN141=0),DA198*FM198*AO161*2,"")</f>
        <v>10.918240000000001</v>
      </c>
      <c r="AP198" s="14">
        <f>IF(AND(Distances!DC141=0,Distances!FO141=0),DB198*FN198*AP161*2,"")</f>
        <v>11.12992</v>
      </c>
      <c r="AQ198" s="14">
        <f>IF(AND(Distances!DD141=0,Distances!FP141=0),DC198*FO198*AQ161*2,"")</f>
        <v>12.72288</v>
      </c>
      <c r="AR198" s="13">
        <f>IF(AND(Distances!DE141=0,Distances!FQ141=0),DD198*FP198*AR161*2,"")</f>
        <v>36.728533333333331</v>
      </c>
      <c r="AS198" s="13" t="s">
        <v>62</v>
      </c>
      <c r="AT198" s="13" t="s">
        <v>62</v>
      </c>
      <c r="AU198" s="13" t="s">
        <v>62</v>
      </c>
      <c r="AV198" s="13" t="s">
        <v>62</v>
      </c>
      <c r="AW198" s="13" t="s">
        <v>62</v>
      </c>
      <c r="AX198" s="13">
        <f>IF(AND(Distances!DK141=0,Distances!FW141=0),DJ198*FV198*AX161*2,"")</f>
        <v>47.245333333333335</v>
      </c>
      <c r="AY198" s="14">
        <f>IF(AND(Distances!DL141=0,Distances!FX141=0),DK198*FW198*AY161*2,"")</f>
        <v>0</v>
      </c>
      <c r="AZ198" s="14" t="s">
        <v>62</v>
      </c>
      <c r="BA198" s="13">
        <f>IF(AND(Distances!DN141=0,Distances!FZ141=0),DM198*FY198*BA161*2,"")</f>
        <v>136.89386666666667</v>
      </c>
      <c r="BB198" s="14">
        <f>IF(AND(Distances!DO141=0,Distances!GA141=0),DN198*FZ198*BB161*2,"")</f>
        <v>96.634560000000008</v>
      </c>
      <c r="BC198" s="13">
        <f>IF(AND(Distances!DP141=0,Distances!GB141=0),DO198*GA198*BC161*2,"")</f>
        <v>285.17887999999999</v>
      </c>
      <c r="BD198" s="13" t="s">
        <v>62</v>
      </c>
      <c r="BE198" s="13">
        <f>IF(AND(Distances!DR141=0,Distances!GD141=0),DQ198*GC198*BE161*2,"")</f>
        <v>299.55072000000001</v>
      </c>
      <c r="BF198" s="14" t="s">
        <v>62</v>
      </c>
      <c r="BG198" s="14" t="s">
        <v>62</v>
      </c>
      <c r="BH198" s="14" t="s">
        <v>62</v>
      </c>
      <c r="BI198" s="14" t="s">
        <v>62</v>
      </c>
      <c r="BJ198" s="15" t="s">
        <v>62</v>
      </c>
      <c r="BM198" s="35" t="s">
        <v>37</v>
      </c>
      <c r="BN198" s="16">
        <v>1706.8127999999999</v>
      </c>
      <c r="BO198" s="14">
        <v>2039.7047999999998</v>
      </c>
      <c r="BP198" s="14">
        <v>1596.252</v>
      </c>
      <c r="BQ198" s="14">
        <v>1596.252</v>
      </c>
      <c r="BR198" s="14">
        <v>1691.0207999999998</v>
      </c>
      <c r="BS198" s="14">
        <v>409.2312</v>
      </c>
      <c r="BT198" s="14">
        <v>445.43519999999995</v>
      </c>
      <c r="BU198" s="14">
        <v>409.2312</v>
      </c>
      <c r="BV198" s="14">
        <v>1659.4284</v>
      </c>
      <c r="BW198" s="14">
        <v>1659.4284</v>
      </c>
      <c r="BX198" s="14">
        <v>449.79480000000001</v>
      </c>
      <c r="BY198" s="14">
        <v>449.79480000000001</v>
      </c>
      <c r="BZ198" s="14">
        <v>2160.8159999999998</v>
      </c>
      <c r="CA198" s="14">
        <v>2066.7024000000001</v>
      </c>
      <c r="CB198" s="14">
        <v>2132.6843999999996</v>
      </c>
      <c r="CC198" s="14">
        <v>1520.6855999999998</v>
      </c>
      <c r="CD198" s="14">
        <v>1506.3468</v>
      </c>
      <c r="CE198" s="14">
        <v>1549.3548000000001</v>
      </c>
      <c r="CF198" s="14">
        <v>1477.6692</v>
      </c>
      <c r="CG198" s="14">
        <v>441.084</v>
      </c>
      <c r="CH198" s="14">
        <v>462.5292</v>
      </c>
      <c r="CI198" s="14">
        <v>1492.008</v>
      </c>
      <c r="CJ198" s="14">
        <v>1723.2936</v>
      </c>
      <c r="CK198" s="14">
        <v>1477.6692</v>
      </c>
      <c r="CL198" s="14">
        <v>480.29519999999997</v>
      </c>
      <c r="CM198" s="14">
        <v>471.58439999999996</v>
      </c>
      <c r="CN198" s="14">
        <v>454.15439999999995</v>
      </c>
      <c r="CO198" s="14">
        <v>449.79480000000001</v>
      </c>
      <c r="CP198" s="14">
        <v>1723.2936</v>
      </c>
      <c r="CQ198" s="14">
        <v>462.5292</v>
      </c>
      <c r="CR198" s="14">
        <v>462.5292</v>
      </c>
      <c r="CS198" s="14">
        <v>462.5292</v>
      </c>
      <c r="CT198" s="13">
        <v>408.36599999999999</v>
      </c>
      <c r="CU198" s="13">
        <v>397.15199999999999</v>
      </c>
      <c r="CV198" s="13">
        <v>408.36599999999999</v>
      </c>
      <c r="CW198" s="13">
        <v>408.68519999999995</v>
      </c>
      <c r="CX198" s="12">
        <v>0</v>
      </c>
      <c r="CY198" s="13">
        <v>208.64759999999998</v>
      </c>
      <c r="CZ198" s="13">
        <v>208.64759999999998</v>
      </c>
      <c r="DA198" s="14">
        <v>573.20759999999996</v>
      </c>
      <c r="DB198" s="14">
        <v>584.32079999999996</v>
      </c>
      <c r="DC198" s="14">
        <v>667.95119999999997</v>
      </c>
      <c r="DD198" s="13">
        <v>413.19599999999997</v>
      </c>
      <c r="DE198" s="13">
        <v>413.19599999999997</v>
      </c>
      <c r="DF198" s="13">
        <v>413.19599999999997</v>
      </c>
      <c r="DG198" s="13">
        <v>208.64759999999998</v>
      </c>
      <c r="DH198" s="13">
        <v>1723.2936</v>
      </c>
      <c r="DI198" s="13">
        <v>1723.2936</v>
      </c>
      <c r="DJ198" s="13">
        <v>212.60399999999998</v>
      </c>
      <c r="DK198" s="14">
        <v>0</v>
      </c>
      <c r="DL198" s="14">
        <v>2614.2563999999998</v>
      </c>
      <c r="DM198" s="13">
        <v>770.02800000000002</v>
      </c>
      <c r="DN198" s="14">
        <v>1691.1048000000001</v>
      </c>
      <c r="DO198" s="13">
        <v>200.5164</v>
      </c>
      <c r="DP198" s="13">
        <v>212.60399999999998</v>
      </c>
      <c r="DQ198" s="13">
        <v>210.6216</v>
      </c>
      <c r="DR198" s="14">
        <v>839.58839999999998</v>
      </c>
      <c r="DS198" s="14">
        <v>453.9864</v>
      </c>
      <c r="DT198" s="14">
        <v>1701.6215999999999</v>
      </c>
      <c r="DU198" s="14">
        <v>2378.2079999999996</v>
      </c>
      <c r="DV198" s="15">
        <v>2378.2079999999996</v>
      </c>
      <c r="DY198" s="35" t="s">
        <v>37</v>
      </c>
      <c r="DZ198" s="16">
        <v>6.2500000000000003E-3</v>
      </c>
      <c r="EA198" s="14">
        <v>6.2500000000000003E-3</v>
      </c>
      <c r="EB198" s="14">
        <v>6.2500000000000003E-3</v>
      </c>
      <c r="EC198" s="14">
        <v>6.2500000000000003E-3</v>
      </c>
      <c r="ED198" s="14">
        <v>6.2500000000000003E-3</v>
      </c>
      <c r="EE198" s="14">
        <v>6.2500000000000003E-3</v>
      </c>
      <c r="EF198" s="14">
        <v>6.2500000000000003E-3</v>
      </c>
      <c r="EG198" s="14">
        <v>6.2500000000000003E-3</v>
      </c>
      <c r="EH198" s="14">
        <v>6.2500000000000003E-3</v>
      </c>
      <c r="EI198" s="14">
        <v>6.2500000000000003E-3</v>
      </c>
      <c r="EJ198" s="14">
        <v>6.2500000000000003E-3</v>
      </c>
      <c r="EK198" s="14">
        <v>6.2500000000000003E-3</v>
      </c>
      <c r="EL198" s="14">
        <v>6.2500000000000003E-3</v>
      </c>
      <c r="EM198" s="14">
        <v>4.6511627906976744E-3</v>
      </c>
      <c r="EN198" s="14">
        <v>4.6511627906976744E-3</v>
      </c>
      <c r="EO198" s="14">
        <v>7.1428571428571435E-3</v>
      </c>
      <c r="EP198" s="14">
        <v>7.1428571428571435E-3</v>
      </c>
      <c r="EQ198" s="14">
        <v>7.1428571428571435E-3</v>
      </c>
      <c r="ER198" s="14">
        <v>7.1428571428571435E-3</v>
      </c>
      <c r="ES198" s="14">
        <v>7.1428571428571435E-3</v>
      </c>
      <c r="ET198" s="14">
        <v>7.1428571428571435E-3</v>
      </c>
      <c r="EU198" s="14">
        <v>7.1428571428571435E-3</v>
      </c>
      <c r="EV198" s="14">
        <v>7.1428571428571435E-3</v>
      </c>
      <c r="EW198" s="14">
        <v>7.1428571428571435E-3</v>
      </c>
      <c r="EX198" s="14">
        <v>7.1428571428571435E-3</v>
      </c>
      <c r="EY198" s="14">
        <v>7.1428571428571435E-3</v>
      </c>
      <c r="EZ198" s="14">
        <v>7.1428571428571435E-3</v>
      </c>
      <c r="FA198" s="14">
        <v>7.1428571428571435E-3</v>
      </c>
      <c r="FB198" s="14">
        <v>7.1428571428571435E-3</v>
      </c>
      <c r="FC198" s="14">
        <v>7.1428571428571435E-3</v>
      </c>
      <c r="FD198" s="14">
        <v>7.1428571428571435E-3</v>
      </c>
      <c r="FE198" s="14">
        <v>7.1428571428571435E-3</v>
      </c>
      <c r="FF198" s="13">
        <f t="shared" si="79"/>
        <v>2.2222222222222223E-2</v>
      </c>
      <c r="FG198" s="13">
        <f t="shared" si="79"/>
        <v>2.2222222222222223E-2</v>
      </c>
      <c r="FH198" s="13">
        <f t="shared" si="79"/>
        <v>2.2222222222222223E-2</v>
      </c>
      <c r="FI198" s="13">
        <f t="shared" si="79"/>
        <v>2.2222222222222223E-2</v>
      </c>
      <c r="FJ198" s="12">
        <v>0.6</v>
      </c>
      <c r="FK198" s="13">
        <f t="shared" si="73"/>
        <v>2.2222222222222223E-2</v>
      </c>
      <c r="FL198" s="13">
        <f t="shared" si="73"/>
        <v>2.2222222222222223E-2</v>
      </c>
      <c r="FM198" s="14">
        <v>4.7619047619047623E-3</v>
      </c>
      <c r="FN198" s="14">
        <v>4.7619047619047623E-3</v>
      </c>
      <c r="FO198" s="14">
        <v>4.7619047619047623E-3</v>
      </c>
      <c r="FP198" s="13">
        <f t="shared" si="75"/>
        <v>2.2222222222222223E-2</v>
      </c>
      <c r="FQ198" s="13">
        <f t="shared" si="74"/>
        <v>2.2222222222222223E-2</v>
      </c>
      <c r="FR198" s="13">
        <f t="shared" si="74"/>
        <v>2.2222222222222223E-2</v>
      </c>
      <c r="FS198" s="13">
        <f t="shared" si="74"/>
        <v>2.2222222222222223E-2</v>
      </c>
      <c r="FT198" s="13">
        <f t="shared" si="76"/>
        <v>0.02</v>
      </c>
      <c r="FU198" s="13">
        <f t="shared" si="77"/>
        <v>2.2222222222222223E-2</v>
      </c>
      <c r="FV198" s="13">
        <f t="shared" si="77"/>
        <v>2.2222222222222223E-2</v>
      </c>
      <c r="FW198" s="14">
        <v>4.5454545454545461E-3</v>
      </c>
      <c r="FX198" s="14">
        <v>4.5454545454545461E-3</v>
      </c>
      <c r="FY198" s="13">
        <f t="shared" si="78"/>
        <v>2.2222222222222223E-2</v>
      </c>
      <c r="FZ198" s="14">
        <v>7.1428571428571435E-3</v>
      </c>
      <c r="GA198" s="13">
        <f t="shared" si="80"/>
        <v>2.2222222222222223E-2</v>
      </c>
      <c r="GB198" s="13">
        <f t="shared" si="80"/>
        <v>2.2222222222222223E-2</v>
      </c>
      <c r="GC198" s="13">
        <f t="shared" si="80"/>
        <v>2.2222222222222223E-2</v>
      </c>
      <c r="GD198" s="14">
        <v>7.1428571428571435E-3</v>
      </c>
      <c r="GE198" s="14">
        <v>7.1428571428571435E-3</v>
      </c>
      <c r="GF198" s="14">
        <v>4.6511627906976744E-3</v>
      </c>
      <c r="GG198" s="14">
        <v>4.6511627906976744E-3</v>
      </c>
      <c r="GH198" s="15">
        <v>4.6511627906976744E-3</v>
      </c>
    </row>
    <row r="199" spans="1:190" x14ac:dyDescent="0.3">
      <c r="A199" s="35" t="s">
        <v>38</v>
      </c>
      <c r="B199" s="16">
        <f>IF(AND(Distances!BO142=0,Distances!EA142=0),BN199*DZ199*B161*2,"")</f>
        <v>4309.7023200000003</v>
      </c>
      <c r="C199" s="14">
        <f>IF(AND(Distances!BP142=0,Distances!EB142=0),BO199*EA199*C161*2,"")</f>
        <v>5150.2546199999997</v>
      </c>
      <c r="D199" s="14" t="s">
        <v>62</v>
      </c>
      <c r="E199" s="14">
        <f>IF(AND(Distances!BR142=0,Distances!ED142=0),BQ199*EC199*E161*2,"")</f>
        <v>4030.5363000000002</v>
      </c>
      <c r="F199" s="14" t="s">
        <v>62</v>
      </c>
      <c r="G199" s="14" t="s">
        <v>62</v>
      </c>
      <c r="H199" s="14">
        <f>IF(AND(Distances!BU142=0,Distances!EG142=0),BT199*EF199*H161*2,"")</f>
        <v>1124.72388</v>
      </c>
      <c r="I199" s="14">
        <f>IF(AND(Distances!BV142=0,Distances!EH142=0),BU199*EG199*I161*2,"")</f>
        <v>1033.3087800000001</v>
      </c>
      <c r="J199" s="14" t="s">
        <v>62</v>
      </c>
      <c r="K199" s="14">
        <f>IF(AND(Distances!BX142=0,Distances!EJ142=0),BW199*EI199*K161*2,"")</f>
        <v>82.971420000000009</v>
      </c>
      <c r="L199" s="14" t="s">
        <v>62</v>
      </c>
      <c r="M199" s="14">
        <f>IF(AND(Distances!BZ142=0,Distances!EL142=0),BY199*EK199*M161*2,"")</f>
        <v>22.489740000000001</v>
      </c>
      <c r="N199" s="14" t="s">
        <v>62</v>
      </c>
      <c r="O199" s="14" t="s">
        <v>62</v>
      </c>
      <c r="P199" s="14" t="s">
        <v>62</v>
      </c>
      <c r="Q199" s="14">
        <f>IF(AND(Distances!CD142=0,Distances!EP142=0),CC199*EO199*Q161*2,"")</f>
        <v>1086.204</v>
      </c>
      <c r="R199" s="14">
        <f>IF(AND(Distances!CE142=0,Distances!EQ142=0),CD199*EP199*R161*2,"")</f>
        <v>1075.9620000000002</v>
      </c>
      <c r="S199" s="14">
        <f>IF(AND(Distances!CF142=0,Distances!ER142=0),CE199*EQ199*S161*2,"")</f>
        <v>1106.6820000000002</v>
      </c>
      <c r="T199" s="14" t="s">
        <v>62</v>
      </c>
      <c r="U199" s="14" t="s">
        <v>62</v>
      </c>
      <c r="V199" s="14" t="s">
        <v>62</v>
      </c>
      <c r="W199" s="14">
        <f>IF(AND(Distances!CJ142=0,Distances!EV142=0),CI199*EU199*W161*2,"")</f>
        <v>1236.2352000000001</v>
      </c>
      <c r="X199" s="14" t="s">
        <v>62</v>
      </c>
      <c r="Y199" s="14" t="s">
        <v>62</v>
      </c>
      <c r="Z199" s="14" t="s">
        <v>62</v>
      </c>
      <c r="AA199" s="14" t="s">
        <v>62</v>
      </c>
      <c r="AB199" s="14" t="s">
        <v>62</v>
      </c>
      <c r="AC199" s="14">
        <f>IF(AND(Distances!CP142=0,Distances!FB142=0),CO199*FA199*AC161*2,"")</f>
        <v>12.851280000000001</v>
      </c>
      <c r="AD199" s="14">
        <f>IF(AND(Distances!CQ142=0,Distances!FC142=0),CP199*FB199*AD161*2,"")</f>
        <v>49.236960000000003</v>
      </c>
      <c r="AE199" s="14" t="s">
        <v>62</v>
      </c>
      <c r="AF199" s="14" t="s">
        <v>62</v>
      </c>
      <c r="AG199" s="14" t="s">
        <v>62</v>
      </c>
      <c r="AH199" s="13" t="s">
        <v>62</v>
      </c>
      <c r="AI199" s="13">
        <f>IF(AND(Distances!CV142=0,Distances!FH142=0),CU199*FG199*AI161*2,"")</f>
        <v>17.651199999999999</v>
      </c>
      <c r="AJ199" s="13" t="s">
        <v>62</v>
      </c>
      <c r="AK199" s="13">
        <f>IF(AND(Distances!CX142=0,Distances!FJ142=0),CW199*FI199*AK161*2,"")</f>
        <v>18.163786666666667</v>
      </c>
      <c r="AL199" s="13">
        <f>IF(AND(Distances!CY142=0,Distances!FK142=0),CX199*FJ199*AL161*2,"")</f>
        <v>500.75423999999998</v>
      </c>
      <c r="AM199" s="12">
        <f>IF(AND(Distances!CZ142=0,Distances!FL142=0),CY199*FK199*AM161*2,"")</f>
        <v>0</v>
      </c>
      <c r="AN199" s="13" t="s">
        <v>62</v>
      </c>
      <c r="AO199" s="14">
        <f>IF(AND(Distances!DB142=0,Distances!FN142=0),DA199*FM199*AO161*2,"")</f>
        <v>10.918240000000001</v>
      </c>
      <c r="AP199" s="14">
        <f>IF(AND(Distances!DC142=0,Distances!FO142=0),DB199*FN199*AP161*2,"")</f>
        <v>11.12992</v>
      </c>
      <c r="AQ199" s="14">
        <f>IF(AND(Distances!DD142=0,Distances!FP142=0),DC199*FO199*AQ161*2,"")</f>
        <v>12.72288</v>
      </c>
      <c r="AR199" s="13">
        <f>IF(AND(Distances!DE142=0,Distances!FQ142=0),DD199*FP199*AR161*2,"")</f>
        <v>36.728533333333331</v>
      </c>
      <c r="AS199" s="13" t="s">
        <v>62</v>
      </c>
      <c r="AT199" s="13" t="s">
        <v>62</v>
      </c>
      <c r="AU199" s="13" t="s">
        <v>62</v>
      </c>
      <c r="AV199" s="13" t="s">
        <v>62</v>
      </c>
      <c r="AW199" s="13" t="s">
        <v>62</v>
      </c>
      <c r="AX199" s="13">
        <f>IF(AND(Distances!DK142=0,Distances!FW142=0),DJ199*FV199*AX161*2,"")</f>
        <v>47.245333333333335</v>
      </c>
      <c r="AY199" s="14">
        <f>IF(AND(Distances!DL142=0,Distances!FX142=0),DK199*FW199*AY161*2,"")</f>
        <v>0</v>
      </c>
      <c r="AZ199" s="14" t="s">
        <v>62</v>
      </c>
      <c r="BA199" s="13">
        <f>IF(AND(Distances!DN142=0,Distances!FZ142=0),DM199*FY199*BA161*2,"")</f>
        <v>136.89386666666667</v>
      </c>
      <c r="BB199" s="14">
        <f>IF(AND(Distances!DO142=0,Distances!GA142=0),DN199*FZ199*BB161*2,"")</f>
        <v>96.634560000000008</v>
      </c>
      <c r="BC199" s="13">
        <f>IF(AND(Distances!DP142=0,Distances!GB142=0),DO199*GA199*BC161*2,"")</f>
        <v>285.17887999999999</v>
      </c>
      <c r="BD199" s="13" t="s">
        <v>62</v>
      </c>
      <c r="BE199" s="13">
        <f>IF(AND(Distances!DR142=0,Distances!GD142=0),DQ199*GC199*BE161*2,"")</f>
        <v>299.55072000000001</v>
      </c>
      <c r="BF199" s="14" t="s">
        <v>62</v>
      </c>
      <c r="BG199" s="14" t="s">
        <v>62</v>
      </c>
      <c r="BH199" s="14" t="s">
        <v>62</v>
      </c>
      <c r="BI199" s="14" t="s">
        <v>62</v>
      </c>
      <c r="BJ199" s="15" t="s">
        <v>62</v>
      </c>
      <c r="BM199" s="35" t="s">
        <v>38</v>
      </c>
      <c r="BN199" s="16">
        <v>1706.8127999999999</v>
      </c>
      <c r="BO199" s="14">
        <v>2039.7047999999998</v>
      </c>
      <c r="BP199" s="14">
        <v>1596.252</v>
      </c>
      <c r="BQ199" s="14">
        <v>1596.252</v>
      </c>
      <c r="BR199" s="14">
        <v>1691.0207999999998</v>
      </c>
      <c r="BS199" s="14">
        <v>409.2312</v>
      </c>
      <c r="BT199" s="14">
        <v>445.43519999999995</v>
      </c>
      <c r="BU199" s="14">
        <v>409.2312</v>
      </c>
      <c r="BV199" s="14">
        <v>1659.4284</v>
      </c>
      <c r="BW199" s="14">
        <v>1659.4284</v>
      </c>
      <c r="BX199" s="14">
        <v>449.79480000000001</v>
      </c>
      <c r="BY199" s="14">
        <v>449.79480000000001</v>
      </c>
      <c r="BZ199" s="14">
        <v>2160.8159999999998</v>
      </c>
      <c r="CA199" s="14">
        <v>2066.7024000000001</v>
      </c>
      <c r="CB199" s="14">
        <v>2132.6843999999996</v>
      </c>
      <c r="CC199" s="14">
        <v>1520.6855999999998</v>
      </c>
      <c r="CD199" s="14">
        <v>1506.3468</v>
      </c>
      <c r="CE199" s="14">
        <v>1549.3548000000001</v>
      </c>
      <c r="CF199" s="14">
        <v>1477.6692</v>
      </c>
      <c r="CG199" s="14">
        <v>441.084</v>
      </c>
      <c r="CH199" s="14">
        <v>462.5292</v>
      </c>
      <c r="CI199" s="14">
        <v>1492.008</v>
      </c>
      <c r="CJ199" s="14">
        <v>1723.2936</v>
      </c>
      <c r="CK199" s="14">
        <v>1477.6692</v>
      </c>
      <c r="CL199" s="14">
        <v>480.29519999999997</v>
      </c>
      <c r="CM199" s="14">
        <v>471.58439999999996</v>
      </c>
      <c r="CN199" s="14">
        <v>454.15439999999995</v>
      </c>
      <c r="CO199" s="14">
        <v>449.79480000000001</v>
      </c>
      <c r="CP199" s="14">
        <v>1723.2936</v>
      </c>
      <c r="CQ199" s="14">
        <v>462.5292</v>
      </c>
      <c r="CR199" s="14">
        <v>462.5292</v>
      </c>
      <c r="CS199" s="14">
        <v>462.5292</v>
      </c>
      <c r="CT199" s="13">
        <v>408.36599999999999</v>
      </c>
      <c r="CU199" s="13">
        <v>397.15199999999999</v>
      </c>
      <c r="CV199" s="13">
        <v>408.36599999999999</v>
      </c>
      <c r="CW199" s="13">
        <v>408.68519999999995</v>
      </c>
      <c r="CX199" s="13">
        <v>208.64759999999998</v>
      </c>
      <c r="CY199" s="12">
        <v>0</v>
      </c>
      <c r="CZ199" s="13">
        <v>208.64759999999998</v>
      </c>
      <c r="DA199" s="14">
        <v>573.20759999999996</v>
      </c>
      <c r="DB199" s="14">
        <v>584.32079999999996</v>
      </c>
      <c r="DC199" s="14">
        <v>667.95119999999997</v>
      </c>
      <c r="DD199" s="13">
        <v>413.19599999999997</v>
      </c>
      <c r="DE199" s="13">
        <v>413.19599999999997</v>
      </c>
      <c r="DF199" s="13">
        <v>413.19599999999997</v>
      </c>
      <c r="DG199" s="13">
        <v>208.64759999999998</v>
      </c>
      <c r="DH199" s="13">
        <v>1723.2936</v>
      </c>
      <c r="DI199" s="13">
        <v>1723.2936</v>
      </c>
      <c r="DJ199" s="13">
        <v>212.60399999999998</v>
      </c>
      <c r="DK199" s="14">
        <v>0</v>
      </c>
      <c r="DL199" s="14">
        <v>2614.2563999999998</v>
      </c>
      <c r="DM199" s="13">
        <v>770.02800000000002</v>
      </c>
      <c r="DN199" s="14">
        <v>1691.1048000000001</v>
      </c>
      <c r="DO199" s="13">
        <v>200.5164</v>
      </c>
      <c r="DP199" s="13">
        <v>212.60399999999998</v>
      </c>
      <c r="DQ199" s="13">
        <v>210.6216</v>
      </c>
      <c r="DR199" s="14">
        <v>839.58839999999998</v>
      </c>
      <c r="DS199" s="14">
        <v>453.9864</v>
      </c>
      <c r="DT199" s="14">
        <v>1701.6215999999999</v>
      </c>
      <c r="DU199" s="14">
        <v>2378.2079999999996</v>
      </c>
      <c r="DV199" s="15">
        <v>2378.2079999999996</v>
      </c>
      <c r="DY199" s="35" t="s">
        <v>38</v>
      </c>
      <c r="DZ199" s="16">
        <v>6.2500000000000003E-3</v>
      </c>
      <c r="EA199" s="14">
        <v>6.2500000000000003E-3</v>
      </c>
      <c r="EB199" s="14">
        <v>6.2500000000000003E-3</v>
      </c>
      <c r="EC199" s="14">
        <v>6.2500000000000003E-3</v>
      </c>
      <c r="ED199" s="14">
        <v>6.2500000000000003E-3</v>
      </c>
      <c r="EE199" s="14">
        <v>6.2500000000000003E-3</v>
      </c>
      <c r="EF199" s="14">
        <v>6.2500000000000003E-3</v>
      </c>
      <c r="EG199" s="14">
        <v>6.2500000000000003E-3</v>
      </c>
      <c r="EH199" s="14">
        <v>6.2500000000000003E-3</v>
      </c>
      <c r="EI199" s="14">
        <v>6.2500000000000003E-3</v>
      </c>
      <c r="EJ199" s="14">
        <v>6.2500000000000003E-3</v>
      </c>
      <c r="EK199" s="14">
        <v>6.2500000000000003E-3</v>
      </c>
      <c r="EL199" s="14">
        <v>6.2500000000000003E-3</v>
      </c>
      <c r="EM199" s="14">
        <v>4.6511627906976744E-3</v>
      </c>
      <c r="EN199" s="14">
        <v>4.6511627906976744E-3</v>
      </c>
      <c r="EO199" s="14">
        <v>7.1428571428571435E-3</v>
      </c>
      <c r="EP199" s="14">
        <v>7.1428571428571435E-3</v>
      </c>
      <c r="EQ199" s="14">
        <v>7.1428571428571435E-3</v>
      </c>
      <c r="ER199" s="14">
        <v>7.1428571428571435E-3</v>
      </c>
      <c r="ES199" s="14">
        <v>7.1428571428571435E-3</v>
      </c>
      <c r="ET199" s="14">
        <v>7.1428571428571435E-3</v>
      </c>
      <c r="EU199" s="14">
        <v>7.1428571428571435E-3</v>
      </c>
      <c r="EV199" s="14">
        <v>7.1428571428571435E-3</v>
      </c>
      <c r="EW199" s="14">
        <v>7.1428571428571435E-3</v>
      </c>
      <c r="EX199" s="14">
        <v>7.1428571428571435E-3</v>
      </c>
      <c r="EY199" s="14">
        <v>7.1428571428571435E-3</v>
      </c>
      <c r="EZ199" s="14">
        <v>7.1428571428571435E-3</v>
      </c>
      <c r="FA199" s="14">
        <v>7.1428571428571435E-3</v>
      </c>
      <c r="FB199" s="14">
        <v>7.1428571428571435E-3</v>
      </c>
      <c r="FC199" s="14">
        <v>7.1428571428571435E-3</v>
      </c>
      <c r="FD199" s="14">
        <v>7.1428571428571435E-3</v>
      </c>
      <c r="FE199" s="14">
        <v>7.1428571428571435E-3</v>
      </c>
      <c r="FF199" s="13">
        <f t="shared" si="79"/>
        <v>2.2222222222222223E-2</v>
      </c>
      <c r="FG199" s="13">
        <f t="shared" si="79"/>
        <v>2.2222222222222223E-2</v>
      </c>
      <c r="FH199" s="13">
        <f t="shared" si="79"/>
        <v>2.2222222222222223E-2</v>
      </c>
      <c r="FI199" s="13">
        <f t="shared" si="79"/>
        <v>2.2222222222222223E-2</v>
      </c>
      <c r="FJ199" s="13">
        <f t="shared" si="79"/>
        <v>2.2222222222222223E-2</v>
      </c>
      <c r="FK199" s="12">
        <v>0.6</v>
      </c>
      <c r="FL199" s="13">
        <f t="shared" si="73"/>
        <v>2.2222222222222223E-2</v>
      </c>
      <c r="FM199" s="14">
        <v>4.7619047619047623E-3</v>
      </c>
      <c r="FN199" s="14">
        <v>4.7619047619047623E-3</v>
      </c>
      <c r="FO199" s="14">
        <v>4.7619047619047623E-3</v>
      </c>
      <c r="FP199" s="13">
        <f t="shared" si="75"/>
        <v>2.2222222222222223E-2</v>
      </c>
      <c r="FQ199" s="13">
        <f t="shared" si="74"/>
        <v>2.2222222222222223E-2</v>
      </c>
      <c r="FR199" s="13">
        <f t="shared" si="74"/>
        <v>2.2222222222222223E-2</v>
      </c>
      <c r="FS199" s="13">
        <f t="shared" si="74"/>
        <v>2.2222222222222223E-2</v>
      </c>
      <c r="FT199" s="13">
        <f t="shared" si="76"/>
        <v>0.02</v>
      </c>
      <c r="FU199" s="13">
        <f t="shared" si="77"/>
        <v>2.2222222222222223E-2</v>
      </c>
      <c r="FV199" s="13">
        <f t="shared" si="77"/>
        <v>2.2222222222222223E-2</v>
      </c>
      <c r="FW199" s="14">
        <v>4.5454545454545461E-3</v>
      </c>
      <c r="FX199" s="14">
        <v>4.5454545454545461E-3</v>
      </c>
      <c r="FY199" s="13">
        <f t="shared" si="78"/>
        <v>2.2222222222222223E-2</v>
      </c>
      <c r="FZ199" s="14">
        <v>7.1428571428571435E-3</v>
      </c>
      <c r="GA199" s="13">
        <f t="shared" si="80"/>
        <v>2.2222222222222223E-2</v>
      </c>
      <c r="GB199" s="13">
        <f t="shared" si="80"/>
        <v>2.2222222222222223E-2</v>
      </c>
      <c r="GC199" s="13">
        <f t="shared" si="80"/>
        <v>2.2222222222222223E-2</v>
      </c>
      <c r="GD199" s="14">
        <v>7.1428571428571435E-3</v>
      </c>
      <c r="GE199" s="14">
        <v>7.1428571428571435E-3</v>
      </c>
      <c r="GF199" s="14">
        <v>4.6511627906976744E-3</v>
      </c>
      <c r="GG199" s="14">
        <v>4.6511627906976744E-3</v>
      </c>
      <c r="GH199" s="15">
        <v>4.6511627906976744E-3</v>
      </c>
    </row>
    <row r="200" spans="1:190" x14ac:dyDescent="0.3">
      <c r="A200" s="35" t="s">
        <v>39</v>
      </c>
      <c r="B200" s="16" t="s">
        <v>62</v>
      </c>
      <c r="C200" s="14" t="s">
        <v>62</v>
      </c>
      <c r="D200" s="14" t="s">
        <v>62</v>
      </c>
      <c r="E200" s="14" t="s">
        <v>62</v>
      </c>
      <c r="F200" s="14" t="s">
        <v>62</v>
      </c>
      <c r="G200" s="14" t="s">
        <v>62</v>
      </c>
      <c r="H200" s="14" t="s">
        <v>62</v>
      </c>
      <c r="I200" s="14" t="s">
        <v>62</v>
      </c>
      <c r="J200" s="14" t="s">
        <v>62</v>
      </c>
      <c r="K200" s="14" t="s">
        <v>62</v>
      </c>
      <c r="L200" s="14" t="s">
        <v>62</v>
      </c>
      <c r="M200" s="14" t="s">
        <v>62</v>
      </c>
      <c r="N200" s="14" t="s">
        <v>62</v>
      </c>
      <c r="O200" s="14" t="s">
        <v>62</v>
      </c>
      <c r="P200" s="14" t="s">
        <v>62</v>
      </c>
      <c r="Q200" s="14" t="s">
        <v>62</v>
      </c>
      <c r="R200" s="14" t="s">
        <v>62</v>
      </c>
      <c r="S200" s="14" t="s">
        <v>62</v>
      </c>
      <c r="T200" s="14" t="s">
        <v>62</v>
      </c>
      <c r="U200" s="14" t="s">
        <v>62</v>
      </c>
      <c r="V200" s="14" t="s">
        <v>62</v>
      </c>
      <c r="W200" s="14" t="s">
        <v>62</v>
      </c>
      <c r="X200" s="14" t="s">
        <v>62</v>
      </c>
      <c r="Y200" s="14" t="s">
        <v>62</v>
      </c>
      <c r="Z200" s="14" t="s">
        <v>62</v>
      </c>
      <c r="AA200" s="14" t="s">
        <v>62</v>
      </c>
      <c r="AB200" s="14" t="s">
        <v>62</v>
      </c>
      <c r="AC200" s="14" t="s">
        <v>62</v>
      </c>
      <c r="AD200" s="14" t="s">
        <v>62</v>
      </c>
      <c r="AE200" s="14" t="s">
        <v>62</v>
      </c>
      <c r="AF200" s="14" t="s">
        <v>62</v>
      </c>
      <c r="AG200" s="14" t="s">
        <v>62</v>
      </c>
      <c r="AH200" s="13" t="s">
        <v>62</v>
      </c>
      <c r="AI200" s="13" t="s">
        <v>62</v>
      </c>
      <c r="AJ200" s="13" t="s">
        <v>62</v>
      </c>
      <c r="AK200" s="13" t="s">
        <v>62</v>
      </c>
      <c r="AL200" s="13" t="s">
        <v>62</v>
      </c>
      <c r="AM200" s="13" t="s">
        <v>62</v>
      </c>
      <c r="AN200" s="12">
        <f>IF(AND(Distances!DA143=0,Distances!FM143=0),CZ200*FL200*AN161*2,"")</f>
        <v>0</v>
      </c>
      <c r="AO200" s="14" t="s">
        <v>62</v>
      </c>
      <c r="AP200" s="14" t="s">
        <v>62</v>
      </c>
      <c r="AQ200" s="14" t="s">
        <v>62</v>
      </c>
      <c r="AR200" s="13" t="s">
        <v>62</v>
      </c>
      <c r="AS200" s="13" t="s">
        <v>62</v>
      </c>
      <c r="AT200" s="13" t="s">
        <v>62</v>
      </c>
      <c r="AU200" s="13" t="s">
        <v>62</v>
      </c>
      <c r="AV200" s="13" t="s">
        <v>62</v>
      </c>
      <c r="AW200" s="13" t="s">
        <v>62</v>
      </c>
      <c r="AX200" s="13" t="s">
        <v>62</v>
      </c>
      <c r="AY200" s="14" t="s">
        <v>62</v>
      </c>
      <c r="AZ200" s="14" t="s">
        <v>62</v>
      </c>
      <c r="BA200" s="13" t="s">
        <v>62</v>
      </c>
      <c r="BB200" s="14" t="s">
        <v>62</v>
      </c>
      <c r="BC200" s="13" t="s">
        <v>62</v>
      </c>
      <c r="BD200" s="13" t="s">
        <v>62</v>
      </c>
      <c r="BE200" s="13" t="s">
        <v>62</v>
      </c>
      <c r="BF200" s="14" t="s">
        <v>62</v>
      </c>
      <c r="BG200" s="14" t="s">
        <v>62</v>
      </c>
      <c r="BH200" s="14" t="s">
        <v>62</v>
      </c>
      <c r="BI200" s="14" t="s">
        <v>62</v>
      </c>
      <c r="BJ200" s="15" t="s">
        <v>62</v>
      </c>
      <c r="BM200" s="35" t="s">
        <v>39</v>
      </c>
      <c r="BN200" s="16">
        <v>1706.8127999999999</v>
      </c>
      <c r="BO200" s="14">
        <v>2039.7047999999998</v>
      </c>
      <c r="BP200" s="14">
        <v>1596.252</v>
      </c>
      <c r="BQ200" s="14">
        <v>1596.252</v>
      </c>
      <c r="BR200" s="14">
        <v>1691.0207999999998</v>
      </c>
      <c r="BS200" s="14">
        <v>409.2312</v>
      </c>
      <c r="BT200" s="14">
        <v>445.43519999999995</v>
      </c>
      <c r="BU200" s="14">
        <v>409.2312</v>
      </c>
      <c r="BV200" s="14">
        <v>1659.4284</v>
      </c>
      <c r="BW200" s="14">
        <v>1659.4284</v>
      </c>
      <c r="BX200" s="14">
        <v>449.79480000000001</v>
      </c>
      <c r="BY200" s="14">
        <v>449.79480000000001</v>
      </c>
      <c r="BZ200" s="14">
        <v>2160.8159999999998</v>
      </c>
      <c r="CA200" s="14">
        <v>2066.7024000000001</v>
      </c>
      <c r="CB200" s="14">
        <v>2132.6843999999996</v>
      </c>
      <c r="CC200" s="14">
        <v>1520.6855999999998</v>
      </c>
      <c r="CD200" s="14">
        <v>1506.3468</v>
      </c>
      <c r="CE200" s="14">
        <v>1549.3548000000001</v>
      </c>
      <c r="CF200" s="14">
        <v>1477.6692</v>
      </c>
      <c r="CG200" s="14">
        <v>441.084</v>
      </c>
      <c r="CH200" s="14">
        <v>462.5292</v>
      </c>
      <c r="CI200" s="14">
        <v>1492.008</v>
      </c>
      <c r="CJ200" s="14">
        <v>1723.2936</v>
      </c>
      <c r="CK200" s="14">
        <v>1477.6692</v>
      </c>
      <c r="CL200" s="14">
        <v>480.29519999999997</v>
      </c>
      <c r="CM200" s="14">
        <v>471.58439999999996</v>
      </c>
      <c r="CN200" s="14">
        <v>454.15439999999995</v>
      </c>
      <c r="CO200" s="14">
        <v>449.79480000000001</v>
      </c>
      <c r="CP200" s="14">
        <v>1723.2936</v>
      </c>
      <c r="CQ200" s="14">
        <v>462.5292</v>
      </c>
      <c r="CR200" s="14">
        <v>462.5292</v>
      </c>
      <c r="CS200" s="14">
        <v>462.5292</v>
      </c>
      <c r="CT200" s="13">
        <v>408.36599999999999</v>
      </c>
      <c r="CU200" s="13">
        <v>397.15199999999999</v>
      </c>
      <c r="CV200" s="13">
        <v>408.36599999999999</v>
      </c>
      <c r="CW200" s="13">
        <v>408.68519999999995</v>
      </c>
      <c r="CX200" s="13">
        <v>208.64759999999998</v>
      </c>
      <c r="CY200" s="13">
        <v>208.64759999999998</v>
      </c>
      <c r="CZ200" s="12">
        <v>0</v>
      </c>
      <c r="DA200" s="14">
        <v>573.20759999999996</v>
      </c>
      <c r="DB200" s="14">
        <v>584.32079999999996</v>
      </c>
      <c r="DC200" s="14">
        <v>667.95119999999997</v>
      </c>
      <c r="DD200" s="13">
        <v>413.19599999999997</v>
      </c>
      <c r="DE200" s="13">
        <v>413.19599999999997</v>
      </c>
      <c r="DF200" s="13">
        <v>413.19599999999997</v>
      </c>
      <c r="DG200" s="13">
        <v>208.64759999999998</v>
      </c>
      <c r="DH200" s="13">
        <v>1723.2936</v>
      </c>
      <c r="DI200" s="13">
        <v>1723.2936</v>
      </c>
      <c r="DJ200" s="13">
        <v>212.60399999999998</v>
      </c>
      <c r="DK200" s="14">
        <v>0</v>
      </c>
      <c r="DL200" s="14">
        <v>2614.2563999999998</v>
      </c>
      <c r="DM200" s="13">
        <v>770.02800000000002</v>
      </c>
      <c r="DN200" s="14">
        <v>1691.1048000000001</v>
      </c>
      <c r="DO200" s="13">
        <v>200.5164</v>
      </c>
      <c r="DP200" s="13">
        <v>212.60399999999998</v>
      </c>
      <c r="DQ200" s="13">
        <v>210.6216</v>
      </c>
      <c r="DR200" s="14">
        <v>839.58839999999998</v>
      </c>
      <c r="DS200" s="14">
        <v>453.9864</v>
      </c>
      <c r="DT200" s="14">
        <v>1701.6215999999999</v>
      </c>
      <c r="DU200" s="14">
        <v>2378.2079999999996</v>
      </c>
      <c r="DV200" s="15">
        <v>2378.2079999999996</v>
      </c>
      <c r="DY200" s="35" t="s">
        <v>39</v>
      </c>
      <c r="DZ200" s="16">
        <v>6.2500000000000003E-3</v>
      </c>
      <c r="EA200" s="14">
        <v>6.2500000000000003E-3</v>
      </c>
      <c r="EB200" s="14">
        <v>6.2500000000000003E-3</v>
      </c>
      <c r="EC200" s="14">
        <v>6.2500000000000003E-3</v>
      </c>
      <c r="ED200" s="14">
        <v>6.2500000000000003E-3</v>
      </c>
      <c r="EE200" s="14">
        <v>6.2500000000000003E-3</v>
      </c>
      <c r="EF200" s="14">
        <v>6.2500000000000003E-3</v>
      </c>
      <c r="EG200" s="14">
        <v>6.2500000000000003E-3</v>
      </c>
      <c r="EH200" s="14">
        <v>6.2500000000000003E-3</v>
      </c>
      <c r="EI200" s="14">
        <v>6.2500000000000003E-3</v>
      </c>
      <c r="EJ200" s="14">
        <v>6.2500000000000003E-3</v>
      </c>
      <c r="EK200" s="14">
        <v>6.2500000000000003E-3</v>
      </c>
      <c r="EL200" s="14">
        <v>6.2500000000000003E-3</v>
      </c>
      <c r="EM200" s="14">
        <v>4.6511627906976744E-3</v>
      </c>
      <c r="EN200" s="14">
        <v>4.6511627906976744E-3</v>
      </c>
      <c r="EO200" s="14">
        <v>7.1428571428571435E-3</v>
      </c>
      <c r="EP200" s="14">
        <v>7.1428571428571435E-3</v>
      </c>
      <c r="EQ200" s="14">
        <v>7.1428571428571435E-3</v>
      </c>
      <c r="ER200" s="14">
        <v>7.1428571428571435E-3</v>
      </c>
      <c r="ES200" s="14">
        <v>7.1428571428571435E-3</v>
      </c>
      <c r="ET200" s="14">
        <v>7.1428571428571435E-3</v>
      </c>
      <c r="EU200" s="14">
        <v>7.1428571428571435E-3</v>
      </c>
      <c r="EV200" s="14">
        <v>7.1428571428571435E-3</v>
      </c>
      <c r="EW200" s="14">
        <v>7.1428571428571435E-3</v>
      </c>
      <c r="EX200" s="14">
        <v>7.1428571428571435E-3</v>
      </c>
      <c r="EY200" s="14">
        <v>7.1428571428571435E-3</v>
      </c>
      <c r="EZ200" s="14">
        <v>7.1428571428571435E-3</v>
      </c>
      <c r="FA200" s="14">
        <v>7.1428571428571435E-3</v>
      </c>
      <c r="FB200" s="14">
        <v>7.1428571428571435E-3</v>
      </c>
      <c r="FC200" s="14">
        <v>7.1428571428571435E-3</v>
      </c>
      <c r="FD200" s="14">
        <v>7.1428571428571435E-3</v>
      </c>
      <c r="FE200" s="14">
        <v>7.1428571428571435E-3</v>
      </c>
      <c r="FF200" s="13">
        <f t="shared" si="79"/>
        <v>2.2222222222222223E-2</v>
      </c>
      <c r="FG200" s="13">
        <f t="shared" si="79"/>
        <v>2.2222222222222223E-2</v>
      </c>
      <c r="FH200" s="13">
        <f t="shared" si="79"/>
        <v>2.2222222222222223E-2</v>
      </c>
      <c r="FI200" s="13">
        <f t="shared" si="79"/>
        <v>2.2222222222222223E-2</v>
      </c>
      <c r="FJ200" s="13">
        <f t="shared" si="79"/>
        <v>2.2222222222222223E-2</v>
      </c>
      <c r="FK200" s="13">
        <f>0.2/9</f>
        <v>2.2222222222222223E-2</v>
      </c>
      <c r="FL200" s="12">
        <v>0.6</v>
      </c>
      <c r="FM200" s="14">
        <v>4.7619047619047623E-3</v>
      </c>
      <c r="FN200" s="14">
        <v>4.7619047619047623E-3</v>
      </c>
      <c r="FO200" s="14">
        <v>4.7619047619047623E-3</v>
      </c>
      <c r="FP200" s="13">
        <f t="shared" si="75"/>
        <v>2.2222222222222223E-2</v>
      </c>
      <c r="FQ200" s="13">
        <f t="shared" si="74"/>
        <v>2.2222222222222223E-2</v>
      </c>
      <c r="FR200" s="13">
        <f t="shared" si="74"/>
        <v>2.2222222222222223E-2</v>
      </c>
      <c r="FS200" s="13">
        <f t="shared" si="74"/>
        <v>2.2222222222222223E-2</v>
      </c>
      <c r="FT200" s="13">
        <f t="shared" si="76"/>
        <v>0.02</v>
      </c>
      <c r="FU200" s="13">
        <f t="shared" si="77"/>
        <v>2.2222222222222223E-2</v>
      </c>
      <c r="FV200" s="13">
        <f t="shared" si="77"/>
        <v>2.2222222222222223E-2</v>
      </c>
      <c r="FW200" s="14">
        <v>4.5454545454545461E-3</v>
      </c>
      <c r="FX200" s="14">
        <v>4.5454545454545461E-3</v>
      </c>
      <c r="FY200" s="13">
        <f t="shared" si="78"/>
        <v>2.2222222222222223E-2</v>
      </c>
      <c r="FZ200" s="14">
        <v>7.1428571428571435E-3</v>
      </c>
      <c r="GA200" s="13">
        <f t="shared" si="80"/>
        <v>2.2222222222222223E-2</v>
      </c>
      <c r="GB200" s="13">
        <f t="shared" si="80"/>
        <v>2.2222222222222223E-2</v>
      </c>
      <c r="GC200" s="13">
        <f t="shared" si="80"/>
        <v>2.2222222222222223E-2</v>
      </c>
      <c r="GD200" s="14">
        <v>7.1428571428571435E-3</v>
      </c>
      <c r="GE200" s="14">
        <v>7.1428571428571435E-3</v>
      </c>
      <c r="GF200" s="14">
        <v>4.6511627906976744E-3</v>
      </c>
      <c r="GG200" s="14">
        <v>4.6511627906976744E-3</v>
      </c>
      <c r="GH200" s="15">
        <v>4.6511627906976744E-3</v>
      </c>
    </row>
    <row r="201" spans="1:190" x14ac:dyDescent="0.3">
      <c r="A201" s="35" t="s">
        <v>40</v>
      </c>
      <c r="B201" s="16">
        <f>IF(AND(Distances!BO144=0,Distances!EA144=0),BN201*DZ201*B161*2,"")</f>
        <v>5747.3585399999993</v>
      </c>
      <c r="C201" s="14">
        <f>IF(AND(Distances!BP144=0,Distances!EB144=0),BO201*EA201*C161*2,"")</f>
        <v>6477.5764200000003</v>
      </c>
      <c r="D201" s="14" t="s">
        <v>62</v>
      </c>
      <c r="E201" s="14">
        <f>IF(AND(Distances!BR144=0,Distances!ED144=0),BQ201*EC201*E161*2,"")</f>
        <v>6035.2842899999996</v>
      </c>
      <c r="F201" s="14" t="s">
        <v>62</v>
      </c>
      <c r="G201" s="14" t="s">
        <v>62</v>
      </c>
      <c r="H201" s="14">
        <f>IF(AND(Distances!BU144=0,Distances!EG144=0),BT201*EF201*H161*2,"")</f>
        <v>2807.4616500000002</v>
      </c>
      <c r="I201" s="14">
        <f>IF(AND(Distances!BV144=0,Distances!EH144=0),BU201*EG201*I161*2,"")</f>
        <v>2531.4135000000001</v>
      </c>
      <c r="J201" s="14" t="s">
        <v>62</v>
      </c>
      <c r="K201" s="14">
        <f>IF(AND(Distances!BX144=0,Distances!EJ144=0),BW201*EI201*K161*2,"")</f>
        <v>124.24187999999999</v>
      </c>
      <c r="L201" s="14" t="s">
        <v>62</v>
      </c>
      <c r="M201" s="14">
        <f>IF(AND(Distances!BZ144=0,Distances!EL144=0),BY201*EK201*M161*2,"")</f>
        <v>56.13803999999999</v>
      </c>
      <c r="N201" s="14" t="s">
        <v>62</v>
      </c>
      <c r="O201" s="14" t="s">
        <v>62</v>
      </c>
      <c r="P201" s="14" t="s">
        <v>62</v>
      </c>
      <c r="Q201" s="14">
        <f>IF(AND(Distances!CD144=0,Distances!EP144=0),CC201*EO201*Q161*2,"")</f>
        <v>913.05600000000004</v>
      </c>
      <c r="R201" s="14">
        <f>IF(AND(Distances!CE144=0,Distances!EQ144=0),CD201*EP201*R161*2,"")</f>
        <v>904.452</v>
      </c>
      <c r="S201" s="14">
        <f>IF(AND(Distances!CF144=0,Distances!ER144=0),CE201*EQ201*S161*2,"")</f>
        <v>930.27</v>
      </c>
      <c r="T201" s="14" t="s">
        <v>62</v>
      </c>
      <c r="U201" s="14" t="s">
        <v>62</v>
      </c>
      <c r="V201" s="14" t="s">
        <v>62</v>
      </c>
      <c r="W201" s="14">
        <f>IF(AND(Distances!CJ144=0,Distances!EV144=0),CI201*EU201*W161*2,"")</f>
        <v>1039.1767199999999</v>
      </c>
      <c r="X201" s="14" t="s">
        <v>62</v>
      </c>
      <c r="Y201" s="14" t="s">
        <v>62</v>
      </c>
      <c r="Z201" s="14" t="s">
        <v>62</v>
      </c>
      <c r="AA201" s="14" t="s">
        <v>62</v>
      </c>
      <c r="AB201" s="14" t="s">
        <v>62</v>
      </c>
      <c r="AC201" s="14">
        <f>IF(AND(Distances!CP144=0,Distances!FB144=0),CO201*FA201*AC161*2,"")</f>
        <v>28.595760000000002</v>
      </c>
      <c r="AD201" s="14">
        <f>IF(AND(Distances!CQ144=0,Distances!FC144=0),CP201*FB201*AD161*2,"")</f>
        <v>42.118320000000004</v>
      </c>
      <c r="AE201" s="14" t="s">
        <v>62</v>
      </c>
      <c r="AF201" s="14" t="s">
        <v>62</v>
      </c>
      <c r="AG201" s="14" t="s">
        <v>62</v>
      </c>
      <c r="AH201" s="14" t="s">
        <v>62</v>
      </c>
      <c r="AI201" s="14">
        <f>IF(AND(Distances!CV144=0,Distances!FH144=0),CU201*FG201*AI161*2,"")</f>
        <v>5.3911680000000004</v>
      </c>
      <c r="AJ201" s="14" t="s">
        <v>62</v>
      </c>
      <c r="AK201" s="14">
        <f>IF(AND(Distances!CX144=0,Distances!FJ144=0),CW201*FI201*AK161*2,"")</f>
        <v>5.5478399999999999</v>
      </c>
      <c r="AL201" s="14">
        <f>IF(AND(Distances!CY144=0,Distances!FK144=0),CX201*FJ201*AL161*2,"")</f>
        <v>353.75097599999998</v>
      </c>
      <c r="AM201" s="14">
        <f>IF(AND(Distances!CZ144=0,Distances!FL144=0),CY201*FK201*AM161*2,"")</f>
        <v>353.75097599999998</v>
      </c>
      <c r="AN201" s="14" t="s">
        <v>62</v>
      </c>
      <c r="AO201" s="12">
        <f>IF(AND(Distances!DB144=0,Distances!FN144=0),DA201*FM201*AO161*2,"")</f>
        <v>0</v>
      </c>
      <c r="AP201" s="19">
        <f>IF(AND(Distances!DC144=0,Distances!FO144=0),DB201*FN201*AP161*2,"")</f>
        <v>133.66079999999999</v>
      </c>
      <c r="AQ201" s="19">
        <f>IF(AND(Distances!DD144=0,Distances!FP144=0),DC201*FO201*AQ161*2,"")</f>
        <v>137.46768</v>
      </c>
      <c r="AR201" s="14">
        <f>IF(AND(Distances!DE144=0,Distances!FQ144=0),DD201*FP201*AR161*2,"")</f>
        <v>21.554880000000001</v>
      </c>
      <c r="AS201" s="14" t="s">
        <v>62</v>
      </c>
      <c r="AT201" s="14" t="s">
        <v>62</v>
      </c>
      <c r="AU201" s="14" t="s">
        <v>62</v>
      </c>
      <c r="AV201" s="14" t="s">
        <v>62</v>
      </c>
      <c r="AW201" s="14" t="s">
        <v>62</v>
      </c>
      <c r="AX201" s="14">
        <f>IF(AND(Distances!DK144=0,Distances!FW144=0),DJ201*FV201*AX161*2,"")</f>
        <v>33.377759999999995</v>
      </c>
      <c r="AY201" s="14">
        <f>IF(AND(Distances!DL144=0,Distances!FX144=0),DK201*FW201*AY161*2,"")</f>
        <v>0</v>
      </c>
      <c r="AZ201" s="14" t="s">
        <v>62</v>
      </c>
      <c r="BA201" s="14">
        <f>IF(AND(Distances!DN144=0,Distances!FZ144=0),DM201*FY201*BA161*2,"")</f>
        <v>36.620159999999998</v>
      </c>
      <c r="BB201" s="14">
        <f>IF(AND(Distances!DO144=0,Distances!GA144=0),DN201*FZ201*BB161*2,"")</f>
        <v>82.663200000000003</v>
      </c>
      <c r="BC201" s="14">
        <f>IF(AND(Distances!DP144=0,Distances!GB144=0),DO201*GA201*BC161*2,"")</f>
        <v>199.66771199999999</v>
      </c>
      <c r="BD201" s="14" t="s">
        <v>62</v>
      </c>
      <c r="BE201" s="14">
        <f>IF(AND(Distances!DR144=0,Distances!GD144=0),DQ201*GC201*BE161*2,"")</f>
        <v>211.62393599999999</v>
      </c>
      <c r="BF201" s="14" t="s">
        <v>62</v>
      </c>
      <c r="BG201" s="14" t="s">
        <v>62</v>
      </c>
      <c r="BH201" s="14" t="s">
        <v>62</v>
      </c>
      <c r="BI201" s="14" t="s">
        <v>62</v>
      </c>
      <c r="BJ201" s="15" t="s">
        <v>62</v>
      </c>
      <c r="BM201" s="35" t="s">
        <v>40</v>
      </c>
      <c r="BN201" s="16">
        <v>2276.1815999999999</v>
      </c>
      <c r="BO201" s="14">
        <v>2565.3768</v>
      </c>
      <c r="BP201" s="14">
        <v>2390.2115999999996</v>
      </c>
      <c r="BQ201" s="14">
        <v>2390.2115999999996</v>
      </c>
      <c r="BR201" s="14">
        <v>2532.1464000000001</v>
      </c>
      <c r="BS201" s="14">
        <v>1002.54</v>
      </c>
      <c r="BT201" s="14">
        <v>1111.866</v>
      </c>
      <c r="BU201" s="14">
        <v>1002.54</v>
      </c>
      <c r="BV201" s="14">
        <v>2484.8375999999998</v>
      </c>
      <c r="BW201" s="14">
        <v>2484.8375999999998</v>
      </c>
      <c r="BX201" s="14">
        <v>1122.7607999999998</v>
      </c>
      <c r="BY201" s="14">
        <v>1122.7607999999998</v>
      </c>
      <c r="BZ201" s="14">
        <v>2717.7192</v>
      </c>
      <c r="CA201" s="14">
        <v>1639.6043999999999</v>
      </c>
      <c r="CB201" s="14">
        <v>2423.5679999999998</v>
      </c>
      <c r="CC201" s="14">
        <v>1278.2783999999999</v>
      </c>
      <c r="CD201" s="14">
        <v>1266.2328</v>
      </c>
      <c r="CE201" s="14">
        <v>1302.3779999999999</v>
      </c>
      <c r="CF201" s="14">
        <v>1242.1332</v>
      </c>
      <c r="CG201" s="14">
        <v>981.43079999999986</v>
      </c>
      <c r="CH201" s="14">
        <v>965.94119999999998</v>
      </c>
      <c r="CI201" s="14">
        <v>1254.1787999999999</v>
      </c>
      <c r="CJ201" s="14">
        <v>1474.1412</v>
      </c>
      <c r="CK201" s="14">
        <v>1242.1332</v>
      </c>
      <c r="CL201" s="14">
        <v>1068.7992000000002</v>
      </c>
      <c r="CM201" s="14">
        <v>1049.3868</v>
      </c>
      <c r="CN201" s="14">
        <v>1010.5536</v>
      </c>
      <c r="CO201" s="14">
        <v>1000.8516</v>
      </c>
      <c r="CP201" s="14">
        <v>1474.1412</v>
      </c>
      <c r="CQ201" s="14">
        <v>965.94119999999998</v>
      </c>
      <c r="CR201" s="14">
        <v>965.94119999999998</v>
      </c>
      <c r="CS201" s="14">
        <v>965.94119999999998</v>
      </c>
      <c r="CT201" s="14">
        <v>484.428</v>
      </c>
      <c r="CU201" s="14">
        <v>471.72720000000004</v>
      </c>
      <c r="CV201" s="14">
        <v>484.428</v>
      </c>
      <c r="CW201" s="14">
        <v>485.43599999999998</v>
      </c>
      <c r="CX201" s="14">
        <v>573.20759999999996</v>
      </c>
      <c r="CY201" s="14">
        <v>573.20759999999996</v>
      </c>
      <c r="CZ201" s="14">
        <v>573.20759999999996</v>
      </c>
      <c r="DA201" s="12">
        <v>0</v>
      </c>
      <c r="DB201" s="19">
        <v>334.15199999999999</v>
      </c>
      <c r="DC201" s="19">
        <v>343.66919999999999</v>
      </c>
      <c r="DD201" s="14">
        <v>943.02600000000007</v>
      </c>
      <c r="DE201" s="14">
        <v>943.02600000000007</v>
      </c>
      <c r="DF201" s="14">
        <v>943.02600000000007</v>
      </c>
      <c r="DG201" s="14">
        <v>573.20759999999996</v>
      </c>
      <c r="DH201" s="14">
        <v>1474.1412</v>
      </c>
      <c r="DI201" s="14">
        <v>1474.1412</v>
      </c>
      <c r="DJ201" s="14">
        <v>584.11079999999993</v>
      </c>
      <c r="DK201" s="14">
        <v>0</v>
      </c>
      <c r="DL201" s="14">
        <v>2660.1455999999998</v>
      </c>
      <c r="DM201" s="14">
        <v>801.06599999999992</v>
      </c>
      <c r="DN201" s="14">
        <v>1446.606</v>
      </c>
      <c r="DO201" s="14">
        <v>545.96640000000002</v>
      </c>
      <c r="DP201" s="14">
        <v>584.11079999999993</v>
      </c>
      <c r="DQ201" s="14">
        <v>578.65919999999994</v>
      </c>
      <c r="DR201" s="14">
        <v>1392.7284</v>
      </c>
      <c r="DS201" s="14">
        <v>948.07440000000008</v>
      </c>
      <c r="DT201" s="14">
        <v>2358.8208</v>
      </c>
      <c r="DU201" s="14">
        <v>2249.5452</v>
      </c>
      <c r="DV201" s="15">
        <v>2249.5452</v>
      </c>
      <c r="DY201" s="35" t="s">
        <v>40</v>
      </c>
      <c r="DZ201" s="16">
        <v>6.2500000000000003E-3</v>
      </c>
      <c r="EA201" s="14">
        <v>6.2500000000000003E-3</v>
      </c>
      <c r="EB201" s="14">
        <v>6.2500000000000003E-3</v>
      </c>
      <c r="EC201" s="14">
        <v>6.2500000000000003E-3</v>
      </c>
      <c r="ED201" s="14">
        <v>6.2500000000000003E-3</v>
      </c>
      <c r="EE201" s="14">
        <v>6.2500000000000003E-3</v>
      </c>
      <c r="EF201" s="14">
        <v>6.2500000000000003E-3</v>
      </c>
      <c r="EG201" s="14">
        <v>6.2500000000000003E-3</v>
      </c>
      <c r="EH201" s="14">
        <v>6.2500000000000003E-3</v>
      </c>
      <c r="EI201" s="14">
        <v>6.2500000000000003E-3</v>
      </c>
      <c r="EJ201" s="14">
        <v>6.2500000000000003E-3</v>
      </c>
      <c r="EK201" s="14">
        <v>6.2500000000000003E-3</v>
      </c>
      <c r="EL201" s="14">
        <v>6.2500000000000003E-3</v>
      </c>
      <c r="EM201" s="14">
        <v>4.6511627906976744E-3</v>
      </c>
      <c r="EN201" s="14">
        <v>4.6511627906976744E-3</v>
      </c>
      <c r="EO201" s="14">
        <v>7.1428571428571435E-3</v>
      </c>
      <c r="EP201" s="14">
        <v>7.1428571428571435E-3</v>
      </c>
      <c r="EQ201" s="14">
        <v>7.1428571428571435E-3</v>
      </c>
      <c r="ER201" s="14">
        <v>7.1428571428571435E-3</v>
      </c>
      <c r="ES201" s="14">
        <v>7.1428571428571435E-3</v>
      </c>
      <c r="ET201" s="14">
        <v>7.1428571428571435E-3</v>
      </c>
      <c r="EU201" s="14">
        <v>7.1428571428571435E-3</v>
      </c>
      <c r="EV201" s="14">
        <v>7.1428571428571435E-3</v>
      </c>
      <c r="EW201" s="14">
        <v>7.1428571428571435E-3</v>
      </c>
      <c r="EX201" s="14">
        <v>7.1428571428571435E-3</v>
      </c>
      <c r="EY201" s="14">
        <v>7.1428571428571435E-3</v>
      </c>
      <c r="EZ201" s="14">
        <v>7.1428571428571435E-3</v>
      </c>
      <c r="FA201" s="14">
        <v>7.1428571428571435E-3</v>
      </c>
      <c r="FB201" s="14">
        <v>7.1428571428571435E-3</v>
      </c>
      <c r="FC201" s="14">
        <v>7.1428571428571435E-3</v>
      </c>
      <c r="FD201" s="14">
        <v>7.1428571428571435E-3</v>
      </c>
      <c r="FE201" s="14">
        <v>7.1428571428571435E-3</v>
      </c>
      <c r="FF201" s="14">
        <v>5.7142857142857143E-3</v>
      </c>
      <c r="FG201" s="14">
        <v>5.7142857142857143E-3</v>
      </c>
      <c r="FH201" s="14">
        <v>5.7142857142857143E-3</v>
      </c>
      <c r="FI201" s="14">
        <v>5.7142857142857143E-3</v>
      </c>
      <c r="FJ201" s="14">
        <v>5.7142857142857143E-3</v>
      </c>
      <c r="FK201" s="14">
        <v>5.7142857142857143E-3</v>
      </c>
      <c r="FL201" s="14">
        <v>5.7142857142857143E-3</v>
      </c>
      <c r="FM201" s="12">
        <v>0.6</v>
      </c>
      <c r="FN201" s="13">
        <f>0.2/2</f>
        <v>0.1</v>
      </c>
      <c r="FO201" s="13">
        <f>0.2/2</f>
        <v>0.1</v>
      </c>
      <c r="FP201" s="14">
        <v>5.7142857142857143E-3</v>
      </c>
      <c r="FQ201" s="14">
        <v>5.7142857142857143E-3</v>
      </c>
      <c r="FR201" s="14">
        <v>5.7142857142857143E-3</v>
      </c>
      <c r="FS201" s="14">
        <v>5.7142857142857143E-3</v>
      </c>
      <c r="FT201" s="14">
        <v>5.8823529411764705E-3</v>
      </c>
      <c r="FU201" s="14">
        <v>5.7142857142857143E-3</v>
      </c>
      <c r="FV201" s="14">
        <v>5.7142857142857143E-3</v>
      </c>
      <c r="FW201" s="14">
        <v>4.5454545454545461E-3</v>
      </c>
      <c r="FX201" s="14">
        <v>4.5454545454545461E-3</v>
      </c>
      <c r="FY201" s="14">
        <v>5.7142857142857143E-3</v>
      </c>
      <c r="FZ201" s="14">
        <v>7.1428571428571435E-3</v>
      </c>
      <c r="GA201" s="14">
        <v>5.7142857142857143E-3</v>
      </c>
      <c r="GB201" s="14">
        <v>5.7142857142857143E-3</v>
      </c>
      <c r="GC201" s="14">
        <v>5.7142857142857143E-3</v>
      </c>
      <c r="GD201" s="14">
        <v>7.1428571428571435E-3</v>
      </c>
      <c r="GE201" s="14">
        <v>7.1428571428571435E-3</v>
      </c>
      <c r="GF201" s="14">
        <v>4.6511627906976744E-3</v>
      </c>
      <c r="GG201" s="14">
        <v>4.6511627906976744E-3</v>
      </c>
      <c r="GH201" s="15">
        <v>4.6511627906976744E-3</v>
      </c>
    </row>
    <row r="202" spans="1:190" x14ac:dyDescent="0.3">
      <c r="A202" s="35" t="s">
        <v>41</v>
      </c>
      <c r="B202" s="16">
        <f>IF(AND(Distances!BO145=0,Distances!EA145=0),BN202*DZ202*B161*2,"")</f>
        <v>5858.90193</v>
      </c>
      <c r="C202" s="14">
        <f>IF(AND(Distances!BP145=0,Distances!EB145=0),BO202*EA202*C161*2,"")</f>
        <v>6603.3092999999999</v>
      </c>
      <c r="D202" s="14" t="s">
        <v>62</v>
      </c>
      <c r="E202" s="14">
        <f>IF(AND(Distances!BR145=0,Distances!ED145=0),BQ202*EC202*E161*2,"")</f>
        <v>6152.4271199999994</v>
      </c>
      <c r="F202" s="14" t="s">
        <v>62</v>
      </c>
      <c r="G202" s="14" t="s">
        <v>62</v>
      </c>
      <c r="H202" s="14">
        <f>IF(AND(Distances!BU145=0,Distances!EG145=0),BT202*EF202*H161*2,"")</f>
        <v>2861.9289299999996</v>
      </c>
      <c r="I202" s="14">
        <f>IF(AND(Distances!BV145=0,Distances!EH145=0),BU202*EG202*I161*2,"")</f>
        <v>2580.5146500000001</v>
      </c>
      <c r="J202" s="14" t="s">
        <v>62</v>
      </c>
      <c r="K202" s="14">
        <f>IF(AND(Distances!BX145=0,Distances!EJ145=0),BW202*EI202*K161*2,"")</f>
        <v>126.65352000000001</v>
      </c>
      <c r="L202" s="14" t="s">
        <v>62</v>
      </c>
      <c r="M202" s="14">
        <f>IF(AND(Distances!BZ145=0,Distances!EL145=0),BY202*EK202*M161*2,"")</f>
        <v>57.2271</v>
      </c>
      <c r="N202" s="14" t="s">
        <v>62</v>
      </c>
      <c r="O202" s="14" t="s">
        <v>62</v>
      </c>
      <c r="P202" s="14" t="s">
        <v>62</v>
      </c>
      <c r="Q202" s="14">
        <f>IF(AND(Distances!CD145=0,Distances!EP145=0),CC202*EO202*Q161*2,"")</f>
        <v>930.77400000000011</v>
      </c>
      <c r="R202" s="14">
        <f>IF(AND(Distances!CE145=0,Distances!EQ145=0),CD202*EP202*R161*2,"")</f>
        <v>921.99600000000009</v>
      </c>
      <c r="S202" s="14">
        <f>IF(AND(Distances!CF145=0,Distances!ER145=0),CE202*EQ202*S161*2,"")</f>
        <v>948.3180000000001</v>
      </c>
      <c r="T202" s="14" t="s">
        <v>62</v>
      </c>
      <c r="U202" s="14" t="s">
        <v>62</v>
      </c>
      <c r="V202" s="14" t="s">
        <v>62</v>
      </c>
      <c r="W202" s="14">
        <f>IF(AND(Distances!CJ145=0,Distances!EV145=0),CI202*EU202*W161*2,"")</f>
        <v>1059.3398400000001</v>
      </c>
      <c r="X202" s="14" t="s">
        <v>62</v>
      </c>
      <c r="Y202" s="14" t="s">
        <v>62</v>
      </c>
      <c r="Z202" s="14" t="s">
        <v>62</v>
      </c>
      <c r="AA202" s="14" t="s">
        <v>62</v>
      </c>
      <c r="AB202" s="14" t="s">
        <v>62</v>
      </c>
      <c r="AC202" s="14">
        <f>IF(AND(Distances!CP145=0,Distances!FB145=0),CO202*FA202*AC161*2,"")</f>
        <v>29.150400000000001</v>
      </c>
      <c r="AD202" s="14">
        <f>IF(AND(Distances!CQ145=0,Distances!FC145=0),CP202*FB202*AD161*2,"")</f>
        <v>42.935520000000004</v>
      </c>
      <c r="AE202" s="14" t="s">
        <v>62</v>
      </c>
      <c r="AF202" s="14" t="s">
        <v>62</v>
      </c>
      <c r="AG202" s="14" t="s">
        <v>62</v>
      </c>
      <c r="AH202" s="14" t="s">
        <v>62</v>
      </c>
      <c r="AI202" s="14">
        <f>IF(AND(Distances!CV145=0,Distances!FH145=0),CU202*FG202*AI161*2,"")</f>
        <v>5.4956160000000001</v>
      </c>
      <c r="AJ202" s="14" t="s">
        <v>62</v>
      </c>
      <c r="AK202" s="14">
        <f>IF(AND(Distances!CX145=0,Distances!FJ145=0),CW202*FI202*AK161*2,"")</f>
        <v>5.6553599999999999</v>
      </c>
      <c r="AL202" s="14">
        <f>IF(AND(Distances!CY145=0,Distances!FK145=0),CX202*FJ202*AL161*2,"")</f>
        <v>360.60940799999997</v>
      </c>
      <c r="AM202" s="14">
        <f>IF(AND(Distances!CZ145=0,Distances!FL145=0),CY202*FK202*AM161*2,"")</f>
        <v>360.60940799999997</v>
      </c>
      <c r="AN202" s="14" t="s">
        <v>62</v>
      </c>
      <c r="AO202" s="13">
        <f>IF(AND(Distances!DB145=0,Distances!FN145=0),DA202*FM202*AO161*2,"")</f>
        <v>133.66079999999999</v>
      </c>
      <c r="AP202" s="12">
        <f>IF(AND(Distances!DC145=0,Distances!FO145=0),DB202*FN202*AP161*2,"")</f>
        <v>0</v>
      </c>
      <c r="AQ202" s="13">
        <f>IF(AND(Distances!DD145=0,Distances!FP145=0),DC202*FO202*AQ161*2,"")</f>
        <v>140.12880000000001</v>
      </c>
      <c r="AR202" s="14">
        <f>IF(AND(Distances!DE145=0,Distances!FQ145=0),DD202*FP202*AR161*2,"")</f>
        <v>21.972864000000001</v>
      </c>
      <c r="AS202" s="14" t="s">
        <v>62</v>
      </c>
      <c r="AT202" s="14" t="s">
        <v>62</v>
      </c>
      <c r="AU202" s="14" t="s">
        <v>62</v>
      </c>
      <c r="AV202" s="14" t="s">
        <v>62</v>
      </c>
      <c r="AW202" s="14" t="s">
        <v>62</v>
      </c>
      <c r="AX202" s="14">
        <f>IF(AND(Distances!DK145=0,Distances!FW145=0),DJ202*FV202*AX161*2,"")</f>
        <v>34.024799999999999</v>
      </c>
      <c r="AY202" s="14">
        <f>IF(AND(Distances!DL145=0,Distances!FX145=0),DK202*FW202*AY161*2,"")</f>
        <v>0</v>
      </c>
      <c r="AZ202" s="14" t="s">
        <v>62</v>
      </c>
      <c r="BA202" s="14">
        <f>IF(AND(Distances!DN145=0,Distances!FZ145=0),DM202*FY202*BA161*2,"")</f>
        <v>37.330559999999998</v>
      </c>
      <c r="BB202" s="14">
        <f>IF(AND(Distances!DO145=0,Distances!GA145=0),DN202*FZ202*BB161*2,"")</f>
        <v>84.26688</v>
      </c>
      <c r="BC202" s="14">
        <f>IF(AND(Distances!DP145=0,Distances!GB145=0),DO202*GA202*BC161*2,"")</f>
        <v>203.53535999999997</v>
      </c>
      <c r="BD202" s="14" t="s">
        <v>62</v>
      </c>
      <c r="BE202" s="14">
        <f>IF(AND(Distances!DR145=0,Distances!GD145=0),DQ202*GC202*BE161*2,"")</f>
        <v>215.725056</v>
      </c>
      <c r="BF202" s="14" t="s">
        <v>62</v>
      </c>
      <c r="BG202" s="14" t="s">
        <v>62</v>
      </c>
      <c r="BH202" s="14" t="s">
        <v>62</v>
      </c>
      <c r="BI202" s="14" t="s">
        <v>62</v>
      </c>
      <c r="BJ202" s="15" t="s">
        <v>62</v>
      </c>
      <c r="BM202" s="35" t="s">
        <v>41</v>
      </c>
      <c r="BN202" s="16">
        <v>2320.3571999999999</v>
      </c>
      <c r="BO202" s="14">
        <v>2615.172</v>
      </c>
      <c r="BP202" s="14">
        <v>2436.6047999999996</v>
      </c>
      <c r="BQ202" s="14">
        <v>2436.6047999999996</v>
      </c>
      <c r="BR202" s="14">
        <v>2581.2947999999997</v>
      </c>
      <c r="BS202" s="14">
        <v>1021.986</v>
      </c>
      <c r="BT202" s="14">
        <v>1133.4371999999998</v>
      </c>
      <c r="BU202" s="14">
        <v>1021.986</v>
      </c>
      <c r="BV202" s="14">
        <v>2533.0704000000001</v>
      </c>
      <c r="BW202" s="14">
        <v>2533.0704000000001</v>
      </c>
      <c r="BX202" s="14">
        <v>1144.5419999999999</v>
      </c>
      <c r="BY202" s="14">
        <v>1144.5419999999999</v>
      </c>
      <c r="BZ202" s="14">
        <v>2770.4712</v>
      </c>
      <c r="CA202" s="14">
        <v>1671.4235999999999</v>
      </c>
      <c r="CB202" s="14">
        <v>2470.6079999999997</v>
      </c>
      <c r="CC202" s="14">
        <v>1303.0835999999999</v>
      </c>
      <c r="CD202" s="14">
        <v>1290.7944</v>
      </c>
      <c r="CE202" s="14">
        <v>1327.6451999999999</v>
      </c>
      <c r="CF202" s="14">
        <v>1266.2328</v>
      </c>
      <c r="CG202" s="14">
        <v>1000.4735999999999</v>
      </c>
      <c r="CH202" s="14">
        <v>984.6816</v>
      </c>
      <c r="CI202" s="14">
        <v>1278.5136</v>
      </c>
      <c r="CJ202" s="14">
        <v>1502.7431999999999</v>
      </c>
      <c r="CK202" s="14">
        <v>1266.2328</v>
      </c>
      <c r="CL202" s="14">
        <v>1089.5303999999999</v>
      </c>
      <c r="CM202" s="14">
        <v>1069.74</v>
      </c>
      <c r="CN202" s="14">
        <v>1030.1592000000001</v>
      </c>
      <c r="CO202" s="14">
        <v>1020.2639999999999</v>
      </c>
      <c r="CP202" s="14">
        <v>1502.7431999999999</v>
      </c>
      <c r="CQ202" s="14">
        <v>984.6816</v>
      </c>
      <c r="CR202" s="14">
        <v>984.6816</v>
      </c>
      <c r="CS202" s="14">
        <v>984.6816</v>
      </c>
      <c r="CT202" s="14">
        <v>493.81079999999997</v>
      </c>
      <c r="CU202" s="14">
        <v>480.8664</v>
      </c>
      <c r="CV202" s="14">
        <v>493.81079999999997</v>
      </c>
      <c r="CW202" s="14">
        <v>494.84399999999999</v>
      </c>
      <c r="CX202" s="14">
        <v>584.32079999999996</v>
      </c>
      <c r="CY202" s="14">
        <v>584.32079999999996</v>
      </c>
      <c r="CZ202" s="14">
        <v>584.32079999999996</v>
      </c>
      <c r="DA202" s="13">
        <v>334.15199999999999</v>
      </c>
      <c r="DB202" s="12">
        <v>0</v>
      </c>
      <c r="DC202" s="13">
        <v>350.322</v>
      </c>
      <c r="DD202" s="14">
        <v>961.31280000000004</v>
      </c>
      <c r="DE202" s="14">
        <v>961.31280000000004</v>
      </c>
      <c r="DF202" s="14">
        <v>961.31280000000004</v>
      </c>
      <c r="DG202" s="14">
        <v>584.32079999999996</v>
      </c>
      <c r="DH202" s="14">
        <v>1502.7431999999999</v>
      </c>
      <c r="DI202" s="14">
        <v>1502.7431999999999</v>
      </c>
      <c r="DJ202" s="14">
        <v>595.43399999999997</v>
      </c>
      <c r="DK202" s="14">
        <v>0</v>
      </c>
      <c r="DL202" s="14">
        <v>2711.7803999999996</v>
      </c>
      <c r="DM202" s="14">
        <v>816.60599999999999</v>
      </c>
      <c r="DN202" s="14">
        <v>1474.6704</v>
      </c>
      <c r="DO202" s="14">
        <v>556.54199999999992</v>
      </c>
      <c r="DP202" s="14">
        <v>595.43399999999997</v>
      </c>
      <c r="DQ202" s="14">
        <v>589.8732</v>
      </c>
      <c r="DR202" s="14">
        <v>1419.7511999999999</v>
      </c>
      <c r="DS202" s="14">
        <v>966.46199999999988</v>
      </c>
      <c r="DT202" s="14">
        <v>2404.6007999999997</v>
      </c>
      <c r="DU202" s="14">
        <v>2293.2084</v>
      </c>
      <c r="DV202" s="15">
        <v>2293.2084</v>
      </c>
      <c r="DY202" s="35" t="s">
        <v>41</v>
      </c>
      <c r="DZ202" s="16">
        <v>6.2500000000000003E-3</v>
      </c>
      <c r="EA202" s="14">
        <v>6.2500000000000003E-3</v>
      </c>
      <c r="EB202" s="14">
        <v>6.2500000000000003E-3</v>
      </c>
      <c r="EC202" s="14">
        <v>6.2500000000000003E-3</v>
      </c>
      <c r="ED202" s="14">
        <v>6.2500000000000003E-3</v>
      </c>
      <c r="EE202" s="14">
        <v>6.2500000000000003E-3</v>
      </c>
      <c r="EF202" s="14">
        <v>6.2500000000000003E-3</v>
      </c>
      <c r="EG202" s="14">
        <v>6.2500000000000003E-3</v>
      </c>
      <c r="EH202" s="14">
        <v>6.2500000000000003E-3</v>
      </c>
      <c r="EI202" s="14">
        <v>6.2500000000000003E-3</v>
      </c>
      <c r="EJ202" s="14">
        <v>6.2500000000000003E-3</v>
      </c>
      <c r="EK202" s="14">
        <v>6.2500000000000003E-3</v>
      </c>
      <c r="EL202" s="14">
        <v>6.2500000000000003E-3</v>
      </c>
      <c r="EM202" s="14">
        <v>4.6511627906976744E-3</v>
      </c>
      <c r="EN202" s="14">
        <v>4.6511627906976744E-3</v>
      </c>
      <c r="EO202" s="14">
        <v>7.1428571428571435E-3</v>
      </c>
      <c r="EP202" s="14">
        <v>7.1428571428571435E-3</v>
      </c>
      <c r="EQ202" s="14">
        <v>7.1428571428571435E-3</v>
      </c>
      <c r="ER202" s="14">
        <v>7.1428571428571435E-3</v>
      </c>
      <c r="ES202" s="14">
        <v>7.1428571428571435E-3</v>
      </c>
      <c r="ET202" s="14">
        <v>7.1428571428571435E-3</v>
      </c>
      <c r="EU202" s="14">
        <v>7.1428571428571435E-3</v>
      </c>
      <c r="EV202" s="14">
        <v>7.1428571428571435E-3</v>
      </c>
      <c r="EW202" s="14">
        <v>7.1428571428571435E-3</v>
      </c>
      <c r="EX202" s="14">
        <v>7.1428571428571435E-3</v>
      </c>
      <c r="EY202" s="14">
        <v>7.1428571428571435E-3</v>
      </c>
      <c r="EZ202" s="14">
        <v>7.1428571428571435E-3</v>
      </c>
      <c r="FA202" s="14">
        <v>7.1428571428571435E-3</v>
      </c>
      <c r="FB202" s="14">
        <v>7.1428571428571435E-3</v>
      </c>
      <c r="FC202" s="14">
        <v>7.1428571428571435E-3</v>
      </c>
      <c r="FD202" s="14">
        <v>7.1428571428571435E-3</v>
      </c>
      <c r="FE202" s="14">
        <v>7.1428571428571435E-3</v>
      </c>
      <c r="FF202" s="14">
        <v>5.7142857142857143E-3</v>
      </c>
      <c r="FG202" s="14">
        <v>5.7142857142857143E-3</v>
      </c>
      <c r="FH202" s="14">
        <v>5.7142857142857143E-3</v>
      </c>
      <c r="FI202" s="14">
        <v>5.7142857142857143E-3</v>
      </c>
      <c r="FJ202" s="14">
        <v>5.7142857142857143E-3</v>
      </c>
      <c r="FK202" s="14">
        <v>5.7142857142857143E-3</v>
      </c>
      <c r="FL202" s="14">
        <v>5.7142857142857143E-3</v>
      </c>
      <c r="FM202" s="13">
        <f>0.2/2</f>
        <v>0.1</v>
      </c>
      <c r="FN202" s="12">
        <v>0.6</v>
      </c>
      <c r="FO202" s="13">
        <f>0.2/2</f>
        <v>0.1</v>
      </c>
      <c r="FP202" s="14">
        <v>5.7142857142857143E-3</v>
      </c>
      <c r="FQ202" s="14">
        <v>5.7142857142857143E-3</v>
      </c>
      <c r="FR202" s="14">
        <v>5.7142857142857143E-3</v>
      </c>
      <c r="FS202" s="14">
        <v>5.7142857142857143E-3</v>
      </c>
      <c r="FT202" s="14">
        <v>5.8823529411764705E-3</v>
      </c>
      <c r="FU202" s="14">
        <v>5.7142857142857143E-3</v>
      </c>
      <c r="FV202" s="14">
        <v>5.7142857142857143E-3</v>
      </c>
      <c r="FW202" s="14">
        <v>4.5454545454545461E-3</v>
      </c>
      <c r="FX202" s="14">
        <v>4.5454545454545461E-3</v>
      </c>
      <c r="FY202" s="14">
        <v>5.7142857142857143E-3</v>
      </c>
      <c r="FZ202" s="14">
        <v>7.1428571428571435E-3</v>
      </c>
      <c r="GA202" s="14">
        <v>5.7142857142857143E-3</v>
      </c>
      <c r="GB202" s="14">
        <v>5.7142857142857143E-3</v>
      </c>
      <c r="GC202" s="14">
        <v>5.7142857142857143E-3</v>
      </c>
      <c r="GD202" s="14">
        <v>7.1428571428571435E-3</v>
      </c>
      <c r="GE202" s="14">
        <v>7.1428571428571435E-3</v>
      </c>
      <c r="GF202" s="14">
        <v>4.6511627906976744E-3</v>
      </c>
      <c r="GG202" s="14">
        <v>4.6511627906976744E-3</v>
      </c>
      <c r="GH202" s="15">
        <v>4.6511627906976744E-3</v>
      </c>
    </row>
    <row r="203" spans="1:190" x14ac:dyDescent="0.3">
      <c r="A203" s="35" t="s">
        <v>42</v>
      </c>
      <c r="B203" s="16">
        <f>IF(AND(Distances!BO146=0,Distances!EA146=0),BN203*DZ203*B161*2,"")</f>
        <v>5448.06423</v>
      </c>
      <c r="C203" s="14">
        <f>IF(AND(Distances!BP146=0,Distances!EB146=0),BO203*EA203*C161*2,"")</f>
        <v>6917.1748799999996</v>
      </c>
      <c r="D203" s="14" t="s">
        <v>62</v>
      </c>
      <c r="E203" s="14">
        <f>IF(AND(Distances!BR146=0,Distances!ED146=0),BQ203*EC203*E161*2,"")</f>
        <v>5703.9416699999992</v>
      </c>
      <c r="F203" s="14" t="s">
        <v>62</v>
      </c>
      <c r="G203" s="14" t="s">
        <v>62</v>
      </c>
      <c r="H203" s="14">
        <f>IF(AND(Distances!BU146=0,Distances!EG146=0),BT203*EF203*H161*2,"")</f>
        <v>3107.8800900000001</v>
      </c>
      <c r="I203" s="14">
        <f>IF(AND(Distances!BV146=0,Distances!EH146=0),BU203*EG203*I161*2,"")</f>
        <v>2820.0391799999998</v>
      </c>
      <c r="J203" s="14" t="s">
        <v>62</v>
      </c>
      <c r="K203" s="14">
        <f>IF(AND(Distances!BX146=0,Distances!EJ146=0),BW203*EI203*K161*2,"")</f>
        <v>117.42066</v>
      </c>
      <c r="L203" s="14" t="s">
        <v>62</v>
      </c>
      <c r="M203" s="14">
        <f>IF(AND(Distances!BZ146=0,Distances!EL146=0),BY203*EK203*M161*2,"")</f>
        <v>62.145299999999999</v>
      </c>
      <c r="N203" s="14" t="s">
        <v>62</v>
      </c>
      <c r="O203" s="14" t="s">
        <v>62</v>
      </c>
      <c r="P203" s="14" t="s">
        <v>62</v>
      </c>
      <c r="Q203" s="14">
        <f>IF(AND(Distances!CD146=0,Distances!EP146=0),CC203*EO203*Q161*2,"")</f>
        <v>1080.018</v>
      </c>
      <c r="R203" s="14">
        <f>IF(AND(Distances!CE146=0,Distances!EQ146=0),CD203*EP203*R161*2,"")</f>
        <v>1069.836</v>
      </c>
      <c r="S203" s="14">
        <f>IF(AND(Distances!CF146=0,Distances!ER146=0),CE203*EQ203*S161*2,"")</f>
        <v>1100.3820000000001</v>
      </c>
      <c r="T203" s="14" t="s">
        <v>62</v>
      </c>
      <c r="U203" s="14" t="s">
        <v>62</v>
      </c>
      <c r="V203" s="14" t="s">
        <v>62</v>
      </c>
      <c r="W203" s="14">
        <f>IF(AND(Distances!CJ146=0,Distances!EV146=0),CI203*EU203*W161*2,"")</f>
        <v>1229.1986400000001</v>
      </c>
      <c r="X203" s="14" t="s">
        <v>62</v>
      </c>
      <c r="Y203" s="14" t="s">
        <v>62</v>
      </c>
      <c r="Z203" s="14" t="s">
        <v>62</v>
      </c>
      <c r="AA203" s="14" t="s">
        <v>62</v>
      </c>
      <c r="AB203" s="14" t="s">
        <v>62</v>
      </c>
      <c r="AC203" s="14">
        <f>IF(AND(Distances!CP146=0,Distances!FB146=0),CO203*FA203*AC161*2,"")</f>
        <v>37.185360000000003</v>
      </c>
      <c r="AD203" s="14">
        <f>IF(AND(Distances!CQ146=0,Distances!FC146=0),CP203*FB203*AD161*2,"")</f>
        <v>49.141200000000005</v>
      </c>
      <c r="AE203" s="14" t="s">
        <v>62</v>
      </c>
      <c r="AF203" s="14" t="s">
        <v>62</v>
      </c>
      <c r="AG203" s="14" t="s">
        <v>62</v>
      </c>
      <c r="AH203" s="14" t="s">
        <v>62</v>
      </c>
      <c r="AI203" s="14">
        <f>IF(AND(Distances!CV146=0,Distances!FH146=0),CU203*FG203*AI161*2,"")</f>
        <v>4.7088000000000001</v>
      </c>
      <c r="AJ203" s="14" t="s">
        <v>62</v>
      </c>
      <c r="AK203" s="14">
        <f>IF(AND(Distances!CX146=0,Distances!FJ146=0),CW203*FI203*AK161*2,"")</f>
        <v>4.8456000000000001</v>
      </c>
      <c r="AL203" s="14">
        <f>IF(AND(Distances!CY146=0,Distances!FK146=0),CX203*FJ203*AL161*2,"")</f>
        <v>412.22131199999995</v>
      </c>
      <c r="AM203" s="14">
        <f>IF(AND(Distances!CZ146=0,Distances!FL146=0),CY203*FK203*AM161*2,"")</f>
        <v>412.22131199999995</v>
      </c>
      <c r="AN203" s="14" t="s">
        <v>62</v>
      </c>
      <c r="AO203" s="13">
        <f>IF(AND(Distances!DB146=0,Distances!FN146=0),DA203*FM203*AO161*2,"")</f>
        <v>137.46768</v>
      </c>
      <c r="AP203" s="13">
        <f>IF(AND(Distances!DC146=0,Distances!FO146=0),DB203*FN203*AP161*2,"")</f>
        <v>140.12880000000001</v>
      </c>
      <c r="AQ203" s="12">
        <f>IF(AND(Distances!DD146=0,Distances!FP146=0),DC203*FO203*AQ161*2,"")</f>
        <v>0</v>
      </c>
      <c r="AR203" s="14">
        <f>IF(AND(Distances!DE146=0,Distances!FQ146=0),DD203*FP203*AR161*2,"")</f>
        <v>24.812735999999997</v>
      </c>
      <c r="AS203" s="14" t="s">
        <v>62</v>
      </c>
      <c r="AT203" s="14" t="s">
        <v>62</v>
      </c>
      <c r="AU203" s="14" t="s">
        <v>62</v>
      </c>
      <c r="AV203" s="14" t="s">
        <v>62</v>
      </c>
      <c r="AW203" s="14" t="s">
        <v>62</v>
      </c>
      <c r="AX203" s="14">
        <f>IF(AND(Distances!DK146=0,Distances!FW146=0),DJ203*FV203*AX161*2,"")</f>
        <v>38.894399999999997</v>
      </c>
      <c r="AY203" s="14">
        <f>IF(AND(Distances!DL146=0,Distances!FX146=0),DK203*FW203*AY161*2,"")</f>
        <v>0</v>
      </c>
      <c r="AZ203" s="14" t="s">
        <v>62</v>
      </c>
      <c r="BA203" s="14">
        <f>IF(AND(Distances!DN146=0,Distances!FZ146=0),DM203*FY203*BA161*2,"")</f>
        <v>41.573376000000003</v>
      </c>
      <c r="BB203" s="14">
        <f>IF(AND(Distances!DO146=0,Distances!GA146=0),DN203*FZ203*BB161*2,"")</f>
        <v>96.446399999999997</v>
      </c>
      <c r="BC203" s="14">
        <f>IF(AND(Distances!DP146=0,Distances!GB146=0),DO203*GA203*BC161*2,"")</f>
        <v>232.664064</v>
      </c>
      <c r="BD203" s="14" t="s">
        <v>62</v>
      </c>
      <c r="BE203" s="14">
        <f>IF(AND(Distances!DR146=0,Distances!GD146=0),DQ203*GC203*BE161*2,"")</f>
        <v>246.60172800000001</v>
      </c>
      <c r="BF203" s="14" t="s">
        <v>62</v>
      </c>
      <c r="BG203" s="14" t="s">
        <v>62</v>
      </c>
      <c r="BH203" s="14" t="s">
        <v>62</v>
      </c>
      <c r="BI203" s="14" t="s">
        <v>62</v>
      </c>
      <c r="BJ203" s="15" t="s">
        <v>62</v>
      </c>
      <c r="BM203" s="35" t="s">
        <v>42</v>
      </c>
      <c r="BN203" s="16">
        <v>2157.6491999999998</v>
      </c>
      <c r="BO203" s="14">
        <v>2739.4751999999999</v>
      </c>
      <c r="BP203" s="14">
        <v>2258.9867999999997</v>
      </c>
      <c r="BQ203" s="14">
        <v>2258.9867999999997</v>
      </c>
      <c r="BR203" s="14">
        <v>2393.1264000000001</v>
      </c>
      <c r="BS203" s="14">
        <v>1116.8471999999999</v>
      </c>
      <c r="BT203" s="14">
        <v>1230.8435999999999</v>
      </c>
      <c r="BU203" s="14">
        <v>1116.8471999999999</v>
      </c>
      <c r="BV203" s="14">
        <v>2348.4132</v>
      </c>
      <c r="BW203" s="14">
        <v>2348.4132</v>
      </c>
      <c r="BX203" s="14">
        <v>1242.9059999999999</v>
      </c>
      <c r="BY203" s="14">
        <v>1242.9059999999999</v>
      </c>
      <c r="BZ203" s="14">
        <v>2902.1579999999999</v>
      </c>
      <c r="CA203" s="14">
        <v>1790.8968</v>
      </c>
      <c r="CB203" s="14">
        <v>2227.0668000000001</v>
      </c>
      <c r="CC203" s="14">
        <v>1512.0251999999998</v>
      </c>
      <c r="CD203" s="14">
        <v>1497.7703999999999</v>
      </c>
      <c r="CE203" s="14">
        <v>1540.5347999999999</v>
      </c>
      <c r="CF203" s="14">
        <v>1469.2607999999998</v>
      </c>
      <c r="CG203" s="14">
        <v>1276.2371999999998</v>
      </c>
      <c r="CH203" s="14">
        <v>1364.6219999999998</v>
      </c>
      <c r="CI203" s="14">
        <v>1483.5155999999999</v>
      </c>
      <c r="CJ203" s="14">
        <v>1719.942</v>
      </c>
      <c r="CK203" s="14">
        <v>1469.2607999999998</v>
      </c>
      <c r="CL203" s="14">
        <v>1389.8724</v>
      </c>
      <c r="CM203" s="14">
        <v>1364.6219999999998</v>
      </c>
      <c r="CN203" s="14">
        <v>1314.1128000000001</v>
      </c>
      <c r="CO203" s="14">
        <v>1301.4875999999999</v>
      </c>
      <c r="CP203" s="14">
        <v>1719.942</v>
      </c>
      <c r="CQ203" s="14">
        <v>1364.6219999999998</v>
      </c>
      <c r="CR203" s="14">
        <v>1364.6219999999998</v>
      </c>
      <c r="CS203" s="14">
        <v>1364.6219999999998</v>
      </c>
      <c r="CT203" s="14">
        <v>423.5616</v>
      </c>
      <c r="CU203" s="14">
        <v>412.02</v>
      </c>
      <c r="CV203" s="14">
        <v>423.5616</v>
      </c>
      <c r="CW203" s="14">
        <v>423.99</v>
      </c>
      <c r="CX203" s="14">
        <v>667.95119999999997</v>
      </c>
      <c r="CY203" s="14">
        <v>667.95119999999997</v>
      </c>
      <c r="CZ203" s="14">
        <v>667.95119999999997</v>
      </c>
      <c r="DA203" s="13">
        <v>343.66919999999999</v>
      </c>
      <c r="DB203" s="13">
        <v>350.322</v>
      </c>
      <c r="DC203" s="12">
        <v>0</v>
      </c>
      <c r="DD203" s="14">
        <v>1085.5572</v>
      </c>
      <c r="DE203" s="14">
        <v>1085.5572</v>
      </c>
      <c r="DF203" s="14">
        <v>1085.5572</v>
      </c>
      <c r="DG203" s="14">
        <v>667.95119999999997</v>
      </c>
      <c r="DH203" s="14">
        <v>1719.942</v>
      </c>
      <c r="DI203" s="14">
        <v>1719.942</v>
      </c>
      <c r="DJ203" s="14">
        <v>680.65199999999993</v>
      </c>
      <c r="DK203" s="14">
        <v>0</v>
      </c>
      <c r="DL203" s="14">
        <v>2692.8215999999998</v>
      </c>
      <c r="DM203" s="14">
        <v>909.41760000000011</v>
      </c>
      <c r="DN203" s="14">
        <v>1687.8119999999999</v>
      </c>
      <c r="DO203" s="14">
        <v>636.19079999999997</v>
      </c>
      <c r="DP203" s="14">
        <v>680.65199999999993</v>
      </c>
      <c r="DQ203" s="14">
        <v>674.30160000000001</v>
      </c>
      <c r="DR203" s="14">
        <v>1851.2171999999998</v>
      </c>
      <c r="DS203" s="14">
        <v>1301.5716</v>
      </c>
      <c r="DT203" s="14">
        <v>2547.5099999999998</v>
      </c>
      <c r="DU203" s="14">
        <v>2428.5072</v>
      </c>
      <c r="DV203" s="15">
        <v>2428.5072</v>
      </c>
      <c r="DY203" s="35" t="s">
        <v>42</v>
      </c>
      <c r="DZ203" s="16">
        <v>6.2500000000000003E-3</v>
      </c>
      <c r="EA203" s="14">
        <v>6.2500000000000003E-3</v>
      </c>
      <c r="EB203" s="14">
        <v>6.2500000000000003E-3</v>
      </c>
      <c r="EC203" s="14">
        <v>6.2500000000000003E-3</v>
      </c>
      <c r="ED203" s="14">
        <v>6.2500000000000003E-3</v>
      </c>
      <c r="EE203" s="14">
        <v>6.2500000000000003E-3</v>
      </c>
      <c r="EF203" s="14">
        <v>6.2500000000000003E-3</v>
      </c>
      <c r="EG203" s="14">
        <v>6.2500000000000003E-3</v>
      </c>
      <c r="EH203" s="14">
        <v>6.2500000000000003E-3</v>
      </c>
      <c r="EI203" s="14">
        <v>6.2500000000000003E-3</v>
      </c>
      <c r="EJ203" s="14">
        <v>6.2500000000000003E-3</v>
      </c>
      <c r="EK203" s="14">
        <v>6.2500000000000003E-3</v>
      </c>
      <c r="EL203" s="14">
        <v>6.2500000000000003E-3</v>
      </c>
      <c r="EM203" s="14">
        <v>4.6511627906976744E-3</v>
      </c>
      <c r="EN203" s="14">
        <v>4.6511627906976744E-3</v>
      </c>
      <c r="EO203" s="14">
        <v>7.1428571428571435E-3</v>
      </c>
      <c r="EP203" s="14">
        <v>7.1428571428571435E-3</v>
      </c>
      <c r="EQ203" s="14">
        <v>7.1428571428571435E-3</v>
      </c>
      <c r="ER203" s="14">
        <v>7.1428571428571435E-3</v>
      </c>
      <c r="ES203" s="14">
        <v>7.1428571428571435E-3</v>
      </c>
      <c r="ET203" s="14">
        <v>7.1428571428571435E-3</v>
      </c>
      <c r="EU203" s="14">
        <v>7.1428571428571435E-3</v>
      </c>
      <c r="EV203" s="14">
        <v>7.1428571428571435E-3</v>
      </c>
      <c r="EW203" s="14">
        <v>7.1428571428571435E-3</v>
      </c>
      <c r="EX203" s="14">
        <v>7.1428571428571435E-3</v>
      </c>
      <c r="EY203" s="14">
        <v>7.1428571428571435E-3</v>
      </c>
      <c r="EZ203" s="14">
        <v>7.1428571428571435E-3</v>
      </c>
      <c r="FA203" s="14">
        <v>7.1428571428571435E-3</v>
      </c>
      <c r="FB203" s="14">
        <v>7.1428571428571435E-3</v>
      </c>
      <c r="FC203" s="14">
        <v>7.1428571428571435E-3</v>
      </c>
      <c r="FD203" s="14">
        <v>7.1428571428571435E-3</v>
      </c>
      <c r="FE203" s="14">
        <v>7.1428571428571435E-3</v>
      </c>
      <c r="FF203" s="14">
        <v>5.7142857142857143E-3</v>
      </c>
      <c r="FG203" s="14">
        <v>5.7142857142857143E-3</v>
      </c>
      <c r="FH203" s="14">
        <v>5.7142857142857143E-3</v>
      </c>
      <c r="FI203" s="14">
        <v>5.7142857142857143E-3</v>
      </c>
      <c r="FJ203" s="14">
        <v>5.7142857142857143E-3</v>
      </c>
      <c r="FK203" s="14">
        <v>5.7142857142857143E-3</v>
      </c>
      <c r="FL203" s="14">
        <v>5.7142857142857143E-3</v>
      </c>
      <c r="FM203" s="13">
        <f>0.2/2</f>
        <v>0.1</v>
      </c>
      <c r="FN203" s="13">
        <f>0.2/2</f>
        <v>0.1</v>
      </c>
      <c r="FO203" s="12">
        <v>0.6</v>
      </c>
      <c r="FP203" s="14">
        <v>5.7142857142857143E-3</v>
      </c>
      <c r="FQ203" s="14">
        <v>5.7142857142857143E-3</v>
      </c>
      <c r="FR203" s="14">
        <v>5.7142857142857143E-3</v>
      </c>
      <c r="FS203" s="14">
        <v>5.7142857142857143E-3</v>
      </c>
      <c r="FT203" s="14">
        <v>5.8823529411764705E-3</v>
      </c>
      <c r="FU203" s="14">
        <v>5.7142857142857143E-3</v>
      </c>
      <c r="FV203" s="14">
        <v>5.7142857142857143E-3</v>
      </c>
      <c r="FW203" s="14">
        <v>4.5454545454545461E-3</v>
      </c>
      <c r="FX203" s="14">
        <v>4.5454545454545461E-3</v>
      </c>
      <c r="FY203" s="14">
        <v>5.7142857142857143E-3</v>
      </c>
      <c r="FZ203" s="14">
        <v>7.1428571428571435E-3</v>
      </c>
      <c r="GA203" s="14">
        <v>5.7142857142857143E-3</v>
      </c>
      <c r="GB203" s="14">
        <v>5.7142857142857143E-3</v>
      </c>
      <c r="GC203" s="14">
        <v>5.7142857142857143E-3</v>
      </c>
      <c r="GD203" s="14">
        <v>7.1428571428571435E-3</v>
      </c>
      <c r="GE203" s="14">
        <v>7.1428571428571435E-3</v>
      </c>
      <c r="GF203" s="14">
        <v>4.6511627906976744E-3</v>
      </c>
      <c r="GG203" s="14">
        <v>4.6511627906976744E-3</v>
      </c>
      <c r="GH203" s="15">
        <v>4.6511627906976744E-3</v>
      </c>
    </row>
    <row r="204" spans="1:190" x14ac:dyDescent="0.3">
      <c r="A204" s="35" t="s">
        <v>43</v>
      </c>
      <c r="B204" s="16">
        <f>IF(AND(Distances!BO147=0,Distances!EA147=0),BN204*DZ204*B161*2,"")</f>
        <v>6194.6562300000005</v>
      </c>
      <c r="C204" s="14">
        <f>IF(AND(Distances!BP147=0,Distances!EB147=0),BO204*EA204*C161*2,"")</f>
        <v>4751.9944500000001</v>
      </c>
      <c r="D204" s="14" t="s">
        <v>62</v>
      </c>
      <c r="E204" s="14">
        <f>IF(AND(Distances!BR147=0,Distances!ED147=0),BQ204*EC204*E161*2,"")</f>
        <v>5092.7543100000012</v>
      </c>
      <c r="F204" s="14" t="s">
        <v>62</v>
      </c>
      <c r="G204" s="14" t="s">
        <v>62</v>
      </c>
      <c r="H204" s="14">
        <f>IF(AND(Distances!BU147=0,Distances!EG147=0),BT204*EF204*H161*2,"")</f>
        <v>4164.20172</v>
      </c>
      <c r="I204" s="14">
        <f>IF(AND(Distances!BV147=0,Distances!EH147=0),BU204*EG204*I161*2,"")</f>
        <v>3898.5040500000005</v>
      </c>
      <c r="J204" s="14" t="s">
        <v>62</v>
      </c>
      <c r="K204" s="14">
        <f>IF(AND(Distances!BX147=0,Distances!EJ147=0),BW204*EI204*K161*2,"")</f>
        <v>104.83872</v>
      </c>
      <c r="L204" s="14" t="s">
        <v>62</v>
      </c>
      <c r="M204" s="14">
        <f>IF(AND(Distances!BZ147=0,Distances!EL147=0),BY204*EK204*M161*2,"")</f>
        <v>83.26751999999999</v>
      </c>
      <c r="N204" s="14" t="s">
        <v>62</v>
      </c>
      <c r="O204" s="14" t="s">
        <v>62</v>
      </c>
      <c r="P204" s="14" t="s">
        <v>62</v>
      </c>
      <c r="Q204" s="14">
        <f>IF(AND(Distances!CD147=0,Distances!EP147=0),CC204*EO204*Q161*2,"")</f>
        <v>895.52400000000011</v>
      </c>
      <c r="R204" s="14">
        <f>IF(AND(Distances!CE147=0,Distances!EQ147=0),CD204*EP204*R161*2,"")</f>
        <v>887.08199999999999</v>
      </c>
      <c r="S204" s="14">
        <f>IF(AND(Distances!CF147=0,Distances!ER147=0),CE204*EQ204*S161*2,"")</f>
        <v>912.40200000000016</v>
      </c>
      <c r="T204" s="14" t="s">
        <v>62</v>
      </c>
      <c r="U204" s="14" t="s">
        <v>62</v>
      </c>
      <c r="V204" s="14" t="s">
        <v>62</v>
      </c>
      <c r="W204" s="14">
        <f>IF(AND(Distances!CJ147=0,Distances!EV147=0),CI204*EU204*W161*2,"")</f>
        <v>1019.2224000000001</v>
      </c>
      <c r="X204" s="14" t="s">
        <v>62</v>
      </c>
      <c r="Y204" s="14" t="s">
        <v>62</v>
      </c>
      <c r="Z204" s="14" t="s">
        <v>62</v>
      </c>
      <c r="AA204" s="14" t="s">
        <v>62</v>
      </c>
      <c r="AB204" s="14" t="s">
        <v>62</v>
      </c>
      <c r="AC204" s="14">
        <f>IF(AND(Distances!CP147=0,Distances!FB147=0),CO204*FA204*AC161*2,"")</f>
        <v>29.947680000000002</v>
      </c>
      <c r="AD204" s="14">
        <f>IF(AND(Distances!CQ147=0,Distances!FC147=0),CP204*FB204*AD161*2,"")</f>
        <v>41.461199999999998</v>
      </c>
      <c r="AE204" s="14" t="s">
        <v>62</v>
      </c>
      <c r="AF204" s="14" t="s">
        <v>62</v>
      </c>
      <c r="AG204" s="14" t="s">
        <v>62</v>
      </c>
      <c r="AH204" s="13" t="s">
        <v>62</v>
      </c>
      <c r="AI204" s="13">
        <f>IF(AND(Distances!CV147=0,Distances!FH147=0),CU204*FG204*AI161*2,"")</f>
        <v>27.323519999999998</v>
      </c>
      <c r="AJ204" s="13" t="s">
        <v>62</v>
      </c>
      <c r="AK204" s="13">
        <f>IF(AND(Distances!CX147=0,Distances!FJ147=0),CW204*FI204*AK161*2,"")</f>
        <v>28.117973333333328</v>
      </c>
      <c r="AL204" s="13">
        <f>IF(AND(Distances!CY147=0,Distances!FK147=0),CX204*FJ204*AL161*2,"")</f>
        <v>991.67039999999997</v>
      </c>
      <c r="AM204" s="13">
        <f>IF(AND(Distances!CZ147=0,Distances!FL147=0),CY204*FK204*AM161*2,"")</f>
        <v>991.67039999999997</v>
      </c>
      <c r="AN204" s="13" t="s">
        <v>62</v>
      </c>
      <c r="AO204" s="14">
        <f>IF(AND(Distances!DB147=0,Distances!FN147=0),DA204*FM204*AO161*2,"")</f>
        <v>17.962400000000002</v>
      </c>
      <c r="AP204" s="14">
        <f>IF(AND(Distances!DC147=0,Distances!FO147=0),DB204*FN204*AP161*2,"")</f>
        <v>18.310720000000003</v>
      </c>
      <c r="AQ204" s="14">
        <f>IF(AND(Distances!DD147=0,Distances!FP147=0),DC204*FO204*AQ161*2,"")</f>
        <v>20.67728</v>
      </c>
      <c r="AR204" s="12">
        <f>IF(AND(Distances!DE147=0,Distances!FQ147=0),DD204*FP204*AR161*2,"")</f>
        <v>0</v>
      </c>
      <c r="AS204" s="13" t="s">
        <v>62</v>
      </c>
      <c r="AT204" s="13" t="s">
        <v>62</v>
      </c>
      <c r="AU204" s="13" t="s">
        <v>62</v>
      </c>
      <c r="AV204" s="13" t="s">
        <v>62</v>
      </c>
      <c r="AW204" s="13" t="s">
        <v>62</v>
      </c>
      <c r="AX204" s="13">
        <f>IF(AND(Distances!DK147=0,Distances!FW147=0),DJ204*FV204*AX161*2,"")</f>
        <v>93.566666666666677</v>
      </c>
      <c r="AY204" s="14">
        <f>IF(AND(Distances!DL147=0,Distances!FX147=0),DK204*FW204*AY161*2,"")</f>
        <v>0</v>
      </c>
      <c r="AZ204" s="14" t="s">
        <v>62</v>
      </c>
      <c r="BA204" s="13">
        <f>IF(AND(Distances!DN147=0,Distances!FZ147=0),DM204*FY204*BA161*2,"")</f>
        <v>258.61845333333332</v>
      </c>
      <c r="BB204" s="14">
        <f>IF(AND(Distances!DO147=0,Distances!GA147=0),DN204*FZ204*BB161*2,"")</f>
        <v>81.373440000000002</v>
      </c>
      <c r="BC204" s="13">
        <f>IF(AND(Distances!DP147=0,Distances!GB147=0),DO204*GA204*BC161*2,"")</f>
        <v>559.73717333333332</v>
      </c>
      <c r="BD204" s="13" t="s">
        <v>62</v>
      </c>
      <c r="BE204" s="13">
        <f>IF(AND(Distances!DR147=0,Distances!GD147=0),DQ204*GC204*BE161*2,"")</f>
        <v>593.23562666666669</v>
      </c>
      <c r="BF204" s="14" t="s">
        <v>62</v>
      </c>
      <c r="BG204" s="14" t="s">
        <v>62</v>
      </c>
      <c r="BH204" s="14" t="s">
        <v>62</v>
      </c>
      <c r="BI204" s="14" t="s">
        <v>62</v>
      </c>
      <c r="BJ204" s="15" t="s">
        <v>62</v>
      </c>
      <c r="BM204" s="35" t="s">
        <v>43</v>
      </c>
      <c r="BN204" s="16">
        <v>2453.3292000000001</v>
      </c>
      <c r="BO204" s="14">
        <v>1881.9779999999998</v>
      </c>
      <c r="BP204" s="14">
        <v>2016.9324000000001</v>
      </c>
      <c r="BQ204" s="14">
        <v>2016.9324000000001</v>
      </c>
      <c r="BR204" s="14">
        <v>2136.6911999999998</v>
      </c>
      <c r="BS204" s="14">
        <v>1543.962</v>
      </c>
      <c r="BT204" s="14">
        <v>1649.1887999999999</v>
      </c>
      <c r="BU204" s="14">
        <v>1543.962</v>
      </c>
      <c r="BV204" s="14">
        <v>2096.7743999999998</v>
      </c>
      <c r="BW204" s="14">
        <v>2096.7743999999998</v>
      </c>
      <c r="BX204" s="14">
        <v>1665.3503999999998</v>
      </c>
      <c r="BY204" s="14">
        <v>1665.3503999999998</v>
      </c>
      <c r="BZ204" s="14">
        <v>1993.7231999999999</v>
      </c>
      <c r="CA204" s="14">
        <v>1481.3987999999999</v>
      </c>
      <c r="CB204" s="14">
        <v>2803.5084000000002</v>
      </c>
      <c r="CC204" s="14">
        <v>1253.7336</v>
      </c>
      <c r="CD204" s="14">
        <v>1241.9148</v>
      </c>
      <c r="CE204" s="14">
        <v>1277.3628000000001</v>
      </c>
      <c r="CF204" s="14">
        <v>1218.2772</v>
      </c>
      <c r="CG204" s="14">
        <v>1027.8323999999998</v>
      </c>
      <c r="CH204" s="14">
        <v>1522.0632000000001</v>
      </c>
      <c r="CI204" s="14">
        <v>1230.096</v>
      </c>
      <c r="CJ204" s="14">
        <v>1451.1419999999998</v>
      </c>
      <c r="CK204" s="14">
        <v>1218.2772</v>
      </c>
      <c r="CL204" s="14">
        <v>1119.3335999999999</v>
      </c>
      <c r="CM204" s="14">
        <v>1098.9971999999998</v>
      </c>
      <c r="CN204" s="14">
        <v>1058.3328000000001</v>
      </c>
      <c r="CO204" s="14">
        <v>1048.1687999999999</v>
      </c>
      <c r="CP204" s="14">
        <v>1451.1419999999998</v>
      </c>
      <c r="CQ204" s="14">
        <v>1522.0632000000001</v>
      </c>
      <c r="CR204" s="14">
        <v>1522.0632000000001</v>
      </c>
      <c r="CS204" s="14">
        <v>1522.0632000000001</v>
      </c>
      <c r="CT204" s="13">
        <v>631.8732</v>
      </c>
      <c r="CU204" s="13">
        <v>614.77919999999995</v>
      </c>
      <c r="CV204" s="13">
        <v>631.8732</v>
      </c>
      <c r="CW204" s="13">
        <v>632.6543999999999</v>
      </c>
      <c r="CX204" s="13">
        <v>413.19599999999997</v>
      </c>
      <c r="CY204" s="13">
        <v>413.19599999999997</v>
      </c>
      <c r="CZ204" s="13">
        <v>413.19599999999997</v>
      </c>
      <c r="DA204" s="14">
        <v>943.02600000000007</v>
      </c>
      <c r="DB204" s="14">
        <v>961.31280000000004</v>
      </c>
      <c r="DC204" s="14">
        <v>1085.5572</v>
      </c>
      <c r="DD204" s="12">
        <v>0</v>
      </c>
      <c r="DE204" s="13">
        <v>0</v>
      </c>
      <c r="DF204" s="13">
        <v>0</v>
      </c>
      <c r="DG204" s="13">
        <v>413.19599999999997</v>
      </c>
      <c r="DH204" s="13">
        <v>1451.1419999999998</v>
      </c>
      <c r="DI204" s="13">
        <v>1451.1419999999998</v>
      </c>
      <c r="DJ204" s="13">
        <v>421.05</v>
      </c>
      <c r="DK204" s="14">
        <v>0</v>
      </c>
      <c r="DL204" s="14">
        <v>2849.1455999999998</v>
      </c>
      <c r="DM204" s="13">
        <v>1454.7287999999999</v>
      </c>
      <c r="DN204" s="14">
        <v>1424.0352</v>
      </c>
      <c r="DO204" s="13">
        <v>393.56519999999995</v>
      </c>
      <c r="DP204" s="13">
        <v>421.05839999999995</v>
      </c>
      <c r="DQ204" s="13">
        <v>417.11879999999996</v>
      </c>
      <c r="DR204" s="14">
        <v>2013.7403999999999</v>
      </c>
      <c r="DS204" s="14">
        <v>1493.8896</v>
      </c>
      <c r="DT204" s="14">
        <v>2804.7683999999999</v>
      </c>
      <c r="DU204" s="14">
        <v>2101.9739999999997</v>
      </c>
      <c r="DV204" s="15">
        <v>2101.9739999999997</v>
      </c>
      <c r="DY204" s="35" t="s">
        <v>43</v>
      </c>
      <c r="DZ204" s="16">
        <v>6.2500000000000003E-3</v>
      </c>
      <c r="EA204" s="14">
        <v>6.2500000000000003E-3</v>
      </c>
      <c r="EB204" s="14">
        <v>6.2500000000000003E-3</v>
      </c>
      <c r="EC204" s="14">
        <v>6.2500000000000003E-3</v>
      </c>
      <c r="ED204" s="14">
        <v>6.2500000000000003E-3</v>
      </c>
      <c r="EE204" s="14">
        <v>6.2500000000000003E-3</v>
      </c>
      <c r="EF204" s="14">
        <v>6.2500000000000003E-3</v>
      </c>
      <c r="EG204" s="14">
        <v>6.2500000000000003E-3</v>
      </c>
      <c r="EH204" s="14">
        <v>6.2500000000000003E-3</v>
      </c>
      <c r="EI204" s="14">
        <v>6.2500000000000003E-3</v>
      </c>
      <c r="EJ204" s="14">
        <v>6.2500000000000003E-3</v>
      </c>
      <c r="EK204" s="14">
        <v>6.2500000000000003E-3</v>
      </c>
      <c r="EL204" s="14">
        <v>6.2500000000000003E-3</v>
      </c>
      <c r="EM204" s="14">
        <v>4.6511627906976744E-3</v>
      </c>
      <c r="EN204" s="14">
        <v>4.6511627906976744E-3</v>
      </c>
      <c r="EO204" s="14">
        <v>7.1428571428571435E-3</v>
      </c>
      <c r="EP204" s="14">
        <v>7.1428571428571435E-3</v>
      </c>
      <c r="EQ204" s="14">
        <v>7.1428571428571435E-3</v>
      </c>
      <c r="ER204" s="14">
        <v>7.1428571428571435E-3</v>
      </c>
      <c r="ES204" s="14">
        <v>7.1428571428571435E-3</v>
      </c>
      <c r="ET204" s="14">
        <v>7.1428571428571435E-3</v>
      </c>
      <c r="EU204" s="14">
        <v>7.1428571428571435E-3</v>
      </c>
      <c r="EV204" s="14">
        <v>7.1428571428571435E-3</v>
      </c>
      <c r="EW204" s="14">
        <v>7.1428571428571435E-3</v>
      </c>
      <c r="EX204" s="14">
        <v>7.1428571428571435E-3</v>
      </c>
      <c r="EY204" s="14">
        <v>7.1428571428571435E-3</v>
      </c>
      <c r="EZ204" s="14">
        <v>7.1428571428571435E-3</v>
      </c>
      <c r="FA204" s="14">
        <v>7.1428571428571435E-3</v>
      </c>
      <c r="FB204" s="14">
        <v>7.1428571428571435E-3</v>
      </c>
      <c r="FC204" s="14">
        <v>7.1428571428571435E-3</v>
      </c>
      <c r="FD204" s="14">
        <v>7.1428571428571435E-3</v>
      </c>
      <c r="FE204" s="14">
        <v>7.1428571428571435E-3</v>
      </c>
      <c r="FF204" s="13">
        <v>2.2222222222222223E-2</v>
      </c>
      <c r="FG204" s="13">
        <v>2.2222222222222223E-2</v>
      </c>
      <c r="FH204" s="13">
        <v>2.2222222222222223E-2</v>
      </c>
      <c r="FI204" s="13">
        <v>2.2222222222222223E-2</v>
      </c>
      <c r="FJ204" s="13">
        <v>2.2222222222222223E-2</v>
      </c>
      <c r="FK204" s="13">
        <v>2.2222222222222223E-2</v>
      </c>
      <c r="FL204" s="13">
        <v>2.2222222222222223E-2</v>
      </c>
      <c r="FM204" s="14">
        <v>4.7619047619047623E-3</v>
      </c>
      <c r="FN204" s="14">
        <v>4.7619047619047623E-3</v>
      </c>
      <c r="FO204" s="14">
        <v>4.7619047619047623E-3</v>
      </c>
      <c r="FP204" s="12">
        <v>0.6</v>
      </c>
      <c r="FQ204" s="13">
        <f>0.2/9</f>
        <v>2.2222222222222223E-2</v>
      </c>
      <c r="FR204" s="13">
        <f>0.2/9</f>
        <v>2.2222222222222223E-2</v>
      </c>
      <c r="FS204" s="13">
        <v>2.2222222222222223E-2</v>
      </c>
      <c r="FT204" s="13">
        <v>0.02</v>
      </c>
      <c r="FU204" s="13">
        <v>2.2222222222222223E-2</v>
      </c>
      <c r="FV204" s="13">
        <v>2.2222222222222223E-2</v>
      </c>
      <c r="FW204" s="14">
        <v>4.5454545454545461E-3</v>
      </c>
      <c r="FX204" s="14">
        <v>4.5454545454545461E-3</v>
      </c>
      <c r="FY204" s="13">
        <f>0.2/9</f>
        <v>2.2222222222222223E-2</v>
      </c>
      <c r="FZ204" s="14">
        <v>7.1428571428571435E-3</v>
      </c>
      <c r="GA204" s="13">
        <v>2.2222222222222223E-2</v>
      </c>
      <c r="GB204" s="13">
        <v>2.2222222222222223E-2</v>
      </c>
      <c r="GC204" s="13">
        <v>2.2222222222222223E-2</v>
      </c>
      <c r="GD204" s="14">
        <v>7.1428571428571435E-3</v>
      </c>
      <c r="GE204" s="14">
        <v>7.1428571428571435E-3</v>
      </c>
      <c r="GF204" s="14">
        <v>4.6511627906976744E-3</v>
      </c>
      <c r="GG204" s="14">
        <v>4.6511627906976744E-3</v>
      </c>
      <c r="GH204" s="15">
        <v>4.6511627906976744E-3</v>
      </c>
    </row>
    <row r="205" spans="1:190" x14ac:dyDescent="0.3">
      <c r="A205" s="35" t="s">
        <v>44</v>
      </c>
      <c r="B205" s="16" t="s">
        <v>62</v>
      </c>
      <c r="C205" s="14" t="s">
        <v>62</v>
      </c>
      <c r="D205" s="14" t="s">
        <v>62</v>
      </c>
      <c r="E205" s="14" t="s">
        <v>62</v>
      </c>
      <c r="F205" s="14" t="s">
        <v>62</v>
      </c>
      <c r="G205" s="14" t="s">
        <v>62</v>
      </c>
      <c r="H205" s="14" t="s">
        <v>62</v>
      </c>
      <c r="I205" s="14" t="s">
        <v>62</v>
      </c>
      <c r="J205" s="14" t="s">
        <v>62</v>
      </c>
      <c r="K205" s="14" t="s">
        <v>62</v>
      </c>
      <c r="L205" s="14" t="s">
        <v>62</v>
      </c>
      <c r="M205" s="14" t="s">
        <v>62</v>
      </c>
      <c r="N205" s="14" t="s">
        <v>62</v>
      </c>
      <c r="O205" s="14" t="s">
        <v>62</v>
      </c>
      <c r="P205" s="14" t="s">
        <v>62</v>
      </c>
      <c r="Q205" s="14" t="s">
        <v>62</v>
      </c>
      <c r="R205" s="14" t="s">
        <v>62</v>
      </c>
      <c r="S205" s="14" t="s">
        <v>62</v>
      </c>
      <c r="T205" s="14" t="s">
        <v>62</v>
      </c>
      <c r="U205" s="14" t="s">
        <v>62</v>
      </c>
      <c r="V205" s="14" t="s">
        <v>62</v>
      </c>
      <c r="W205" s="14" t="s">
        <v>62</v>
      </c>
      <c r="X205" s="14" t="s">
        <v>62</v>
      </c>
      <c r="Y205" s="14" t="s">
        <v>62</v>
      </c>
      <c r="Z205" s="14" t="s">
        <v>62</v>
      </c>
      <c r="AA205" s="14" t="s">
        <v>62</v>
      </c>
      <c r="AB205" s="14" t="s">
        <v>62</v>
      </c>
      <c r="AC205" s="14" t="s">
        <v>62</v>
      </c>
      <c r="AD205" s="14" t="s">
        <v>62</v>
      </c>
      <c r="AE205" s="14" t="s">
        <v>62</v>
      </c>
      <c r="AF205" s="14" t="s">
        <v>62</v>
      </c>
      <c r="AG205" s="14" t="s">
        <v>62</v>
      </c>
      <c r="AH205" s="13" t="s">
        <v>62</v>
      </c>
      <c r="AI205" s="13" t="s">
        <v>62</v>
      </c>
      <c r="AJ205" s="13" t="s">
        <v>62</v>
      </c>
      <c r="AK205" s="13" t="s">
        <v>62</v>
      </c>
      <c r="AL205" s="13" t="s">
        <v>62</v>
      </c>
      <c r="AM205" s="13" t="s">
        <v>62</v>
      </c>
      <c r="AN205" s="13" t="s">
        <v>62</v>
      </c>
      <c r="AO205" s="14" t="s">
        <v>62</v>
      </c>
      <c r="AP205" s="14" t="s">
        <v>62</v>
      </c>
      <c r="AQ205" s="14" t="s">
        <v>62</v>
      </c>
      <c r="AR205" s="13" t="s">
        <v>62</v>
      </c>
      <c r="AS205" s="12">
        <f>IF(AND(Distances!DF148=0,Distances!FR148=0),DE205*FQ205*AS161*2,"")</f>
        <v>0</v>
      </c>
      <c r="AT205" s="13" t="s">
        <v>62</v>
      </c>
      <c r="AU205" s="13" t="s">
        <v>62</v>
      </c>
      <c r="AV205" s="13" t="s">
        <v>62</v>
      </c>
      <c r="AW205" s="13" t="s">
        <v>62</v>
      </c>
      <c r="AX205" s="13" t="s">
        <v>62</v>
      </c>
      <c r="AY205" s="12" t="s">
        <v>62</v>
      </c>
      <c r="AZ205" s="12" t="s">
        <v>62</v>
      </c>
      <c r="BA205" s="13" t="s">
        <v>62</v>
      </c>
      <c r="BB205" s="14" t="s">
        <v>62</v>
      </c>
      <c r="BC205" s="13" t="s">
        <v>62</v>
      </c>
      <c r="BD205" s="13" t="s">
        <v>62</v>
      </c>
      <c r="BE205" s="13" t="s">
        <v>62</v>
      </c>
      <c r="BF205" s="14" t="s">
        <v>62</v>
      </c>
      <c r="BG205" s="14" t="s">
        <v>62</v>
      </c>
      <c r="BH205" s="14" t="s">
        <v>62</v>
      </c>
      <c r="BI205" s="14" t="s">
        <v>62</v>
      </c>
      <c r="BJ205" s="15" t="s">
        <v>62</v>
      </c>
      <c r="BM205" s="35" t="s">
        <v>44</v>
      </c>
      <c r="BN205" s="16">
        <v>2453.3292000000001</v>
      </c>
      <c r="BO205" s="14">
        <v>1881.9779999999998</v>
      </c>
      <c r="BP205" s="14">
        <v>2016.9324000000001</v>
      </c>
      <c r="BQ205" s="14">
        <v>2016.9324000000001</v>
      </c>
      <c r="BR205" s="14">
        <v>2136.6911999999998</v>
      </c>
      <c r="BS205" s="14">
        <v>1543.962</v>
      </c>
      <c r="BT205" s="14">
        <v>1649.1887999999999</v>
      </c>
      <c r="BU205" s="14">
        <v>1543.962</v>
      </c>
      <c r="BV205" s="14">
        <v>2096.7743999999998</v>
      </c>
      <c r="BW205" s="14">
        <v>2096.7743999999998</v>
      </c>
      <c r="BX205" s="14">
        <v>1665.3503999999998</v>
      </c>
      <c r="BY205" s="14">
        <v>1665.3503999999998</v>
      </c>
      <c r="BZ205" s="14">
        <v>1993.7231999999999</v>
      </c>
      <c r="CA205" s="14">
        <v>1481.3987999999999</v>
      </c>
      <c r="CB205" s="14">
        <v>2803.5084000000002</v>
      </c>
      <c r="CC205" s="14">
        <v>1253.7336</v>
      </c>
      <c r="CD205" s="14">
        <v>1241.9148</v>
      </c>
      <c r="CE205" s="14">
        <v>1277.3628000000001</v>
      </c>
      <c r="CF205" s="14">
        <v>1218.2772</v>
      </c>
      <c r="CG205" s="14">
        <v>1027.8323999999998</v>
      </c>
      <c r="CH205" s="14">
        <v>1522.0632000000001</v>
      </c>
      <c r="CI205" s="14">
        <v>1230.096</v>
      </c>
      <c r="CJ205" s="14">
        <v>1451.1419999999998</v>
      </c>
      <c r="CK205" s="14">
        <v>1218.2772</v>
      </c>
      <c r="CL205" s="14">
        <v>1119.3335999999999</v>
      </c>
      <c r="CM205" s="14">
        <v>1098.9971999999998</v>
      </c>
      <c r="CN205" s="14">
        <v>1058.3328000000001</v>
      </c>
      <c r="CO205" s="14">
        <v>1048.1687999999999</v>
      </c>
      <c r="CP205" s="14">
        <v>1451.1419999999998</v>
      </c>
      <c r="CQ205" s="14">
        <v>1522.0632000000001</v>
      </c>
      <c r="CR205" s="14">
        <v>1522.0632000000001</v>
      </c>
      <c r="CS205" s="14">
        <v>1522.0632000000001</v>
      </c>
      <c r="CT205" s="13">
        <v>631.8732</v>
      </c>
      <c r="CU205" s="13">
        <v>614.77919999999995</v>
      </c>
      <c r="CV205" s="13">
        <v>631.8732</v>
      </c>
      <c r="CW205" s="13">
        <v>632.6543999999999</v>
      </c>
      <c r="CX205" s="13">
        <v>413.19599999999997</v>
      </c>
      <c r="CY205" s="13">
        <v>413.19599999999997</v>
      </c>
      <c r="CZ205" s="13">
        <v>413.19599999999997</v>
      </c>
      <c r="DA205" s="14">
        <v>943.02600000000007</v>
      </c>
      <c r="DB205" s="14">
        <v>961.31280000000004</v>
      </c>
      <c r="DC205" s="14">
        <v>1085.5572</v>
      </c>
      <c r="DD205" s="13">
        <v>0</v>
      </c>
      <c r="DE205" s="12">
        <v>0</v>
      </c>
      <c r="DF205" s="13">
        <v>0</v>
      </c>
      <c r="DG205" s="13">
        <v>413.19599999999997</v>
      </c>
      <c r="DH205" s="13">
        <v>1451.1419999999998</v>
      </c>
      <c r="DI205" s="13">
        <v>1451.1419999999998</v>
      </c>
      <c r="DJ205" s="13">
        <v>421.05</v>
      </c>
      <c r="DK205" s="12">
        <v>0</v>
      </c>
      <c r="DL205" s="12">
        <v>2849.1455999999998</v>
      </c>
      <c r="DM205" s="13">
        <v>1454.7287999999999</v>
      </c>
      <c r="DN205" s="14">
        <v>1424.0352</v>
      </c>
      <c r="DO205" s="13">
        <v>393.56519999999995</v>
      </c>
      <c r="DP205" s="13">
        <v>421.05839999999995</v>
      </c>
      <c r="DQ205" s="13">
        <v>417.11879999999996</v>
      </c>
      <c r="DR205" s="14">
        <v>2013.7403999999999</v>
      </c>
      <c r="DS205" s="14">
        <v>1493.8896</v>
      </c>
      <c r="DT205" s="14">
        <v>2804.7683999999999</v>
      </c>
      <c r="DU205" s="14">
        <v>2101.9739999999997</v>
      </c>
      <c r="DV205" s="15">
        <v>2101.9739999999997</v>
      </c>
      <c r="DY205" s="35" t="s">
        <v>44</v>
      </c>
      <c r="DZ205" s="16">
        <v>6.2500000000000003E-3</v>
      </c>
      <c r="EA205" s="14">
        <v>6.2500000000000003E-3</v>
      </c>
      <c r="EB205" s="14">
        <v>6.2500000000000003E-3</v>
      </c>
      <c r="EC205" s="14">
        <v>6.2500000000000003E-3</v>
      </c>
      <c r="ED205" s="14">
        <v>6.2500000000000003E-3</v>
      </c>
      <c r="EE205" s="14">
        <v>6.2500000000000003E-3</v>
      </c>
      <c r="EF205" s="14">
        <v>6.2500000000000003E-3</v>
      </c>
      <c r="EG205" s="14">
        <v>6.2500000000000003E-3</v>
      </c>
      <c r="EH205" s="14">
        <v>6.2500000000000003E-3</v>
      </c>
      <c r="EI205" s="14">
        <v>6.2500000000000003E-3</v>
      </c>
      <c r="EJ205" s="14">
        <v>6.2500000000000003E-3</v>
      </c>
      <c r="EK205" s="14">
        <v>6.2500000000000003E-3</v>
      </c>
      <c r="EL205" s="14">
        <v>6.2500000000000003E-3</v>
      </c>
      <c r="EM205" s="14">
        <v>4.6511627906976744E-3</v>
      </c>
      <c r="EN205" s="14">
        <v>4.6511627906976744E-3</v>
      </c>
      <c r="EO205" s="14">
        <v>7.1428571428571435E-3</v>
      </c>
      <c r="EP205" s="14">
        <v>7.1428571428571435E-3</v>
      </c>
      <c r="EQ205" s="14">
        <v>7.1428571428571435E-3</v>
      </c>
      <c r="ER205" s="14">
        <v>7.1428571428571435E-3</v>
      </c>
      <c r="ES205" s="14">
        <v>7.1428571428571435E-3</v>
      </c>
      <c r="ET205" s="14">
        <v>7.1428571428571435E-3</v>
      </c>
      <c r="EU205" s="14">
        <v>7.1428571428571435E-3</v>
      </c>
      <c r="EV205" s="14">
        <v>7.1428571428571435E-3</v>
      </c>
      <c r="EW205" s="14">
        <v>7.1428571428571435E-3</v>
      </c>
      <c r="EX205" s="14">
        <v>7.1428571428571435E-3</v>
      </c>
      <c r="EY205" s="14">
        <v>7.1428571428571435E-3</v>
      </c>
      <c r="EZ205" s="14">
        <v>7.1428571428571435E-3</v>
      </c>
      <c r="FA205" s="14">
        <v>7.1428571428571435E-3</v>
      </c>
      <c r="FB205" s="14">
        <v>7.1428571428571435E-3</v>
      </c>
      <c r="FC205" s="14">
        <v>7.1428571428571435E-3</v>
      </c>
      <c r="FD205" s="14">
        <v>7.1428571428571435E-3</v>
      </c>
      <c r="FE205" s="14">
        <v>7.1428571428571435E-3</v>
      </c>
      <c r="FF205" s="13">
        <v>2.2222222222222223E-2</v>
      </c>
      <c r="FG205" s="13">
        <v>2.2222222222222223E-2</v>
      </c>
      <c r="FH205" s="13">
        <v>2.2222222222222223E-2</v>
      </c>
      <c r="FI205" s="13">
        <v>2.2222222222222223E-2</v>
      </c>
      <c r="FJ205" s="13">
        <v>2.2222222222222223E-2</v>
      </c>
      <c r="FK205" s="13">
        <v>2.2222222222222223E-2</v>
      </c>
      <c r="FL205" s="13">
        <v>2.2222222222222223E-2</v>
      </c>
      <c r="FM205" s="14">
        <v>4.7619047619047623E-3</v>
      </c>
      <c r="FN205" s="14">
        <v>4.7619047619047623E-3</v>
      </c>
      <c r="FO205" s="14">
        <v>4.7619047619047623E-3</v>
      </c>
      <c r="FP205" s="13">
        <v>2.2222222222222223E-2</v>
      </c>
      <c r="FQ205" s="12">
        <v>0.6</v>
      </c>
      <c r="FR205" s="13">
        <f>0.2/9</f>
        <v>2.2222222222222223E-2</v>
      </c>
      <c r="FS205" s="13">
        <v>2.2222222222222223E-2</v>
      </c>
      <c r="FT205" s="13">
        <v>0.02</v>
      </c>
      <c r="FU205" s="13">
        <v>2.2222222222222223E-2</v>
      </c>
      <c r="FV205" s="13">
        <v>2.2222222222222223E-2</v>
      </c>
      <c r="FW205" s="12">
        <v>0.8</v>
      </c>
      <c r="FX205" s="12">
        <v>0.8</v>
      </c>
      <c r="FY205" s="13">
        <f>0.2/9</f>
        <v>2.2222222222222223E-2</v>
      </c>
      <c r="FZ205" s="14">
        <v>7.1428571428571435E-3</v>
      </c>
      <c r="GA205" s="13">
        <v>2.2222222222222223E-2</v>
      </c>
      <c r="GB205" s="13">
        <v>2.2222222222222223E-2</v>
      </c>
      <c r="GC205" s="13">
        <v>2.2222222222222223E-2</v>
      </c>
      <c r="GD205" s="14">
        <v>7.1428571428571435E-3</v>
      </c>
      <c r="GE205" s="14">
        <v>7.1428571428571435E-3</v>
      </c>
      <c r="GF205" s="14">
        <v>4.6511627906976744E-3</v>
      </c>
      <c r="GG205" s="14">
        <v>4.6511627906976744E-3</v>
      </c>
      <c r="GH205" s="15">
        <v>4.6511627906976744E-3</v>
      </c>
    </row>
    <row r="206" spans="1:190" x14ac:dyDescent="0.3">
      <c r="A206" s="36" t="s">
        <v>45</v>
      </c>
      <c r="B206" s="21" t="s">
        <v>62</v>
      </c>
      <c r="C206" s="22" t="s">
        <v>62</v>
      </c>
      <c r="D206" s="22" t="s">
        <v>62</v>
      </c>
      <c r="E206" s="22" t="s">
        <v>62</v>
      </c>
      <c r="F206" s="22" t="s">
        <v>62</v>
      </c>
      <c r="G206" s="22" t="s">
        <v>62</v>
      </c>
      <c r="H206" s="22" t="s">
        <v>62</v>
      </c>
      <c r="I206" s="22" t="s">
        <v>62</v>
      </c>
      <c r="J206" s="22" t="s">
        <v>62</v>
      </c>
      <c r="K206" s="22" t="s">
        <v>62</v>
      </c>
      <c r="L206" s="22" t="s">
        <v>62</v>
      </c>
      <c r="M206" s="22" t="s">
        <v>62</v>
      </c>
      <c r="N206" s="22" t="s">
        <v>62</v>
      </c>
      <c r="O206" s="22" t="s">
        <v>62</v>
      </c>
      <c r="P206" s="22" t="s">
        <v>62</v>
      </c>
      <c r="Q206" s="22" t="s">
        <v>62</v>
      </c>
      <c r="R206" s="22" t="s">
        <v>62</v>
      </c>
      <c r="S206" s="22" t="s">
        <v>62</v>
      </c>
      <c r="T206" s="22" t="s">
        <v>62</v>
      </c>
      <c r="U206" s="22" t="s">
        <v>62</v>
      </c>
      <c r="V206" s="22" t="s">
        <v>62</v>
      </c>
      <c r="W206" s="22" t="s">
        <v>62</v>
      </c>
      <c r="X206" s="22" t="s">
        <v>62</v>
      </c>
      <c r="Y206" s="22" t="s">
        <v>62</v>
      </c>
      <c r="Z206" s="22" t="s">
        <v>62</v>
      </c>
      <c r="AA206" s="22" t="s">
        <v>62</v>
      </c>
      <c r="AB206" s="22" t="s">
        <v>62</v>
      </c>
      <c r="AC206" s="22" t="s">
        <v>62</v>
      </c>
      <c r="AD206" s="22" t="s">
        <v>62</v>
      </c>
      <c r="AE206" s="22" t="s">
        <v>62</v>
      </c>
      <c r="AF206" s="22" t="s">
        <v>62</v>
      </c>
      <c r="AG206" s="22" t="s">
        <v>62</v>
      </c>
      <c r="AH206" s="23" t="s">
        <v>62</v>
      </c>
      <c r="AI206" s="23" t="s">
        <v>62</v>
      </c>
      <c r="AJ206" s="23" t="s">
        <v>62</v>
      </c>
      <c r="AK206" s="23" t="s">
        <v>62</v>
      </c>
      <c r="AL206" s="23" t="s">
        <v>62</v>
      </c>
      <c r="AM206" s="23" t="s">
        <v>62</v>
      </c>
      <c r="AN206" s="23" t="s">
        <v>62</v>
      </c>
      <c r="AO206" s="22" t="s">
        <v>62</v>
      </c>
      <c r="AP206" s="22" t="s">
        <v>62</v>
      </c>
      <c r="AQ206" s="22" t="s">
        <v>62</v>
      </c>
      <c r="AR206" s="23" t="s">
        <v>62</v>
      </c>
      <c r="AS206" s="23" t="s">
        <v>62</v>
      </c>
      <c r="AT206" s="24">
        <f>IF(AND(Distances!DG149=0,Distances!FS149=0),DF206*FR206*AT161*2,"")</f>
        <v>0</v>
      </c>
      <c r="AU206" s="23" t="s">
        <v>62</v>
      </c>
      <c r="AV206" s="23" t="s">
        <v>62</v>
      </c>
      <c r="AW206" s="23" t="s">
        <v>62</v>
      </c>
      <c r="AX206" s="23" t="s">
        <v>62</v>
      </c>
      <c r="AY206" s="22" t="s">
        <v>62</v>
      </c>
      <c r="AZ206" s="22" t="s">
        <v>62</v>
      </c>
      <c r="BA206" s="24" t="s">
        <v>62</v>
      </c>
      <c r="BB206" s="22" t="s">
        <v>62</v>
      </c>
      <c r="BC206" s="23" t="s">
        <v>62</v>
      </c>
      <c r="BD206" s="23" t="s">
        <v>62</v>
      </c>
      <c r="BE206" s="23" t="s">
        <v>62</v>
      </c>
      <c r="BF206" s="22" t="s">
        <v>62</v>
      </c>
      <c r="BG206" s="22" t="s">
        <v>62</v>
      </c>
      <c r="BH206" s="22" t="s">
        <v>62</v>
      </c>
      <c r="BI206" s="22" t="s">
        <v>62</v>
      </c>
      <c r="BJ206" s="25" t="s">
        <v>62</v>
      </c>
      <c r="BM206" s="36" t="s">
        <v>45</v>
      </c>
      <c r="BN206" s="21">
        <v>2453.3292000000001</v>
      </c>
      <c r="BO206" s="22">
        <v>1881.9779999999998</v>
      </c>
      <c r="BP206" s="22">
        <v>2016.9324000000001</v>
      </c>
      <c r="BQ206" s="22">
        <v>2016.9324000000001</v>
      </c>
      <c r="BR206" s="22">
        <v>2136.6911999999998</v>
      </c>
      <c r="BS206" s="22">
        <v>1543.962</v>
      </c>
      <c r="BT206" s="22">
        <v>1649.1887999999999</v>
      </c>
      <c r="BU206" s="22">
        <v>1543.962</v>
      </c>
      <c r="BV206" s="22">
        <v>2096.7743999999998</v>
      </c>
      <c r="BW206" s="22">
        <v>2096.7743999999998</v>
      </c>
      <c r="BX206" s="22">
        <v>1665.3503999999998</v>
      </c>
      <c r="BY206" s="22">
        <v>1665.3503999999998</v>
      </c>
      <c r="BZ206" s="22">
        <v>1993.7231999999999</v>
      </c>
      <c r="CA206" s="22">
        <v>1481.3987999999999</v>
      </c>
      <c r="CB206" s="22">
        <v>2803.5084000000002</v>
      </c>
      <c r="CC206" s="22">
        <v>1253.7336</v>
      </c>
      <c r="CD206" s="22">
        <v>1241.9148</v>
      </c>
      <c r="CE206" s="22">
        <v>1277.3628000000001</v>
      </c>
      <c r="CF206" s="22">
        <v>1218.2772</v>
      </c>
      <c r="CG206" s="22">
        <v>1027.8323999999998</v>
      </c>
      <c r="CH206" s="22">
        <v>1522.0632000000001</v>
      </c>
      <c r="CI206" s="22">
        <v>1230.096</v>
      </c>
      <c r="CJ206" s="22">
        <v>1451.1419999999998</v>
      </c>
      <c r="CK206" s="22">
        <v>1218.2772</v>
      </c>
      <c r="CL206" s="22">
        <v>1119.3335999999999</v>
      </c>
      <c r="CM206" s="22">
        <v>1098.9971999999998</v>
      </c>
      <c r="CN206" s="22">
        <v>1058.3328000000001</v>
      </c>
      <c r="CO206" s="22">
        <v>1048.1687999999999</v>
      </c>
      <c r="CP206" s="22">
        <v>1451.1419999999998</v>
      </c>
      <c r="CQ206" s="22">
        <v>1522.0632000000001</v>
      </c>
      <c r="CR206" s="22">
        <v>1522.0632000000001</v>
      </c>
      <c r="CS206" s="22">
        <v>1522.0632000000001</v>
      </c>
      <c r="CT206" s="23">
        <v>631.8732</v>
      </c>
      <c r="CU206" s="23">
        <v>614.77919999999995</v>
      </c>
      <c r="CV206" s="23">
        <v>631.8732</v>
      </c>
      <c r="CW206" s="23">
        <v>632.6543999999999</v>
      </c>
      <c r="CX206" s="23">
        <v>413.19599999999997</v>
      </c>
      <c r="CY206" s="23">
        <v>413.19599999999997</v>
      </c>
      <c r="CZ206" s="23">
        <v>413.19599999999997</v>
      </c>
      <c r="DA206" s="22">
        <v>943.02600000000007</v>
      </c>
      <c r="DB206" s="22">
        <v>961.31280000000004</v>
      </c>
      <c r="DC206" s="22">
        <v>1085.5572</v>
      </c>
      <c r="DD206" s="23">
        <v>0</v>
      </c>
      <c r="DE206" s="23">
        <v>0</v>
      </c>
      <c r="DF206" s="24">
        <v>0</v>
      </c>
      <c r="DG206" s="23">
        <v>413.19599999999997</v>
      </c>
      <c r="DH206" s="23">
        <v>1451.1419999999998</v>
      </c>
      <c r="DI206" s="23">
        <v>1451.1419999999998</v>
      </c>
      <c r="DJ206" s="23">
        <v>421.05</v>
      </c>
      <c r="DK206" s="22">
        <v>0</v>
      </c>
      <c r="DL206" s="22">
        <v>2849.1455999999998</v>
      </c>
      <c r="DM206" s="24">
        <v>1454.7287999999999</v>
      </c>
      <c r="DN206" s="22">
        <v>1424.0352</v>
      </c>
      <c r="DO206" s="23">
        <v>393.56519999999995</v>
      </c>
      <c r="DP206" s="23">
        <v>421.05839999999995</v>
      </c>
      <c r="DQ206" s="23">
        <v>417.11879999999996</v>
      </c>
      <c r="DR206" s="22">
        <v>2013.7403999999999</v>
      </c>
      <c r="DS206" s="22">
        <v>1493.8896</v>
      </c>
      <c r="DT206" s="22">
        <v>2804.7683999999999</v>
      </c>
      <c r="DU206" s="22">
        <v>2101.9739999999997</v>
      </c>
      <c r="DV206" s="25">
        <v>2101.9739999999997</v>
      </c>
      <c r="DY206" s="36" t="s">
        <v>45</v>
      </c>
      <c r="DZ206" s="21">
        <v>6.2500000000000003E-3</v>
      </c>
      <c r="EA206" s="22">
        <v>6.2500000000000003E-3</v>
      </c>
      <c r="EB206" s="22">
        <v>6.2500000000000003E-3</v>
      </c>
      <c r="EC206" s="22">
        <v>6.2500000000000003E-3</v>
      </c>
      <c r="ED206" s="22">
        <v>6.2500000000000003E-3</v>
      </c>
      <c r="EE206" s="22">
        <v>6.2500000000000003E-3</v>
      </c>
      <c r="EF206" s="22">
        <v>6.2500000000000003E-3</v>
      </c>
      <c r="EG206" s="22">
        <v>6.2500000000000003E-3</v>
      </c>
      <c r="EH206" s="22">
        <v>6.2500000000000003E-3</v>
      </c>
      <c r="EI206" s="22">
        <v>6.2500000000000003E-3</v>
      </c>
      <c r="EJ206" s="22">
        <v>6.2500000000000003E-3</v>
      </c>
      <c r="EK206" s="22">
        <v>6.2500000000000003E-3</v>
      </c>
      <c r="EL206" s="22">
        <v>6.2500000000000003E-3</v>
      </c>
      <c r="EM206" s="22">
        <v>4.6511627906976744E-3</v>
      </c>
      <c r="EN206" s="22">
        <v>4.6511627906976744E-3</v>
      </c>
      <c r="EO206" s="22">
        <v>7.1428571428571435E-3</v>
      </c>
      <c r="EP206" s="22">
        <v>7.1428571428571435E-3</v>
      </c>
      <c r="EQ206" s="22">
        <v>7.1428571428571435E-3</v>
      </c>
      <c r="ER206" s="22">
        <v>7.1428571428571435E-3</v>
      </c>
      <c r="ES206" s="22">
        <v>7.1428571428571435E-3</v>
      </c>
      <c r="ET206" s="22">
        <v>7.1428571428571435E-3</v>
      </c>
      <c r="EU206" s="22">
        <v>7.1428571428571435E-3</v>
      </c>
      <c r="EV206" s="22">
        <v>7.1428571428571435E-3</v>
      </c>
      <c r="EW206" s="22">
        <v>7.1428571428571435E-3</v>
      </c>
      <c r="EX206" s="22">
        <v>7.1428571428571435E-3</v>
      </c>
      <c r="EY206" s="22">
        <v>7.1428571428571435E-3</v>
      </c>
      <c r="EZ206" s="22">
        <v>7.1428571428571435E-3</v>
      </c>
      <c r="FA206" s="22">
        <v>7.1428571428571435E-3</v>
      </c>
      <c r="FB206" s="22">
        <v>7.1428571428571435E-3</v>
      </c>
      <c r="FC206" s="22">
        <v>7.1428571428571435E-3</v>
      </c>
      <c r="FD206" s="22">
        <v>7.1428571428571435E-3</v>
      </c>
      <c r="FE206" s="22">
        <v>7.1428571428571435E-3</v>
      </c>
      <c r="FF206" s="23">
        <v>2.2222222222222223E-2</v>
      </c>
      <c r="FG206" s="23">
        <v>2.2222222222222223E-2</v>
      </c>
      <c r="FH206" s="23">
        <v>2.2222222222222223E-2</v>
      </c>
      <c r="FI206" s="23">
        <v>2.2222222222222223E-2</v>
      </c>
      <c r="FJ206" s="23">
        <v>2.2222222222222223E-2</v>
      </c>
      <c r="FK206" s="23">
        <v>2.2222222222222223E-2</v>
      </c>
      <c r="FL206" s="23">
        <v>2.2222222222222223E-2</v>
      </c>
      <c r="FM206" s="22">
        <v>4.7619047619047623E-3</v>
      </c>
      <c r="FN206" s="22">
        <v>4.7619047619047623E-3</v>
      </c>
      <c r="FO206" s="22">
        <v>4.7619047619047623E-3</v>
      </c>
      <c r="FP206" s="23">
        <v>2.2222222222222223E-2</v>
      </c>
      <c r="FQ206" s="23">
        <v>2.2222222222222223E-2</v>
      </c>
      <c r="FR206" s="24">
        <v>0.6</v>
      </c>
      <c r="FS206" s="23">
        <v>2.2222222222222223E-2</v>
      </c>
      <c r="FT206" s="23">
        <v>0.02</v>
      </c>
      <c r="FU206" s="23">
        <v>2.2222222222222223E-2</v>
      </c>
      <c r="FV206" s="23">
        <v>2.2222222222222223E-2</v>
      </c>
      <c r="FW206" s="22">
        <v>4.5454545454545461E-3</v>
      </c>
      <c r="FX206" s="22">
        <v>4.5454545454545461E-3</v>
      </c>
      <c r="FY206" s="24">
        <v>0.6</v>
      </c>
      <c r="FZ206" s="22">
        <v>7.1428571428571435E-3</v>
      </c>
      <c r="GA206" s="23">
        <v>2.2222222222222223E-2</v>
      </c>
      <c r="GB206" s="23">
        <v>2.2222222222222223E-2</v>
      </c>
      <c r="GC206" s="23">
        <v>2.2222222222222223E-2</v>
      </c>
      <c r="GD206" s="22">
        <v>7.1428571428571435E-3</v>
      </c>
      <c r="GE206" s="22">
        <v>7.1428571428571435E-3</v>
      </c>
      <c r="GF206" s="22">
        <v>4.6511627906976744E-3</v>
      </c>
      <c r="GG206" s="22">
        <v>4.6511627906976744E-3</v>
      </c>
      <c r="GH206" s="25">
        <v>4.6511627906976744E-3</v>
      </c>
    </row>
    <row r="209" spans="1:190" ht="21" x14ac:dyDescent="0.3">
      <c r="A209" s="55" t="s">
        <v>125</v>
      </c>
      <c r="B209" s="57"/>
      <c r="C209" s="57"/>
      <c r="D209" s="56"/>
      <c r="BM209" s="55" t="s">
        <v>128</v>
      </c>
      <c r="BN209" s="57"/>
      <c r="BO209" s="57"/>
      <c r="BP209" s="56"/>
      <c r="DY209" s="55" t="s">
        <v>129</v>
      </c>
      <c r="DZ209" s="57"/>
      <c r="EA209" s="56"/>
    </row>
    <row r="211" spans="1:190" ht="28.8" x14ac:dyDescent="0.3">
      <c r="A211" s="1" t="s">
        <v>0</v>
      </c>
      <c r="B211" s="2" t="s">
        <v>1</v>
      </c>
      <c r="C211" s="3" t="s">
        <v>2</v>
      </c>
      <c r="D211" s="3" t="s">
        <v>3</v>
      </c>
      <c r="E211" s="3" t="s">
        <v>4</v>
      </c>
      <c r="F211" s="3" t="s">
        <v>5</v>
      </c>
      <c r="G211" s="3" t="s">
        <v>6</v>
      </c>
      <c r="H211" s="3" t="s">
        <v>7</v>
      </c>
      <c r="I211" s="3" t="s">
        <v>8</v>
      </c>
      <c r="J211" s="3" t="s">
        <v>9</v>
      </c>
      <c r="K211" s="3" t="s">
        <v>10</v>
      </c>
      <c r="L211" s="3" t="s">
        <v>11</v>
      </c>
      <c r="M211" s="3" t="s">
        <v>12</v>
      </c>
      <c r="N211" s="3" t="s">
        <v>13</v>
      </c>
      <c r="O211" s="3" t="s">
        <v>14</v>
      </c>
      <c r="P211" s="3" t="s">
        <v>15</v>
      </c>
      <c r="Q211" s="3" t="s">
        <v>16</v>
      </c>
      <c r="R211" s="3" t="s">
        <v>17</v>
      </c>
      <c r="S211" s="3" t="s">
        <v>18</v>
      </c>
      <c r="T211" s="3" t="s">
        <v>19</v>
      </c>
      <c r="U211" s="3" t="s">
        <v>20</v>
      </c>
      <c r="V211" s="3" t="s">
        <v>21</v>
      </c>
      <c r="W211" s="3" t="s">
        <v>22</v>
      </c>
      <c r="X211" s="3" t="s">
        <v>23</v>
      </c>
      <c r="Y211" s="3" t="s">
        <v>24</v>
      </c>
      <c r="Z211" s="3" t="s">
        <v>25</v>
      </c>
      <c r="AA211" s="3" t="s">
        <v>26</v>
      </c>
      <c r="AB211" s="3" t="s">
        <v>27</v>
      </c>
      <c r="AC211" s="3" t="s">
        <v>28</v>
      </c>
      <c r="AD211" s="3" t="s">
        <v>29</v>
      </c>
      <c r="AE211" s="3" t="s">
        <v>30</v>
      </c>
      <c r="AF211" s="3" t="s">
        <v>31</v>
      </c>
      <c r="AG211" s="3" t="s">
        <v>32</v>
      </c>
      <c r="AH211" s="3" t="s">
        <v>33</v>
      </c>
      <c r="AI211" s="3" t="s">
        <v>34</v>
      </c>
      <c r="AJ211" s="3" t="s">
        <v>35</v>
      </c>
      <c r="AK211" s="3" t="s">
        <v>36</v>
      </c>
      <c r="AL211" s="3" t="s">
        <v>37</v>
      </c>
      <c r="AM211" s="3" t="s">
        <v>38</v>
      </c>
      <c r="AN211" s="3" t="s">
        <v>39</v>
      </c>
      <c r="AO211" s="3" t="s">
        <v>40</v>
      </c>
      <c r="AP211" s="3" t="s">
        <v>41</v>
      </c>
      <c r="AQ211" s="3" t="s">
        <v>42</v>
      </c>
      <c r="AR211" s="3" t="s">
        <v>43</v>
      </c>
      <c r="AS211" s="3" t="s">
        <v>44</v>
      </c>
      <c r="AT211" s="3" t="s">
        <v>45</v>
      </c>
      <c r="AU211" s="3" t="s">
        <v>46</v>
      </c>
      <c r="AV211" s="3" t="s">
        <v>47</v>
      </c>
      <c r="AW211" s="3" t="s">
        <v>117</v>
      </c>
      <c r="AX211" s="3" t="s">
        <v>49</v>
      </c>
      <c r="AY211" s="3" t="s">
        <v>114</v>
      </c>
      <c r="AZ211" s="3" t="s">
        <v>51</v>
      </c>
      <c r="BA211" s="3" t="s">
        <v>52</v>
      </c>
      <c r="BB211" s="3" t="s">
        <v>53</v>
      </c>
      <c r="BC211" s="3" t="s">
        <v>54</v>
      </c>
      <c r="BD211" s="3" t="s">
        <v>71</v>
      </c>
      <c r="BE211" s="3" t="s">
        <v>56</v>
      </c>
      <c r="BF211" s="3" t="s">
        <v>57</v>
      </c>
      <c r="BG211" s="3" t="s">
        <v>58</v>
      </c>
      <c r="BH211" s="3" t="s">
        <v>59</v>
      </c>
      <c r="BI211" s="3" t="s">
        <v>60</v>
      </c>
      <c r="BJ211" s="4" t="s">
        <v>61</v>
      </c>
      <c r="BM211" s="1" t="s">
        <v>66</v>
      </c>
      <c r="BN211" s="2" t="s">
        <v>1</v>
      </c>
      <c r="BO211" s="3" t="s">
        <v>2</v>
      </c>
      <c r="BP211" s="3" t="s">
        <v>3</v>
      </c>
      <c r="BQ211" s="3" t="s">
        <v>4</v>
      </c>
      <c r="BR211" s="3" t="s">
        <v>5</v>
      </c>
      <c r="BS211" s="3" t="s">
        <v>6</v>
      </c>
      <c r="BT211" s="3" t="s">
        <v>7</v>
      </c>
      <c r="BU211" s="3" t="s">
        <v>8</v>
      </c>
      <c r="BV211" s="3" t="s">
        <v>9</v>
      </c>
      <c r="BW211" s="3" t="s">
        <v>10</v>
      </c>
      <c r="BX211" s="3" t="s">
        <v>11</v>
      </c>
      <c r="BY211" s="3" t="s">
        <v>12</v>
      </c>
      <c r="BZ211" s="3" t="s">
        <v>13</v>
      </c>
      <c r="CA211" s="3" t="s">
        <v>14</v>
      </c>
      <c r="CB211" s="3" t="s">
        <v>15</v>
      </c>
      <c r="CC211" s="3" t="s">
        <v>16</v>
      </c>
      <c r="CD211" s="3" t="s">
        <v>17</v>
      </c>
      <c r="CE211" s="3" t="s">
        <v>18</v>
      </c>
      <c r="CF211" s="3" t="s">
        <v>19</v>
      </c>
      <c r="CG211" s="3" t="s">
        <v>20</v>
      </c>
      <c r="CH211" s="3" t="s">
        <v>21</v>
      </c>
      <c r="CI211" s="3" t="s">
        <v>22</v>
      </c>
      <c r="CJ211" s="3" t="s">
        <v>23</v>
      </c>
      <c r="CK211" s="3" t="s">
        <v>24</v>
      </c>
      <c r="CL211" s="3" t="s">
        <v>25</v>
      </c>
      <c r="CM211" s="3" t="s">
        <v>26</v>
      </c>
      <c r="CN211" s="3" t="s">
        <v>27</v>
      </c>
      <c r="CO211" s="3" t="s">
        <v>28</v>
      </c>
      <c r="CP211" s="3" t="s">
        <v>29</v>
      </c>
      <c r="CQ211" s="3" t="s">
        <v>30</v>
      </c>
      <c r="CR211" s="3" t="s">
        <v>31</v>
      </c>
      <c r="CS211" s="3" t="s">
        <v>32</v>
      </c>
      <c r="CT211" s="3" t="s">
        <v>33</v>
      </c>
      <c r="CU211" s="3" t="s">
        <v>34</v>
      </c>
      <c r="CV211" s="3" t="s">
        <v>35</v>
      </c>
      <c r="CW211" s="3" t="s">
        <v>36</v>
      </c>
      <c r="CX211" s="3" t="s">
        <v>37</v>
      </c>
      <c r="CY211" s="3" t="s">
        <v>38</v>
      </c>
      <c r="CZ211" s="3" t="s">
        <v>39</v>
      </c>
      <c r="DA211" s="3" t="s">
        <v>40</v>
      </c>
      <c r="DB211" s="3" t="s">
        <v>41</v>
      </c>
      <c r="DC211" s="3" t="s">
        <v>42</v>
      </c>
      <c r="DD211" s="3" t="s">
        <v>43</v>
      </c>
      <c r="DE211" s="3" t="s">
        <v>44</v>
      </c>
      <c r="DF211" s="3" t="s">
        <v>45</v>
      </c>
      <c r="DG211" s="3" t="s">
        <v>46</v>
      </c>
      <c r="DH211" s="3" t="s">
        <v>47</v>
      </c>
      <c r="DI211" s="3" t="s">
        <v>117</v>
      </c>
      <c r="DJ211" s="3" t="s">
        <v>49</v>
      </c>
      <c r="DK211" s="3" t="s">
        <v>114</v>
      </c>
      <c r="DL211" s="3" t="s">
        <v>51</v>
      </c>
      <c r="DM211" s="3" t="s">
        <v>52</v>
      </c>
      <c r="DN211" s="3" t="s">
        <v>53</v>
      </c>
      <c r="DO211" s="3" t="s">
        <v>54</v>
      </c>
      <c r="DP211" s="3" t="s">
        <v>71</v>
      </c>
      <c r="DQ211" s="3" t="s">
        <v>56</v>
      </c>
      <c r="DR211" s="3" t="s">
        <v>57</v>
      </c>
      <c r="DS211" s="3" t="s">
        <v>58</v>
      </c>
      <c r="DT211" s="3" t="s">
        <v>59</v>
      </c>
      <c r="DU211" s="3" t="s">
        <v>60</v>
      </c>
      <c r="DV211" s="4" t="s">
        <v>61</v>
      </c>
      <c r="DY211" s="1" t="s">
        <v>66</v>
      </c>
      <c r="DZ211" s="2" t="s">
        <v>1</v>
      </c>
      <c r="EA211" s="3" t="s">
        <v>2</v>
      </c>
      <c r="EB211" s="3" t="s">
        <v>3</v>
      </c>
      <c r="EC211" s="3" t="s">
        <v>4</v>
      </c>
      <c r="ED211" s="3" t="s">
        <v>5</v>
      </c>
      <c r="EE211" s="3" t="s">
        <v>6</v>
      </c>
      <c r="EF211" s="3" t="s">
        <v>7</v>
      </c>
      <c r="EG211" s="3" t="s">
        <v>8</v>
      </c>
      <c r="EH211" s="3" t="s">
        <v>9</v>
      </c>
      <c r="EI211" s="3" t="s">
        <v>10</v>
      </c>
      <c r="EJ211" s="3" t="s">
        <v>11</v>
      </c>
      <c r="EK211" s="3" t="s">
        <v>12</v>
      </c>
      <c r="EL211" s="3" t="s">
        <v>13</v>
      </c>
      <c r="EM211" s="3" t="s">
        <v>14</v>
      </c>
      <c r="EN211" s="3" t="s">
        <v>15</v>
      </c>
      <c r="EO211" s="3" t="s">
        <v>16</v>
      </c>
      <c r="EP211" s="3" t="s">
        <v>17</v>
      </c>
      <c r="EQ211" s="3" t="s">
        <v>18</v>
      </c>
      <c r="ER211" s="3" t="s">
        <v>19</v>
      </c>
      <c r="ES211" s="3" t="s">
        <v>20</v>
      </c>
      <c r="ET211" s="3" t="s">
        <v>21</v>
      </c>
      <c r="EU211" s="3" t="s">
        <v>22</v>
      </c>
      <c r="EV211" s="3" t="s">
        <v>23</v>
      </c>
      <c r="EW211" s="3" t="s">
        <v>24</v>
      </c>
      <c r="EX211" s="3" t="s">
        <v>25</v>
      </c>
      <c r="EY211" s="3" t="s">
        <v>26</v>
      </c>
      <c r="EZ211" s="3" t="s">
        <v>27</v>
      </c>
      <c r="FA211" s="3" t="s">
        <v>28</v>
      </c>
      <c r="FB211" s="3" t="s">
        <v>29</v>
      </c>
      <c r="FC211" s="3" t="s">
        <v>30</v>
      </c>
      <c r="FD211" s="3" t="s">
        <v>31</v>
      </c>
      <c r="FE211" s="3" t="s">
        <v>32</v>
      </c>
      <c r="FF211" s="3" t="s">
        <v>33</v>
      </c>
      <c r="FG211" s="3" t="s">
        <v>34</v>
      </c>
      <c r="FH211" s="3" t="s">
        <v>35</v>
      </c>
      <c r="FI211" s="3" t="s">
        <v>36</v>
      </c>
      <c r="FJ211" s="3" t="s">
        <v>37</v>
      </c>
      <c r="FK211" s="3" t="s">
        <v>38</v>
      </c>
      <c r="FL211" s="3" t="s">
        <v>39</v>
      </c>
      <c r="FM211" s="3" t="s">
        <v>40</v>
      </c>
      <c r="FN211" s="3" t="s">
        <v>41</v>
      </c>
      <c r="FO211" s="3" t="s">
        <v>42</v>
      </c>
      <c r="FP211" s="3" t="s">
        <v>43</v>
      </c>
      <c r="FQ211" s="3" t="s">
        <v>44</v>
      </c>
      <c r="FR211" s="3" t="s">
        <v>45</v>
      </c>
      <c r="FS211" s="3" t="s">
        <v>46</v>
      </c>
      <c r="FT211" s="3" t="s">
        <v>47</v>
      </c>
      <c r="FU211" s="3" t="s">
        <v>117</v>
      </c>
      <c r="FV211" s="3" t="s">
        <v>49</v>
      </c>
      <c r="FW211" s="3" t="s">
        <v>114</v>
      </c>
      <c r="FX211" s="3" t="s">
        <v>51</v>
      </c>
      <c r="FY211" s="3" t="s">
        <v>52</v>
      </c>
      <c r="FZ211" s="3" t="s">
        <v>53</v>
      </c>
      <c r="GA211" s="3" t="s">
        <v>54</v>
      </c>
      <c r="GB211" s="3" t="s">
        <v>71</v>
      </c>
      <c r="GC211" s="3" t="s">
        <v>56</v>
      </c>
      <c r="GD211" s="3" t="s">
        <v>57</v>
      </c>
      <c r="GE211" s="3" t="s">
        <v>58</v>
      </c>
      <c r="GF211" s="3" t="s">
        <v>59</v>
      </c>
      <c r="GG211" s="3" t="s">
        <v>60</v>
      </c>
      <c r="GH211" s="4" t="s">
        <v>61</v>
      </c>
    </row>
    <row r="212" spans="1:190" x14ac:dyDescent="0.3">
      <c r="A212" s="29" t="s">
        <v>115</v>
      </c>
      <c r="B212" s="37">
        <v>511492.875</v>
      </c>
      <c r="C212" s="38">
        <v>511492.875</v>
      </c>
      <c r="D212" s="38">
        <v>511492.875</v>
      </c>
      <c r="E212" s="38">
        <v>511492.875</v>
      </c>
      <c r="F212" s="38">
        <v>511492.875</v>
      </c>
      <c r="G212" s="38">
        <v>511492.875</v>
      </c>
      <c r="H212" s="38">
        <v>511492.875</v>
      </c>
      <c r="I212" s="38">
        <v>511492.875</v>
      </c>
      <c r="J212" s="38">
        <v>8525</v>
      </c>
      <c r="K212" s="38">
        <v>8525</v>
      </c>
      <c r="L212" s="38">
        <v>8525</v>
      </c>
      <c r="M212" s="38">
        <v>8525</v>
      </c>
      <c r="N212" s="38">
        <v>9207</v>
      </c>
      <c r="O212" s="38">
        <v>17050</v>
      </c>
      <c r="P212" s="38">
        <v>17050</v>
      </c>
      <c r="Q212" s="38">
        <v>125031.66666666667</v>
      </c>
      <c r="R212" s="38">
        <v>125031.66666666667</v>
      </c>
      <c r="S212" s="38">
        <v>125031.66666666667</v>
      </c>
      <c r="T212" s="38">
        <v>17050</v>
      </c>
      <c r="U212" s="38">
        <v>17050</v>
      </c>
      <c r="V212" s="38">
        <v>144923</v>
      </c>
      <c r="W212" s="38">
        <v>144923</v>
      </c>
      <c r="X212" s="38">
        <v>144923</v>
      </c>
      <c r="Y212" s="38">
        <v>144923</v>
      </c>
      <c r="Z212" s="38">
        <v>4603.5</v>
      </c>
      <c r="AA212" s="38">
        <v>4603.5</v>
      </c>
      <c r="AB212" s="38">
        <v>4603.5</v>
      </c>
      <c r="AC212" s="38">
        <v>4603.5</v>
      </c>
      <c r="AD212" s="38">
        <v>4603.5</v>
      </c>
      <c r="AE212" s="38">
        <v>4603.5</v>
      </c>
      <c r="AF212" s="38">
        <v>9207</v>
      </c>
      <c r="AG212" s="38">
        <v>9207</v>
      </c>
      <c r="AH212" s="38">
        <v>2301.75</v>
      </c>
      <c r="AI212" s="38">
        <v>2301.75</v>
      </c>
      <c r="AJ212" s="38">
        <v>2301.75</v>
      </c>
      <c r="AK212" s="38">
        <v>2301.75</v>
      </c>
      <c r="AL212" s="38">
        <v>136398</v>
      </c>
      <c r="AM212" s="38">
        <v>136398</v>
      </c>
      <c r="AN212" s="38">
        <v>136398</v>
      </c>
      <c r="AO212" s="38">
        <v>3069</v>
      </c>
      <c r="AP212" s="38">
        <v>3069</v>
      </c>
      <c r="AQ212" s="38">
        <v>3069</v>
      </c>
      <c r="AR212" s="38">
        <v>3069</v>
      </c>
      <c r="AS212" s="38">
        <v>3069</v>
      </c>
      <c r="AT212" s="38">
        <v>3069</v>
      </c>
      <c r="AU212" s="38">
        <v>34100</v>
      </c>
      <c r="AV212" s="38">
        <v>11366.666666666666</v>
      </c>
      <c r="AW212" s="38">
        <v>11366.666666666666</v>
      </c>
      <c r="AX212" s="38">
        <v>11366.666666666666</v>
      </c>
      <c r="AY212" s="38">
        <v>9207</v>
      </c>
      <c r="AZ212" s="38">
        <v>9207</v>
      </c>
      <c r="BA212" s="38">
        <v>9207</v>
      </c>
      <c r="BB212" s="38">
        <v>9207</v>
      </c>
      <c r="BC212" s="38">
        <v>79565.666666666672</v>
      </c>
      <c r="BD212" s="38">
        <v>79565.666666666672</v>
      </c>
      <c r="BE212" s="38">
        <v>79565.666666666672</v>
      </c>
      <c r="BF212" s="38">
        <v>9207</v>
      </c>
      <c r="BG212" s="38">
        <v>9207</v>
      </c>
      <c r="BH212" s="38">
        <v>9207</v>
      </c>
      <c r="BI212" s="38">
        <v>9207</v>
      </c>
      <c r="BJ212" s="39">
        <v>9207</v>
      </c>
      <c r="BM212" s="29" t="s">
        <v>115</v>
      </c>
      <c r="BN212" s="37">
        <v>527745.5</v>
      </c>
      <c r="BO212" s="38">
        <v>527745.5</v>
      </c>
      <c r="BP212" s="38">
        <v>527745.5</v>
      </c>
      <c r="BQ212" s="38">
        <v>527745.5</v>
      </c>
      <c r="BR212" s="38">
        <v>527745.5</v>
      </c>
      <c r="BS212" s="38">
        <v>527745.5</v>
      </c>
      <c r="BT212" s="38">
        <v>527745.5</v>
      </c>
      <c r="BU212" s="38">
        <v>527745.5</v>
      </c>
      <c r="BV212" s="38">
        <v>8795.75</v>
      </c>
      <c r="BW212" s="38">
        <v>8795.75</v>
      </c>
      <c r="BX212" s="38">
        <v>8795.75</v>
      </c>
      <c r="BY212" s="38">
        <v>8795.75</v>
      </c>
      <c r="BZ212" s="38">
        <v>9499</v>
      </c>
      <c r="CA212" s="38">
        <v>17591.5</v>
      </c>
      <c r="CB212" s="38">
        <v>17591.5</v>
      </c>
      <c r="CC212" s="38">
        <v>129004.33333333333</v>
      </c>
      <c r="CD212" s="38">
        <v>129004.33333333333</v>
      </c>
      <c r="CE212" s="38">
        <v>129004.33333333333</v>
      </c>
      <c r="CF212" s="38">
        <v>17591.5</v>
      </c>
      <c r="CG212" s="38">
        <v>17591.5</v>
      </c>
      <c r="CH212" s="38">
        <v>149528</v>
      </c>
      <c r="CI212" s="38">
        <v>149528</v>
      </c>
      <c r="CJ212" s="38">
        <v>149528</v>
      </c>
      <c r="CK212" s="38">
        <v>149528</v>
      </c>
      <c r="CL212" s="38">
        <v>4749.5</v>
      </c>
      <c r="CM212" s="38">
        <v>4749.5</v>
      </c>
      <c r="CN212" s="38">
        <v>4749.5</v>
      </c>
      <c r="CO212" s="38">
        <v>4749.5</v>
      </c>
      <c r="CP212" s="38">
        <v>4749.5</v>
      </c>
      <c r="CQ212" s="38">
        <v>4749.5</v>
      </c>
      <c r="CR212" s="38">
        <v>9499</v>
      </c>
      <c r="CS212" s="38">
        <v>9499</v>
      </c>
      <c r="CT212" s="38">
        <v>2374.75</v>
      </c>
      <c r="CU212" s="38">
        <v>2374.75</v>
      </c>
      <c r="CV212" s="38">
        <v>2374.75</v>
      </c>
      <c r="CW212" s="38">
        <v>2374.75</v>
      </c>
      <c r="CX212" s="38">
        <v>140732</v>
      </c>
      <c r="CY212" s="38">
        <v>140732</v>
      </c>
      <c r="CZ212" s="38">
        <v>140732</v>
      </c>
      <c r="DA212" s="38">
        <v>3166.3333333333335</v>
      </c>
      <c r="DB212" s="38">
        <v>3166.3333333333335</v>
      </c>
      <c r="DC212" s="38">
        <v>3166.3333333333335</v>
      </c>
      <c r="DD212" s="38">
        <v>3166.3333333333335</v>
      </c>
      <c r="DE212" s="38">
        <v>3166.3333333333335</v>
      </c>
      <c r="DF212" s="38">
        <v>3166.3333333333335</v>
      </c>
      <c r="DG212" s="38">
        <v>35183</v>
      </c>
      <c r="DH212" s="38">
        <v>11727.666666666666</v>
      </c>
      <c r="DI212" s="38">
        <v>11727.666666666666</v>
      </c>
      <c r="DJ212" s="38">
        <v>11727.666666666666</v>
      </c>
      <c r="DK212" s="38">
        <v>9499</v>
      </c>
      <c r="DL212" s="38">
        <v>9499</v>
      </c>
      <c r="DM212" s="38">
        <v>9499</v>
      </c>
      <c r="DN212" s="38">
        <v>9499</v>
      </c>
      <c r="DO212" s="38">
        <v>82093.666666666672</v>
      </c>
      <c r="DP212" s="38">
        <v>82093.666666666672</v>
      </c>
      <c r="DQ212" s="38">
        <v>82093.666666666672</v>
      </c>
      <c r="DR212" s="38">
        <v>9499</v>
      </c>
      <c r="DS212" s="38">
        <v>9499</v>
      </c>
      <c r="DT212" s="38">
        <v>9499</v>
      </c>
      <c r="DU212" s="38">
        <v>9499</v>
      </c>
      <c r="DV212" s="39">
        <v>9499</v>
      </c>
      <c r="DY212" s="29" t="s">
        <v>118</v>
      </c>
      <c r="DZ212" s="37">
        <v>12</v>
      </c>
      <c r="EA212" s="38">
        <v>12</v>
      </c>
      <c r="EB212" s="38">
        <v>12</v>
      </c>
      <c r="EC212" s="38">
        <v>12</v>
      </c>
      <c r="ED212" s="38">
        <v>12</v>
      </c>
      <c r="EE212" s="38">
        <v>12</v>
      </c>
      <c r="EF212" s="38">
        <v>12</v>
      </c>
      <c r="EG212" s="38">
        <v>12</v>
      </c>
      <c r="EH212" s="38">
        <v>12</v>
      </c>
      <c r="EI212" s="38">
        <v>12</v>
      </c>
      <c r="EJ212" s="38">
        <v>12</v>
      </c>
      <c r="EK212" s="38">
        <v>12</v>
      </c>
      <c r="EL212" s="38">
        <v>12</v>
      </c>
      <c r="EM212" s="38">
        <v>1</v>
      </c>
      <c r="EN212" s="38">
        <v>1</v>
      </c>
      <c r="EO212" s="38">
        <v>16</v>
      </c>
      <c r="EP212" s="38">
        <v>16</v>
      </c>
      <c r="EQ212" s="38">
        <v>16</v>
      </c>
      <c r="ER212" s="38">
        <v>16</v>
      </c>
      <c r="ES212" s="38">
        <v>16</v>
      </c>
      <c r="ET212" s="38">
        <v>16</v>
      </c>
      <c r="EU212" s="38">
        <v>16</v>
      </c>
      <c r="EV212" s="38">
        <v>16</v>
      </c>
      <c r="EW212" s="38">
        <v>16</v>
      </c>
      <c r="EX212" s="38">
        <v>16</v>
      </c>
      <c r="EY212" s="38">
        <v>16</v>
      </c>
      <c r="EZ212" s="38">
        <v>16</v>
      </c>
      <c r="FA212" s="38">
        <v>16</v>
      </c>
      <c r="FB212" s="38">
        <v>16</v>
      </c>
      <c r="FC212" s="38">
        <v>16</v>
      </c>
      <c r="FD212" s="38">
        <v>16</v>
      </c>
      <c r="FE212" s="38">
        <v>16</v>
      </c>
      <c r="FF212" s="38">
        <v>9</v>
      </c>
      <c r="FG212" s="38">
        <v>9</v>
      </c>
      <c r="FH212" s="38">
        <v>9</v>
      </c>
      <c r="FI212" s="38">
        <v>9</v>
      </c>
      <c r="FJ212" s="38">
        <v>9</v>
      </c>
      <c r="FK212" s="38">
        <v>9</v>
      </c>
      <c r="FL212" s="38">
        <v>9</v>
      </c>
      <c r="FM212" s="38">
        <v>2</v>
      </c>
      <c r="FN212" s="38">
        <v>2</v>
      </c>
      <c r="FO212" s="38">
        <v>2</v>
      </c>
      <c r="FP212" s="38">
        <v>9</v>
      </c>
      <c r="FQ212" s="38">
        <v>9</v>
      </c>
      <c r="FR212" s="38">
        <v>9</v>
      </c>
      <c r="FS212" s="38">
        <v>9</v>
      </c>
      <c r="FT212" s="38">
        <v>10</v>
      </c>
      <c r="FU212" s="38">
        <v>9</v>
      </c>
      <c r="FV212" s="38">
        <v>9</v>
      </c>
      <c r="FW212" s="38">
        <v>0</v>
      </c>
      <c r="FX212" s="38">
        <v>0</v>
      </c>
      <c r="FY212" s="38">
        <v>9</v>
      </c>
      <c r="FZ212" s="38">
        <v>16</v>
      </c>
      <c r="GA212" s="38">
        <v>9</v>
      </c>
      <c r="GB212" s="38">
        <v>9</v>
      </c>
      <c r="GC212" s="38">
        <v>9</v>
      </c>
      <c r="GD212" s="38">
        <v>16</v>
      </c>
      <c r="GE212" s="38">
        <v>16</v>
      </c>
      <c r="GF212" s="38">
        <v>1</v>
      </c>
      <c r="GG212" s="38">
        <v>1</v>
      </c>
      <c r="GH212" s="39">
        <v>1</v>
      </c>
    </row>
    <row r="213" spans="1:190" x14ac:dyDescent="0.3">
      <c r="A213" s="29" t="s">
        <v>116</v>
      </c>
      <c r="B213" s="40">
        <f>ROUNDUP(B212/2542,0)</f>
        <v>202</v>
      </c>
      <c r="C213" s="41">
        <f t="shared" ref="C213:BJ213" si="81">ROUNDUP(C212/2542,0)</f>
        <v>202</v>
      </c>
      <c r="D213" s="41">
        <f t="shared" si="81"/>
        <v>202</v>
      </c>
      <c r="E213" s="41">
        <f t="shared" si="81"/>
        <v>202</v>
      </c>
      <c r="F213" s="41">
        <f t="shared" si="81"/>
        <v>202</v>
      </c>
      <c r="G213" s="41">
        <f t="shared" si="81"/>
        <v>202</v>
      </c>
      <c r="H213" s="41">
        <f t="shared" si="81"/>
        <v>202</v>
      </c>
      <c r="I213" s="41">
        <f t="shared" si="81"/>
        <v>202</v>
      </c>
      <c r="J213" s="41">
        <f t="shared" si="81"/>
        <v>4</v>
      </c>
      <c r="K213" s="41">
        <f t="shared" si="81"/>
        <v>4</v>
      </c>
      <c r="L213" s="41">
        <f t="shared" si="81"/>
        <v>4</v>
      </c>
      <c r="M213" s="41">
        <f t="shared" si="81"/>
        <v>4</v>
      </c>
      <c r="N213" s="41">
        <f t="shared" si="81"/>
        <v>4</v>
      </c>
      <c r="O213" s="41">
        <f t="shared" si="81"/>
        <v>7</v>
      </c>
      <c r="P213" s="41">
        <f t="shared" si="81"/>
        <v>7</v>
      </c>
      <c r="Q213" s="41">
        <f t="shared" si="81"/>
        <v>50</v>
      </c>
      <c r="R213" s="41">
        <f t="shared" si="81"/>
        <v>50</v>
      </c>
      <c r="S213" s="41">
        <f t="shared" si="81"/>
        <v>50</v>
      </c>
      <c r="T213" s="41">
        <f t="shared" si="81"/>
        <v>7</v>
      </c>
      <c r="U213" s="41">
        <f t="shared" si="81"/>
        <v>7</v>
      </c>
      <c r="V213" s="41">
        <f t="shared" si="81"/>
        <v>58</v>
      </c>
      <c r="W213" s="41">
        <f t="shared" si="81"/>
        <v>58</v>
      </c>
      <c r="X213" s="41">
        <f t="shared" si="81"/>
        <v>58</v>
      </c>
      <c r="Y213" s="41">
        <f t="shared" si="81"/>
        <v>58</v>
      </c>
      <c r="Z213" s="41">
        <f t="shared" si="81"/>
        <v>2</v>
      </c>
      <c r="AA213" s="41">
        <f t="shared" si="81"/>
        <v>2</v>
      </c>
      <c r="AB213" s="41">
        <f t="shared" si="81"/>
        <v>2</v>
      </c>
      <c r="AC213" s="41">
        <f t="shared" si="81"/>
        <v>2</v>
      </c>
      <c r="AD213" s="41">
        <f t="shared" si="81"/>
        <v>2</v>
      </c>
      <c r="AE213" s="41">
        <f t="shared" si="81"/>
        <v>2</v>
      </c>
      <c r="AF213" s="41">
        <f t="shared" si="81"/>
        <v>4</v>
      </c>
      <c r="AG213" s="41">
        <f t="shared" si="81"/>
        <v>4</v>
      </c>
      <c r="AH213" s="41">
        <f t="shared" si="81"/>
        <v>1</v>
      </c>
      <c r="AI213" s="41">
        <f t="shared" si="81"/>
        <v>1</v>
      </c>
      <c r="AJ213" s="41">
        <f t="shared" si="81"/>
        <v>1</v>
      </c>
      <c r="AK213" s="41">
        <f t="shared" si="81"/>
        <v>1</v>
      </c>
      <c r="AL213" s="41">
        <f t="shared" si="81"/>
        <v>54</v>
      </c>
      <c r="AM213" s="41">
        <f t="shared" si="81"/>
        <v>54</v>
      </c>
      <c r="AN213" s="41">
        <f t="shared" si="81"/>
        <v>54</v>
      </c>
      <c r="AO213" s="41">
        <f t="shared" si="81"/>
        <v>2</v>
      </c>
      <c r="AP213" s="41">
        <f t="shared" si="81"/>
        <v>2</v>
      </c>
      <c r="AQ213" s="41">
        <f t="shared" si="81"/>
        <v>2</v>
      </c>
      <c r="AR213" s="41">
        <f t="shared" si="81"/>
        <v>2</v>
      </c>
      <c r="AS213" s="41">
        <f t="shared" si="81"/>
        <v>2</v>
      </c>
      <c r="AT213" s="41">
        <f t="shared" si="81"/>
        <v>2</v>
      </c>
      <c r="AU213" s="41">
        <f t="shared" si="81"/>
        <v>14</v>
      </c>
      <c r="AV213" s="41">
        <f t="shared" si="81"/>
        <v>5</v>
      </c>
      <c r="AW213" s="41">
        <f t="shared" si="81"/>
        <v>5</v>
      </c>
      <c r="AX213" s="41">
        <f t="shared" si="81"/>
        <v>5</v>
      </c>
      <c r="AY213" s="41">
        <f t="shared" si="81"/>
        <v>4</v>
      </c>
      <c r="AZ213" s="41">
        <f t="shared" si="81"/>
        <v>4</v>
      </c>
      <c r="BA213" s="41">
        <f t="shared" si="81"/>
        <v>4</v>
      </c>
      <c r="BB213" s="41">
        <f t="shared" si="81"/>
        <v>4</v>
      </c>
      <c r="BC213" s="41">
        <f t="shared" si="81"/>
        <v>32</v>
      </c>
      <c r="BD213" s="41">
        <f t="shared" si="81"/>
        <v>32</v>
      </c>
      <c r="BE213" s="41">
        <f t="shared" si="81"/>
        <v>32</v>
      </c>
      <c r="BF213" s="41">
        <f t="shared" si="81"/>
        <v>4</v>
      </c>
      <c r="BG213" s="41">
        <f t="shared" si="81"/>
        <v>4</v>
      </c>
      <c r="BH213" s="41">
        <f t="shared" si="81"/>
        <v>4</v>
      </c>
      <c r="BI213" s="41">
        <f t="shared" si="81"/>
        <v>4</v>
      </c>
      <c r="BJ213" s="42">
        <f t="shared" si="81"/>
        <v>4</v>
      </c>
      <c r="BM213" s="29" t="s">
        <v>116</v>
      </c>
      <c r="BN213" s="40">
        <f>ROUNDUP(BN212/2542,0)</f>
        <v>208</v>
      </c>
      <c r="BO213" s="41">
        <f t="shared" ref="BO213:DV213" si="82">ROUNDUP(BO212/2542,0)</f>
        <v>208</v>
      </c>
      <c r="BP213" s="41">
        <f t="shared" si="82"/>
        <v>208</v>
      </c>
      <c r="BQ213" s="41">
        <f t="shared" si="82"/>
        <v>208</v>
      </c>
      <c r="BR213" s="41">
        <f t="shared" si="82"/>
        <v>208</v>
      </c>
      <c r="BS213" s="41">
        <f t="shared" si="82"/>
        <v>208</v>
      </c>
      <c r="BT213" s="41">
        <f t="shared" si="82"/>
        <v>208</v>
      </c>
      <c r="BU213" s="41">
        <f t="shared" si="82"/>
        <v>208</v>
      </c>
      <c r="BV213" s="41">
        <f t="shared" si="82"/>
        <v>4</v>
      </c>
      <c r="BW213" s="41">
        <f t="shared" si="82"/>
        <v>4</v>
      </c>
      <c r="BX213" s="41">
        <f t="shared" si="82"/>
        <v>4</v>
      </c>
      <c r="BY213" s="41">
        <f t="shared" si="82"/>
        <v>4</v>
      </c>
      <c r="BZ213" s="41">
        <f t="shared" si="82"/>
        <v>4</v>
      </c>
      <c r="CA213" s="41">
        <f t="shared" si="82"/>
        <v>7</v>
      </c>
      <c r="CB213" s="41">
        <f t="shared" si="82"/>
        <v>7</v>
      </c>
      <c r="CC213" s="41">
        <f t="shared" si="82"/>
        <v>51</v>
      </c>
      <c r="CD213" s="41">
        <f t="shared" si="82"/>
        <v>51</v>
      </c>
      <c r="CE213" s="41">
        <f t="shared" si="82"/>
        <v>51</v>
      </c>
      <c r="CF213" s="41">
        <f t="shared" si="82"/>
        <v>7</v>
      </c>
      <c r="CG213" s="41">
        <f t="shared" si="82"/>
        <v>7</v>
      </c>
      <c r="CH213" s="41">
        <f t="shared" si="82"/>
        <v>59</v>
      </c>
      <c r="CI213" s="41">
        <f t="shared" si="82"/>
        <v>59</v>
      </c>
      <c r="CJ213" s="41">
        <f t="shared" si="82"/>
        <v>59</v>
      </c>
      <c r="CK213" s="41">
        <f t="shared" si="82"/>
        <v>59</v>
      </c>
      <c r="CL213" s="41">
        <f t="shared" si="82"/>
        <v>2</v>
      </c>
      <c r="CM213" s="41">
        <f t="shared" si="82"/>
        <v>2</v>
      </c>
      <c r="CN213" s="41">
        <f t="shared" si="82"/>
        <v>2</v>
      </c>
      <c r="CO213" s="41">
        <f t="shared" si="82"/>
        <v>2</v>
      </c>
      <c r="CP213" s="41">
        <f t="shared" si="82"/>
        <v>2</v>
      </c>
      <c r="CQ213" s="41">
        <f t="shared" si="82"/>
        <v>2</v>
      </c>
      <c r="CR213" s="41">
        <f t="shared" si="82"/>
        <v>4</v>
      </c>
      <c r="CS213" s="41">
        <f t="shared" si="82"/>
        <v>4</v>
      </c>
      <c r="CT213" s="41">
        <f t="shared" si="82"/>
        <v>1</v>
      </c>
      <c r="CU213" s="41">
        <f t="shared" si="82"/>
        <v>1</v>
      </c>
      <c r="CV213" s="41">
        <f t="shared" si="82"/>
        <v>1</v>
      </c>
      <c r="CW213" s="41">
        <f t="shared" si="82"/>
        <v>1</v>
      </c>
      <c r="CX213" s="41">
        <f t="shared" si="82"/>
        <v>56</v>
      </c>
      <c r="CY213" s="41">
        <f t="shared" si="82"/>
        <v>56</v>
      </c>
      <c r="CZ213" s="41">
        <f t="shared" si="82"/>
        <v>56</v>
      </c>
      <c r="DA213" s="41">
        <f t="shared" si="82"/>
        <v>2</v>
      </c>
      <c r="DB213" s="41">
        <f t="shared" si="82"/>
        <v>2</v>
      </c>
      <c r="DC213" s="41">
        <f t="shared" si="82"/>
        <v>2</v>
      </c>
      <c r="DD213" s="41">
        <f t="shared" si="82"/>
        <v>2</v>
      </c>
      <c r="DE213" s="41">
        <f t="shared" si="82"/>
        <v>2</v>
      </c>
      <c r="DF213" s="41">
        <f t="shared" si="82"/>
        <v>2</v>
      </c>
      <c r="DG213" s="41">
        <f t="shared" si="82"/>
        <v>14</v>
      </c>
      <c r="DH213" s="41">
        <f t="shared" si="82"/>
        <v>5</v>
      </c>
      <c r="DI213" s="41">
        <f t="shared" si="82"/>
        <v>5</v>
      </c>
      <c r="DJ213" s="41">
        <f t="shared" si="82"/>
        <v>5</v>
      </c>
      <c r="DK213" s="41">
        <f t="shared" si="82"/>
        <v>4</v>
      </c>
      <c r="DL213" s="41">
        <f t="shared" si="82"/>
        <v>4</v>
      </c>
      <c r="DM213" s="41">
        <f t="shared" si="82"/>
        <v>4</v>
      </c>
      <c r="DN213" s="41">
        <f t="shared" si="82"/>
        <v>4</v>
      </c>
      <c r="DO213" s="41">
        <f t="shared" si="82"/>
        <v>33</v>
      </c>
      <c r="DP213" s="41">
        <f t="shared" si="82"/>
        <v>33</v>
      </c>
      <c r="DQ213" s="41">
        <f t="shared" si="82"/>
        <v>33</v>
      </c>
      <c r="DR213" s="41">
        <f t="shared" si="82"/>
        <v>4</v>
      </c>
      <c r="DS213" s="41">
        <f t="shared" si="82"/>
        <v>4</v>
      </c>
      <c r="DT213" s="41">
        <f t="shared" si="82"/>
        <v>4</v>
      </c>
      <c r="DU213" s="41">
        <f t="shared" si="82"/>
        <v>4</v>
      </c>
      <c r="DV213" s="42">
        <f t="shared" si="82"/>
        <v>4</v>
      </c>
      <c r="DY213" s="29" t="s">
        <v>120</v>
      </c>
      <c r="DZ213" s="40">
        <v>32</v>
      </c>
      <c r="EA213" s="41">
        <v>32</v>
      </c>
      <c r="EB213" s="41">
        <v>32</v>
      </c>
      <c r="EC213" s="41">
        <v>32</v>
      </c>
      <c r="ED213" s="41">
        <v>32</v>
      </c>
      <c r="EE213" s="41">
        <v>32</v>
      </c>
      <c r="EF213" s="41">
        <v>32</v>
      </c>
      <c r="EG213" s="41">
        <v>32</v>
      </c>
      <c r="EH213" s="41">
        <v>32</v>
      </c>
      <c r="EI213" s="41">
        <v>32</v>
      </c>
      <c r="EJ213" s="41">
        <v>32</v>
      </c>
      <c r="EK213" s="41">
        <v>32</v>
      </c>
      <c r="EL213" s="41">
        <v>32</v>
      </c>
      <c r="EM213" s="41">
        <v>43</v>
      </c>
      <c r="EN213" s="41">
        <v>43</v>
      </c>
      <c r="EO213" s="41">
        <v>28</v>
      </c>
      <c r="EP213" s="41">
        <v>28</v>
      </c>
      <c r="EQ213" s="41">
        <v>28</v>
      </c>
      <c r="ER213" s="41">
        <v>28</v>
      </c>
      <c r="ES213" s="41">
        <v>28</v>
      </c>
      <c r="ET213" s="41">
        <v>28</v>
      </c>
      <c r="EU213" s="41">
        <v>28</v>
      </c>
      <c r="EV213" s="41">
        <v>28</v>
      </c>
      <c r="EW213" s="41">
        <v>28</v>
      </c>
      <c r="EX213" s="41">
        <v>28</v>
      </c>
      <c r="EY213" s="41">
        <v>28</v>
      </c>
      <c r="EZ213" s="41">
        <v>28</v>
      </c>
      <c r="FA213" s="41">
        <v>28</v>
      </c>
      <c r="FB213" s="41">
        <v>28</v>
      </c>
      <c r="FC213" s="41">
        <v>28</v>
      </c>
      <c r="FD213" s="41">
        <v>28</v>
      </c>
      <c r="FE213" s="41">
        <v>28</v>
      </c>
      <c r="FF213" s="41">
        <v>35</v>
      </c>
      <c r="FG213" s="41">
        <v>35</v>
      </c>
      <c r="FH213" s="41">
        <v>35</v>
      </c>
      <c r="FI213" s="41">
        <v>35</v>
      </c>
      <c r="FJ213" s="41">
        <v>35</v>
      </c>
      <c r="FK213" s="41">
        <v>35</v>
      </c>
      <c r="FL213" s="41">
        <v>35</v>
      </c>
      <c r="FM213" s="41">
        <v>42</v>
      </c>
      <c r="FN213" s="41">
        <v>42</v>
      </c>
      <c r="FO213" s="41">
        <v>42</v>
      </c>
      <c r="FP213" s="41">
        <v>35</v>
      </c>
      <c r="FQ213" s="41">
        <v>35</v>
      </c>
      <c r="FR213" s="41">
        <v>35</v>
      </c>
      <c r="FS213" s="41">
        <v>35</v>
      </c>
      <c r="FT213" s="41">
        <v>34</v>
      </c>
      <c r="FU213" s="41">
        <v>35</v>
      </c>
      <c r="FV213" s="41">
        <v>35</v>
      </c>
      <c r="FW213" s="41">
        <v>44</v>
      </c>
      <c r="FX213" s="41">
        <v>44</v>
      </c>
      <c r="FY213" s="41">
        <v>35</v>
      </c>
      <c r="FZ213" s="41">
        <v>28</v>
      </c>
      <c r="GA213" s="41">
        <v>35</v>
      </c>
      <c r="GB213" s="41">
        <v>35</v>
      </c>
      <c r="GC213" s="41">
        <v>35</v>
      </c>
      <c r="GD213" s="41">
        <v>28</v>
      </c>
      <c r="GE213" s="41">
        <v>28</v>
      </c>
      <c r="GF213" s="41">
        <v>43</v>
      </c>
      <c r="GG213" s="41">
        <v>43</v>
      </c>
      <c r="GH213" s="42">
        <v>43</v>
      </c>
    </row>
    <row r="214" spans="1:190" x14ac:dyDescent="0.3">
      <c r="A214" s="34" t="s">
        <v>1</v>
      </c>
      <c r="B214" s="6" t="s">
        <v>62</v>
      </c>
      <c r="C214" s="7" t="s">
        <v>62</v>
      </c>
      <c r="D214" s="7">
        <f>IF(Distances!BQ105&gt;0,(BP214+Distances!BQ105*1.84)*EB214*D213*2,"")</f>
        <v>27289.98992</v>
      </c>
      <c r="E214" s="7" t="s">
        <v>62</v>
      </c>
      <c r="F214" s="7">
        <f>IF(Distances!BS105&gt;0,(BR214+Distances!BS105*1.84)*ED214*F213*2,"")</f>
        <v>4419.7680799999998</v>
      </c>
      <c r="G214" s="7">
        <f>IF(Distances!BT105&gt;0,(BS214+Distances!BT105*1.84)*EE214*G213*2,"")</f>
        <v>35892.022560000005</v>
      </c>
      <c r="H214" s="7" t="s">
        <v>62</v>
      </c>
      <c r="I214" s="7" t="s">
        <v>62</v>
      </c>
      <c r="J214" s="7">
        <f>IF(Distances!BW105&gt;0,(BV214+Distances!BW105*1.84)*EH214*J213*2,"")</f>
        <v>204.00975999999997</v>
      </c>
      <c r="K214" s="7" t="s">
        <v>62</v>
      </c>
      <c r="L214" s="7">
        <f>IF(Distances!BY105&gt;0,(BX214+Distances!BY105*1.84)*EJ214*L213*2,"")</f>
        <v>601.1010133333333</v>
      </c>
      <c r="M214" s="7" t="s">
        <v>62</v>
      </c>
      <c r="N214" s="7">
        <f>IF(Distances!CA105&gt;0,(BZ214+Distances!CA105*1.84)*EL214*N213*2,"")</f>
        <v>219.66565333333335</v>
      </c>
      <c r="O214" s="8">
        <f>IF(Distances!CB105&gt;0,(CA214+Distances!CB105*1.84)*EM214*O213*2,"")</f>
        <v>105.96095999999999</v>
      </c>
      <c r="P214" s="8">
        <f>IF(Distances!CC105&gt;0,(CB214+Distances!CC105*1.84)*EN214*P213*2,"")</f>
        <v>107.19199627906976</v>
      </c>
      <c r="Q214" s="8" t="s">
        <v>62</v>
      </c>
      <c r="R214" s="8" t="s">
        <v>62</v>
      </c>
      <c r="S214" s="8" t="s">
        <v>62</v>
      </c>
      <c r="T214" s="8">
        <f>IF(Distances!CG105&gt;0,(CF214+Distances!CG105*1.84)*ER214*T213*2,"")</f>
        <v>129.70856000000001</v>
      </c>
      <c r="U214" s="8">
        <f>IF(Distances!CH105&gt;0,(CG214+Distances!CH105*1.84)*ES214*U213*2,"")</f>
        <v>186.84116</v>
      </c>
      <c r="V214" s="8">
        <f>IF(Distances!CI105&gt;0,(CH214+Distances!CI105*1.84)*ET214*V213*2,"")</f>
        <v>2080.3035657142855</v>
      </c>
      <c r="W214" s="8" t="s">
        <v>62</v>
      </c>
      <c r="X214" s="8">
        <f>IF(Distances!CK105&gt;0,(CJ214+Distances!CK105*1.84)*EV214*X213*2,"")</f>
        <v>1191.9904799999999</v>
      </c>
      <c r="Y214" s="8">
        <f>IF(Distances!CL105&gt;0,(CK214+Distances!CL105*1.84)*EW214*Y213*2,"")</f>
        <v>1169.8613257142858</v>
      </c>
      <c r="Z214" s="8">
        <f>IF(Distances!CM105&gt;0,(CL214+Distances!CM105*1.84)*EX214*Z213*2,"")</f>
        <v>44.02778285714286</v>
      </c>
      <c r="AA214" s="8">
        <f>IF(Distances!CN105&gt;0,(CM214+Distances!CN105*1.84)*EY214*AA213*2,"")</f>
        <v>47.222868571428577</v>
      </c>
      <c r="AB214" s="8">
        <f>IF(Distances!CO105&gt;0,(CN214+Distances!CO105*1.84)*EZ214*AB213*2,"")</f>
        <v>56.725748571428568</v>
      </c>
      <c r="AC214" s="8" t="s">
        <v>62</v>
      </c>
      <c r="AD214" s="8" t="s">
        <v>62</v>
      </c>
      <c r="AE214" s="8">
        <f>IF(Distances!CR105&gt;0,(CQ214+Distances!CR105*1.84)*FC214*AE213*2,"")</f>
        <v>94.645234285714295</v>
      </c>
      <c r="AF214" s="8">
        <f>IF(Distances!CS105&gt;0,(CR214+Distances!CS105*1.84)*FD214*AF213*2,"")</f>
        <v>169.75492571428572</v>
      </c>
      <c r="AG214" s="8">
        <f>IF(Distances!CT105&gt;0,(CS214+Distances!CT105*1.84)*FE214*AG213*2,"")</f>
        <v>146.30806857142858</v>
      </c>
      <c r="AH214" s="8">
        <f>IF(Distances!CU105&gt;0,(CT214+Distances!CU105*1.84)*FF214*AH213*2,"")</f>
        <v>46.955410285714287</v>
      </c>
      <c r="AI214" s="8" t="s">
        <v>62</v>
      </c>
      <c r="AJ214" s="8">
        <f>IF(Distances!CW105&gt;0,(CV214+Distances!CW105*1.84)*FH214*AJ213*2,"")</f>
        <v>36.077330285714282</v>
      </c>
      <c r="AK214" s="8" t="s">
        <v>62</v>
      </c>
      <c r="AL214" s="8" t="s">
        <v>62</v>
      </c>
      <c r="AM214" s="8" t="s">
        <v>62</v>
      </c>
      <c r="AN214" s="8">
        <f>IF(Distances!DA105&gt;0,(CZ214+Distances!DA105*1.84)*FL214*AN213*2,"")</f>
        <v>1238.1001508571428</v>
      </c>
      <c r="AO214" s="8" t="s">
        <v>62</v>
      </c>
      <c r="AP214" s="8" t="s">
        <v>62</v>
      </c>
      <c r="AQ214" s="8" t="s">
        <v>62</v>
      </c>
      <c r="AR214" s="8" t="s">
        <v>62</v>
      </c>
      <c r="AS214" s="8">
        <f>IF(Distances!DF105&gt;0,(DE214+Distances!DF105*1.84)*FQ214*AS213*2,"")</f>
        <v>134.10891885714284</v>
      </c>
      <c r="AT214" s="8">
        <f>IF(Distances!DG105&gt;0,(DF214+Distances!DG105*1.84)*FR214*AT213*2,"")</f>
        <v>97.986038857142873</v>
      </c>
      <c r="AU214" s="8">
        <f>IF(Distances!DH105&gt;0,(DG214+Distances!DH105*1.84)*FS214*AU213*2,"")</f>
        <v>317.93503999999996</v>
      </c>
      <c r="AV214" s="8">
        <f>IF(Distances!DI105&gt;0,(DH214+Distances!DI105*1.84)*FT214*AV213*2,"")</f>
        <v>178.49927058823528</v>
      </c>
      <c r="AW214" s="8">
        <f>IF(Distances!DJ105&gt;0,(DI214+Distances!DJ105*1.84)*FU214*AW213*2,"")</f>
        <v>593.88660571428568</v>
      </c>
      <c r="AX214" s="8" t="s">
        <v>62</v>
      </c>
      <c r="AY214" s="8" t="s">
        <v>62</v>
      </c>
      <c r="AZ214" s="8">
        <f>IF(Distances!DM105&gt;0,(DL214+Distances!DM105*1.84)*FX214*AZ213*2,"")</f>
        <v>197.03297454545461</v>
      </c>
      <c r="BA214" s="8" t="s">
        <v>62</v>
      </c>
      <c r="BB214" s="8" t="s">
        <v>62</v>
      </c>
      <c r="BC214" s="8" t="s">
        <v>62</v>
      </c>
      <c r="BD214" s="8">
        <f>IF(Distances!DQ105&gt;0,(DP214+Distances!DQ105*1.84)*GB214*BD213*2,"")</f>
        <v>798.92450742857136</v>
      </c>
      <c r="BE214" s="8" t="s">
        <v>62</v>
      </c>
      <c r="BF214" s="8">
        <f>IF(Distances!DS105&gt;0,(DR214+Distances!DS105*1.84)*GD214*BF213*2,"")</f>
        <v>218.41017142857143</v>
      </c>
      <c r="BG214" s="8">
        <f>IF(Distances!DT105&gt;0,(DS214+Distances!DT105*1.84)*GE214*BG213*2,"")</f>
        <v>104.92164571428572</v>
      </c>
      <c r="BH214" s="8">
        <f>IF(Distances!DU105&gt;0,(DT214+Distances!DU105*1.84)*GF214*BH213*2,"")</f>
        <v>107.51168</v>
      </c>
      <c r="BI214" s="8">
        <f>IF(Distances!DV105&gt;0,(DU214+Distances!DV105*1.84)*GG214*BI213*2,"")</f>
        <v>88.020569302325598</v>
      </c>
      <c r="BJ214" s="9">
        <f>IF(Distances!DW105&gt;0,(DV214+Distances!DW105*1.84)*GH214*BJ213*2,"")</f>
        <v>158.74503441860466</v>
      </c>
      <c r="BM214" s="34" t="s">
        <v>1</v>
      </c>
      <c r="BN214" s="6">
        <v>0</v>
      </c>
      <c r="BO214" s="7">
        <v>758.3184</v>
      </c>
      <c r="BP214" s="7">
        <v>510.23279999999994</v>
      </c>
      <c r="BQ214" s="7">
        <v>510.23279999999994</v>
      </c>
      <c r="BR214" s="7">
        <v>540.48119999999994</v>
      </c>
      <c r="BS214" s="7">
        <v>2318.7864</v>
      </c>
      <c r="BT214" s="7">
        <v>2695.3835999999997</v>
      </c>
      <c r="BU214" s="7">
        <v>2318.7864</v>
      </c>
      <c r="BV214" s="7">
        <v>530.4011999999999</v>
      </c>
      <c r="BW214" s="7">
        <v>530.4011999999999</v>
      </c>
      <c r="BX214" s="7">
        <v>2721.8015999999998</v>
      </c>
      <c r="BY214" s="7">
        <v>2721.8015999999998</v>
      </c>
      <c r="BZ214" s="7">
        <v>803.30039999999997</v>
      </c>
      <c r="CA214" s="8">
        <v>814.16160000000002</v>
      </c>
      <c r="CB214" s="8">
        <v>1551.0347999999999</v>
      </c>
      <c r="CC214" s="8">
        <v>974.86199999999997</v>
      </c>
      <c r="CD214" s="8">
        <v>965.67239999999993</v>
      </c>
      <c r="CE214" s="8">
        <v>993.2328</v>
      </c>
      <c r="CF214" s="8">
        <v>947.30160000000001</v>
      </c>
      <c r="CG214" s="8">
        <v>1294.5155999999999</v>
      </c>
      <c r="CH214" s="8">
        <v>1599.1751999999999</v>
      </c>
      <c r="CI214" s="8">
        <v>956.4828</v>
      </c>
      <c r="CJ214" s="8">
        <v>1175.8571999999999</v>
      </c>
      <c r="CK214" s="8">
        <v>947.30160000000001</v>
      </c>
      <c r="CL214" s="8">
        <v>1409.7803999999999</v>
      </c>
      <c r="CM214" s="8">
        <v>1384.1604</v>
      </c>
      <c r="CN214" s="8">
        <v>1332.9371999999998</v>
      </c>
      <c r="CO214" s="8">
        <v>132.37559999999999</v>
      </c>
      <c r="CP214" s="8">
        <v>1175.8571999999999</v>
      </c>
      <c r="CQ214" s="8">
        <v>1599.1751999999999</v>
      </c>
      <c r="CR214" s="8">
        <v>1599.1751999999999</v>
      </c>
      <c r="CS214" s="8">
        <v>1599.1751999999999</v>
      </c>
      <c r="CT214" s="8">
        <v>1579.3344</v>
      </c>
      <c r="CU214" s="8">
        <v>1834.1063999999999</v>
      </c>
      <c r="CV214" s="8">
        <v>1579.3344</v>
      </c>
      <c r="CW214" s="8">
        <v>1887.4967999999999</v>
      </c>
      <c r="CX214" s="8">
        <v>1706.8127999999999</v>
      </c>
      <c r="CY214" s="8">
        <v>1706.8127999999999</v>
      </c>
      <c r="CZ214" s="8">
        <v>1706.8127999999999</v>
      </c>
      <c r="DA214" s="8">
        <v>2276.1815999999999</v>
      </c>
      <c r="DB214" s="8">
        <v>2320.3571999999999</v>
      </c>
      <c r="DC214" s="8">
        <v>2157.6491999999998</v>
      </c>
      <c r="DD214" s="8">
        <v>2453.3292000000001</v>
      </c>
      <c r="DE214" s="8">
        <v>2453.3292000000001</v>
      </c>
      <c r="DF214" s="8">
        <v>2453.3292000000001</v>
      </c>
      <c r="DG214" s="8">
        <v>1924.902</v>
      </c>
      <c r="DH214" s="8">
        <v>1742.9915999999998</v>
      </c>
      <c r="DI214" s="8">
        <v>1742.9915999999998</v>
      </c>
      <c r="DJ214" s="8">
        <v>1961.5511999999999</v>
      </c>
      <c r="DK214" s="8">
        <v>0</v>
      </c>
      <c r="DL214" s="8">
        <v>4528.5828000000001</v>
      </c>
      <c r="DM214" s="8">
        <v>2214.2568000000001</v>
      </c>
      <c r="DN214" s="8">
        <v>1710.4331999999999</v>
      </c>
      <c r="DO214" s="8">
        <v>1833.2915999999998</v>
      </c>
      <c r="DP214" s="8">
        <v>1961.5511999999999</v>
      </c>
      <c r="DQ214" s="8">
        <v>1943.1384</v>
      </c>
      <c r="DR214" s="8">
        <v>2389.002</v>
      </c>
      <c r="DS214" s="8">
        <v>1814.4168</v>
      </c>
      <c r="DT214" s="8">
        <v>1962.7524000000001</v>
      </c>
      <c r="DU214" s="8">
        <v>2155.7928000000002</v>
      </c>
      <c r="DV214" s="9">
        <v>2155.7928000000002</v>
      </c>
      <c r="DY214" s="34" t="s">
        <v>1</v>
      </c>
      <c r="DZ214" s="6">
        <v>0.6</v>
      </c>
      <c r="EA214" s="7">
        <f t="shared" ref="DZ214:EL226" si="83">0.2/12</f>
        <v>1.6666666666666666E-2</v>
      </c>
      <c r="EB214" s="7">
        <f t="shared" si="83"/>
        <v>1.6666666666666666E-2</v>
      </c>
      <c r="EC214" s="7">
        <f t="shared" si="83"/>
        <v>1.6666666666666666E-2</v>
      </c>
      <c r="ED214" s="7">
        <f t="shared" si="83"/>
        <v>1.6666666666666666E-2</v>
      </c>
      <c r="EE214" s="7">
        <f t="shared" si="83"/>
        <v>1.6666666666666666E-2</v>
      </c>
      <c r="EF214" s="7">
        <f t="shared" si="83"/>
        <v>1.6666666666666666E-2</v>
      </c>
      <c r="EG214" s="7">
        <f t="shared" si="83"/>
        <v>1.6666666666666666E-2</v>
      </c>
      <c r="EH214" s="7">
        <f t="shared" si="83"/>
        <v>1.6666666666666666E-2</v>
      </c>
      <c r="EI214" s="7">
        <f t="shared" si="83"/>
        <v>1.6666666666666666E-2</v>
      </c>
      <c r="EJ214" s="7">
        <f t="shared" si="83"/>
        <v>1.6666666666666666E-2</v>
      </c>
      <c r="EK214" s="7">
        <f t="shared" si="83"/>
        <v>1.6666666666666666E-2</v>
      </c>
      <c r="EL214" s="7">
        <f>0.2/12</f>
        <v>1.6666666666666666E-2</v>
      </c>
      <c r="EM214" s="8">
        <f>0.2/43</f>
        <v>4.6511627906976744E-3</v>
      </c>
      <c r="EN214" s="8">
        <v>4.6511627906976744E-3</v>
      </c>
      <c r="EO214" s="8">
        <f>0.2/28</f>
        <v>7.1428571428571435E-3</v>
      </c>
      <c r="EP214" s="8">
        <v>7.1428571428571435E-3</v>
      </c>
      <c r="EQ214" s="8">
        <v>7.1428571428571435E-3</v>
      </c>
      <c r="ER214" s="8">
        <v>7.1428571428571435E-3</v>
      </c>
      <c r="ES214" s="8">
        <v>7.1428571428571435E-3</v>
      </c>
      <c r="ET214" s="8">
        <v>7.1428571428571435E-3</v>
      </c>
      <c r="EU214" s="8">
        <v>7.1428571428571435E-3</v>
      </c>
      <c r="EV214" s="8">
        <v>7.1428571428571435E-3</v>
      </c>
      <c r="EW214" s="8">
        <v>7.1428571428571435E-3</v>
      </c>
      <c r="EX214" s="8">
        <v>7.1428571428571435E-3</v>
      </c>
      <c r="EY214" s="8">
        <v>7.1428571428571435E-3</v>
      </c>
      <c r="EZ214" s="8">
        <v>7.1428571428571435E-3</v>
      </c>
      <c r="FA214" s="8">
        <v>7.1428571428571435E-3</v>
      </c>
      <c r="FB214" s="8">
        <v>7.1428571428571435E-3</v>
      </c>
      <c r="FC214" s="8">
        <v>7.1428571428571435E-3</v>
      </c>
      <c r="FD214" s="8">
        <v>7.1428571428571435E-3</v>
      </c>
      <c r="FE214" s="8">
        <v>7.1428571428571435E-3</v>
      </c>
      <c r="FF214" s="8">
        <f>0.2/35</f>
        <v>5.7142857142857143E-3</v>
      </c>
      <c r="FG214" s="8">
        <v>5.7142857142857143E-3</v>
      </c>
      <c r="FH214" s="8">
        <v>5.7142857142857143E-3</v>
      </c>
      <c r="FI214" s="8">
        <v>5.7142857142857143E-3</v>
      </c>
      <c r="FJ214" s="8">
        <v>5.7142857142857143E-3</v>
      </c>
      <c r="FK214" s="8">
        <v>5.7142857142857143E-3</v>
      </c>
      <c r="FL214" s="8">
        <v>5.7142857142857143E-3</v>
      </c>
      <c r="FM214" s="8">
        <f>0.2/42</f>
        <v>4.7619047619047623E-3</v>
      </c>
      <c r="FN214" s="8">
        <v>4.7619047619047623E-3</v>
      </c>
      <c r="FO214" s="8">
        <v>4.7619047619047623E-3</v>
      </c>
      <c r="FP214" s="8">
        <f>0.2/35</f>
        <v>5.7142857142857143E-3</v>
      </c>
      <c r="FQ214" s="8">
        <v>5.7142857142857143E-3</v>
      </c>
      <c r="FR214" s="8">
        <v>5.7142857142857143E-3</v>
      </c>
      <c r="FS214" s="8">
        <v>5.7142857142857143E-3</v>
      </c>
      <c r="FT214" s="8">
        <f>0.2/34</f>
        <v>5.8823529411764705E-3</v>
      </c>
      <c r="FU214" s="8">
        <v>5.7142857142857143E-3</v>
      </c>
      <c r="FV214" s="8">
        <v>5.7142857142857143E-3</v>
      </c>
      <c r="FW214" s="8">
        <f>0.2/44</f>
        <v>4.5454545454545461E-3</v>
      </c>
      <c r="FX214" s="8">
        <v>4.5454545454545461E-3</v>
      </c>
      <c r="FY214" s="8">
        <f>0.2/35</f>
        <v>5.7142857142857143E-3</v>
      </c>
      <c r="FZ214" s="8">
        <f>0.2/28</f>
        <v>7.1428571428571435E-3</v>
      </c>
      <c r="GA214" s="8">
        <v>5.7142857142857143E-3</v>
      </c>
      <c r="GB214" s="8">
        <v>5.7142857142857143E-3</v>
      </c>
      <c r="GC214" s="8">
        <v>5.7142857142857143E-3</v>
      </c>
      <c r="GD214" s="8">
        <v>7.1428571428571435E-3</v>
      </c>
      <c r="GE214" s="8">
        <v>7.1428571428571435E-3</v>
      </c>
      <c r="GF214" s="8">
        <f>0.2/43</f>
        <v>4.6511627906976744E-3</v>
      </c>
      <c r="GG214" s="8">
        <v>4.6511627906976744E-3</v>
      </c>
      <c r="GH214" s="9">
        <v>4.6511627906976744E-3</v>
      </c>
    </row>
    <row r="215" spans="1:190" x14ac:dyDescent="0.3">
      <c r="A215" s="35" t="s">
        <v>2</v>
      </c>
      <c r="B215" s="11" t="s">
        <v>62</v>
      </c>
      <c r="C215" s="12" t="s">
        <v>62</v>
      </c>
      <c r="D215" s="13">
        <f>IF(Distances!BQ106&gt;0,(BP215+Distances!BQ106*1.84)*EB215*D213*2,"")</f>
        <v>29216.42352</v>
      </c>
      <c r="E215" s="13" t="s">
        <v>62</v>
      </c>
      <c r="F215" s="13">
        <f>IF(Distances!BS106&gt;0,(BR215+Distances!BS106*1.84)*ED215*F213*2,"")</f>
        <v>6460.6225599999998</v>
      </c>
      <c r="G215" s="13">
        <f>IF(Distances!BT106&gt;0,(BS215+Distances!BT106*1.84)*EE215*G213*2,"")</f>
        <v>31107.442480000002</v>
      </c>
      <c r="H215" s="13" t="s">
        <v>62</v>
      </c>
      <c r="I215" s="13" t="s">
        <v>62</v>
      </c>
      <c r="J215" s="13">
        <f>IF(Distances!BW106&gt;0,(BV215+Distances!BW106*1.84)*EH215*J213*2,"")</f>
        <v>243.66671999999997</v>
      </c>
      <c r="K215" s="13" t="s">
        <v>62</v>
      </c>
      <c r="L215" s="13">
        <f>IF(Distances!BY106&gt;0,(BX215+Distances!BY106*1.84)*EJ215*L213*2,"")</f>
        <v>497.89301333333333</v>
      </c>
      <c r="M215" s="13" t="s">
        <v>62</v>
      </c>
      <c r="N215" s="13">
        <f>IF(Distances!CA106&gt;0,(BZ215+Distances!CA106*1.84)*EL215*N213*2,"")</f>
        <v>231.3606933333333</v>
      </c>
      <c r="O215" s="14">
        <f>IF(Distances!CB106&gt;0,(CA215+Distances!CB106*1.84)*EM215*O213*2,"")</f>
        <v>105.73341767441859</v>
      </c>
      <c r="P215" s="14">
        <f>IF(Distances!CC106&gt;0,(CB215+Distances!CC106*1.84)*EN215*P213*2,"")</f>
        <v>106.65705302325581</v>
      </c>
      <c r="Q215" s="14" t="s">
        <v>62</v>
      </c>
      <c r="R215" s="14" t="s">
        <v>62</v>
      </c>
      <c r="S215" s="14" t="s">
        <v>62</v>
      </c>
      <c r="T215" s="14">
        <f>IF(Distances!CG106&gt;0,(CF215+Distances!CG106*1.84)*ER215*T213*2,"")</f>
        <v>158.85656</v>
      </c>
      <c r="U215" s="14">
        <f>IF(Distances!CH106&gt;0,(CG215+Distances!CH106*1.84)*ES215*U213*2,"")</f>
        <v>213.13567999999998</v>
      </c>
      <c r="V215" s="14">
        <f>IF(Distances!CI106&gt;0,(CH215+Distances!CI106*1.84)*ET215*V213*2,"")</f>
        <v>2301.0051657142858</v>
      </c>
      <c r="W215" s="14" t="s">
        <v>62</v>
      </c>
      <c r="X215" s="14">
        <f>IF(Distances!CK106&gt;0,(CJ215+Distances!CK106*1.84)*EV215*X213*2,"")</f>
        <v>1432.5837600000002</v>
      </c>
      <c r="Y215" s="14">
        <f>IF(Distances!CL106&gt;0,(CK215+Distances!CL106*1.84)*EW215*Y213*2,"")</f>
        <v>1411.373325714286</v>
      </c>
      <c r="Z215" s="14">
        <f>IF(Distances!CM106&gt;0,(CL215+Distances!CM106*1.84)*EX215*Z213*2,"")</f>
        <v>52.209862857142859</v>
      </c>
      <c r="AA215" s="14">
        <f>IF(Distances!CN106&gt;0,(CM215+Distances!CN106*1.84)*EY215*AA213*2,"")</f>
        <v>55.256388571428573</v>
      </c>
      <c r="AB215" s="14">
        <f>IF(Distances!CO106&gt;0,(CN215+Distances!CO106*1.84)*EZ215*AB213*2,"")</f>
        <v>64.461668571428589</v>
      </c>
      <c r="AC215" s="14" t="s">
        <v>62</v>
      </c>
      <c r="AD215" s="14" t="s">
        <v>62</v>
      </c>
      <c r="AE215" s="14">
        <f>IF(Distances!CR106&gt;0,(CQ215+Distances!CR106*1.84)*FC215*AE213*2,"")</f>
        <v>102.25563428571429</v>
      </c>
      <c r="AF215" s="14">
        <f>IF(Distances!CS106&gt;0,(CR215+Distances!CS106*1.84)*FD215*AF213*2,"")</f>
        <v>184.97572571428574</v>
      </c>
      <c r="AG215" s="14">
        <f>IF(Distances!CT106&gt;0,(CS215+Distances!CT106*1.84)*FE215*AG213*2,"")</f>
        <v>161.5288685714286</v>
      </c>
      <c r="AH215" s="14">
        <f>IF(Distances!CU106&gt;0,(CT215+Distances!CU106*1.84)*FF215*AH213*2,"")</f>
        <v>61.184626285714288</v>
      </c>
      <c r="AI215" s="14" t="s">
        <v>62</v>
      </c>
      <c r="AJ215" s="14">
        <f>IF(Distances!CW106&gt;0,(CV215+Distances!CW106*1.84)*FH215*AJ213*2,"")</f>
        <v>50.306546285714283</v>
      </c>
      <c r="AK215" s="14" t="s">
        <v>62</v>
      </c>
      <c r="AL215" s="14" t="s">
        <v>62</v>
      </c>
      <c r="AM215" s="14" t="s">
        <v>62</v>
      </c>
      <c r="AN215" s="14">
        <f>IF(Distances!DA106&gt;0,(CZ215+Distances!DA106*1.84)*FL215*AN213*2,"")</f>
        <v>1443.5420708571428</v>
      </c>
      <c r="AO215" s="14" t="s">
        <v>62</v>
      </c>
      <c r="AP215" s="14" t="s">
        <v>62</v>
      </c>
      <c r="AQ215" s="14" t="s">
        <v>62</v>
      </c>
      <c r="AR215" s="14" t="s">
        <v>62</v>
      </c>
      <c r="AS215" s="14">
        <f>IF(Distances!DF106&gt;0,(DE215+Distances!DF106*1.84)*FQ215*AS213*2,"")</f>
        <v>121.04946285714286</v>
      </c>
      <c r="AT215" s="14">
        <f>IF(Distances!DG106&gt;0,(DF215+Distances!DG106*1.84)*FR215*AT213*2,"")</f>
        <v>84.926582857142861</v>
      </c>
      <c r="AU215" s="14">
        <f>IF(Distances!DH106&gt;0,(DG215+Distances!DH106*1.84)*FS215*AU213*2,"")</f>
        <v>307.05536000000001</v>
      </c>
      <c r="AV215" s="14">
        <f>IF(Distances!DI106&gt;0,(DH215+Distances!DI106*1.84)*FT215*AV213*2,"")</f>
        <v>169.72719999999998</v>
      </c>
      <c r="AW215" s="14">
        <f>IF(Distances!DJ106&gt;0,(DI215+Distances!DJ106*1.84)*FU215*AW213*2,"")</f>
        <v>585.36516571428569</v>
      </c>
      <c r="AX215" s="14" t="s">
        <v>62</v>
      </c>
      <c r="AY215" s="14" t="s">
        <v>62</v>
      </c>
      <c r="AZ215" s="14">
        <f>IF(Distances!DM106&gt;0,(DL215+Distances!DM106*1.84)*FX215*AZ213*2,"")</f>
        <v>187.45483636363639</v>
      </c>
      <c r="BA215" s="14" t="s">
        <v>62</v>
      </c>
      <c r="BB215" s="14" t="s">
        <v>62</v>
      </c>
      <c r="BC215" s="14" t="s">
        <v>62</v>
      </c>
      <c r="BD215" s="14">
        <f>IF(Distances!DQ106&gt;0,(DP215+Distances!DQ106*1.84)*GB215*BD213*2,"")</f>
        <v>773.58357942857128</v>
      </c>
      <c r="BE215" s="14" t="s">
        <v>62</v>
      </c>
      <c r="BF215" s="14">
        <f>IF(Distances!DS106&gt;0,(DR215+Distances!DS106*1.84)*GD215*BF213*2,"")</f>
        <v>214.76073142857143</v>
      </c>
      <c r="BG215" s="14">
        <f>IF(Distances!DT106&gt;0,(DS215+Distances!DT106*1.84)*GE215*BG213*2,"")</f>
        <v>102.79428571428572</v>
      </c>
      <c r="BH215" s="14">
        <f>IF(Distances!DU106&gt;0,(DT215+Distances!DU106*1.84)*GF215*BH213*2,"")</f>
        <v>99.631151627906974</v>
      </c>
      <c r="BI215" s="14">
        <f>IF(Distances!DV106&gt;0,(DU215+Distances!DV106*1.84)*GG215*BI213*2,"")</f>
        <v>83.439092093023262</v>
      </c>
      <c r="BJ215" s="15">
        <f>IF(Distances!DW106&gt;0,(DV215+Distances!DW106*1.84)*GH215*BJ213*2,"")</f>
        <v>154.16355720930233</v>
      </c>
      <c r="BM215" s="35" t="s">
        <v>2</v>
      </c>
      <c r="BN215" s="11">
        <v>758.3184</v>
      </c>
      <c r="BO215" s="12">
        <v>0</v>
      </c>
      <c r="BP215" s="13">
        <v>796.33679999999993</v>
      </c>
      <c r="BQ215" s="13">
        <v>796.33679999999993</v>
      </c>
      <c r="BR215" s="13">
        <v>843.57839999999999</v>
      </c>
      <c r="BS215" s="13">
        <v>1608.2051999999999</v>
      </c>
      <c r="BT215" s="13">
        <v>1928.8415999999997</v>
      </c>
      <c r="BU215" s="13">
        <v>1608.2051999999999</v>
      </c>
      <c r="BV215" s="13">
        <v>827.82839999999999</v>
      </c>
      <c r="BW215" s="13">
        <v>827.82839999999999</v>
      </c>
      <c r="BX215" s="13">
        <v>1947.7415999999998</v>
      </c>
      <c r="BY215" s="13">
        <v>1947.7415999999998</v>
      </c>
      <c r="BZ215" s="13">
        <v>891.01319999999998</v>
      </c>
      <c r="CA215" s="14">
        <v>810.66719999999998</v>
      </c>
      <c r="CB215" s="14">
        <v>1542.8196</v>
      </c>
      <c r="CC215" s="14">
        <v>1274.8344</v>
      </c>
      <c r="CD215" s="14">
        <v>1262.8223999999998</v>
      </c>
      <c r="CE215" s="14">
        <v>1298.8668</v>
      </c>
      <c r="CF215" s="14">
        <v>1238.7816</v>
      </c>
      <c r="CG215" s="14">
        <v>1557.4607999999998</v>
      </c>
      <c r="CH215" s="14">
        <v>1865.5391999999999</v>
      </c>
      <c r="CI215" s="14">
        <v>1250.8019999999999</v>
      </c>
      <c r="CJ215" s="14">
        <v>1466.2284</v>
      </c>
      <c r="CK215" s="14">
        <v>1238.7816</v>
      </c>
      <c r="CL215" s="14">
        <v>1696.1532</v>
      </c>
      <c r="CM215" s="14">
        <v>1665.3335999999999</v>
      </c>
      <c r="CN215" s="14">
        <v>1603.6944000000001</v>
      </c>
      <c r="CO215" s="14">
        <v>1588.2803999999999</v>
      </c>
      <c r="CP215" s="14">
        <v>1466.2284</v>
      </c>
      <c r="CQ215" s="14">
        <v>1865.5391999999999</v>
      </c>
      <c r="CR215" s="14">
        <v>1865.5391999999999</v>
      </c>
      <c r="CS215" s="14">
        <v>1865.5391999999999</v>
      </c>
      <c r="CT215" s="14">
        <v>2824.3907999999997</v>
      </c>
      <c r="CU215" s="14">
        <v>3217.8804</v>
      </c>
      <c r="CV215" s="14">
        <v>2824.3907999999997</v>
      </c>
      <c r="CW215" s="14">
        <v>3311.5823999999998</v>
      </c>
      <c r="CX215" s="14">
        <v>2039.7047999999998</v>
      </c>
      <c r="CY215" s="14">
        <v>2039.7047999999998</v>
      </c>
      <c r="CZ215" s="14">
        <v>2039.7047999999998</v>
      </c>
      <c r="DA215" s="14">
        <v>2565.3768</v>
      </c>
      <c r="DB215" s="14">
        <v>2615.172</v>
      </c>
      <c r="DC215" s="14">
        <v>2739.4751999999999</v>
      </c>
      <c r="DD215" s="14">
        <v>1881.9779999999998</v>
      </c>
      <c r="DE215" s="14">
        <v>1881.9779999999998</v>
      </c>
      <c r="DF215" s="14">
        <v>1881.9779999999998</v>
      </c>
      <c r="DG215" s="14">
        <v>1856.9039999999998</v>
      </c>
      <c r="DH215" s="14">
        <v>1593.8663999999999</v>
      </c>
      <c r="DI215" s="14">
        <v>1593.8663999999999</v>
      </c>
      <c r="DJ215" s="14">
        <v>1892.2595999999999</v>
      </c>
      <c r="DK215" s="14">
        <v>0</v>
      </c>
      <c r="DL215" s="14">
        <v>4265.1840000000002</v>
      </c>
      <c r="DM215" s="14">
        <v>2129.6687999999999</v>
      </c>
      <c r="DN215" s="14">
        <v>1564.0968</v>
      </c>
      <c r="DO215" s="14">
        <v>1768.5275999999999</v>
      </c>
      <c r="DP215" s="14">
        <v>1892.2595999999999</v>
      </c>
      <c r="DQ215" s="14">
        <v>1874.5775999999998</v>
      </c>
      <c r="DR215" s="14">
        <v>2325.1367999999998</v>
      </c>
      <c r="DS215" s="14">
        <v>1777.1879999999999</v>
      </c>
      <c r="DT215" s="14">
        <v>1750.9631999999999</v>
      </c>
      <c r="DU215" s="14">
        <v>2032.6656</v>
      </c>
      <c r="DV215" s="15">
        <v>2032.6656</v>
      </c>
      <c r="DY215" s="35" t="s">
        <v>2</v>
      </c>
      <c r="DZ215" s="11">
        <f>0.2/12</f>
        <v>1.6666666666666666E-2</v>
      </c>
      <c r="EA215" s="12">
        <v>0.6</v>
      </c>
      <c r="EB215" s="13">
        <f t="shared" si="83"/>
        <v>1.6666666666666666E-2</v>
      </c>
      <c r="EC215" s="13">
        <f t="shared" si="83"/>
        <v>1.6666666666666666E-2</v>
      </c>
      <c r="ED215" s="13">
        <f t="shared" si="83"/>
        <v>1.6666666666666666E-2</v>
      </c>
      <c r="EE215" s="13">
        <f t="shared" si="83"/>
        <v>1.6666666666666666E-2</v>
      </c>
      <c r="EF215" s="13">
        <f t="shared" si="83"/>
        <v>1.6666666666666666E-2</v>
      </c>
      <c r="EG215" s="13">
        <f t="shared" si="83"/>
        <v>1.6666666666666666E-2</v>
      </c>
      <c r="EH215" s="13">
        <f t="shared" si="83"/>
        <v>1.6666666666666666E-2</v>
      </c>
      <c r="EI215" s="13">
        <f t="shared" si="83"/>
        <v>1.6666666666666666E-2</v>
      </c>
      <c r="EJ215" s="13">
        <f t="shared" si="83"/>
        <v>1.6666666666666666E-2</v>
      </c>
      <c r="EK215" s="13">
        <f t="shared" si="83"/>
        <v>1.6666666666666666E-2</v>
      </c>
      <c r="EL215" s="13">
        <f t="shared" si="83"/>
        <v>1.6666666666666666E-2</v>
      </c>
      <c r="EM215" s="14">
        <v>4.6511627906976744E-3</v>
      </c>
      <c r="EN215" s="14">
        <v>4.6511627906976744E-3</v>
      </c>
      <c r="EO215" s="14">
        <v>7.1428571428571435E-3</v>
      </c>
      <c r="EP215" s="14">
        <v>7.1428571428571435E-3</v>
      </c>
      <c r="EQ215" s="14">
        <v>7.1428571428571435E-3</v>
      </c>
      <c r="ER215" s="14">
        <v>7.1428571428571435E-3</v>
      </c>
      <c r="ES215" s="14">
        <v>7.1428571428571435E-3</v>
      </c>
      <c r="ET215" s="14">
        <v>7.1428571428571435E-3</v>
      </c>
      <c r="EU215" s="14">
        <v>7.1428571428571435E-3</v>
      </c>
      <c r="EV215" s="14">
        <v>7.1428571428571435E-3</v>
      </c>
      <c r="EW215" s="14">
        <v>7.1428571428571435E-3</v>
      </c>
      <c r="EX215" s="14">
        <v>7.1428571428571435E-3</v>
      </c>
      <c r="EY215" s="14">
        <v>7.1428571428571435E-3</v>
      </c>
      <c r="EZ215" s="14">
        <v>7.1428571428571435E-3</v>
      </c>
      <c r="FA215" s="14">
        <v>7.1428571428571435E-3</v>
      </c>
      <c r="FB215" s="14">
        <v>7.1428571428571435E-3</v>
      </c>
      <c r="FC215" s="14">
        <v>7.1428571428571435E-3</v>
      </c>
      <c r="FD215" s="14">
        <v>7.1428571428571435E-3</v>
      </c>
      <c r="FE215" s="14">
        <v>7.1428571428571435E-3</v>
      </c>
      <c r="FF215" s="14">
        <v>5.7142857142857143E-3</v>
      </c>
      <c r="FG215" s="14">
        <v>5.7142857142857143E-3</v>
      </c>
      <c r="FH215" s="14">
        <v>5.7142857142857143E-3</v>
      </c>
      <c r="FI215" s="14">
        <v>5.7142857142857143E-3</v>
      </c>
      <c r="FJ215" s="14">
        <v>5.7142857142857143E-3</v>
      </c>
      <c r="FK215" s="14">
        <v>5.7142857142857143E-3</v>
      </c>
      <c r="FL215" s="14">
        <v>5.7142857142857143E-3</v>
      </c>
      <c r="FM215" s="14">
        <v>4.7619047619047623E-3</v>
      </c>
      <c r="FN215" s="14">
        <v>4.7619047619047623E-3</v>
      </c>
      <c r="FO215" s="14">
        <v>4.7619047619047623E-3</v>
      </c>
      <c r="FP215" s="14">
        <v>5.7142857142857143E-3</v>
      </c>
      <c r="FQ215" s="14">
        <v>5.7142857142857143E-3</v>
      </c>
      <c r="FR215" s="14">
        <v>5.7142857142857143E-3</v>
      </c>
      <c r="FS215" s="14">
        <v>5.7142857142857143E-3</v>
      </c>
      <c r="FT215" s="14">
        <v>5.8823529411764705E-3</v>
      </c>
      <c r="FU215" s="14">
        <v>5.7142857142857143E-3</v>
      </c>
      <c r="FV215" s="14">
        <v>5.7142857142857143E-3</v>
      </c>
      <c r="FW215" s="14">
        <v>4.5454545454545461E-3</v>
      </c>
      <c r="FX215" s="14">
        <v>4.5454545454545461E-3</v>
      </c>
      <c r="FY215" s="14">
        <v>5.7142857142857143E-3</v>
      </c>
      <c r="FZ215" s="14">
        <v>7.1428571428571435E-3</v>
      </c>
      <c r="GA215" s="14">
        <v>5.7142857142857143E-3</v>
      </c>
      <c r="GB215" s="14">
        <v>5.7142857142857143E-3</v>
      </c>
      <c r="GC215" s="14">
        <v>5.7142857142857143E-3</v>
      </c>
      <c r="GD215" s="14">
        <v>7.1428571428571435E-3</v>
      </c>
      <c r="GE215" s="14">
        <v>7.1428571428571435E-3</v>
      </c>
      <c r="GF215" s="14">
        <v>4.6511627906976744E-3</v>
      </c>
      <c r="GG215" s="14">
        <v>4.6511627906976744E-3</v>
      </c>
      <c r="GH215" s="15">
        <v>4.6511627906976744E-3</v>
      </c>
    </row>
    <row r="216" spans="1:190" x14ac:dyDescent="0.3">
      <c r="A216" s="35" t="s">
        <v>3</v>
      </c>
      <c r="B216" s="11">
        <f>IF(Distances!BO107&gt;0,(BN216+Distances!BO107*1.84)*DZ216*B213*2,"")</f>
        <v>27289.98992</v>
      </c>
      <c r="C216" s="13">
        <f>IF(Distances!BP107&gt;0,(BO216+Distances!BP107*1.84)*EA216*C213*2,"")</f>
        <v>29216.42352</v>
      </c>
      <c r="D216" s="12" t="s">
        <v>62</v>
      </c>
      <c r="E216" s="13">
        <f>IF(Distances!BR107&gt;0,(BQ216+Distances!BR107*1.84)*EC216*E213*2,"")</f>
        <v>23854.422400000003</v>
      </c>
      <c r="F216" s="13">
        <f>IF(Distances!BS107&gt;0,(BR216+Distances!BS107*1.84)*ED216*F213*2,"")</f>
        <v>27678.783359999998</v>
      </c>
      <c r="G216" s="13">
        <f>IF(Distances!BT107&gt;0,(BS216+Distances!BT107*1.84)*EE216*G213*2,"")</f>
        <v>60624.256159999997</v>
      </c>
      <c r="H216" s="13">
        <f>IF(Distances!BU107&gt;0,(BT216+Distances!BU107*1.84)*EF216*H213*2,"")</f>
        <v>41879.245999999999</v>
      </c>
      <c r="I216" s="13">
        <f>IF(Distances!BV107&gt;0,(BU216+Distances!BV107*1.84)*EG216*I213*2,"")</f>
        <v>40345.395360000002</v>
      </c>
      <c r="J216" s="13">
        <f>IF(Distances!BW107&gt;0,(BV216+Distances!BW107*1.84)*EH216*J213*2,"")</f>
        <v>664.80383999999992</v>
      </c>
      <c r="K216" s="13">
        <f>IF(Distances!BX107&gt;0,(BW216+Distances!BX107*1.84)*EI216*K213*2,"")</f>
        <v>531.51424000000009</v>
      </c>
      <c r="L216" s="13">
        <f>IF(Distances!BY107&gt;0,(BX216+Distances!BY107*1.84)*EJ216*L213*2,"")</f>
        <v>1070.9838933333335</v>
      </c>
      <c r="M216" s="13">
        <f>IF(Distances!BZ107&gt;0,(BY216+Distances!BZ107*1.84)*EK216*M213*2,"")</f>
        <v>832.78976</v>
      </c>
      <c r="N216" s="13">
        <f>IF(Distances!CA107&gt;0,(BZ216+Distances!CA107*1.84)*EL216*N213*2,"")</f>
        <v>726.83781333333343</v>
      </c>
      <c r="O216" s="14">
        <f>IF(Distances!CB107&gt;0,(CA216+Distances!CB107*1.84)*EM216*O213*2,"")</f>
        <v>391.47422511627906</v>
      </c>
      <c r="P216" s="14">
        <f>IF(Distances!CC107&gt;0,(CB216+Distances!CC107*1.84)*EN216*P213*2,"")</f>
        <v>326.36299906976751</v>
      </c>
      <c r="Q216" s="14">
        <f>IF(Distances!CD107&gt;0,(CC216+Distances!CD107*1.84)*EO216*Q213*2,"")</f>
        <v>3089.0117142857143</v>
      </c>
      <c r="R216" s="14">
        <f>IF(Distances!CE107&gt;0,(CD216+Distances!CE107*1.84)*EP216*R213*2,"")</f>
        <v>3083.7497142857146</v>
      </c>
      <c r="S216" s="14">
        <f>IF(Distances!CF107&gt;0,(CE216+Distances!CF107*1.84)*EQ216*S213*2,"")</f>
        <v>3099.5357142857147</v>
      </c>
      <c r="T216" s="14">
        <f>IF(Distances!CG107&gt;0,(CF216+Distances!CG107*1.84)*ER216*T213*2,"")</f>
        <v>465.23000000000008</v>
      </c>
      <c r="U216" s="14">
        <f>IF(Distances!CH107&gt;0,(CG216+Distances!CH107*1.84)*ES216*U213*2,"")</f>
        <v>498.13448000000017</v>
      </c>
      <c r="V216" s="14">
        <f>IF(Distances!CI107&gt;0,(CH216+Distances!CI107*1.84)*ET216*V213*2,"")</f>
        <v>4623.3642742857155</v>
      </c>
      <c r="W216" s="14">
        <f>IF(Distances!CJ107&gt;0,(CI216+Distances!CJ107*1.84)*EU216*W213*2,"")</f>
        <v>3571.0457485714292</v>
      </c>
      <c r="X216" s="14">
        <f>IF(Distances!CK107&gt;0,(CJ216+Distances!CK107*1.84)*EV216*X213*2,"")</f>
        <v>3902.1051085714294</v>
      </c>
      <c r="Y216" s="14">
        <f>IF(Distances!CL107&gt;0,(CK216+Distances!CL107*1.84)*EW216*Y213*2,"")</f>
        <v>3949.8961142857147</v>
      </c>
      <c r="Z216" s="14">
        <f>IF(Distances!CM107&gt;0,(CL216+Distances!CM107*1.84)*EX216*Z213*2,"")</f>
        <v>131.87433142857145</v>
      </c>
      <c r="AA216" s="14">
        <f>IF(Distances!CN107&gt;0,(CM216+Distances!CN107*1.84)*EY216*AA213*2,"")</f>
        <v>135.31277714285716</v>
      </c>
      <c r="AB216" s="14">
        <f>IF(Distances!CO107&gt;0,(CN216+Distances!CO107*1.84)*EZ216*AB213*2,"")</f>
        <v>145.30189714285714</v>
      </c>
      <c r="AC216" s="14">
        <f>IF(Distances!CP107&gt;0,(CO216+Distances!CP107*1.84)*FA216*AC213*2,"")</f>
        <v>126.41574857142858</v>
      </c>
      <c r="AD216" s="14">
        <f>IF(Distances!CQ107&gt;0,(CP216+Distances!CQ107*1.84)*FB216*AD213*2,"")</f>
        <v>127.04814857142858</v>
      </c>
      <c r="AE216" s="14">
        <f>IF(Distances!CR107&gt;0,(CQ216+Distances!CR107*1.84)*FC216*AE213*2,"")</f>
        <v>182.33698285714289</v>
      </c>
      <c r="AF216" s="14">
        <f>IF(Distances!CS107&gt;0,(CR216+Distances!CS107*1.84)*FD216*AF213*2,"")</f>
        <v>345.13842285714298</v>
      </c>
      <c r="AG216" s="14">
        <f>IF(Distances!CT107&gt;0,(CS216+Distances!CT107*1.84)*FE216*AG213*2,"")</f>
        <v>321.69156571428573</v>
      </c>
      <c r="AH216" s="14">
        <f>IF(Distances!CU107&gt;0,(CT216+Distances!CU107*1.84)*FF216*AH213*2,"")</f>
        <v>91.027981714285715</v>
      </c>
      <c r="AI216" s="14">
        <f>IF(Distances!CV107&gt;0,(CU216+Distances!CV107*1.84)*FG216*AI213*2,"")</f>
        <v>60.091803428571431</v>
      </c>
      <c r="AJ216" s="14">
        <f>IF(Distances!CW107&gt;0,(CV216+Distances!CW107*1.84)*FH216*AJ213*2,"")</f>
        <v>80.149901714285718</v>
      </c>
      <c r="AK216" s="14">
        <f>IF(Distances!CX107&gt;0,(CW216+Distances!CX107*1.84)*FI216*AK213*2,"")</f>
        <v>60.662427428571434</v>
      </c>
      <c r="AL216" s="14">
        <f>IF(Distances!CY107&gt;0,(CX216+Distances!CY107*1.84)*FJ216*AL213*2,"")</f>
        <v>3171.4897371428574</v>
      </c>
      <c r="AM216" s="14">
        <f>IF(Distances!CZ107&gt;0,(CY216+Distances!CZ107*1.84)*FK216*AM213*2,"")</f>
        <v>3171.4897371428574</v>
      </c>
      <c r="AN216" s="14">
        <f>IF(Distances!DA107&gt;0,(CZ216+Distances!DA107*1.84)*FL216*AN213*2,"")</f>
        <v>3356.2425599999997</v>
      </c>
      <c r="AO216" s="14">
        <f>IF(Distances!DB107&gt;0,(DA216+Distances!DB107*1.84)*FM216*AO213*2,"")</f>
        <v>113.00852571428571</v>
      </c>
      <c r="AP216" s="14">
        <f>IF(Distances!DC107&gt;0,(DB216+Distances!DC107*1.84)*FN216*AP213*2,"")</f>
        <v>113.89220571428572</v>
      </c>
      <c r="AQ216" s="14">
        <f>IF(Distances!DD107&gt;0,(DC216+Distances!DD107*1.84)*FO216*AQ213*2,"")</f>
        <v>110.50900571428572</v>
      </c>
      <c r="AR216" s="14">
        <f>IF(Distances!DE107&gt;0,(DD216+Distances!DE107*1.84)*FP216*AR213*2,"")</f>
        <v>127.07813485714287</v>
      </c>
      <c r="AS216" s="14">
        <f>IF(Distances!DF107&gt;0,(DE216+Distances!DF107*1.84)*FQ216*AS213*2,"")</f>
        <v>205.11095771428572</v>
      </c>
      <c r="AT216" s="14">
        <f>IF(Distances!DG107&gt;0,(DF216+Distances!DG107*1.84)*FR216*AT213*2,"")</f>
        <v>168.98807771428571</v>
      </c>
      <c r="AU216" s="14">
        <f>IF(Distances!DH107&gt;0,(DG216+Distances!DH107*1.84)*FS216*AU213*2,"")</f>
        <v>922.50425599999994</v>
      </c>
      <c r="AV216" s="14">
        <f>IF(Distances!DI107&gt;0,(DH216+Distances!DI107*1.84)*FT216*AV213*2,"")</f>
        <v>398.82103529411768</v>
      </c>
      <c r="AW216" s="14">
        <f>IF(Distances!DJ107&gt;0,(DI216+Distances!DJ107*1.84)*FU216*AW213*2,"")</f>
        <v>807.9134628571428</v>
      </c>
      <c r="AX216" s="14">
        <f>IF(Distances!DK107&gt;0,(DJ216+Distances!DK107*1.84)*FV216*AX213*2,"")</f>
        <v>328.26253714285713</v>
      </c>
      <c r="AY216" s="14">
        <f>IF(Distances!DL107&gt;0,(DK216+Distances!DL107*1.84)*FW216*AY213*2,"")</f>
        <v>128.82676363636367</v>
      </c>
      <c r="AZ216" s="14">
        <f>IF(Distances!DM107&gt;0,(DL216+Distances!DM107*1.84)*FX216*AZ213*2,"")</f>
        <v>302.66993454545457</v>
      </c>
      <c r="BA216" s="14">
        <f>IF(Distances!DN107&gt;0,(DM216+Distances!DN107*1.84)*FY216*BA213*2,"")</f>
        <v>253.08490971428574</v>
      </c>
      <c r="BB216" s="14">
        <f>IF(Distances!DO107&gt;0,(DN216+Distances!DO107*1.84)*FZ216*BB213*2,"")</f>
        <v>311.54941714285718</v>
      </c>
      <c r="BC216" s="14">
        <f>IF(Distances!DP107&gt;0,(DO216+Distances!DP107*1.84)*GA216*BC213*2,"")</f>
        <v>2048.2230857142858</v>
      </c>
      <c r="BD216" s="14">
        <f>IF(Distances!DQ107&gt;0,(DP216+Distances!DQ107*1.84)*GB216*BD213*2,"")</f>
        <v>2182.4374491428575</v>
      </c>
      <c r="BE216" s="14">
        <f>IF(Distances!DR107&gt;0,(DQ216+Distances!DR107*1.84)*GC216*BE213*2,"")</f>
        <v>2093.3569097142858</v>
      </c>
      <c r="BF216" s="14">
        <f>IF(Distances!DS107&gt;0,(DR216+Distances!DS107*1.84)*GD216*BF213*2,"")</f>
        <v>396.31222857142859</v>
      </c>
      <c r="BG216" s="14">
        <f>IF(Distances!DT107&gt;0,(DS216+Distances!DT107*1.84)*GE216*BG213*2,"")</f>
        <v>286.78274285714292</v>
      </c>
      <c r="BH216" s="14">
        <f>IF(Distances!DU107&gt;0,(DT216+Distances!DU107*1.84)*GF216*BH213*2,"")</f>
        <v>241.4332427906977</v>
      </c>
      <c r="BI216" s="14">
        <f>IF(Distances!DV107&gt;0,(DU216+Distances!DV107*1.84)*GG216*BI213*2,"")</f>
        <v>222.12841674418607</v>
      </c>
      <c r="BJ216" s="15">
        <f>IF(Distances!DW107&gt;0,(DV216+Distances!DW107*1.84)*GH216*BJ213*2,"")</f>
        <v>292.85288186046512</v>
      </c>
      <c r="BM216" s="35" t="s">
        <v>3</v>
      </c>
      <c r="BN216" s="11">
        <v>510.23279999999994</v>
      </c>
      <c r="BO216" s="13">
        <v>796.33679999999993</v>
      </c>
      <c r="BP216" s="12">
        <v>0</v>
      </c>
      <c r="BQ216" s="13">
        <v>0</v>
      </c>
      <c r="BR216" s="13">
        <v>452.05439999999993</v>
      </c>
      <c r="BS216" s="13">
        <v>2449.1543999999999</v>
      </c>
      <c r="BT216" s="13">
        <v>2676.9539999999997</v>
      </c>
      <c r="BU216" s="13">
        <v>2449.1543999999999</v>
      </c>
      <c r="BV216" s="13">
        <v>443.62079999999997</v>
      </c>
      <c r="BW216" s="13">
        <v>443.62079999999997</v>
      </c>
      <c r="BX216" s="13">
        <v>2703.1871999999998</v>
      </c>
      <c r="BY216" s="13">
        <v>2703.1871999999998</v>
      </c>
      <c r="BZ216" s="13">
        <v>1064.3555999999999</v>
      </c>
      <c r="CA216" s="14">
        <v>1656.0935999999999</v>
      </c>
      <c r="CB216" s="14">
        <v>1374.1392000000001</v>
      </c>
      <c r="CC216" s="14">
        <v>781.8803999999999</v>
      </c>
      <c r="CD216" s="14">
        <v>774.5136</v>
      </c>
      <c r="CE216" s="14">
        <v>796.61400000000003</v>
      </c>
      <c r="CF216" s="14">
        <v>759.78</v>
      </c>
      <c r="CG216" s="14">
        <v>864.71280000000002</v>
      </c>
      <c r="CH216" s="14">
        <v>1125.6504</v>
      </c>
      <c r="CI216" s="14">
        <v>767.14679999999998</v>
      </c>
      <c r="CJ216" s="14">
        <v>903.94920000000002</v>
      </c>
      <c r="CK216" s="14">
        <v>759.78</v>
      </c>
      <c r="CL216" s="14">
        <v>941.67359999999996</v>
      </c>
      <c r="CM216" s="14">
        <v>924.57119999999998</v>
      </c>
      <c r="CN216" s="14">
        <v>890.3664</v>
      </c>
      <c r="CO216" s="14">
        <v>881.81519999999989</v>
      </c>
      <c r="CP216" s="14">
        <v>903.94920000000002</v>
      </c>
      <c r="CQ216" s="14">
        <v>1125.6504</v>
      </c>
      <c r="CR216" s="14">
        <v>1125.6504</v>
      </c>
      <c r="CS216" s="14">
        <v>1125.6504</v>
      </c>
      <c r="CT216" s="14">
        <v>1892.9484000000002</v>
      </c>
      <c r="CU216" s="14">
        <v>1715.2967999999998</v>
      </c>
      <c r="CV216" s="14">
        <v>1892.9484000000002</v>
      </c>
      <c r="CW216" s="14">
        <v>1765.2264</v>
      </c>
      <c r="CX216" s="14">
        <v>1596.252</v>
      </c>
      <c r="CY216" s="14">
        <v>1596.252</v>
      </c>
      <c r="CZ216" s="14">
        <v>1596.252</v>
      </c>
      <c r="DA216" s="14">
        <v>2390.2115999999996</v>
      </c>
      <c r="DB216" s="14">
        <v>2436.6047999999996</v>
      </c>
      <c r="DC216" s="14">
        <v>2258.9867999999997</v>
      </c>
      <c r="DD216" s="14">
        <v>2016.9324000000001</v>
      </c>
      <c r="DE216" s="14">
        <v>2016.9324000000001</v>
      </c>
      <c r="DF216" s="14">
        <v>2016.9324000000001</v>
      </c>
      <c r="DG216" s="14">
        <v>2160.7235999999998</v>
      </c>
      <c r="DH216" s="14">
        <v>1945.7256</v>
      </c>
      <c r="DI216" s="14">
        <v>1945.7256</v>
      </c>
      <c r="DJ216" s="14">
        <v>2201.8584000000001</v>
      </c>
      <c r="DK216" s="14">
        <v>0</v>
      </c>
      <c r="DL216" s="14">
        <v>3890.8631999999993</v>
      </c>
      <c r="DM216" s="14">
        <v>1993.4964</v>
      </c>
      <c r="DN216" s="14">
        <v>1909.3788</v>
      </c>
      <c r="DO216" s="14">
        <v>2057.8739999999998</v>
      </c>
      <c r="DP216" s="14">
        <v>2201.8584000000001</v>
      </c>
      <c r="DQ216" s="14">
        <v>2181.2867999999999</v>
      </c>
      <c r="DR216" s="14">
        <v>1959.5520000000001</v>
      </c>
      <c r="DS216" s="14">
        <v>1454.25</v>
      </c>
      <c r="DT216" s="14">
        <v>2019.1584</v>
      </c>
      <c r="DU216" s="14">
        <v>2217.2051999999999</v>
      </c>
      <c r="DV216" s="15">
        <v>2217.2051999999999</v>
      </c>
      <c r="DY216" s="35" t="s">
        <v>3</v>
      </c>
      <c r="DZ216" s="11">
        <f t="shared" si="83"/>
        <v>1.6666666666666666E-2</v>
      </c>
      <c r="EA216" s="11">
        <f t="shared" si="83"/>
        <v>1.6666666666666666E-2</v>
      </c>
      <c r="EB216" s="12">
        <v>0.6</v>
      </c>
      <c r="EC216" s="13">
        <f t="shared" si="83"/>
        <v>1.6666666666666666E-2</v>
      </c>
      <c r="ED216" s="13">
        <f t="shared" si="83"/>
        <v>1.6666666666666666E-2</v>
      </c>
      <c r="EE216" s="13">
        <f t="shared" si="83"/>
        <v>1.6666666666666666E-2</v>
      </c>
      <c r="EF216" s="13">
        <f t="shared" si="83"/>
        <v>1.6666666666666666E-2</v>
      </c>
      <c r="EG216" s="13">
        <f t="shared" si="83"/>
        <v>1.6666666666666666E-2</v>
      </c>
      <c r="EH216" s="13">
        <f t="shared" si="83"/>
        <v>1.6666666666666666E-2</v>
      </c>
      <c r="EI216" s="13">
        <f t="shared" si="83"/>
        <v>1.6666666666666666E-2</v>
      </c>
      <c r="EJ216" s="13">
        <f t="shared" si="83"/>
        <v>1.6666666666666666E-2</v>
      </c>
      <c r="EK216" s="13">
        <f t="shared" si="83"/>
        <v>1.6666666666666666E-2</v>
      </c>
      <c r="EL216" s="13">
        <f t="shared" si="83"/>
        <v>1.6666666666666666E-2</v>
      </c>
      <c r="EM216" s="14">
        <v>4.6511627906976744E-3</v>
      </c>
      <c r="EN216" s="14">
        <v>4.6511627906976744E-3</v>
      </c>
      <c r="EO216" s="14">
        <v>7.1428571428571435E-3</v>
      </c>
      <c r="EP216" s="14">
        <v>7.1428571428571435E-3</v>
      </c>
      <c r="EQ216" s="14">
        <v>7.1428571428571435E-3</v>
      </c>
      <c r="ER216" s="14">
        <v>7.1428571428571435E-3</v>
      </c>
      <c r="ES216" s="14">
        <v>7.1428571428571435E-3</v>
      </c>
      <c r="ET216" s="14">
        <v>7.1428571428571435E-3</v>
      </c>
      <c r="EU216" s="14">
        <v>7.1428571428571435E-3</v>
      </c>
      <c r="EV216" s="14">
        <v>7.1428571428571435E-3</v>
      </c>
      <c r="EW216" s="14">
        <v>7.1428571428571435E-3</v>
      </c>
      <c r="EX216" s="14">
        <v>7.1428571428571435E-3</v>
      </c>
      <c r="EY216" s="14">
        <v>7.1428571428571435E-3</v>
      </c>
      <c r="EZ216" s="14">
        <v>7.1428571428571435E-3</v>
      </c>
      <c r="FA216" s="14">
        <v>7.1428571428571435E-3</v>
      </c>
      <c r="FB216" s="14">
        <v>7.1428571428571435E-3</v>
      </c>
      <c r="FC216" s="14">
        <v>7.1428571428571435E-3</v>
      </c>
      <c r="FD216" s="14">
        <v>7.1428571428571435E-3</v>
      </c>
      <c r="FE216" s="14">
        <v>7.1428571428571435E-3</v>
      </c>
      <c r="FF216" s="14">
        <v>5.7142857142857143E-3</v>
      </c>
      <c r="FG216" s="14">
        <v>5.7142857142857143E-3</v>
      </c>
      <c r="FH216" s="14">
        <v>5.7142857142857143E-3</v>
      </c>
      <c r="FI216" s="14">
        <v>5.7142857142857143E-3</v>
      </c>
      <c r="FJ216" s="14">
        <v>5.7142857142857143E-3</v>
      </c>
      <c r="FK216" s="14">
        <v>5.7142857142857143E-3</v>
      </c>
      <c r="FL216" s="14">
        <v>5.7142857142857143E-3</v>
      </c>
      <c r="FM216" s="14">
        <v>4.7619047619047623E-3</v>
      </c>
      <c r="FN216" s="14">
        <v>4.7619047619047623E-3</v>
      </c>
      <c r="FO216" s="14">
        <v>4.7619047619047623E-3</v>
      </c>
      <c r="FP216" s="14">
        <v>5.7142857142857143E-3</v>
      </c>
      <c r="FQ216" s="14">
        <v>5.7142857142857143E-3</v>
      </c>
      <c r="FR216" s="14">
        <v>5.7142857142857143E-3</v>
      </c>
      <c r="FS216" s="14">
        <v>5.7142857142857143E-3</v>
      </c>
      <c r="FT216" s="14">
        <v>5.8823529411764705E-3</v>
      </c>
      <c r="FU216" s="14">
        <v>5.7142857142857143E-3</v>
      </c>
      <c r="FV216" s="14">
        <v>5.7142857142857143E-3</v>
      </c>
      <c r="FW216" s="14">
        <v>4.5454545454545461E-3</v>
      </c>
      <c r="FX216" s="14">
        <v>4.5454545454545461E-3</v>
      </c>
      <c r="FY216" s="14">
        <v>5.7142857142857143E-3</v>
      </c>
      <c r="FZ216" s="14">
        <v>7.1428571428571435E-3</v>
      </c>
      <c r="GA216" s="14">
        <v>5.7142857142857143E-3</v>
      </c>
      <c r="GB216" s="14">
        <v>5.7142857142857143E-3</v>
      </c>
      <c r="GC216" s="14">
        <v>5.7142857142857143E-3</v>
      </c>
      <c r="GD216" s="14">
        <v>7.1428571428571435E-3</v>
      </c>
      <c r="GE216" s="14">
        <v>7.1428571428571435E-3</v>
      </c>
      <c r="GF216" s="14">
        <v>4.6511627906976744E-3</v>
      </c>
      <c r="GG216" s="14">
        <v>4.6511627906976744E-3</v>
      </c>
      <c r="GH216" s="15">
        <v>4.6511627906976744E-3</v>
      </c>
    </row>
    <row r="217" spans="1:190" x14ac:dyDescent="0.3">
      <c r="A217" s="35" t="s">
        <v>4</v>
      </c>
      <c r="B217" s="11" t="s">
        <v>62</v>
      </c>
      <c r="C217" s="13" t="s">
        <v>62</v>
      </c>
      <c r="D217" s="13">
        <f>IF(Distances!BQ108&gt;0,(BP217+Distances!BQ108*1.84)*EB217*D213*2,"")</f>
        <v>23854.422400000003</v>
      </c>
      <c r="E217" s="12" t="s">
        <v>62</v>
      </c>
      <c r="F217" s="13">
        <f>IF(Distances!BS108&gt;0,(BR217+Distances!BS108*1.84)*ED217*F213*2,"")</f>
        <v>3824.3609599999995</v>
      </c>
      <c r="G217" s="13">
        <f>IF(Distances!BT108&gt;0,(BS217+Distances!BT108*1.84)*EE217*G213*2,"")</f>
        <v>36769.833759999994</v>
      </c>
      <c r="H217" s="13" t="s">
        <v>62</v>
      </c>
      <c r="I217" s="13" t="s">
        <v>62</v>
      </c>
      <c r="J217" s="13">
        <f>IF(Distances!BW108&gt;0,(BV217+Distances!BW108*1.84)*EH217*J213*2,"")</f>
        <v>192.43903999999998</v>
      </c>
      <c r="K217" s="13" t="s">
        <v>62</v>
      </c>
      <c r="L217" s="13">
        <f>IF(Distances!BY108&gt;0,(BX217+Distances!BY108*1.84)*EJ217*L213*2,"")</f>
        <v>598.61909333333335</v>
      </c>
      <c r="M217" s="13" t="s">
        <v>62</v>
      </c>
      <c r="N217" s="13">
        <f>IF(Distances!CA108&gt;0,(BZ217+Distances!CA108*1.84)*EL217*N213*2,"")</f>
        <v>254.47301333333331</v>
      </c>
      <c r="O217" s="14">
        <f>IF(Distances!CB108&gt;0,(CA217+Distances!CB108*1.84)*EM217*O213*2,"")</f>
        <v>160.78443906976742</v>
      </c>
      <c r="P217" s="14">
        <f>IF(Distances!CC108&gt;0,(CB217+Distances!CC108*1.84)*EN217*P213*2,"")</f>
        <v>95.673213023255812</v>
      </c>
      <c r="Q217" s="14" t="s">
        <v>62</v>
      </c>
      <c r="R217" s="14" t="s">
        <v>62</v>
      </c>
      <c r="S217" s="14" t="s">
        <v>62</v>
      </c>
      <c r="T217" s="14">
        <f>IF(Distances!CG108&gt;0,(CF217+Distances!CG108*1.84)*ER217*T213*2,"")</f>
        <v>110.9564</v>
      </c>
      <c r="U217" s="14">
        <f>IF(Distances!CH108&gt;0,(CG217+Distances!CH108*1.84)*ES217*U213*2,"")</f>
        <v>143.86088000000001</v>
      </c>
      <c r="V217" s="14">
        <f>IF(Distances!CI108&gt;0,(CH217+Distances!CI108*1.84)*ET217*V213*2,"")</f>
        <v>1687.9544457142858</v>
      </c>
      <c r="W217" s="14" t="s">
        <v>62</v>
      </c>
      <c r="X217" s="14">
        <f>IF(Distances!CK108&gt;0,(CJ217+Distances!CK108*1.84)*EV217*X213*2,"")</f>
        <v>966.69528000000014</v>
      </c>
      <c r="Y217" s="14">
        <f>IF(Distances!CL108&gt;0,(CK217+Distances!CL108*1.84)*EW217*Y213*2,"")</f>
        <v>1014.4862857142859</v>
      </c>
      <c r="Z217" s="14">
        <f>IF(Distances!CM108&gt;0,(CL217+Distances!CM108*1.84)*EX217*Z213*2,"")</f>
        <v>30.653302857142862</v>
      </c>
      <c r="AA217" s="14">
        <f>IF(Distances!CN108&gt;0,(CM217+Distances!CN108*1.84)*EY217*AA213*2,"")</f>
        <v>34.091748571428575</v>
      </c>
      <c r="AB217" s="14">
        <f>IF(Distances!CO108&gt;0,(CN217+Distances!CO108*1.84)*EZ217*AB213*2,"")</f>
        <v>44.080868571428574</v>
      </c>
      <c r="AC217" s="14" t="s">
        <v>62</v>
      </c>
      <c r="AD217" s="14" t="s">
        <v>62</v>
      </c>
      <c r="AE217" s="14">
        <f>IF(Distances!CR108&gt;0,(CQ217+Distances!CR108*1.84)*FC217*AE213*2,"")</f>
        <v>81.115954285714295</v>
      </c>
      <c r="AF217" s="14">
        <f>IF(Distances!CS108&gt;0,(CR217+Distances!CS108*1.84)*FD217*AF213*2,"")</f>
        <v>142.69636571428572</v>
      </c>
      <c r="AG217" s="14">
        <f>IF(Distances!CT108&gt;0,(CS217+Distances!CT108*1.84)*FE217*AG213*2,"")</f>
        <v>119.24950857142858</v>
      </c>
      <c r="AH217" s="14">
        <f>IF(Distances!CU108&gt;0,(CT217+Distances!CU108*1.84)*FF217*AH213*2,"")</f>
        <v>50.539570285714291</v>
      </c>
      <c r="AI217" s="14" t="s">
        <v>62</v>
      </c>
      <c r="AJ217" s="14">
        <f>IF(Distances!CW108&gt;0,(CV217+Distances!CW108*1.84)*FH217*AJ213*2,"")</f>
        <v>39.661490285714287</v>
      </c>
      <c r="AK217" s="14" t="s">
        <v>62</v>
      </c>
      <c r="AL217" s="14" t="s">
        <v>62</v>
      </c>
      <c r="AM217" s="14" t="s">
        <v>62</v>
      </c>
      <c r="AN217" s="14">
        <f>IF(Distances!DA108&gt;0,(CZ217+Distances!DA108*1.84)*FL217*AN213*2,"")</f>
        <v>1169.8683428571428</v>
      </c>
      <c r="AO217" s="14" t="s">
        <v>62</v>
      </c>
      <c r="AP217" s="14" t="s">
        <v>62</v>
      </c>
      <c r="AQ217" s="14" t="s">
        <v>62</v>
      </c>
      <c r="AR217" s="14" t="s">
        <v>62</v>
      </c>
      <c r="AS217" s="14">
        <f>IF(Distances!DF108&gt;0,(DE217+Distances!DF108*1.84)*FQ217*AS213*2,"")</f>
        <v>124.13413485714287</v>
      </c>
      <c r="AT217" s="14">
        <f>IF(Distances!DG108&gt;0,(DF217+Distances!DG108*1.84)*FR217*AT213*2,"")</f>
        <v>88.011254857142859</v>
      </c>
      <c r="AU217" s="14">
        <f>IF(Distances!DH108&gt;0,(DG217+Distances!DH108*1.84)*FS217*AU213*2,"")</f>
        <v>355.66649599999994</v>
      </c>
      <c r="AV217" s="14">
        <f>IF(Distances!DI108&gt;0,(DH217+Distances!DI108*1.84)*FT217*AV213*2,"")</f>
        <v>190.42479999999998</v>
      </c>
      <c r="AW217" s="14">
        <f>IF(Distances!DJ108&gt;0,(DI217+Distances!DJ108*1.84)*FU217*AW213*2,"")</f>
        <v>605.47140571428577</v>
      </c>
      <c r="AX217" s="14" t="s">
        <v>62</v>
      </c>
      <c r="AY217" s="14" t="s">
        <v>62</v>
      </c>
      <c r="AZ217" s="14">
        <f>IF(Distances!DM108&gt;0,(DL217+Distances!DM108*1.84)*FX217*AZ213*2,"")</f>
        <v>173.8431709090909</v>
      </c>
      <c r="BA217" s="14" t="s">
        <v>62</v>
      </c>
      <c r="BB217" s="14" t="s">
        <v>62</v>
      </c>
      <c r="BC217" s="14" t="s">
        <v>62</v>
      </c>
      <c r="BD217" s="14">
        <f>IF(Distances!DQ108&gt;0,(DP217+Distances!DQ108*1.84)*GB217*BD213*2,"")</f>
        <v>886.80828342857137</v>
      </c>
      <c r="BE217" s="14" t="s">
        <v>62</v>
      </c>
      <c r="BF217" s="14">
        <f>IF(Distances!DS108&gt;0,(DR217+Distances!DS108*1.84)*GD217*BF213*2,"")</f>
        <v>193.87017142857144</v>
      </c>
      <c r="BG217" s="14">
        <f>IF(Distances!DT108&gt;0,(DS217+Distances!DT108*1.84)*GE217*BG213*2,"")</f>
        <v>84.340685714285726</v>
      </c>
      <c r="BH217" s="14">
        <f>IF(Distances!DU108&gt;0,(DT217+Distances!DU108*1.84)*GF217*BH213*2,"")</f>
        <v>109.61050790697675</v>
      </c>
      <c r="BI217" s="14">
        <f>IF(Distances!DV108&gt;0,(DU217+Distances!DV108*1.84)*GG217*BI213*2,"")</f>
        <v>90.305681860465114</v>
      </c>
      <c r="BJ217" s="15">
        <f>IF(Distances!DW108&gt;0,(DV217+Distances!DW108*1.84)*GH217*BJ213*2,"")</f>
        <v>161.03014697674419</v>
      </c>
      <c r="BM217" s="35" t="s">
        <v>4</v>
      </c>
      <c r="BN217" s="11">
        <v>510.23279999999994</v>
      </c>
      <c r="BO217" s="13">
        <v>796.33679999999993</v>
      </c>
      <c r="BP217" s="13">
        <v>0</v>
      </c>
      <c r="BQ217" s="12">
        <v>0</v>
      </c>
      <c r="BR217" s="13">
        <v>452.05439999999993</v>
      </c>
      <c r="BS217" s="13">
        <v>2449.1543999999999</v>
      </c>
      <c r="BT217" s="13">
        <v>2676.9539999999997</v>
      </c>
      <c r="BU217" s="13">
        <v>2449.1543999999999</v>
      </c>
      <c r="BV217" s="13">
        <v>443.62079999999997</v>
      </c>
      <c r="BW217" s="13">
        <v>443.62079999999997</v>
      </c>
      <c r="BX217" s="13">
        <v>2703.1871999999998</v>
      </c>
      <c r="BY217" s="13">
        <v>2703.1871999999998</v>
      </c>
      <c r="BZ217" s="13">
        <v>1064.3555999999999</v>
      </c>
      <c r="CA217" s="14">
        <v>1656.0935999999999</v>
      </c>
      <c r="CB217" s="14">
        <v>1374.1392000000001</v>
      </c>
      <c r="CC217" s="14">
        <v>781.8803999999999</v>
      </c>
      <c r="CD217" s="14">
        <v>774.5136</v>
      </c>
      <c r="CE217" s="14">
        <v>796.61400000000003</v>
      </c>
      <c r="CF217" s="14">
        <v>759.78</v>
      </c>
      <c r="CG217" s="14">
        <v>864.71280000000002</v>
      </c>
      <c r="CH217" s="14">
        <v>1125.6504</v>
      </c>
      <c r="CI217" s="14">
        <v>767.14679999999998</v>
      </c>
      <c r="CJ217" s="14">
        <v>903.94920000000002</v>
      </c>
      <c r="CK217" s="14">
        <v>759.78</v>
      </c>
      <c r="CL217" s="14">
        <v>941.67359999999996</v>
      </c>
      <c r="CM217" s="14">
        <v>924.57119999999998</v>
      </c>
      <c r="CN217" s="14">
        <v>890.3664</v>
      </c>
      <c r="CO217" s="14">
        <v>881.81519999999989</v>
      </c>
      <c r="CP217" s="14">
        <v>903.94920000000002</v>
      </c>
      <c r="CQ217" s="14">
        <v>1125.6504</v>
      </c>
      <c r="CR217" s="14">
        <v>1125.6504</v>
      </c>
      <c r="CS217" s="14">
        <v>1125.6504</v>
      </c>
      <c r="CT217" s="14">
        <v>1892.9484000000002</v>
      </c>
      <c r="CU217" s="14">
        <v>1715.2967999999998</v>
      </c>
      <c r="CV217" s="14">
        <v>1892.9484000000002</v>
      </c>
      <c r="CW217" s="14">
        <v>1765.2264</v>
      </c>
      <c r="CX217" s="14">
        <v>1596.252</v>
      </c>
      <c r="CY217" s="14">
        <v>1596.252</v>
      </c>
      <c r="CZ217" s="14">
        <v>1596.252</v>
      </c>
      <c r="DA217" s="14">
        <v>2390.2115999999996</v>
      </c>
      <c r="DB217" s="14">
        <v>2436.6047999999996</v>
      </c>
      <c r="DC217" s="14">
        <v>2258.9867999999997</v>
      </c>
      <c r="DD217" s="14">
        <v>2016.9324000000001</v>
      </c>
      <c r="DE217" s="14">
        <v>2016.9324000000001</v>
      </c>
      <c r="DF217" s="14">
        <v>2016.9324000000001</v>
      </c>
      <c r="DG217" s="14">
        <v>2160.7235999999998</v>
      </c>
      <c r="DH217" s="14">
        <v>1945.7256</v>
      </c>
      <c r="DI217" s="14">
        <v>1945.7256</v>
      </c>
      <c r="DJ217" s="14">
        <v>2201.8584000000001</v>
      </c>
      <c r="DK217" s="14">
        <v>0</v>
      </c>
      <c r="DL217" s="14">
        <v>3890.8631999999993</v>
      </c>
      <c r="DM217" s="14">
        <v>1993.4964</v>
      </c>
      <c r="DN217" s="14">
        <v>1909.3788</v>
      </c>
      <c r="DO217" s="14">
        <v>2057.8739999999998</v>
      </c>
      <c r="DP217" s="14">
        <v>2201.8584000000001</v>
      </c>
      <c r="DQ217" s="14">
        <v>2181.2867999999999</v>
      </c>
      <c r="DR217" s="14">
        <v>1959.5520000000001</v>
      </c>
      <c r="DS217" s="14">
        <v>1454.25</v>
      </c>
      <c r="DT217" s="14">
        <v>2019.1584</v>
      </c>
      <c r="DU217" s="14">
        <v>2217.2051999999999</v>
      </c>
      <c r="DV217" s="15">
        <v>2217.2051999999999</v>
      </c>
      <c r="DY217" s="35" t="s">
        <v>4</v>
      </c>
      <c r="DZ217" s="11">
        <f t="shared" si="83"/>
        <v>1.6666666666666666E-2</v>
      </c>
      <c r="EA217" s="13">
        <f t="shared" si="83"/>
        <v>1.6666666666666666E-2</v>
      </c>
      <c r="EB217" s="13">
        <f t="shared" si="83"/>
        <v>1.6666666666666666E-2</v>
      </c>
      <c r="EC217" s="12">
        <v>0.6</v>
      </c>
      <c r="ED217" s="13">
        <f t="shared" si="83"/>
        <v>1.6666666666666666E-2</v>
      </c>
      <c r="EE217" s="13">
        <f t="shared" si="83"/>
        <v>1.6666666666666666E-2</v>
      </c>
      <c r="EF217" s="13">
        <f t="shared" si="83"/>
        <v>1.6666666666666666E-2</v>
      </c>
      <c r="EG217" s="13">
        <f t="shared" si="83"/>
        <v>1.6666666666666666E-2</v>
      </c>
      <c r="EH217" s="13">
        <f t="shared" si="83"/>
        <v>1.6666666666666666E-2</v>
      </c>
      <c r="EI217" s="13">
        <f t="shared" si="83"/>
        <v>1.6666666666666666E-2</v>
      </c>
      <c r="EJ217" s="13">
        <f t="shared" si="83"/>
        <v>1.6666666666666666E-2</v>
      </c>
      <c r="EK217" s="13">
        <f t="shared" si="83"/>
        <v>1.6666666666666666E-2</v>
      </c>
      <c r="EL217" s="13">
        <f t="shared" si="83"/>
        <v>1.6666666666666666E-2</v>
      </c>
      <c r="EM217" s="14">
        <v>4.6511627906976744E-3</v>
      </c>
      <c r="EN217" s="14">
        <v>4.6511627906976744E-3</v>
      </c>
      <c r="EO217" s="14">
        <v>7.1428571428571435E-3</v>
      </c>
      <c r="EP217" s="14">
        <v>7.1428571428571435E-3</v>
      </c>
      <c r="EQ217" s="14">
        <v>7.1428571428571435E-3</v>
      </c>
      <c r="ER217" s="14">
        <v>7.1428571428571435E-3</v>
      </c>
      <c r="ES217" s="14">
        <v>7.1428571428571435E-3</v>
      </c>
      <c r="ET217" s="14">
        <v>7.1428571428571435E-3</v>
      </c>
      <c r="EU217" s="14">
        <v>7.1428571428571435E-3</v>
      </c>
      <c r="EV217" s="14">
        <v>7.1428571428571435E-3</v>
      </c>
      <c r="EW217" s="14">
        <v>7.1428571428571435E-3</v>
      </c>
      <c r="EX217" s="14">
        <v>7.1428571428571435E-3</v>
      </c>
      <c r="EY217" s="14">
        <v>7.1428571428571435E-3</v>
      </c>
      <c r="EZ217" s="14">
        <v>7.1428571428571435E-3</v>
      </c>
      <c r="FA217" s="14">
        <v>7.1428571428571435E-3</v>
      </c>
      <c r="FB217" s="14">
        <v>7.1428571428571435E-3</v>
      </c>
      <c r="FC217" s="14">
        <v>7.1428571428571435E-3</v>
      </c>
      <c r="FD217" s="14">
        <v>7.1428571428571435E-3</v>
      </c>
      <c r="FE217" s="14">
        <v>7.1428571428571435E-3</v>
      </c>
      <c r="FF217" s="14">
        <v>5.7142857142857143E-3</v>
      </c>
      <c r="FG217" s="14">
        <v>5.7142857142857143E-3</v>
      </c>
      <c r="FH217" s="14">
        <v>5.7142857142857143E-3</v>
      </c>
      <c r="FI217" s="14">
        <v>5.7142857142857143E-3</v>
      </c>
      <c r="FJ217" s="14">
        <v>5.7142857142857143E-3</v>
      </c>
      <c r="FK217" s="14">
        <v>5.7142857142857143E-3</v>
      </c>
      <c r="FL217" s="14">
        <v>5.7142857142857143E-3</v>
      </c>
      <c r="FM217" s="14">
        <v>4.7619047619047623E-3</v>
      </c>
      <c r="FN217" s="14">
        <v>4.7619047619047623E-3</v>
      </c>
      <c r="FO217" s="14">
        <v>4.7619047619047623E-3</v>
      </c>
      <c r="FP217" s="14">
        <v>5.7142857142857143E-3</v>
      </c>
      <c r="FQ217" s="14">
        <v>5.7142857142857143E-3</v>
      </c>
      <c r="FR217" s="14">
        <v>5.7142857142857143E-3</v>
      </c>
      <c r="FS217" s="14">
        <v>5.7142857142857143E-3</v>
      </c>
      <c r="FT217" s="14">
        <v>5.8823529411764705E-3</v>
      </c>
      <c r="FU217" s="14">
        <v>5.7142857142857143E-3</v>
      </c>
      <c r="FV217" s="14">
        <v>5.7142857142857143E-3</v>
      </c>
      <c r="FW217" s="14">
        <v>4.5454545454545461E-3</v>
      </c>
      <c r="FX217" s="14">
        <v>4.5454545454545461E-3</v>
      </c>
      <c r="FY217" s="14">
        <v>5.7142857142857143E-3</v>
      </c>
      <c r="FZ217" s="14">
        <v>7.1428571428571435E-3</v>
      </c>
      <c r="GA217" s="14">
        <v>5.7142857142857143E-3</v>
      </c>
      <c r="GB217" s="14">
        <v>5.7142857142857143E-3</v>
      </c>
      <c r="GC217" s="14">
        <v>5.7142857142857143E-3</v>
      </c>
      <c r="GD217" s="14">
        <v>7.1428571428571435E-3</v>
      </c>
      <c r="GE217" s="14">
        <v>7.1428571428571435E-3</v>
      </c>
      <c r="GF217" s="14">
        <v>4.6511627906976744E-3</v>
      </c>
      <c r="GG217" s="14">
        <v>4.6511627906976744E-3</v>
      </c>
      <c r="GH217" s="15">
        <v>4.6511627906976744E-3</v>
      </c>
    </row>
    <row r="218" spans="1:190" x14ac:dyDescent="0.3">
      <c r="A218" s="35" t="s">
        <v>5</v>
      </c>
      <c r="B218" s="11">
        <f>IF(Distances!BO109&gt;0,(BN218+Distances!BO109*1.84)*DZ218*B213*2,"")</f>
        <v>4419.7680799999998</v>
      </c>
      <c r="C218" s="13">
        <f>IF(Distances!BP109&gt;0,(BO218+Distances!BP109*1.84)*EA218*C213*2,"")</f>
        <v>6460.6225599999998</v>
      </c>
      <c r="D218" s="13">
        <f>IF(Distances!BQ109&gt;0,(BP218+Distances!BQ109*1.84)*EB218*D213*2,"")</f>
        <v>27678.783359999998</v>
      </c>
      <c r="E218" s="13">
        <f>IF(Distances!BR109&gt;0,(BQ218+Distances!BR109*1.84)*EC218*E213*2,"")</f>
        <v>3824.3609599999995</v>
      </c>
      <c r="F218" s="12" t="s">
        <v>62</v>
      </c>
      <c r="G218" s="13">
        <f>IF(Distances!BT109&gt;0,(BS218+Distances!BT109*1.84)*EE218*G213*2,"")</f>
        <v>38529.641600000003</v>
      </c>
      <c r="H218" s="13">
        <f>IF(Distances!BU109&gt;0,(BT218+Distances!BU109*1.84)*EF218*H213*2,"")</f>
        <v>19875.693039999998</v>
      </c>
      <c r="I218" s="13">
        <f>IF(Distances!BV109&gt;0,(BU218+Distances!BV109*1.84)*EG218*I213*2,"")</f>
        <v>18250.7808</v>
      </c>
      <c r="J218" s="13">
        <f>IF(Distances!BW109&gt;0,(BV218+Distances!BW109*1.84)*EH218*J213*2,"")</f>
        <v>211.40063999999995</v>
      </c>
      <c r="K218" s="13">
        <f>IF(Distances!BX109&gt;0,(BW218+Distances!BX109*1.84)*EI218*K213*2,"")</f>
        <v>78.111039999999988</v>
      </c>
      <c r="L218" s="13">
        <f>IF(Distances!BY109&gt;0,(BX218+Distances!BY109*1.84)*EJ218*L213*2,"")</f>
        <v>635.47829333333334</v>
      </c>
      <c r="M218" s="13">
        <f>IF(Distances!BZ109&gt;0,(BY218+Distances!BZ109*1.84)*EK218*M213*2,"")</f>
        <v>397.28415999999999</v>
      </c>
      <c r="N218" s="13">
        <f>IF(Distances!CA109&gt;0,(BZ218+Distances!CA109*1.84)*EL218*N213*2,"")</f>
        <v>278.35141333333331</v>
      </c>
      <c r="O218" s="14">
        <f>IF(Distances!CB109&gt;0,(CA218+Distances!CB109*1.84)*EM218*O213*2,"")</f>
        <v>174.73508093023256</v>
      </c>
      <c r="P218" s="14">
        <f>IF(Distances!CC109&gt;0,(CB218+Distances!CC109*1.84)*EN218*P213*2,"")</f>
        <v>108.53318325581395</v>
      </c>
      <c r="Q218" s="14">
        <f>IF(Distances!CD109&gt;0,(CC218+Distances!CD109*1.84)*EO218*Q213*2,"")</f>
        <v>674.42400000000009</v>
      </c>
      <c r="R218" s="14">
        <f>IF(Distances!CE109&gt;0,(CD218+Distances!CE109*1.84)*EP218*R213*2,"")</f>
        <v>668.84999999999991</v>
      </c>
      <c r="S218" s="14">
        <f>IF(Distances!CF109&gt;0,(CE218+Distances!CF109*1.84)*EQ218*S213*2,"")</f>
        <v>685.57200000000012</v>
      </c>
      <c r="T218" s="14">
        <f>IF(Distances!CG109&gt;0,(CF218+Distances!CG109*1.84)*ER218*T213*2,"")</f>
        <v>127.05584</v>
      </c>
      <c r="U218" s="14">
        <f>IF(Distances!CH109&gt;0,(CG218+Distances!CH109*1.84)*ES218*U213*2,"")</f>
        <v>160.58359999999999</v>
      </c>
      <c r="V218" s="14">
        <f>IF(Distances!CI109&gt;0,(CH218+Distances!CI109*1.84)*ET218*V213*2,"")</f>
        <v>1839.3553257142855</v>
      </c>
      <c r="W218" s="14">
        <f>IF(Distances!CJ109&gt;0,(CI218+Distances!CJ109*1.84)*EU218*W213*2,"")</f>
        <v>769.39320000000009</v>
      </c>
      <c r="X218" s="14">
        <f>IF(Distances!CK109&gt;0,(CJ218+Distances!CK109*1.84)*EV218*X213*2,"")</f>
        <v>1107.1828800000001</v>
      </c>
      <c r="Y218" s="14">
        <f>IF(Distances!CL109&gt;0,(CK218+Distances!CL109*1.84)*EW218*Y213*2,"")</f>
        <v>1147.8816457142857</v>
      </c>
      <c r="Z218" s="14">
        <f>IF(Distances!CM109&gt;0,(CL218+Distances!CM109*1.84)*EX218*Z213*2,"")</f>
        <v>35.562022857142857</v>
      </c>
      <c r="AA218" s="14">
        <f>IF(Distances!CN109&gt;0,(CM218+Distances!CN109*1.84)*EY218*AA213*2,"")</f>
        <v>38.971428571428575</v>
      </c>
      <c r="AB218" s="14">
        <f>IF(Distances!CO109&gt;0,(CN218+Distances!CO109*1.84)*EZ218*AB213*2,"")</f>
        <v>48.902468571428578</v>
      </c>
      <c r="AC218" s="14">
        <f>IF(Distances!CP109&gt;0,(CO218+Distances!CP109*1.84)*FA218*AC213*2,"")</f>
        <v>30.001680000000004</v>
      </c>
      <c r="AD218" s="14">
        <f>IF(Distances!CQ109&gt;0,(CP218+Distances!CQ109*1.84)*FB218*AD213*2,"")</f>
        <v>30.671520000000005</v>
      </c>
      <c r="AE218" s="14">
        <f>IF(Distances!CR109&gt;0,(CQ218+Distances!CR109*1.84)*FC218*AE213*2,"")</f>
        <v>86.336674285714281</v>
      </c>
      <c r="AF218" s="14">
        <f>IF(Distances!CS109&gt;0,(CR218+Distances!CS109*1.84)*FD218*AF213*2,"")</f>
        <v>153.13780571428572</v>
      </c>
      <c r="AG218" s="14">
        <f>IF(Distances!CT109&gt;0,(CS218+Distances!CT109*1.84)*FE218*AG213*2,"")</f>
        <v>129.69094857142858</v>
      </c>
      <c r="AH218" s="14">
        <f>IF(Distances!CU109&gt;0,(CT218+Distances!CU109*1.84)*FF218*AH213*2,"")</f>
        <v>53.148850285714275</v>
      </c>
      <c r="AI218" s="14">
        <f>IF(Distances!CV109&gt;0,(CU218+Distances!CV109*1.84)*FG218*AI213*2,"")</f>
        <v>22.091999999999999</v>
      </c>
      <c r="AJ218" s="14">
        <f>IF(Distances!CW109&gt;0,(CV218+Distances!CW109*1.84)*FH218*AJ213*2,"")</f>
        <v>42.270770285714285</v>
      </c>
      <c r="AK218" s="14">
        <f>IF(Distances!CX109&gt;0,(CW218+Distances!CX109*1.84)*FI218*AK213*2,"")</f>
        <v>22.696607999999998</v>
      </c>
      <c r="AL218" s="14">
        <f>IF(Distances!CY109&gt;0,(CX218+Distances!CY109*1.84)*FJ218*AL213*2,"")</f>
        <v>1115.1406079999999</v>
      </c>
      <c r="AM218" s="14">
        <f>IF(Distances!CZ109&gt;0,(CY218+Distances!CZ109*1.84)*FK218*AM213*2,"")</f>
        <v>1115.1406079999999</v>
      </c>
      <c r="AN218" s="14">
        <f>IF(Distances!DA109&gt;0,(CZ218+Distances!DA109*1.84)*FL218*AN213*2,"")</f>
        <v>1299.8934308571427</v>
      </c>
      <c r="AO218" s="14">
        <f>IF(Distances!DB109&gt;0,(DA218+Distances!DB109*1.84)*FM218*AO213*2,"")</f>
        <v>50.439360000000008</v>
      </c>
      <c r="AP218" s="14">
        <f>IF(Distances!DC109&gt;0,(DB218+Distances!DC109*1.84)*FN218*AP213*2,"")</f>
        <v>51.375520000000002</v>
      </c>
      <c r="AQ218" s="14">
        <f>IF(Distances!DD109&gt;0,(DC218+Distances!DD109*1.84)*FO218*AQ213*2,"")</f>
        <v>47.791360000000005</v>
      </c>
      <c r="AR218" s="14">
        <f>IF(Distances!DE109&gt;0,(DD218+Distances!DE109*1.84)*FP218*AR213*2,"")</f>
        <v>51.488255999999993</v>
      </c>
      <c r="AS218" s="14">
        <f>IF(Distances!DF109&gt;0,(DE218+Distances!DF109*1.84)*FQ218*AS213*2,"")</f>
        <v>129.52107885714287</v>
      </c>
      <c r="AT218" s="14">
        <f>IF(Distances!DG109&gt;0,(DF218+Distances!DG109*1.84)*FR218*AT213*2,"")</f>
        <v>93.398198857142859</v>
      </c>
      <c r="AU218" s="14">
        <f>IF(Distances!DH109&gt;0,(DG218+Distances!DH109*1.84)*FS218*AU213*2,"")</f>
        <v>394.74060800000001</v>
      </c>
      <c r="AV218" s="14">
        <f>IF(Distances!DI109&gt;0,(DH218+Distances!DI109*1.84)*FT218*AV213*2,"")</f>
        <v>204.03922352941177</v>
      </c>
      <c r="AW218" s="14">
        <f>IF(Distances!DJ109&gt;0,(DI218+Distances!DJ109*1.84)*FU218*AW213*2,"")</f>
        <v>618.69684571428581</v>
      </c>
      <c r="AX218" s="14">
        <f>IF(Distances!DK109&gt;0,(DJ218+Distances!DK109*1.84)*FV218*AX213*2,"")</f>
        <v>139.91567999999998</v>
      </c>
      <c r="AY218" s="14">
        <f>IF(Distances!DL109&gt;0,(DK218+Distances!DL109*1.84)*FW218*AY213*2,"")</f>
        <v>4.2152727272727279</v>
      </c>
      <c r="AZ218" s="14">
        <f>IF(Distances!DM109&gt;0,(DL218+Distances!DM109*1.84)*FX218*AZ213*2,"")</f>
        <v>186.46119272727276</v>
      </c>
      <c r="BA218" s="14">
        <f>IF(Distances!DN109&gt;0,(DM218+Distances!DN109*1.84)*FY218*BA213*2,"")</f>
        <v>101.841408</v>
      </c>
      <c r="BB218" s="14">
        <f>IF(Distances!DO109&gt;0,(DN218+Distances!DO109*1.84)*FZ218*BB213*2,"")</f>
        <v>122.20944</v>
      </c>
      <c r="BC218" s="14">
        <f>IF(Distances!DP109&gt;0,(DO218+Distances!DP109*1.84)*GA218*BC213*2,"")</f>
        <v>839.67590400000006</v>
      </c>
      <c r="BD218" s="14">
        <f>IF(Distances!DQ109&gt;0,(DP218+Distances!DQ109*1.84)*GB218*BD213*2,"")</f>
        <v>977.01756342857129</v>
      </c>
      <c r="BE218" s="14">
        <f>IF(Distances!DR109&gt;0,(DQ218+Distances!DR109*1.84)*GC218*BE213*2,"")</f>
        <v>887.48851200000001</v>
      </c>
      <c r="BF218" s="14">
        <f>IF(Distances!DS109&gt;0,(DR218+Distances!DS109*1.84)*GD218*BF213*2,"")</f>
        <v>211.94265142857145</v>
      </c>
      <c r="BG218" s="14">
        <f>IF(Distances!DT109&gt;0,(DS218+Distances!DT109*1.84)*GE218*BG213*2,"")</f>
        <v>95.897645714285716</v>
      </c>
      <c r="BH218" s="14">
        <f>IF(Distances!DU109&gt;0,(DT218+Distances!DU109*1.84)*GF218*BH213*2,"")</f>
        <v>118.38495255813952</v>
      </c>
      <c r="BI218" s="14">
        <f>IF(Distances!DV109&gt;0,(DU218+Distances!DV109*1.84)*GG218*BI213*2,"")</f>
        <v>99.517707906976739</v>
      </c>
      <c r="BJ218" s="15">
        <f>IF(Distances!DW109&gt;0,(DV218+Distances!DW109*1.84)*GH218*BJ213*2,"")</f>
        <v>170.24217302325584</v>
      </c>
      <c r="BM218" s="35" t="s">
        <v>5</v>
      </c>
      <c r="BN218" s="11">
        <v>540.48119999999994</v>
      </c>
      <c r="BO218" s="13">
        <v>843.57839999999999</v>
      </c>
      <c r="BP218" s="13">
        <v>452.05439999999993</v>
      </c>
      <c r="BQ218" s="13">
        <v>452.05439999999993</v>
      </c>
      <c r="BR218" s="12">
        <v>0</v>
      </c>
      <c r="BS218" s="13">
        <v>2594.5920000000001</v>
      </c>
      <c r="BT218" s="13">
        <v>2835.9155999999998</v>
      </c>
      <c r="BU218" s="13">
        <v>2594.5920000000001</v>
      </c>
      <c r="BV218" s="13">
        <v>469.91279999999995</v>
      </c>
      <c r="BW218" s="13">
        <v>469.91279999999995</v>
      </c>
      <c r="BX218" s="13">
        <v>2863.7111999999997</v>
      </c>
      <c r="BY218" s="13">
        <v>2863.7111999999997</v>
      </c>
      <c r="BZ218" s="13">
        <v>1127.5236</v>
      </c>
      <c r="CA218" s="14">
        <v>1754.4156</v>
      </c>
      <c r="CB218" s="14">
        <v>1455.7115999999999</v>
      </c>
      <c r="CC218" s="14">
        <v>828.27359999999999</v>
      </c>
      <c r="CD218" s="14">
        <v>820.46999999999991</v>
      </c>
      <c r="CE218" s="14">
        <v>843.88080000000002</v>
      </c>
      <c r="CF218" s="14">
        <v>804.85439999999994</v>
      </c>
      <c r="CG218" s="14">
        <v>916.02</v>
      </c>
      <c r="CH218" s="14">
        <v>1192.4555999999998</v>
      </c>
      <c r="CI218" s="14">
        <v>812.65800000000002</v>
      </c>
      <c r="CJ218" s="14">
        <v>957.58320000000003</v>
      </c>
      <c r="CK218" s="14">
        <v>804.85439999999994</v>
      </c>
      <c r="CL218" s="14">
        <v>997.55879999999991</v>
      </c>
      <c r="CM218" s="14">
        <v>979.43999999999994</v>
      </c>
      <c r="CN218" s="14">
        <v>943.2023999999999</v>
      </c>
      <c r="CO218" s="14">
        <v>934.13879999999995</v>
      </c>
      <c r="CP218" s="14">
        <v>957.58320000000003</v>
      </c>
      <c r="CQ218" s="14">
        <v>1192.4555999999998</v>
      </c>
      <c r="CR218" s="14">
        <v>1192.4555999999998</v>
      </c>
      <c r="CS218" s="14">
        <v>1192.4555999999998</v>
      </c>
      <c r="CT218" s="14">
        <v>2005.3403999999998</v>
      </c>
      <c r="CU218" s="14">
        <v>1817.1299999999999</v>
      </c>
      <c r="CV218" s="14">
        <v>2005.3403999999998</v>
      </c>
      <c r="CW218" s="14">
        <v>1870.0331999999999</v>
      </c>
      <c r="CX218" s="14">
        <v>1691.0207999999998</v>
      </c>
      <c r="CY218" s="14">
        <v>1691.0207999999998</v>
      </c>
      <c r="CZ218" s="14">
        <v>1691.0207999999998</v>
      </c>
      <c r="DA218" s="14">
        <v>2532.1464000000001</v>
      </c>
      <c r="DB218" s="14">
        <v>2581.2947999999997</v>
      </c>
      <c r="DC218" s="14">
        <v>2393.1264000000001</v>
      </c>
      <c r="DD218" s="14">
        <v>2136.6911999999998</v>
      </c>
      <c r="DE218" s="14">
        <v>2136.6911999999998</v>
      </c>
      <c r="DF218" s="14">
        <v>2136.6911999999998</v>
      </c>
      <c r="DG218" s="14">
        <v>2289.0167999999999</v>
      </c>
      <c r="DH218" s="14">
        <v>2061.2507999999998</v>
      </c>
      <c r="DI218" s="14">
        <v>2061.2507999999998</v>
      </c>
      <c r="DJ218" s="14">
        <v>2332.6043999999997</v>
      </c>
      <c r="DK218" s="14">
        <v>0</v>
      </c>
      <c r="DL218" s="14">
        <v>4121.9387999999999</v>
      </c>
      <c r="DM218" s="14">
        <v>2111.8607999999999</v>
      </c>
      <c r="DN218" s="14">
        <v>2022.7452000000001</v>
      </c>
      <c r="DO218" s="14">
        <v>2180.0688</v>
      </c>
      <c r="DP218" s="14">
        <v>2332.6043999999997</v>
      </c>
      <c r="DQ218" s="14">
        <v>2310.8063999999999</v>
      </c>
      <c r="DR218" s="14">
        <v>2159.9004</v>
      </c>
      <c r="DS218" s="14">
        <v>1540.5767999999998</v>
      </c>
      <c r="DT218" s="14">
        <v>2139.0515999999998</v>
      </c>
      <c r="DU218" s="14">
        <v>2348.8584000000001</v>
      </c>
      <c r="DV218" s="15">
        <v>2348.8584000000001</v>
      </c>
      <c r="DY218" s="35" t="s">
        <v>5</v>
      </c>
      <c r="DZ218" s="11">
        <f t="shared" si="83"/>
        <v>1.6666666666666666E-2</v>
      </c>
      <c r="EA218" s="13">
        <f t="shared" si="83"/>
        <v>1.6666666666666666E-2</v>
      </c>
      <c r="EB218" s="13">
        <f t="shared" si="83"/>
        <v>1.6666666666666666E-2</v>
      </c>
      <c r="EC218" s="13">
        <f t="shared" si="83"/>
        <v>1.6666666666666666E-2</v>
      </c>
      <c r="ED218" s="12">
        <v>0.6</v>
      </c>
      <c r="EE218" s="13">
        <f t="shared" si="83"/>
        <v>1.6666666666666666E-2</v>
      </c>
      <c r="EF218" s="13">
        <f t="shared" si="83"/>
        <v>1.6666666666666666E-2</v>
      </c>
      <c r="EG218" s="13">
        <f t="shared" si="83"/>
        <v>1.6666666666666666E-2</v>
      </c>
      <c r="EH218" s="13">
        <f t="shared" si="83"/>
        <v>1.6666666666666666E-2</v>
      </c>
      <c r="EI218" s="13">
        <f t="shared" si="83"/>
        <v>1.6666666666666666E-2</v>
      </c>
      <c r="EJ218" s="13">
        <f t="shared" si="83"/>
        <v>1.6666666666666666E-2</v>
      </c>
      <c r="EK218" s="13">
        <f t="shared" si="83"/>
        <v>1.6666666666666666E-2</v>
      </c>
      <c r="EL218" s="13">
        <f t="shared" si="83"/>
        <v>1.6666666666666666E-2</v>
      </c>
      <c r="EM218" s="14">
        <v>4.6511627906976744E-3</v>
      </c>
      <c r="EN218" s="14">
        <v>4.6511627906976744E-3</v>
      </c>
      <c r="EO218" s="14">
        <v>7.1428571428571435E-3</v>
      </c>
      <c r="EP218" s="14">
        <v>7.1428571428571435E-3</v>
      </c>
      <c r="EQ218" s="14">
        <v>7.1428571428571435E-3</v>
      </c>
      <c r="ER218" s="14">
        <v>7.1428571428571435E-3</v>
      </c>
      <c r="ES218" s="14">
        <v>7.1428571428571435E-3</v>
      </c>
      <c r="ET218" s="14">
        <v>7.1428571428571435E-3</v>
      </c>
      <c r="EU218" s="14">
        <v>7.1428571428571435E-3</v>
      </c>
      <c r="EV218" s="14">
        <v>7.1428571428571435E-3</v>
      </c>
      <c r="EW218" s="14">
        <v>7.1428571428571435E-3</v>
      </c>
      <c r="EX218" s="14">
        <v>7.1428571428571435E-3</v>
      </c>
      <c r="EY218" s="14">
        <v>7.1428571428571435E-3</v>
      </c>
      <c r="EZ218" s="14">
        <v>7.1428571428571435E-3</v>
      </c>
      <c r="FA218" s="14">
        <v>7.1428571428571435E-3</v>
      </c>
      <c r="FB218" s="14">
        <v>7.1428571428571435E-3</v>
      </c>
      <c r="FC218" s="14">
        <v>7.1428571428571435E-3</v>
      </c>
      <c r="FD218" s="14">
        <v>7.1428571428571435E-3</v>
      </c>
      <c r="FE218" s="14">
        <v>7.1428571428571435E-3</v>
      </c>
      <c r="FF218" s="14">
        <v>5.7142857142857143E-3</v>
      </c>
      <c r="FG218" s="14">
        <v>5.7142857142857143E-3</v>
      </c>
      <c r="FH218" s="14">
        <v>5.7142857142857143E-3</v>
      </c>
      <c r="FI218" s="14">
        <v>5.7142857142857143E-3</v>
      </c>
      <c r="FJ218" s="14">
        <v>5.7142857142857143E-3</v>
      </c>
      <c r="FK218" s="14">
        <v>5.7142857142857143E-3</v>
      </c>
      <c r="FL218" s="14">
        <v>5.7142857142857143E-3</v>
      </c>
      <c r="FM218" s="14">
        <v>4.7619047619047623E-3</v>
      </c>
      <c r="FN218" s="14">
        <v>4.7619047619047623E-3</v>
      </c>
      <c r="FO218" s="14">
        <v>4.7619047619047623E-3</v>
      </c>
      <c r="FP218" s="14">
        <v>5.7142857142857143E-3</v>
      </c>
      <c r="FQ218" s="14">
        <v>5.7142857142857143E-3</v>
      </c>
      <c r="FR218" s="14">
        <v>5.7142857142857143E-3</v>
      </c>
      <c r="FS218" s="14">
        <v>5.7142857142857143E-3</v>
      </c>
      <c r="FT218" s="14">
        <v>5.8823529411764705E-3</v>
      </c>
      <c r="FU218" s="14">
        <v>5.7142857142857143E-3</v>
      </c>
      <c r="FV218" s="14">
        <v>5.7142857142857143E-3</v>
      </c>
      <c r="FW218" s="14">
        <v>4.5454545454545461E-3</v>
      </c>
      <c r="FX218" s="14">
        <v>4.5454545454545461E-3</v>
      </c>
      <c r="FY218" s="14">
        <v>5.7142857142857143E-3</v>
      </c>
      <c r="FZ218" s="14">
        <v>7.1428571428571435E-3</v>
      </c>
      <c r="GA218" s="14">
        <v>5.7142857142857143E-3</v>
      </c>
      <c r="GB218" s="14">
        <v>5.7142857142857143E-3</v>
      </c>
      <c r="GC218" s="14">
        <v>5.7142857142857143E-3</v>
      </c>
      <c r="GD218" s="14">
        <v>7.1428571428571435E-3</v>
      </c>
      <c r="GE218" s="14">
        <v>7.1428571428571435E-3</v>
      </c>
      <c r="GF218" s="14">
        <v>4.6511627906976744E-3</v>
      </c>
      <c r="GG218" s="14">
        <v>4.6511627906976744E-3</v>
      </c>
      <c r="GH218" s="15">
        <v>4.6511627906976744E-3</v>
      </c>
    </row>
    <row r="219" spans="1:190" x14ac:dyDescent="0.3">
      <c r="A219" s="35" t="s">
        <v>6</v>
      </c>
      <c r="B219" s="11">
        <f>IF(Distances!BO110&gt;0,(BN219+Distances!BO110*1.84)*DZ219*B213*2,"")</f>
        <v>35892.022560000005</v>
      </c>
      <c r="C219" s="13">
        <f>IF(Distances!BP110&gt;0,(BO219+Distances!BP110*1.84)*EA219*C213*2,"")</f>
        <v>31107.442480000002</v>
      </c>
      <c r="D219" s="13">
        <f>IF(Distances!BQ110&gt;0,(BP219+Distances!BQ110*1.84)*EB219*D213*2,"")</f>
        <v>60624.256159999997</v>
      </c>
      <c r="E219" s="13">
        <f>IF(Distances!BR110&gt;0,(BQ219+Distances!BR110*1.84)*EC219*E213*2,"")</f>
        <v>36769.833759999994</v>
      </c>
      <c r="F219" s="13">
        <f>IF(Distances!BS110&gt;0,(BR219+Distances!BS110*1.84)*ED219*F213*2,"")</f>
        <v>38529.641600000003</v>
      </c>
      <c r="G219" s="12" t="s">
        <v>62</v>
      </c>
      <c r="H219" s="13">
        <f>IF(Distances!BU110&gt;0,(BT219+Distances!BU110*1.84)*EF219*H213*2,"")</f>
        <v>23859.052240000001</v>
      </c>
      <c r="I219" s="13">
        <f>IF(Distances!BV110&gt;0,(BU219+Distances!BV110*1.84)*EG219*I213*2,"")</f>
        <v>20278.860799999999</v>
      </c>
      <c r="J219" s="13">
        <f>IF(Distances!BW110&gt;0,(BV219+Distances!BW110*1.84)*EH219*J213*2,"")</f>
        <v>882.73328000000004</v>
      </c>
      <c r="K219" s="13">
        <f>IF(Distances!BX110&gt;0,(BW219+Distances!BX110*1.84)*EI219*K213*2,"")</f>
        <v>749.44368000000009</v>
      </c>
      <c r="L219" s="13">
        <f>IF(Distances!BY110&gt;0,(BX219+Distances!BY110*1.84)*EJ219*L213*2,"")</f>
        <v>711.3438933333332</v>
      </c>
      <c r="M219" s="13">
        <f>IF(Distances!BZ110&gt;0,(BY219+Distances!BZ110*1.84)*EK219*M213*2,"")</f>
        <v>473.14976000000001</v>
      </c>
      <c r="N219" s="13">
        <f>IF(Distances!CA110&gt;0,(BZ219+Distances!CA110*1.84)*EL219*N213*2,"")</f>
        <v>657.43461333333323</v>
      </c>
      <c r="O219" s="14">
        <f>IF(Distances!CB110&gt;0,(CA219+Distances!CB110*1.84)*EM219*O213*2,"")</f>
        <v>349.82186790697676</v>
      </c>
      <c r="P219" s="14">
        <f>IF(Distances!CC110&gt;0,(CB219+Distances!CC110*1.84)*EN219*P213*2,"")</f>
        <v>345.30144372093025</v>
      </c>
      <c r="Q219" s="14">
        <f>IF(Distances!CD110&gt;0,(CC219+Distances!CD110*1.84)*EO219*Q213*2,"")</f>
        <v>4004.6108571428576</v>
      </c>
      <c r="R219" s="14">
        <f>IF(Distances!CE110&gt;0,(CD219+Distances!CE110*1.84)*EP219*R213*2,"")</f>
        <v>3987.1328571428576</v>
      </c>
      <c r="S219" s="14">
        <f>IF(Distances!CF110&gt;0,(CE219+Distances!CF110*1.84)*EQ219*S213*2,"")</f>
        <v>4039.5668571428573</v>
      </c>
      <c r="T219" s="14">
        <f>IF(Distances!CG110&gt;0,(CF219+Distances!CG110*1.84)*ER219*T213*2,"")</f>
        <v>588.28315999999995</v>
      </c>
      <c r="U219" s="14">
        <f>IF(Distances!CH110&gt;0,(CG219+Distances!CH110*1.84)*ES219*U213*2,"")</f>
        <v>548.62423999999999</v>
      </c>
      <c r="V219" s="14">
        <f>IF(Distances!CI110&gt;0,(CH219+Distances!CI110*1.84)*ET219*V213*2,"")</f>
        <v>5684.6310400000002</v>
      </c>
      <c r="W219" s="14">
        <f>IF(Distances!CJ110&gt;0,(CI219+Distances!CJ110*1.84)*EU219*W213*2,"")</f>
        <v>4604.7996342857141</v>
      </c>
      <c r="X219" s="14">
        <f>IF(Distances!CK110&gt;0,(CJ219+Distances!CK110*1.84)*EV219*X213*2,"")</f>
        <v>4573.6327542857143</v>
      </c>
      <c r="Y219" s="14">
        <f>IF(Distances!CL110&gt;0,(CK219+Distances!CL110*1.84)*EW219*Y213*2,"")</f>
        <v>4969.479440000001</v>
      </c>
      <c r="Z219" s="14">
        <f>IF(Distances!CM110&gt;0,(CL219+Distances!CM110*1.84)*EX219*Z213*2,"")</f>
        <v>159.39293714285716</v>
      </c>
      <c r="AA219" s="14">
        <f>IF(Distances!CN110&gt;0,(CM219+Distances!CN110*1.84)*EY219*AA213*2,"")</f>
        <v>162.05522285714287</v>
      </c>
      <c r="AB219" s="14">
        <f>IF(Distances!CO110&gt;0,(CN219+Distances!CO110*1.84)*EZ219*AB213*2,"")</f>
        <v>170.49178285714288</v>
      </c>
      <c r="AC219" s="14">
        <f>IF(Distances!CP110&gt;0,(CO219+Distances!CP110*1.84)*FA219*AC213*2,"")</f>
        <v>151.2175542857143</v>
      </c>
      <c r="AD219" s="14">
        <f>IF(Distances!CQ110&gt;0,(CP219+Distances!CQ110*1.84)*FB219*AD213*2,"")</f>
        <v>150.20427428571429</v>
      </c>
      <c r="AE219" s="14">
        <f>IF(Distances!CR110&gt;0,(CQ219+Distances!CR110*1.84)*FC219*AE213*2,"")</f>
        <v>218.93238857142856</v>
      </c>
      <c r="AF219" s="14">
        <f>IF(Distances!CS110&gt;0,(CR219+Distances!CS110*1.84)*FD219*AF213*2,"")</f>
        <v>418.32923428571434</v>
      </c>
      <c r="AG219" s="14">
        <f>IF(Distances!CT110&gt;0,(CS219+Distances!CT110*1.84)*FE219*AG213*2,"")</f>
        <v>394.88237714285719</v>
      </c>
      <c r="AH219" s="14">
        <f>IF(Distances!CU110&gt;0,(CT219+Distances!CU110*1.84)*FF219*AH213*2,"")</f>
        <v>77.734080000000006</v>
      </c>
      <c r="AI219" s="14">
        <f>IF(Distances!CV110&gt;0,(CU219+Distances!CV110*1.84)*FG219*AI213*2,"")</f>
        <v>53.172493714285714</v>
      </c>
      <c r="AJ219" s="14">
        <f>IF(Distances!CW110&gt;0,(CV219+Distances!CW110*1.84)*FH219*AJ213*2,"")</f>
        <v>66.856000000000009</v>
      </c>
      <c r="AK219" s="14">
        <f>IF(Distances!CX110&gt;0,(CW219+Distances!CX110*1.84)*FI219*AK213*2,"")</f>
        <v>53.718349714285715</v>
      </c>
      <c r="AL219" s="14">
        <f>IF(Distances!CY110&gt;0,(CX219+Distances!CY110*1.84)*FJ219*AL213*2,"")</f>
        <v>2111.2106605714284</v>
      </c>
      <c r="AM219" s="14">
        <f>IF(Distances!CZ110&gt;0,(CY219+Distances!CZ110*1.84)*FK219*AM213*2,"")</f>
        <v>2111.2106605714284</v>
      </c>
      <c r="AN219" s="14">
        <f>IF(Distances!DA110&gt;0,(CZ219+Distances!DA110*1.84)*FL219*AN213*2,"")</f>
        <v>2295.9634834285716</v>
      </c>
      <c r="AO219" s="14">
        <f>IF(Distances!DB110&gt;0,(DA219+Distances!DB110*1.84)*FM219*AO213*2,"")</f>
        <v>76.461942857142859</v>
      </c>
      <c r="AP219" s="14">
        <f>IF(Distances!DC110&gt;0,(DB219+Distances!DC110*1.84)*FN219*AP213*2,"")</f>
        <v>76.832342857142862</v>
      </c>
      <c r="AQ219" s="14">
        <f>IF(Distances!DD110&gt;0,(DC219+Distances!DD110*1.84)*FO219*AQ213*2,"")</f>
        <v>78.639222857142855</v>
      </c>
      <c r="AR219" s="14">
        <f>IF(Distances!DE110&gt;0,(DD219+Distances!DE110*1.84)*FP219*AR213*2,"")</f>
        <v>104.12969142857143</v>
      </c>
      <c r="AS219" s="14">
        <f>IF(Distances!DF110&gt;0,(DE219+Distances!DF110*1.84)*FQ219*AS213*2,"")</f>
        <v>182.16251428571431</v>
      </c>
      <c r="AT219" s="14">
        <f>IF(Distances!DG110&gt;0,(DF219+Distances!DG110*1.84)*FR219*AT213*2,"")</f>
        <v>146.0396342857143</v>
      </c>
      <c r="AU219" s="14">
        <f>IF(Distances!DH110&gt;0,(DG219+Distances!DH110*1.84)*FS219*AU213*2,"")</f>
        <v>674.81292800000006</v>
      </c>
      <c r="AV219" s="14">
        <f>IF(Distances!DI110&gt;0,(DH219+Distances!DI110*1.84)*FT219*AV213*2,"")</f>
        <v>364.36564705882347</v>
      </c>
      <c r="AW219" s="14">
        <f>IF(Distances!DJ110&gt;0,(DI219+Distances!DJ110*1.84)*FU219*AW213*2,"")</f>
        <v>774.44251428571431</v>
      </c>
      <c r="AX219" s="14">
        <f>IF(Distances!DK110&gt;0,(DJ219+Distances!DK110*1.84)*FV219*AX213*2,"")</f>
        <v>238.69446857142856</v>
      </c>
      <c r="AY219" s="14">
        <f>IF(Distances!DL110&gt;0,(DK219+Distances!DL110*1.84)*FW219*AY213*2,"")</f>
        <v>109.51680000000002</v>
      </c>
      <c r="AZ219" s="14">
        <f>IF(Distances!DM110&gt;0,(DL219+Distances!DM110*1.84)*FX219*AZ213*2,"")</f>
        <v>268.19293090909093</v>
      </c>
      <c r="BA219" s="14">
        <f>IF(Distances!DN110&gt;0,(DM219+Distances!DN110*1.84)*FY219*BA213*2,"")</f>
        <v>207.39115885714284</v>
      </c>
      <c r="BB219" s="14">
        <f>IF(Distances!DO110&gt;0,(DN219+Distances!DO110*1.84)*FZ219*BB213*2,"")</f>
        <v>278.13702857142863</v>
      </c>
      <c r="BC219" s="14">
        <f>IF(Distances!DP110&gt;0,(DO219+Distances!DP110*1.84)*GA219*BC213*2,"")</f>
        <v>1499.7846308571429</v>
      </c>
      <c r="BD219" s="14">
        <f>IF(Distances!DQ110&gt;0,(DP219+Distances!DQ110*1.84)*GB219*BD213*2,"")</f>
        <v>1609.2018102857144</v>
      </c>
      <c r="BE219" s="14">
        <f>IF(Distances!DR110&gt;0,(DQ219+Distances!DR110*1.84)*GC219*BE213*2,"")</f>
        <v>1523.6663588571428</v>
      </c>
      <c r="BF219" s="14">
        <f>IF(Distances!DS110&gt;0,(DR219+Distances!DS110*1.84)*GD219*BF213*2,"")</f>
        <v>375.73648000000003</v>
      </c>
      <c r="BG219" s="14">
        <f>IF(Distances!DT110&gt;0,(DS219+Distances!DT110*1.84)*GE219*BG213*2,"")</f>
        <v>264.75403428571428</v>
      </c>
      <c r="BH219" s="14">
        <f>IF(Distances!DU110&gt;0,(DT219+Distances!DU110*1.84)*GF219*BH213*2,"")</f>
        <v>191.58330046511628</v>
      </c>
      <c r="BI219" s="14">
        <f>IF(Distances!DV110&gt;0,(DU219+Distances!DV110*1.84)*GG219*BI213*2,"")</f>
        <v>184.01878325581399</v>
      </c>
      <c r="BJ219" s="15">
        <f>IF(Distances!DW110&gt;0,(DV219+Distances!DW110*1.84)*GH219*BJ213*2,"")</f>
        <v>254.74324837209306</v>
      </c>
      <c r="BM219" s="35" t="s">
        <v>6</v>
      </c>
      <c r="BN219" s="11">
        <v>2318.7864</v>
      </c>
      <c r="BO219" s="13">
        <v>1608.2051999999999</v>
      </c>
      <c r="BP219" s="13">
        <v>2449.1543999999999</v>
      </c>
      <c r="BQ219" s="13">
        <v>2449.1543999999999</v>
      </c>
      <c r="BR219" s="13">
        <v>2594.5920000000001</v>
      </c>
      <c r="BS219" s="12">
        <v>0</v>
      </c>
      <c r="BT219" s="13">
        <v>531.71159999999998</v>
      </c>
      <c r="BU219" s="13">
        <v>0</v>
      </c>
      <c r="BV219" s="13">
        <v>2609.1156000000001</v>
      </c>
      <c r="BW219" s="13">
        <v>2609.1156000000001</v>
      </c>
      <c r="BX219" s="13">
        <v>536.91119999999989</v>
      </c>
      <c r="BY219" s="13">
        <v>536.91119999999989</v>
      </c>
      <c r="BZ219" s="13">
        <v>1074.8555999999999</v>
      </c>
      <c r="CA219" s="14">
        <v>1547.4564</v>
      </c>
      <c r="CB219" s="14">
        <v>2196.0036</v>
      </c>
      <c r="CC219" s="14">
        <v>2594.7431999999999</v>
      </c>
      <c r="CD219" s="14">
        <v>2570.2739999999999</v>
      </c>
      <c r="CE219" s="14">
        <v>2643.6815999999999</v>
      </c>
      <c r="CF219" s="14">
        <v>2521.3355999999999</v>
      </c>
      <c r="CG219" s="14">
        <v>1900.6343999999999</v>
      </c>
      <c r="CH219" s="14">
        <v>2937.5135999999998</v>
      </c>
      <c r="CI219" s="14">
        <v>2545.8047999999999</v>
      </c>
      <c r="CJ219" s="14">
        <v>2245.4375999999997</v>
      </c>
      <c r="CK219" s="14">
        <v>2521.3355999999999</v>
      </c>
      <c r="CL219" s="14">
        <v>2435.8488000000002</v>
      </c>
      <c r="CM219" s="14">
        <v>2391.5807999999997</v>
      </c>
      <c r="CN219" s="14">
        <v>2303.0364</v>
      </c>
      <c r="CO219" s="14">
        <v>2280.9023999999999</v>
      </c>
      <c r="CP219" s="14">
        <v>2245.4375999999997</v>
      </c>
      <c r="CQ219" s="14">
        <v>2937.5135999999998</v>
      </c>
      <c r="CR219" s="14">
        <v>2937.5135999999998</v>
      </c>
      <c r="CS219" s="14">
        <v>2937.5135999999998</v>
      </c>
      <c r="CT219" s="14">
        <v>1260.7560000000001</v>
      </c>
      <c r="CU219" s="14">
        <v>1640.8812</v>
      </c>
      <c r="CV219" s="14">
        <v>1260.7560000000001</v>
      </c>
      <c r="CW219" s="14">
        <v>1688.6435999999999</v>
      </c>
      <c r="CX219" s="14">
        <v>409.2312</v>
      </c>
      <c r="CY219" s="14">
        <v>409.2312</v>
      </c>
      <c r="CZ219" s="14">
        <v>409.2312</v>
      </c>
      <c r="DA219" s="14">
        <v>1002.54</v>
      </c>
      <c r="DB219" s="14">
        <v>1021.986</v>
      </c>
      <c r="DC219" s="14">
        <v>1116.8471999999999</v>
      </c>
      <c r="DD219" s="14">
        <v>1543.962</v>
      </c>
      <c r="DE219" s="14">
        <v>1543.962</v>
      </c>
      <c r="DF219" s="14">
        <v>1543.962</v>
      </c>
      <c r="DG219" s="14">
        <v>1143.6768</v>
      </c>
      <c r="DH219" s="14">
        <v>1891.0079999999998</v>
      </c>
      <c r="DI219" s="14">
        <v>1891.0079999999998</v>
      </c>
      <c r="DJ219" s="14">
        <v>1165.4412</v>
      </c>
      <c r="DK219" s="14">
        <v>0</v>
      </c>
      <c r="DL219" s="14">
        <v>3473.7695999999996</v>
      </c>
      <c r="DM219" s="14">
        <v>1524.9695999999999</v>
      </c>
      <c r="DN219" s="14">
        <v>1855.6859999999999</v>
      </c>
      <c r="DO219" s="14">
        <v>1089.2616</v>
      </c>
      <c r="DP219" s="14">
        <v>1165.4412</v>
      </c>
      <c r="DQ219" s="14">
        <v>1154.5632000000001</v>
      </c>
      <c r="DR219" s="14">
        <v>2130.5003999999999</v>
      </c>
      <c r="DS219" s="14">
        <v>1599.7716</v>
      </c>
      <c r="DT219" s="14">
        <v>1210.4651999999999</v>
      </c>
      <c r="DU219" s="14">
        <v>1724.0328</v>
      </c>
      <c r="DV219" s="15">
        <v>1724.0328</v>
      </c>
      <c r="DY219" s="35" t="s">
        <v>6</v>
      </c>
      <c r="DZ219" s="11">
        <f t="shared" si="83"/>
        <v>1.6666666666666666E-2</v>
      </c>
      <c r="EA219" s="13">
        <f t="shared" si="83"/>
        <v>1.6666666666666666E-2</v>
      </c>
      <c r="EB219" s="13">
        <f t="shared" si="83"/>
        <v>1.6666666666666666E-2</v>
      </c>
      <c r="EC219" s="13">
        <f t="shared" si="83"/>
        <v>1.6666666666666666E-2</v>
      </c>
      <c r="ED219" s="13">
        <f t="shared" si="83"/>
        <v>1.6666666666666666E-2</v>
      </c>
      <c r="EE219" s="12">
        <v>0.6</v>
      </c>
      <c r="EF219" s="13">
        <f t="shared" si="83"/>
        <v>1.6666666666666666E-2</v>
      </c>
      <c r="EG219" s="13">
        <f t="shared" si="83"/>
        <v>1.6666666666666666E-2</v>
      </c>
      <c r="EH219" s="13">
        <f t="shared" si="83"/>
        <v>1.6666666666666666E-2</v>
      </c>
      <c r="EI219" s="13">
        <f t="shared" si="83"/>
        <v>1.6666666666666666E-2</v>
      </c>
      <c r="EJ219" s="13">
        <f t="shared" si="83"/>
        <v>1.6666666666666666E-2</v>
      </c>
      <c r="EK219" s="13">
        <f t="shared" si="83"/>
        <v>1.6666666666666666E-2</v>
      </c>
      <c r="EL219" s="13">
        <f t="shared" si="83"/>
        <v>1.6666666666666666E-2</v>
      </c>
      <c r="EM219" s="14">
        <v>4.6511627906976744E-3</v>
      </c>
      <c r="EN219" s="14">
        <v>4.6511627906976744E-3</v>
      </c>
      <c r="EO219" s="14">
        <v>7.1428571428571435E-3</v>
      </c>
      <c r="EP219" s="14">
        <v>7.1428571428571435E-3</v>
      </c>
      <c r="EQ219" s="14">
        <v>7.1428571428571435E-3</v>
      </c>
      <c r="ER219" s="14">
        <v>7.1428571428571435E-3</v>
      </c>
      <c r="ES219" s="14">
        <v>7.1428571428571435E-3</v>
      </c>
      <c r="ET219" s="14">
        <v>7.1428571428571435E-3</v>
      </c>
      <c r="EU219" s="14">
        <v>7.1428571428571435E-3</v>
      </c>
      <c r="EV219" s="14">
        <v>7.1428571428571435E-3</v>
      </c>
      <c r="EW219" s="14">
        <v>7.1428571428571435E-3</v>
      </c>
      <c r="EX219" s="14">
        <v>7.1428571428571435E-3</v>
      </c>
      <c r="EY219" s="14">
        <v>7.1428571428571435E-3</v>
      </c>
      <c r="EZ219" s="14">
        <v>7.1428571428571435E-3</v>
      </c>
      <c r="FA219" s="14">
        <v>7.1428571428571435E-3</v>
      </c>
      <c r="FB219" s="14">
        <v>7.1428571428571435E-3</v>
      </c>
      <c r="FC219" s="14">
        <v>7.1428571428571435E-3</v>
      </c>
      <c r="FD219" s="14">
        <v>7.1428571428571435E-3</v>
      </c>
      <c r="FE219" s="14">
        <v>7.1428571428571435E-3</v>
      </c>
      <c r="FF219" s="14">
        <v>5.7142857142857143E-3</v>
      </c>
      <c r="FG219" s="14">
        <v>5.7142857142857143E-3</v>
      </c>
      <c r="FH219" s="14">
        <v>5.7142857142857143E-3</v>
      </c>
      <c r="FI219" s="14">
        <v>5.7142857142857143E-3</v>
      </c>
      <c r="FJ219" s="14">
        <v>5.7142857142857143E-3</v>
      </c>
      <c r="FK219" s="14">
        <v>5.7142857142857143E-3</v>
      </c>
      <c r="FL219" s="14">
        <v>5.7142857142857143E-3</v>
      </c>
      <c r="FM219" s="14">
        <v>4.7619047619047623E-3</v>
      </c>
      <c r="FN219" s="14">
        <v>4.7619047619047623E-3</v>
      </c>
      <c r="FO219" s="14">
        <v>4.7619047619047623E-3</v>
      </c>
      <c r="FP219" s="14">
        <v>5.7142857142857143E-3</v>
      </c>
      <c r="FQ219" s="14">
        <v>5.7142857142857143E-3</v>
      </c>
      <c r="FR219" s="14">
        <v>5.7142857142857143E-3</v>
      </c>
      <c r="FS219" s="14">
        <v>5.7142857142857143E-3</v>
      </c>
      <c r="FT219" s="14">
        <v>5.8823529411764705E-3</v>
      </c>
      <c r="FU219" s="14">
        <v>5.7142857142857143E-3</v>
      </c>
      <c r="FV219" s="14">
        <v>5.7142857142857143E-3</v>
      </c>
      <c r="FW219" s="14">
        <v>4.5454545454545461E-3</v>
      </c>
      <c r="FX219" s="14">
        <v>4.5454545454545461E-3</v>
      </c>
      <c r="FY219" s="14">
        <v>5.7142857142857143E-3</v>
      </c>
      <c r="FZ219" s="14">
        <v>7.1428571428571435E-3</v>
      </c>
      <c r="GA219" s="14">
        <v>5.7142857142857143E-3</v>
      </c>
      <c r="GB219" s="14">
        <v>5.7142857142857143E-3</v>
      </c>
      <c r="GC219" s="14">
        <v>5.7142857142857143E-3</v>
      </c>
      <c r="GD219" s="14">
        <v>7.1428571428571435E-3</v>
      </c>
      <c r="GE219" s="14">
        <v>7.1428571428571435E-3</v>
      </c>
      <c r="GF219" s="14">
        <v>4.6511627906976744E-3</v>
      </c>
      <c r="GG219" s="14">
        <v>4.6511627906976744E-3</v>
      </c>
      <c r="GH219" s="15">
        <v>4.6511627906976744E-3</v>
      </c>
    </row>
    <row r="220" spans="1:190" x14ac:dyDescent="0.3">
      <c r="A220" s="35" t="s">
        <v>63</v>
      </c>
      <c r="B220" s="11" t="s">
        <v>62</v>
      </c>
      <c r="C220" s="13" t="s">
        <v>62</v>
      </c>
      <c r="D220" s="13">
        <f>IF(Distances!BQ111&gt;0,(BP220+Distances!BQ111*1.84)*EB220*D213*2,"")</f>
        <v>41879.245999999999</v>
      </c>
      <c r="E220" s="13" t="s">
        <v>62</v>
      </c>
      <c r="F220" s="13">
        <f>IF(Distances!BS111&gt;0,(BR220+Distances!BS111*1.84)*ED220*F213*2,"")</f>
        <v>19875.693039999998</v>
      </c>
      <c r="G220" s="13">
        <f>IF(Distances!BT111&gt;0,(BS220+Distances!BT111*1.84)*EE220*G213*2,"")</f>
        <v>23859.052240000001</v>
      </c>
      <c r="H220" s="12" t="s">
        <v>62</v>
      </c>
      <c r="I220" s="13" t="s">
        <v>62</v>
      </c>
      <c r="J220" s="13">
        <f>IF(Distances!BW111&gt;0,(BV220+Distances!BW111*1.84)*EH220*J213*2,"")</f>
        <v>516.08431999999993</v>
      </c>
      <c r="K220" s="13" t="s">
        <v>62</v>
      </c>
      <c r="L220" s="13">
        <f>IF(Distances!BY111&gt;0,(BX220+Distances!BY111*1.84)*EJ220*L213*2,"")</f>
        <v>299.02805333333333</v>
      </c>
      <c r="M220" s="13" t="s">
        <v>62</v>
      </c>
      <c r="N220" s="13">
        <f>IF(Distances!CA111&gt;0,(BZ220+Distances!CA111*1.84)*EL220*N213*2,"")</f>
        <v>270.27621333333332</v>
      </c>
      <c r="O220" s="14">
        <f>IF(Distances!CB111&gt;0,(CA220+Distances!CB111*1.84)*EM220*O213*2,"")</f>
        <v>146.84965953488373</v>
      </c>
      <c r="P220" s="14">
        <f>IF(Distances!CC111&gt;0,(CB220+Distances!CC111*1.84)*EN220*P213*2,"")</f>
        <v>142.02511627906981</v>
      </c>
      <c r="Q220" s="14" t="s">
        <v>62</v>
      </c>
      <c r="R220" s="14" t="s">
        <v>62</v>
      </c>
      <c r="S220" s="14" t="s">
        <v>62</v>
      </c>
      <c r="T220" s="14">
        <f>IF(Distances!CG111&gt;0,(CF220+Distances!CG111*1.84)*ER220*T213*2,"")</f>
        <v>296.59556000000003</v>
      </c>
      <c r="U220" s="14">
        <f>IF(Distances!CH111&gt;0,(CG220+Distances!CH111*1.84)*ES220*U213*2,"")</f>
        <v>290.55680000000007</v>
      </c>
      <c r="V220" s="14">
        <f>IF(Distances!CI111&gt;0,(CH220+Distances!CI111*1.84)*ET220*V213*2,"")</f>
        <v>3268.2920457142859</v>
      </c>
      <c r="W220" s="14" t="s">
        <v>62</v>
      </c>
      <c r="X220" s="14">
        <f>IF(Distances!CK111&gt;0,(CJ220+Distances!CK111*1.84)*EV220*X213*2,"")</f>
        <v>2161.9082400000002</v>
      </c>
      <c r="Y220" s="14">
        <f>IF(Distances!CL111&gt;0,(CK220+Distances!CL111*1.84)*EW220*Y213*2,"")</f>
        <v>2552.430525714286</v>
      </c>
      <c r="Z220" s="14">
        <f>IF(Distances!CM111&gt;0,(CL220+Distances!CM111*1.84)*EX220*Z213*2,"")</f>
        <v>76.301302857142858</v>
      </c>
      <c r="AA220" s="14">
        <f>IF(Distances!CN111&gt;0,(CM220+Distances!CN111*1.84)*EY220*AA213*2,"")</f>
        <v>78.909588571428571</v>
      </c>
      <c r="AB220" s="14">
        <f>IF(Distances!CO111&gt;0,(CN220+Distances!CO111*1.84)*EZ220*AB213*2,"")</f>
        <v>87.238868571428583</v>
      </c>
      <c r="AC220" s="14" t="s">
        <v>62</v>
      </c>
      <c r="AD220" s="14" t="s">
        <v>62</v>
      </c>
      <c r="AE220" s="14">
        <f>IF(Distances!CR111&gt;0,(CQ220+Distances!CR111*1.84)*FC220*AE213*2,"")</f>
        <v>135.61035428571429</v>
      </c>
      <c r="AF220" s="14">
        <f>IF(Distances!CS111&gt;0,(CR220+Distances!CS111*1.84)*FD220*AF213*2,"")</f>
        <v>251.68516571428572</v>
      </c>
      <c r="AG220" s="14">
        <f>IF(Distances!CT111&gt;0,(CS220+Distances!CT111*1.84)*FE220*AG213*2,"")</f>
        <v>228.23830857142858</v>
      </c>
      <c r="AH220" s="14">
        <f>IF(Distances!CU111&gt;0,(CT220+Distances!CU111*1.84)*FF220*AH213*2,"")</f>
        <v>49.50805028571429</v>
      </c>
      <c r="AI220" s="14" t="s">
        <v>62</v>
      </c>
      <c r="AJ220" s="14">
        <f>IF(Distances!CW111&gt;0,(CV220+Distances!CW111*1.84)*FH220*AJ213*2,"")</f>
        <v>38.629970285714286</v>
      </c>
      <c r="AK220" s="14" t="s">
        <v>62</v>
      </c>
      <c r="AL220" s="14" t="s">
        <v>62</v>
      </c>
      <c r="AM220" s="14" t="s">
        <v>62</v>
      </c>
      <c r="AN220" s="14">
        <f>IF(Distances!DA111&gt;0,(CZ220+Distances!DA111*1.84)*FL220*AN213*2,"")</f>
        <v>459.64997485714281</v>
      </c>
      <c r="AO220" s="14" t="s">
        <v>62</v>
      </c>
      <c r="AP220" s="14" t="s">
        <v>62</v>
      </c>
      <c r="AQ220" s="14" t="s">
        <v>62</v>
      </c>
      <c r="AR220" s="14" t="s">
        <v>62</v>
      </c>
      <c r="AS220" s="14">
        <f>IF(Distances!DF111&gt;0,(DE220+Distances!DF111*1.84)*FQ220*AS213*2,"")</f>
        <v>115.72856685714285</v>
      </c>
      <c r="AT220" s="14">
        <f>IF(Distances!DG111&gt;0,(DF220+Distances!DG111*1.84)*FR220*AT213*2,"")</f>
        <v>79.605686857142871</v>
      </c>
      <c r="AU220" s="14">
        <f>IF(Distances!DH111&gt;0,(DG220+Distances!DH111*1.84)*FS220*AU213*2,"")</f>
        <v>216.87161600000002</v>
      </c>
      <c r="AV220" s="14">
        <f>IF(Distances!DI111&gt;0,(DH220+Distances!DI111*1.84)*FT220*AV213*2,"")</f>
        <v>193.91425882352939</v>
      </c>
      <c r="AW220" s="14">
        <f>IF(Distances!DJ111&gt;0,(DI220+Distances!DJ111*1.84)*FU220*AW213*2,"")</f>
        <v>608.86116571428579</v>
      </c>
      <c r="AX220" s="14" t="s">
        <v>62</v>
      </c>
      <c r="AY220" s="14" t="s">
        <v>62</v>
      </c>
      <c r="AZ220" s="14">
        <f>IF(Distances!DM111&gt;0,(DL220+Distances!DM111*1.84)*FX220*AZ213*2,"")</f>
        <v>161.1961309090909</v>
      </c>
      <c r="BA220" s="14" t="s">
        <v>62</v>
      </c>
      <c r="BB220" s="14" t="s">
        <v>62</v>
      </c>
      <c r="BC220" s="14" t="s">
        <v>62</v>
      </c>
      <c r="BD220" s="14">
        <f>IF(Distances!DQ111&gt;0,(DP220+Distances!DQ111*1.84)*GB220*BD213*2,"")</f>
        <v>563.52329142857138</v>
      </c>
      <c r="BE220" s="14" t="s">
        <v>62</v>
      </c>
      <c r="BF220" s="14">
        <f>IF(Distances!DS111&gt;0,(DR220+Distances!DS111*1.84)*GD220*BF213*2,"")</f>
        <v>211.38729142857142</v>
      </c>
      <c r="BG220" s="14">
        <f>IF(Distances!DT111&gt;0,(DS220+Distances!DT111*1.84)*GE220*BG213*2,"")</f>
        <v>99.652685714285724</v>
      </c>
      <c r="BH220" s="14">
        <f>IF(Distances!DU111&gt;0,(DT220+Distances!DU111*1.84)*GF220*BH213*2,"")</f>
        <v>86.873778604651164</v>
      </c>
      <c r="BI220" s="14">
        <f>IF(Distances!DV111&gt;0,(DU220+Distances!DV111*1.84)*GG220*BI213*2,"")</f>
        <v>83.239054883720939</v>
      </c>
      <c r="BJ220" s="15">
        <f>IF(Distances!DW111&gt;0,(DV220+Distances!DW111*1.84)*GH220*BJ213*2,"")</f>
        <v>153.96351999999999</v>
      </c>
      <c r="BM220" s="35" t="s">
        <v>63</v>
      </c>
      <c r="BN220" s="11">
        <v>2695.3835999999997</v>
      </c>
      <c r="BO220" s="13">
        <v>1928.8415999999997</v>
      </c>
      <c r="BP220" s="13">
        <v>2676.9539999999997</v>
      </c>
      <c r="BQ220" s="13">
        <v>2676.9539999999997</v>
      </c>
      <c r="BR220" s="13">
        <v>2835.9155999999998</v>
      </c>
      <c r="BS220" s="13">
        <v>531.71159999999998</v>
      </c>
      <c r="BT220" s="12">
        <v>0</v>
      </c>
      <c r="BU220" s="13">
        <v>554.92919999999992</v>
      </c>
      <c r="BV220" s="13">
        <v>2870.9603999999999</v>
      </c>
      <c r="BW220" s="13">
        <v>2870.9603999999999</v>
      </c>
      <c r="BX220" s="13">
        <v>456.25439999999998</v>
      </c>
      <c r="BY220" s="13">
        <v>456.25439999999998</v>
      </c>
      <c r="BZ220" s="13">
        <v>1182.8796</v>
      </c>
      <c r="CA220" s="14">
        <v>1442.0952</v>
      </c>
      <c r="CB220" s="14">
        <v>2085.9720000000002</v>
      </c>
      <c r="CC220" s="14">
        <v>2692.0824000000002</v>
      </c>
      <c r="CD220" s="14">
        <v>2666.6976</v>
      </c>
      <c r="CE220" s="14">
        <v>2742.8604</v>
      </c>
      <c r="CF220" s="14">
        <v>2616.1715999999997</v>
      </c>
      <c r="CG220" s="14">
        <v>2331.672</v>
      </c>
      <c r="CH220" s="14">
        <v>3032.9543999999996</v>
      </c>
      <c r="CI220" s="14">
        <v>2641.3044</v>
      </c>
      <c r="CJ220" s="14">
        <v>2346.4476</v>
      </c>
      <c r="CK220" s="14">
        <v>2615.9196000000002</v>
      </c>
      <c r="CL220" s="14">
        <v>2539.3535999999999</v>
      </c>
      <c r="CM220" s="14">
        <v>2493.1956</v>
      </c>
      <c r="CN220" s="14">
        <v>2400.8964000000001</v>
      </c>
      <c r="CO220" s="14">
        <v>2377.8215999999998</v>
      </c>
      <c r="CP220" s="14">
        <v>2346.4476</v>
      </c>
      <c r="CQ220" s="14">
        <v>3032.9543999999996</v>
      </c>
      <c r="CR220" s="14">
        <v>3032.9543999999996</v>
      </c>
      <c r="CS220" s="14">
        <v>3032.9543999999996</v>
      </c>
      <c r="CT220" s="14">
        <v>1802.6904</v>
      </c>
      <c r="CU220" s="14">
        <v>2140.5552000000002</v>
      </c>
      <c r="CV220" s="14">
        <v>1802.6904</v>
      </c>
      <c r="CW220" s="14">
        <v>2202.8747999999996</v>
      </c>
      <c r="CX220" s="14">
        <v>445.43519999999995</v>
      </c>
      <c r="CY220" s="14">
        <v>445.43519999999995</v>
      </c>
      <c r="CZ220" s="14">
        <v>445.43519999999995</v>
      </c>
      <c r="DA220" s="14">
        <v>1111.866</v>
      </c>
      <c r="DB220" s="14">
        <v>1133.4371999999998</v>
      </c>
      <c r="DC220" s="14">
        <v>1230.8435999999999</v>
      </c>
      <c r="DD220" s="14">
        <v>1649.1887999999999</v>
      </c>
      <c r="DE220" s="14">
        <v>1649.1887999999999</v>
      </c>
      <c r="DF220" s="14">
        <v>1649.1887999999999</v>
      </c>
      <c r="DG220" s="14">
        <v>1293.2556</v>
      </c>
      <c r="DH220" s="14">
        <v>2005.0463999999999</v>
      </c>
      <c r="DI220" s="14">
        <v>2005.0463999999999</v>
      </c>
      <c r="DJ220" s="14">
        <v>1317.876</v>
      </c>
      <c r="DK220" s="14">
        <v>0</v>
      </c>
      <c r="DL220" s="14">
        <v>3543.0695999999994</v>
      </c>
      <c r="DM220" s="14">
        <v>1546.5491999999999</v>
      </c>
      <c r="DN220" s="14">
        <v>1967.5824</v>
      </c>
      <c r="DO220" s="14">
        <v>1231.7256</v>
      </c>
      <c r="DP220" s="14">
        <v>1317.876</v>
      </c>
      <c r="DQ220" s="14">
        <v>1305.57</v>
      </c>
      <c r="DR220" s="14">
        <v>2266.1015999999995</v>
      </c>
      <c r="DS220" s="14">
        <v>1722.21</v>
      </c>
      <c r="DT220" s="14">
        <v>1408.1088</v>
      </c>
      <c r="DU220" s="14">
        <v>2027.2896000000001</v>
      </c>
      <c r="DV220" s="15">
        <v>2027.2896000000001</v>
      </c>
      <c r="DY220" s="35" t="s">
        <v>63</v>
      </c>
      <c r="DZ220" s="11">
        <f t="shared" si="83"/>
        <v>1.6666666666666666E-2</v>
      </c>
      <c r="EA220" s="13">
        <f t="shared" si="83"/>
        <v>1.6666666666666666E-2</v>
      </c>
      <c r="EB220" s="13">
        <f t="shared" si="83"/>
        <v>1.6666666666666666E-2</v>
      </c>
      <c r="EC220" s="13">
        <f t="shared" si="83"/>
        <v>1.6666666666666666E-2</v>
      </c>
      <c r="ED220" s="13">
        <f t="shared" si="83"/>
        <v>1.6666666666666666E-2</v>
      </c>
      <c r="EE220" s="13">
        <f t="shared" si="83"/>
        <v>1.6666666666666666E-2</v>
      </c>
      <c r="EF220" s="12">
        <v>0.6</v>
      </c>
      <c r="EG220" s="13">
        <f t="shared" si="83"/>
        <v>1.6666666666666666E-2</v>
      </c>
      <c r="EH220" s="13">
        <f t="shared" si="83"/>
        <v>1.6666666666666666E-2</v>
      </c>
      <c r="EI220" s="13">
        <f t="shared" si="83"/>
        <v>1.6666666666666666E-2</v>
      </c>
      <c r="EJ220" s="13">
        <f t="shared" si="83"/>
        <v>1.6666666666666666E-2</v>
      </c>
      <c r="EK220" s="13">
        <f t="shared" si="83"/>
        <v>1.6666666666666666E-2</v>
      </c>
      <c r="EL220" s="13">
        <f t="shared" si="83"/>
        <v>1.6666666666666666E-2</v>
      </c>
      <c r="EM220" s="14">
        <v>4.6511627906976744E-3</v>
      </c>
      <c r="EN220" s="14">
        <v>4.6511627906976744E-3</v>
      </c>
      <c r="EO220" s="14">
        <v>7.1428571428571435E-3</v>
      </c>
      <c r="EP220" s="14">
        <v>7.1428571428571435E-3</v>
      </c>
      <c r="EQ220" s="14">
        <v>7.1428571428571435E-3</v>
      </c>
      <c r="ER220" s="14">
        <v>7.1428571428571435E-3</v>
      </c>
      <c r="ES220" s="14">
        <v>7.1428571428571435E-3</v>
      </c>
      <c r="ET220" s="14">
        <v>7.1428571428571435E-3</v>
      </c>
      <c r="EU220" s="14">
        <v>7.1428571428571435E-3</v>
      </c>
      <c r="EV220" s="14">
        <v>7.1428571428571435E-3</v>
      </c>
      <c r="EW220" s="14">
        <v>7.1428571428571435E-3</v>
      </c>
      <c r="EX220" s="14">
        <v>7.1428571428571435E-3</v>
      </c>
      <c r="EY220" s="14">
        <v>7.1428571428571435E-3</v>
      </c>
      <c r="EZ220" s="14">
        <v>7.1428571428571435E-3</v>
      </c>
      <c r="FA220" s="14">
        <v>7.1428571428571435E-3</v>
      </c>
      <c r="FB220" s="14">
        <v>7.1428571428571435E-3</v>
      </c>
      <c r="FC220" s="14">
        <v>7.1428571428571435E-3</v>
      </c>
      <c r="FD220" s="14">
        <v>7.1428571428571435E-3</v>
      </c>
      <c r="FE220" s="14">
        <v>7.1428571428571435E-3</v>
      </c>
      <c r="FF220" s="14">
        <v>5.7142857142857143E-3</v>
      </c>
      <c r="FG220" s="14">
        <v>5.7142857142857143E-3</v>
      </c>
      <c r="FH220" s="14">
        <v>5.7142857142857143E-3</v>
      </c>
      <c r="FI220" s="14">
        <v>5.7142857142857143E-3</v>
      </c>
      <c r="FJ220" s="14">
        <v>5.7142857142857143E-3</v>
      </c>
      <c r="FK220" s="14">
        <v>5.7142857142857143E-3</v>
      </c>
      <c r="FL220" s="14">
        <v>5.7142857142857143E-3</v>
      </c>
      <c r="FM220" s="14">
        <v>4.7619047619047623E-3</v>
      </c>
      <c r="FN220" s="14">
        <v>4.7619047619047623E-3</v>
      </c>
      <c r="FO220" s="14">
        <v>4.7619047619047623E-3</v>
      </c>
      <c r="FP220" s="14">
        <v>5.7142857142857143E-3</v>
      </c>
      <c r="FQ220" s="14">
        <v>5.7142857142857143E-3</v>
      </c>
      <c r="FR220" s="14">
        <v>5.7142857142857143E-3</v>
      </c>
      <c r="FS220" s="14">
        <v>5.7142857142857143E-3</v>
      </c>
      <c r="FT220" s="14">
        <v>5.8823529411764705E-3</v>
      </c>
      <c r="FU220" s="14">
        <v>5.7142857142857143E-3</v>
      </c>
      <c r="FV220" s="14">
        <v>5.7142857142857143E-3</v>
      </c>
      <c r="FW220" s="14">
        <v>4.5454545454545461E-3</v>
      </c>
      <c r="FX220" s="14">
        <v>4.5454545454545461E-3</v>
      </c>
      <c r="FY220" s="14">
        <v>5.7142857142857143E-3</v>
      </c>
      <c r="FZ220" s="14">
        <v>7.1428571428571435E-3</v>
      </c>
      <c r="GA220" s="14">
        <v>5.7142857142857143E-3</v>
      </c>
      <c r="GB220" s="14">
        <v>5.7142857142857143E-3</v>
      </c>
      <c r="GC220" s="14">
        <v>5.7142857142857143E-3</v>
      </c>
      <c r="GD220" s="14">
        <v>7.1428571428571435E-3</v>
      </c>
      <c r="GE220" s="14">
        <v>7.1428571428571435E-3</v>
      </c>
      <c r="GF220" s="14">
        <v>4.6511627906976744E-3</v>
      </c>
      <c r="GG220" s="14">
        <v>4.6511627906976744E-3</v>
      </c>
      <c r="GH220" s="15">
        <v>4.6511627906976744E-3</v>
      </c>
    </row>
    <row r="221" spans="1:190" x14ac:dyDescent="0.3">
      <c r="A221" s="35" t="s">
        <v>8</v>
      </c>
      <c r="B221" s="11" t="s">
        <v>62</v>
      </c>
      <c r="C221" s="13" t="s">
        <v>62</v>
      </c>
      <c r="D221" s="13">
        <f>IF(Distances!BQ112&gt;0,(BP221+Distances!BQ112*1.84)*EB221*D213*2,"")</f>
        <v>40345.395360000002</v>
      </c>
      <c r="E221" s="13" t="s">
        <v>62</v>
      </c>
      <c r="F221" s="13">
        <f>IF(Distances!BS112&gt;0,(BR221+Distances!BS112*1.84)*ED221*F213*2,"")</f>
        <v>18250.7808</v>
      </c>
      <c r="G221" s="13">
        <f>IF(Distances!BT112&gt;0,(BS221+Distances!BT112*1.84)*EE221*G213*2,"")</f>
        <v>20278.860799999999</v>
      </c>
      <c r="H221" s="13" t="s">
        <v>62</v>
      </c>
      <c r="I221" s="12" t="s">
        <v>62</v>
      </c>
      <c r="J221" s="13">
        <f>IF(Distances!BW112&gt;0,(BV221+Distances!BW112*1.84)*EH221*J213*2,"")</f>
        <v>481.17167999999998</v>
      </c>
      <c r="K221" s="13" t="s">
        <v>62</v>
      </c>
      <c r="L221" s="13">
        <f>IF(Distances!BY112&gt;0,(BX221+Distances!BY112*1.84)*EJ221*L213*2,"")</f>
        <v>309.78229333333337</v>
      </c>
      <c r="M221" s="13" t="s">
        <v>62</v>
      </c>
      <c r="N221" s="13">
        <f>IF(Distances!CA112&gt;0,(BZ221+Distances!CA112*1.84)*EL221*N213*2,"")</f>
        <v>255.87301333333332</v>
      </c>
      <c r="O221" s="14">
        <f>IF(Distances!CB112&gt;0,(CA221+Distances!CB112*1.84)*EM221*O213*2,"")</f>
        <v>153.71038883720928</v>
      </c>
      <c r="P221" s="14">
        <f>IF(Distances!CC112&gt;0,(CB221+Distances!CC112*1.84)*EN221*P213*2,"")</f>
        <v>149.1899646511628</v>
      </c>
      <c r="Q221" s="14" t="s">
        <v>62</v>
      </c>
      <c r="R221" s="14" t="s">
        <v>62</v>
      </c>
      <c r="S221" s="14" t="s">
        <v>62</v>
      </c>
      <c r="T221" s="14">
        <f>IF(Distances!CG112&gt;0,(CF221+Distances!CG112*1.84)*ER221*T213*2,"")</f>
        <v>287.11196000000007</v>
      </c>
      <c r="U221" s="14">
        <f>IF(Distances!CH112&gt;0,(CG221+Distances!CH112*1.84)*ES221*U213*2,"")</f>
        <v>247.45303999999999</v>
      </c>
      <c r="V221" s="14">
        <f>IF(Distances!CI112&gt;0,(CH221+Distances!CI112*1.84)*ET221*V213*2,"")</f>
        <v>3189.2125257142861</v>
      </c>
      <c r="W221" s="14" t="s">
        <v>62</v>
      </c>
      <c r="X221" s="14">
        <f>IF(Distances!CK112&gt;0,(CJ221+Distances!CK112*1.84)*EV221*X213*2,"")</f>
        <v>2078.2142399999998</v>
      </c>
      <c r="Y221" s="14">
        <f>IF(Distances!CL112&gt;0,(CK221+Distances!CL112*1.84)*EW221*Y213*2,"")</f>
        <v>2474.0609257142855</v>
      </c>
      <c r="Z221" s="14">
        <f>IF(Distances!CM112&gt;0,(CL221+Distances!CM112*1.84)*EX221*Z213*2,"")</f>
        <v>73.344022857142875</v>
      </c>
      <c r="AA221" s="14">
        <f>IF(Distances!CN112&gt;0,(CM221+Distances!CN112*1.84)*EY221*AA213*2,"")</f>
        <v>76.006308571428562</v>
      </c>
      <c r="AB221" s="14">
        <f>IF(Distances!CO112&gt;0,(CN221+Distances!CO112*1.84)*EZ221*AB213*2,"")</f>
        <v>84.442868571428576</v>
      </c>
      <c r="AC221" s="14" t="s">
        <v>62</v>
      </c>
      <c r="AD221" s="14" t="s">
        <v>62</v>
      </c>
      <c r="AE221" s="14">
        <f>IF(Distances!CR112&gt;0,(CQ221+Distances!CR112*1.84)*FC221*AE213*2,"")</f>
        <v>132.8834742857143</v>
      </c>
      <c r="AF221" s="14">
        <f>IF(Distances!CS112&gt;0,(CR221+Distances!CS112*1.84)*FD221*AF213*2,"")</f>
        <v>246.23140571428576</v>
      </c>
      <c r="AG221" s="14">
        <f>IF(Distances!CT112&gt;0,(CS221+Distances!CT112*1.84)*FE221*AG213*2,"")</f>
        <v>222.78454857142856</v>
      </c>
      <c r="AH221" s="14">
        <f>IF(Distances!CU112&gt;0,(CT221+Distances!CU112*1.84)*FF221*AH213*2,"")</f>
        <v>43.314514285714289</v>
      </c>
      <c r="AI221" s="14" t="s">
        <v>62</v>
      </c>
      <c r="AJ221" s="14">
        <f>IF(Distances!CW112&gt;0,(CV221+Distances!CW112*1.84)*FH221*AJ213*2,"")</f>
        <v>32.436434285714284</v>
      </c>
      <c r="AK221" s="14" t="s">
        <v>62</v>
      </c>
      <c r="AL221" s="14" t="s">
        <v>62</v>
      </c>
      <c r="AM221" s="14" t="s">
        <v>62</v>
      </c>
      <c r="AN221" s="14">
        <f>IF(Distances!DA112&gt;0,(CZ221+Distances!DA112*1.84)*FL221*AN213*2,"")</f>
        <v>437.30693485714278</v>
      </c>
      <c r="AO221" s="14" t="s">
        <v>62</v>
      </c>
      <c r="AP221" s="14" t="s">
        <v>62</v>
      </c>
      <c r="AQ221" s="14" t="s">
        <v>62</v>
      </c>
      <c r="AR221" s="14" t="s">
        <v>62</v>
      </c>
      <c r="AS221" s="14">
        <f>IF(Distances!DF112&gt;0,(DE221+Distances!DF112*1.84)*FQ221*AS213*2,"")</f>
        <v>113.32338285714286</v>
      </c>
      <c r="AT221" s="14">
        <f>IF(Distances!DG112&gt;0,(DF221+Distances!DG112*1.84)*FR221*AT213*2,"")</f>
        <v>77.200502857142851</v>
      </c>
      <c r="AU221" s="14">
        <f>IF(Distances!DH112&gt;0,(DG221+Distances!DH112*1.84)*FS221*AU213*2,"")</f>
        <v>192.93900799999997</v>
      </c>
      <c r="AV221" s="14">
        <f>IF(Distances!DI112&gt;0,(DH221+Distances!DI112*1.84)*FT221*AV213*2,"")</f>
        <v>187.20611764705882</v>
      </c>
      <c r="AW221" s="14">
        <f>IF(Distances!DJ112&gt;0,(DI221+Distances!DJ112*1.84)*FU221*AW213*2,"")</f>
        <v>602.34468571428579</v>
      </c>
      <c r="AX221" s="14" t="s">
        <v>62</v>
      </c>
      <c r="AY221" s="14" t="s">
        <v>62</v>
      </c>
      <c r="AZ221" s="14">
        <f>IF(Distances!DM112&gt;0,(DL221+Distances!DM112*1.84)*FX221*AZ213*2,"")</f>
        <v>158.67613090909094</v>
      </c>
      <c r="BA221" s="14" t="s">
        <v>62</v>
      </c>
      <c r="BB221" s="14" t="s">
        <v>62</v>
      </c>
      <c r="BC221" s="14" t="s">
        <v>62</v>
      </c>
      <c r="BD221" s="14">
        <f>IF(Distances!DQ112&gt;0,(DP221+Distances!DQ112*1.84)*GB221*BD213*2,"")</f>
        <v>507.77570742857142</v>
      </c>
      <c r="BE221" s="14" t="s">
        <v>62</v>
      </c>
      <c r="BF221" s="14">
        <f>IF(Distances!DS112&gt;0,(DR221+Distances!DS112*1.84)*GD221*BF213*2,"")</f>
        <v>203.63865142857145</v>
      </c>
      <c r="BG221" s="14">
        <f>IF(Distances!DT112&gt;0,(DS221+Distances!DT112*1.84)*GE221*BG213*2,"")</f>
        <v>92.656205714285718</v>
      </c>
      <c r="BH221" s="14">
        <f>IF(Distances!DU112&gt;0,(DT221+Distances!DU112*1.84)*GF221*BH213*2,"")</f>
        <v>79.519598139534878</v>
      </c>
      <c r="BI221" s="14">
        <f>IF(Distances!DV112&gt;0,(DU221+Distances!DV112*1.84)*GG221*BI213*2,"")</f>
        <v>71.955080930232555</v>
      </c>
      <c r="BJ221" s="15">
        <f>IF(Distances!DW112&gt;0,(DV221+Distances!DW112*1.84)*GH221*BJ213*2,"")</f>
        <v>142.67954604651163</v>
      </c>
      <c r="BM221" s="35" t="s">
        <v>8</v>
      </c>
      <c r="BN221" s="11">
        <v>2318.7864</v>
      </c>
      <c r="BO221" s="13">
        <v>1608.2051999999999</v>
      </c>
      <c r="BP221" s="13">
        <v>2449.1543999999999</v>
      </c>
      <c r="BQ221" s="13">
        <v>2449.1543999999999</v>
      </c>
      <c r="BR221" s="13">
        <v>2594.5920000000001</v>
      </c>
      <c r="BS221" s="13">
        <v>0</v>
      </c>
      <c r="BT221" s="13">
        <v>554.92919999999992</v>
      </c>
      <c r="BU221" s="12">
        <v>0</v>
      </c>
      <c r="BV221" s="13">
        <v>2609.1156000000001</v>
      </c>
      <c r="BW221" s="13">
        <v>2609.1156000000001</v>
      </c>
      <c r="BX221" s="13">
        <v>536.91119999999989</v>
      </c>
      <c r="BY221" s="13">
        <v>536.91119999999989</v>
      </c>
      <c r="BZ221" s="13">
        <v>1074.8555999999999</v>
      </c>
      <c r="CA221" s="14">
        <v>1547.4564</v>
      </c>
      <c r="CB221" s="14">
        <v>2196.0036</v>
      </c>
      <c r="CC221" s="14">
        <v>2594.7431999999999</v>
      </c>
      <c r="CD221" s="14">
        <v>2570.2739999999999</v>
      </c>
      <c r="CE221" s="14">
        <v>2643.6815999999999</v>
      </c>
      <c r="CF221" s="14">
        <v>2521.3355999999999</v>
      </c>
      <c r="CG221" s="14">
        <v>1900.6343999999999</v>
      </c>
      <c r="CH221" s="14">
        <v>2937.5135999999998</v>
      </c>
      <c r="CI221" s="14">
        <v>2545.8047999999999</v>
      </c>
      <c r="CJ221" s="14">
        <v>2245.4375999999997</v>
      </c>
      <c r="CK221" s="14">
        <v>2521.3355999999999</v>
      </c>
      <c r="CL221" s="14">
        <v>2435.8488000000002</v>
      </c>
      <c r="CM221" s="14">
        <v>2391.5807999999997</v>
      </c>
      <c r="CN221" s="14">
        <v>2303.0364</v>
      </c>
      <c r="CO221" s="14">
        <v>2280.9023999999999</v>
      </c>
      <c r="CP221" s="14">
        <v>2245.4375999999997</v>
      </c>
      <c r="CQ221" s="14">
        <v>2937.5135999999998</v>
      </c>
      <c r="CR221" s="14">
        <v>2937.5135999999998</v>
      </c>
      <c r="CS221" s="14">
        <v>2937.5135999999998</v>
      </c>
      <c r="CT221" s="14">
        <v>1260.7560000000001</v>
      </c>
      <c r="CU221" s="14">
        <v>1640.8812</v>
      </c>
      <c r="CV221" s="14">
        <v>1260.7560000000001</v>
      </c>
      <c r="CW221" s="14">
        <v>1688.6435999999999</v>
      </c>
      <c r="CX221" s="14">
        <v>409.2312</v>
      </c>
      <c r="CY221" s="14">
        <v>409.2312</v>
      </c>
      <c r="CZ221" s="14">
        <v>409.2312</v>
      </c>
      <c r="DA221" s="14">
        <v>1002.54</v>
      </c>
      <c r="DB221" s="14">
        <v>1021.986</v>
      </c>
      <c r="DC221" s="14">
        <v>1116.8471999999999</v>
      </c>
      <c r="DD221" s="14">
        <v>1543.962</v>
      </c>
      <c r="DE221" s="14">
        <v>1543.962</v>
      </c>
      <c r="DF221" s="14">
        <v>1543.962</v>
      </c>
      <c r="DG221" s="14">
        <v>1143.6768</v>
      </c>
      <c r="DH221" s="14">
        <v>1891.0079999999998</v>
      </c>
      <c r="DI221" s="14">
        <v>1891.0079999999998</v>
      </c>
      <c r="DJ221" s="14">
        <v>1165.4412</v>
      </c>
      <c r="DK221" s="14">
        <v>0</v>
      </c>
      <c r="DL221" s="14">
        <v>3473.7695999999996</v>
      </c>
      <c r="DM221" s="14">
        <v>1524.9695999999999</v>
      </c>
      <c r="DN221" s="14">
        <v>1855.6859999999999</v>
      </c>
      <c r="DO221" s="14">
        <v>1089.2616</v>
      </c>
      <c r="DP221" s="14">
        <v>1165.4412</v>
      </c>
      <c r="DQ221" s="14">
        <v>1154.5632000000001</v>
      </c>
      <c r="DR221" s="14">
        <v>2130.5003999999999</v>
      </c>
      <c r="DS221" s="14">
        <v>1599.7716</v>
      </c>
      <c r="DT221" s="14">
        <v>1210.4651999999999</v>
      </c>
      <c r="DU221" s="14">
        <v>1724.0328</v>
      </c>
      <c r="DV221" s="15">
        <v>1724.0328</v>
      </c>
      <c r="DY221" s="35" t="s">
        <v>8</v>
      </c>
      <c r="DZ221" s="11">
        <f t="shared" si="83"/>
        <v>1.6666666666666666E-2</v>
      </c>
      <c r="EA221" s="13">
        <f t="shared" si="83"/>
        <v>1.6666666666666666E-2</v>
      </c>
      <c r="EB221" s="13">
        <f t="shared" si="83"/>
        <v>1.6666666666666666E-2</v>
      </c>
      <c r="EC221" s="13">
        <f t="shared" si="83"/>
        <v>1.6666666666666666E-2</v>
      </c>
      <c r="ED221" s="13">
        <f t="shared" si="83"/>
        <v>1.6666666666666666E-2</v>
      </c>
      <c r="EE221" s="13">
        <f t="shared" si="83"/>
        <v>1.6666666666666666E-2</v>
      </c>
      <c r="EF221" s="13">
        <f t="shared" si="83"/>
        <v>1.6666666666666666E-2</v>
      </c>
      <c r="EG221" s="12">
        <v>0.6</v>
      </c>
      <c r="EH221" s="13">
        <f t="shared" si="83"/>
        <v>1.6666666666666666E-2</v>
      </c>
      <c r="EI221" s="13">
        <f t="shared" si="83"/>
        <v>1.6666666666666666E-2</v>
      </c>
      <c r="EJ221" s="13">
        <f t="shared" si="83"/>
        <v>1.6666666666666666E-2</v>
      </c>
      <c r="EK221" s="13">
        <f t="shared" si="83"/>
        <v>1.6666666666666666E-2</v>
      </c>
      <c r="EL221" s="13">
        <f t="shared" si="83"/>
        <v>1.6666666666666666E-2</v>
      </c>
      <c r="EM221" s="14">
        <v>4.6511627906976744E-3</v>
      </c>
      <c r="EN221" s="14">
        <v>4.6511627906976744E-3</v>
      </c>
      <c r="EO221" s="14">
        <v>7.1428571428571435E-3</v>
      </c>
      <c r="EP221" s="14">
        <v>7.1428571428571435E-3</v>
      </c>
      <c r="EQ221" s="14">
        <v>7.1428571428571435E-3</v>
      </c>
      <c r="ER221" s="14">
        <v>7.1428571428571435E-3</v>
      </c>
      <c r="ES221" s="14">
        <v>7.1428571428571435E-3</v>
      </c>
      <c r="ET221" s="14">
        <v>7.1428571428571435E-3</v>
      </c>
      <c r="EU221" s="14">
        <v>7.1428571428571435E-3</v>
      </c>
      <c r="EV221" s="14">
        <v>7.1428571428571435E-3</v>
      </c>
      <c r="EW221" s="14">
        <v>7.1428571428571435E-3</v>
      </c>
      <c r="EX221" s="14">
        <v>7.1428571428571435E-3</v>
      </c>
      <c r="EY221" s="14">
        <v>7.1428571428571435E-3</v>
      </c>
      <c r="EZ221" s="14">
        <v>7.1428571428571435E-3</v>
      </c>
      <c r="FA221" s="14">
        <v>7.1428571428571435E-3</v>
      </c>
      <c r="FB221" s="14">
        <v>7.1428571428571435E-3</v>
      </c>
      <c r="FC221" s="14">
        <v>7.1428571428571435E-3</v>
      </c>
      <c r="FD221" s="14">
        <v>7.1428571428571435E-3</v>
      </c>
      <c r="FE221" s="14">
        <v>7.1428571428571435E-3</v>
      </c>
      <c r="FF221" s="14">
        <v>5.7142857142857143E-3</v>
      </c>
      <c r="FG221" s="14">
        <v>5.7142857142857143E-3</v>
      </c>
      <c r="FH221" s="14">
        <v>5.7142857142857143E-3</v>
      </c>
      <c r="FI221" s="14">
        <v>5.7142857142857143E-3</v>
      </c>
      <c r="FJ221" s="14">
        <v>5.7142857142857143E-3</v>
      </c>
      <c r="FK221" s="14">
        <v>5.7142857142857143E-3</v>
      </c>
      <c r="FL221" s="14">
        <v>5.7142857142857143E-3</v>
      </c>
      <c r="FM221" s="14">
        <v>4.7619047619047623E-3</v>
      </c>
      <c r="FN221" s="14">
        <v>4.7619047619047623E-3</v>
      </c>
      <c r="FO221" s="14">
        <v>4.7619047619047623E-3</v>
      </c>
      <c r="FP221" s="14">
        <v>5.7142857142857143E-3</v>
      </c>
      <c r="FQ221" s="14">
        <v>5.7142857142857143E-3</v>
      </c>
      <c r="FR221" s="14">
        <v>5.7142857142857143E-3</v>
      </c>
      <c r="FS221" s="14">
        <v>5.7142857142857143E-3</v>
      </c>
      <c r="FT221" s="14">
        <v>5.8823529411764705E-3</v>
      </c>
      <c r="FU221" s="14">
        <v>5.7142857142857143E-3</v>
      </c>
      <c r="FV221" s="14">
        <v>5.7142857142857143E-3</v>
      </c>
      <c r="FW221" s="14">
        <v>4.5454545454545461E-3</v>
      </c>
      <c r="FX221" s="14">
        <v>4.5454545454545461E-3</v>
      </c>
      <c r="FY221" s="14">
        <v>5.7142857142857143E-3</v>
      </c>
      <c r="FZ221" s="14">
        <v>7.1428571428571435E-3</v>
      </c>
      <c r="GA221" s="14">
        <v>5.7142857142857143E-3</v>
      </c>
      <c r="GB221" s="14">
        <v>5.7142857142857143E-3</v>
      </c>
      <c r="GC221" s="14">
        <v>5.7142857142857143E-3</v>
      </c>
      <c r="GD221" s="14">
        <v>7.1428571428571435E-3</v>
      </c>
      <c r="GE221" s="14">
        <v>7.1428571428571435E-3</v>
      </c>
      <c r="GF221" s="14">
        <v>4.6511627906976744E-3</v>
      </c>
      <c r="GG221" s="14">
        <v>4.6511627906976744E-3</v>
      </c>
      <c r="GH221" s="15">
        <v>4.6511627906976744E-3</v>
      </c>
    </row>
    <row r="222" spans="1:190" x14ac:dyDescent="0.3">
      <c r="A222" s="35" t="s">
        <v>64</v>
      </c>
      <c r="B222" s="11">
        <f>IF(Distances!BO113&gt;0,(BN222+Distances!BO113*1.84)*DZ222*B213*2,"")</f>
        <v>10302.492879999998</v>
      </c>
      <c r="C222" s="13">
        <f>IF(Distances!BP113&gt;0,(BO222+Distances!BP113*1.84)*EA222*C213*2,"")</f>
        <v>12305.169359999998</v>
      </c>
      <c r="D222" s="13">
        <f>IF(Distances!BQ113&gt;0,(BP222+Distances!BQ113*1.84)*EB222*D213*2,"")</f>
        <v>33572.593919999999</v>
      </c>
      <c r="E222" s="13">
        <f>IF(Distances!BR113&gt;0,(BQ222+Distances!BR113*1.84)*EC222*E213*2,"")</f>
        <v>9718.1715199999981</v>
      </c>
      <c r="F222" s="13">
        <f>IF(Distances!BS113&gt;0,(BR222+Distances!BS113*1.84)*ED222*F213*2,"")</f>
        <v>10675.732319999997</v>
      </c>
      <c r="G222" s="13">
        <f>IF(Distances!BT113&gt;0,(BS222+Distances!BT113*1.84)*EE222*G213*2,"")</f>
        <v>44578.030640000004</v>
      </c>
      <c r="H222" s="13">
        <f>IF(Distances!BU113&gt;0,(BT222+Distances!BU113*1.84)*EF222*H213*2,"")</f>
        <v>26062.258159999998</v>
      </c>
      <c r="I222" s="13">
        <f>IF(Distances!BV113&gt;0,(BU222+Distances!BV113*1.84)*EG222*I213*2,"")</f>
        <v>24299.169839999999</v>
      </c>
      <c r="J222" s="12" t="s">
        <v>62</v>
      </c>
      <c r="K222" s="13">
        <f>IF(Distances!BX113&gt;0,(BW222+Distances!BX113*1.84)*EI222*K213*2,"")</f>
        <v>133.28959999999998</v>
      </c>
      <c r="L222" s="13">
        <f>IF(Distances!BY113&gt;0,(BX222+Distances!BY113*1.84)*EJ222*L213*2,"")</f>
        <v>746.17749333333325</v>
      </c>
      <c r="M222" s="13">
        <f>IF(Distances!BZ113&gt;0,(BY222+Distances!BZ113*1.84)*EK222*M213*2,"")</f>
        <v>507.98336</v>
      </c>
      <c r="N222" s="13">
        <f>IF(Distances!CA113&gt;0,(BZ222+Distances!CA113*1.84)*EL222*N213*2,"")</f>
        <v>393.3771733333333</v>
      </c>
      <c r="O222" s="14">
        <f>IF(Distances!CB113&gt;0,(CA222+Distances!CB113*1.84)*EM222*O213*2,"")</f>
        <v>230.14796651162789</v>
      </c>
      <c r="P222" s="14">
        <f>IF(Distances!CC113&gt;0,(CB222+Distances!CC113*1.84)*EN222*P213*2,"")</f>
        <v>164.30926139534881</v>
      </c>
      <c r="Q222" s="14">
        <f>IF(Distances!CD113&gt;0,(CC222+Distances!CD113*1.84)*EO222*Q213*2,"")</f>
        <v>1294.6294285714284</v>
      </c>
      <c r="R222" s="14">
        <f>IF(Distances!CE113&gt;0,(CD222+Distances!CE113*1.84)*EP222*R213*2,"")</f>
        <v>1289.1574285714287</v>
      </c>
      <c r="S222" s="14">
        <f>IF(Distances!CF113&gt;0,(CE222+Distances!CF113*1.84)*EQ222*S213*2,"")</f>
        <v>1305.5674285714285</v>
      </c>
      <c r="T222" s="14">
        <f>IF(Distances!CG113&gt;0,(CF222+Distances!CG113*1.84)*ER222*T213*2,"")</f>
        <v>213.92911999999998</v>
      </c>
      <c r="U222" s="14">
        <f>IF(Distances!CH113&gt;0,(CG222+Distances!CH113*1.84)*ES222*U213*2,"")</f>
        <v>247.24856</v>
      </c>
      <c r="V222" s="14">
        <f>IF(Distances!CI113&gt;0,(CH222+Distances!CI113*1.84)*ET222*V213*2,"")</f>
        <v>2553.1560228571429</v>
      </c>
      <c r="W222" s="14">
        <f>IF(Distances!CJ113&gt;0,(CI222+Distances!CJ113*1.84)*EU222*W213*2,"")</f>
        <v>1489.0750971428572</v>
      </c>
      <c r="X222" s="14">
        <f>IF(Distances!CK113&gt;0,(CJ222+Distances!CK113*1.84)*EV222*X213*2,"")</f>
        <v>1824.6236571428574</v>
      </c>
      <c r="Y222" s="14">
        <f>IF(Distances!CL113&gt;0,(CK222+Distances!CL113*1.84)*EW222*Y213*2,"")</f>
        <v>1867.6888228571429</v>
      </c>
      <c r="Z222" s="14">
        <f>IF(Distances!CM113&gt;0,(CL222+Distances!CM113*1.84)*EX222*Z213*2,"")</f>
        <v>60.279760000000003</v>
      </c>
      <c r="AA222" s="14">
        <f>IF(Distances!CN113&gt;0,(CM222+Distances!CN113*1.84)*EY222*AA213*2,"")</f>
        <v>63.699005714285711</v>
      </c>
      <c r="AB222" s="14">
        <f>IF(Distances!CO113&gt;0,(CN222+Distances!CO113*1.84)*EZ222*AB213*2,"")</f>
        <v>73.649245714285726</v>
      </c>
      <c r="AC222" s="14">
        <f>IF(Distances!CP113&gt;0,(CO222+Distances!CP113*1.84)*FA222*AC213*2,"")</f>
        <v>54.753497142857142</v>
      </c>
      <c r="AD222" s="14">
        <f>IF(Distances!CQ113&gt;0,(CP222+Distances!CQ113*1.84)*FB222*AD213*2,"")</f>
        <v>55.410857142857147</v>
      </c>
      <c r="AE222" s="14">
        <f>IF(Distances!CR113&gt;0,(CQ222+Distances!CR113*1.84)*FC222*AE213*2,"")</f>
        <v>110.95049142857144</v>
      </c>
      <c r="AF222" s="14">
        <f>IF(Distances!CS113&gt;0,(CR222+Distances!CS113*1.84)*FD222*AF213*2,"")</f>
        <v>202.36543999999998</v>
      </c>
      <c r="AG222" s="14">
        <f>IF(Distances!CT113&gt;0,(CS222+Distances!CT113*1.84)*FE222*AG213*2,"")</f>
        <v>178.91858285714284</v>
      </c>
      <c r="AH222" s="14">
        <f>IF(Distances!CU113&gt;0,(CT222+Distances!CU113*1.84)*FF222*AH213*2,"")</f>
        <v>62.820713142857137</v>
      </c>
      <c r="AI222" s="14">
        <f>IF(Distances!CV113&gt;0,(CU222+Distances!CV113*1.84)*FG222*AI213*2,"")</f>
        <v>31.804086857142856</v>
      </c>
      <c r="AJ222" s="14">
        <f>IF(Distances!CW113&gt;0,(CV222+Distances!CW113*1.84)*FH222*AJ213*2,"")</f>
        <v>51.94263314285714</v>
      </c>
      <c r="AK222" s="14">
        <f>IF(Distances!CX113&gt;0,(CW222+Distances!CX113*1.84)*FI222*AK213*2,"")</f>
        <v>32.397366857142856</v>
      </c>
      <c r="AL222" s="14">
        <f>IF(Distances!CY113&gt;0,(CX222+Distances!CY113*1.84)*FJ222*AL213*2,"")</f>
        <v>1641.0448182857142</v>
      </c>
      <c r="AM222" s="14">
        <f>IF(Distances!CZ113&gt;0,(CY222+Distances!CZ113*1.84)*FK222*AM213*2,"")</f>
        <v>1641.0448182857142</v>
      </c>
      <c r="AN222" s="14">
        <f>IF(Distances!DA113&gt;0,(CZ222+Distances!DA113*1.84)*FL222*AN213*2,"")</f>
        <v>1825.7976411428569</v>
      </c>
      <c r="AO222" s="14">
        <f>IF(Distances!DB113&gt;0,(DA222+Distances!DB113*1.84)*FM222*AO213*2,"")</f>
        <v>66.371611428571427</v>
      </c>
      <c r="AP222" s="14">
        <f>IF(Distances!DC113&gt;0,(DB222+Distances!DC113*1.84)*FN222*AP213*2,"")</f>
        <v>67.290331428571434</v>
      </c>
      <c r="AQ222" s="14">
        <f>IF(Distances!DD113&gt;0,(DC222+Distances!DD113*1.84)*FO222*AQ213*2,"")</f>
        <v>63.773051428571435</v>
      </c>
      <c r="AR222" s="14">
        <f>IF(Distances!DE113&gt;0,(DD222+Distances!DE113*1.84)*FP222*AR213*2,"")</f>
        <v>70.775917714285711</v>
      </c>
      <c r="AS222" s="14">
        <f>IF(Distances!DF113&gt;0,(DE222+Distances!DF113*1.84)*FQ222*AS213*2,"")</f>
        <v>148.80874057142859</v>
      </c>
      <c r="AT222" s="14">
        <f>IF(Distances!DG113&gt;0,(DF222+Distances!DG113*1.84)*FR222*AT213*2,"")</f>
        <v>112.68586057142858</v>
      </c>
      <c r="AU222" s="14">
        <f>IF(Distances!DH113&gt;0,(DG222+Distances!DH113*1.84)*FS222*AU213*2,"")</f>
        <v>529.29862400000002</v>
      </c>
      <c r="AV222" s="14">
        <f>IF(Distances!DI113&gt;0,(DH222+Distances!DI113*1.84)*FT222*AV213*2,"")</f>
        <v>253.75959999999998</v>
      </c>
      <c r="AW222" s="14">
        <f>IF(Distances!DJ113&gt;0,(DI222+Distances!DJ113*1.84)*FU222*AW213*2,"")</f>
        <v>666.99664000000007</v>
      </c>
      <c r="AX222" s="14">
        <f>IF(Distances!DK113&gt;0,(DJ222+Distances!DK113*1.84)*FV222*AX213*2,"")</f>
        <v>187.92507428571429</v>
      </c>
      <c r="AY222" s="14">
        <f>IF(Distances!DL113&gt;0,(DK222+Distances!DL113*1.84)*FW222*AY213*2,"")</f>
        <v>36.35170909090909</v>
      </c>
      <c r="AZ222" s="14">
        <f>IF(Distances!DM113&gt;0,(DL222+Distances!DM113*1.84)*FX222*AZ213*2,"")</f>
        <v>215.79661090909093</v>
      </c>
      <c r="BA222" s="14">
        <f>IF(Distances!DN113&gt;0,(DM222+Distances!DN113*1.84)*FY222*BA213*2,"")</f>
        <v>140.43785142857143</v>
      </c>
      <c r="BB222" s="14">
        <f>IF(Distances!DO113&gt;0,(DN222+Distances!DO113*1.84)*FZ222*BB213*2,"")</f>
        <v>170.5500342857143</v>
      </c>
      <c r="BC222" s="14">
        <f>IF(Distances!DP113&gt;0,(DO222+Distances!DP113*1.84)*GA222*BC213*2,"")</f>
        <v>1147.9805074285714</v>
      </c>
      <c r="BD222" s="14">
        <f>IF(Distances!DQ113&gt;0,(DP222+Distances!DQ113*1.84)*GB222*BD213*2,"")</f>
        <v>1284.2776868571427</v>
      </c>
      <c r="BE222" s="14">
        <f>IF(Distances!DR113&gt;0,(DQ222+Distances!DR113*1.84)*GC222*BE213*2,"")</f>
        <v>1194.9022354285714</v>
      </c>
      <c r="BF222" s="14">
        <f>IF(Distances!DS113&gt;0,(DR222+Distances!DS113*1.84)*GD222*BF213*2,"")</f>
        <v>255.4266057142857</v>
      </c>
      <c r="BG222" s="14">
        <f>IF(Distances!DT113&gt;0,(DS222+Distances!DT113*1.84)*GE222*BG213*2,"")</f>
        <v>144.75327999999999</v>
      </c>
      <c r="BH222" s="14">
        <f>IF(Distances!DU113&gt;0,(DT222+Distances!DU113*1.84)*GF222*BH213*2,"")</f>
        <v>149.78159627906976</v>
      </c>
      <c r="BI222" s="14">
        <f>IF(Distances!DV113&gt;0,(DU222+Distances!DV113*1.84)*GG222*BI213*2,"")</f>
        <v>130.76869953488372</v>
      </c>
      <c r="BJ222" s="15">
        <f>IF(Distances!DW113&gt;0,(DV222+Distances!DW113*1.84)*GH222*BJ213*2,"")</f>
        <v>201.4931646511628</v>
      </c>
      <c r="BM222" s="35" t="s">
        <v>64</v>
      </c>
      <c r="BN222" s="11">
        <v>530.4011999999999</v>
      </c>
      <c r="BO222" s="13">
        <v>827.82839999999999</v>
      </c>
      <c r="BP222" s="13">
        <v>443.62079999999997</v>
      </c>
      <c r="BQ222" s="13">
        <v>443.62079999999997</v>
      </c>
      <c r="BR222" s="13">
        <v>469.91279999999995</v>
      </c>
      <c r="BS222" s="13">
        <v>2609.1156000000001</v>
      </c>
      <c r="BT222" s="13">
        <v>2870.9603999999999</v>
      </c>
      <c r="BU222" s="13">
        <v>2609.1156000000001</v>
      </c>
      <c r="BV222" s="12">
        <v>0</v>
      </c>
      <c r="BW222" s="13">
        <v>0</v>
      </c>
      <c r="BX222" s="13">
        <v>2810.2031999999999</v>
      </c>
      <c r="BY222" s="13">
        <v>2810.2031999999999</v>
      </c>
      <c r="BZ222" s="13">
        <v>1106.4648</v>
      </c>
      <c r="CA222" s="14">
        <v>1721.6471999999999</v>
      </c>
      <c r="CB222" s="14">
        <v>1428.5207999999998</v>
      </c>
      <c r="CC222" s="14">
        <v>812.80919999999992</v>
      </c>
      <c r="CD222" s="14">
        <v>805.14839999999992</v>
      </c>
      <c r="CE222" s="14">
        <v>828.12239999999997</v>
      </c>
      <c r="CF222" s="14">
        <v>789.83519999999999</v>
      </c>
      <c r="CG222" s="14">
        <v>898.91760000000011</v>
      </c>
      <c r="CH222" s="14">
        <v>1170.1871999999998</v>
      </c>
      <c r="CI222" s="14">
        <v>797.48759999999993</v>
      </c>
      <c r="CJ222" s="14">
        <v>939.70799999999997</v>
      </c>
      <c r="CK222" s="14">
        <v>789.83519999999999</v>
      </c>
      <c r="CL222" s="14">
        <v>978.9276000000001</v>
      </c>
      <c r="CM222" s="14">
        <v>961.15319999999997</v>
      </c>
      <c r="CN222" s="14">
        <v>925.58760000000007</v>
      </c>
      <c r="CO222" s="14">
        <v>916.70039999999995</v>
      </c>
      <c r="CP222" s="14">
        <v>939.70799999999997</v>
      </c>
      <c r="CQ222" s="14">
        <v>1170.1871999999998</v>
      </c>
      <c r="CR222" s="14">
        <v>1170.1871999999998</v>
      </c>
      <c r="CS222" s="14">
        <v>1170.1871999999998</v>
      </c>
      <c r="CT222" s="14">
        <v>1967.8763999999999</v>
      </c>
      <c r="CU222" s="14">
        <v>1783.1856</v>
      </c>
      <c r="CV222" s="14">
        <v>1967.8763999999999</v>
      </c>
      <c r="CW222" s="14">
        <v>1835.0975999999998</v>
      </c>
      <c r="CX222" s="14">
        <v>1659.4284</v>
      </c>
      <c r="CY222" s="14">
        <v>1659.4284</v>
      </c>
      <c r="CZ222" s="14">
        <v>1659.4284</v>
      </c>
      <c r="DA222" s="14">
        <v>2484.8375999999998</v>
      </c>
      <c r="DB222" s="14">
        <v>2533.0704000000001</v>
      </c>
      <c r="DC222" s="14">
        <v>2348.4132</v>
      </c>
      <c r="DD222" s="14">
        <v>2096.7743999999998</v>
      </c>
      <c r="DE222" s="14">
        <v>2096.7743999999998</v>
      </c>
      <c r="DF222" s="14">
        <v>2096.7743999999998</v>
      </c>
      <c r="DG222" s="14">
        <v>2246.2523999999999</v>
      </c>
      <c r="DH222" s="14">
        <v>2022.7452000000001</v>
      </c>
      <c r="DI222" s="14">
        <v>2022.7452000000001</v>
      </c>
      <c r="DJ222" s="14">
        <v>2289.0167999999999</v>
      </c>
      <c r="DK222" s="14">
        <v>0</v>
      </c>
      <c r="DL222" s="14">
        <v>4044.9107999999997</v>
      </c>
      <c r="DM222" s="14">
        <v>2072.4059999999999</v>
      </c>
      <c r="DN222" s="14">
        <v>1984.9535999999998</v>
      </c>
      <c r="DO222" s="14">
        <v>2139.3371999999999</v>
      </c>
      <c r="DP222" s="14">
        <v>2289.0167999999999</v>
      </c>
      <c r="DQ222" s="14">
        <v>2267.6388000000002</v>
      </c>
      <c r="DR222" s="14">
        <v>2037.1175999999998</v>
      </c>
      <c r="DS222" s="14">
        <v>1511.7983999999999</v>
      </c>
      <c r="DT222" s="14">
        <v>2099.0843999999997</v>
      </c>
      <c r="DU222" s="14">
        <v>2304.9767999999999</v>
      </c>
      <c r="DV222" s="15">
        <v>2304.9767999999999</v>
      </c>
      <c r="DY222" s="35" t="s">
        <v>64</v>
      </c>
      <c r="DZ222" s="11">
        <f t="shared" si="83"/>
        <v>1.6666666666666666E-2</v>
      </c>
      <c r="EA222" s="13">
        <f t="shared" si="83"/>
        <v>1.6666666666666666E-2</v>
      </c>
      <c r="EB222" s="13">
        <f t="shared" si="83"/>
        <v>1.6666666666666666E-2</v>
      </c>
      <c r="EC222" s="13">
        <f t="shared" si="83"/>
        <v>1.6666666666666666E-2</v>
      </c>
      <c r="ED222" s="13">
        <f t="shared" si="83"/>
        <v>1.6666666666666666E-2</v>
      </c>
      <c r="EE222" s="13">
        <f t="shared" si="83"/>
        <v>1.6666666666666666E-2</v>
      </c>
      <c r="EF222" s="13">
        <f t="shared" si="83"/>
        <v>1.6666666666666666E-2</v>
      </c>
      <c r="EG222" s="13">
        <f t="shared" si="83"/>
        <v>1.6666666666666666E-2</v>
      </c>
      <c r="EH222" s="12">
        <v>0.6</v>
      </c>
      <c r="EI222" s="13">
        <f t="shared" si="83"/>
        <v>1.6666666666666666E-2</v>
      </c>
      <c r="EJ222" s="13">
        <f t="shared" si="83"/>
        <v>1.6666666666666666E-2</v>
      </c>
      <c r="EK222" s="13">
        <f t="shared" si="83"/>
        <v>1.6666666666666666E-2</v>
      </c>
      <c r="EL222" s="13">
        <f t="shared" si="83"/>
        <v>1.6666666666666666E-2</v>
      </c>
      <c r="EM222" s="14">
        <v>4.6511627906976744E-3</v>
      </c>
      <c r="EN222" s="14">
        <v>4.6511627906976744E-3</v>
      </c>
      <c r="EO222" s="14">
        <v>7.1428571428571435E-3</v>
      </c>
      <c r="EP222" s="14">
        <v>7.1428571428571435E-3</v>
      </c>
      <c r="EQ222" s="14">
        <v>7.1428571428571435E-3</v>
      </c>
      <c r="ER222" s="14">
        <v>7.1428571428571435E-3</v>
      </c>
      <c r="ES222" s="14">
        <v>7.1428571428571435E-3</v>
      </c>
      <c r="ET222" s="14">
        <v>7.1428571428571435E-3</v>
      </c>
      <c r="EU222" s="14">
        <v>7.1428571428571435E-3</v>
      </c>
      <c r="EV222" s="14">
        <v>7.1428571428571435E-3</v>
      </c>
      <c r="EW222" s="14">
        <v>7.1428571428571435E-3</v>
      </c>
      <c r="EX222" s="14">
        <v>7.1428571428571435E-3</v>
      </c>
      <c r="EY222" s="14">
        <v>7.1428571428571435E-3</v>
      </c>
      <c r="EZ222" s="14">
        <v>7.1428571428571435E-3</v>
      </c>
      <c r="FA222" s="14">
        <v>7.1428571428571435E-3</v>
      </c>
      <c r="FB222" s="14">
        <v>7.1428571428571435E-3</v>
      </c>
      <c r="FC222" s="14">
        <v>7.1428571428571435E-3</v>
      </c>
      <c r="FD222" s="14">
        <v>7.1428571428571435E-3</v>
      </c>
      <c r="FE222" s="14">
        <v>7.1428571428571435E-3</v>
      </c>
      <c r="FF222" s="14">
        <v>5.7142857142857143E-3</v>
      </c>
      <c r="FG222" s="14">
        <v>5.7142857142857143E-3</v>
      </c>
      <c r="FH222" s="14">
        <v>5.7142857142857143E-3</v>
      </c>
      <c r="FI222" s="14">
        <v>5.7142857142857143E-3</v>
      </c>
      <c r="FJ222" s="14">
        <v>5.7142857142857143E-3</v>
      </c>
      <c r="FK222" s="14">
        <v>5.7142857142857143E-3</v>
      </c>
      <c r="FL222" s="14">
        <v>5.7142857142857143E-3</v>
      </c>
      <c r="FM222" s="14">
        <v>4.7619047619047623E-3</v>
      </c>
      <c r="FN222" s="14">
        <v>4.7619047619047623E-3</v>
      </c>
      <c r="FO222" s="14">
        <v>4.7619047619047623E-3</v>
      </c>
      <c r="FP222" s="14">
        <v>5.7142857142857143E-3</v>
      </c>
      <c r="FQ222" s="14">
        <v>5.7142857142857143E-3</v>
      </c>
      <c r="FR222" s="14">
        <v>5.7142857142857143E-3</v>
      </c>
      <c r="FS222" s="14">
        <v>5.7142857142857143E-3</v>
      </c>
      <c r="FT222" s="14">
        <v>5.8823529411764705E-3</v>
      </c>
      <c r="FU222" s="14">
        <v>5.7142857142857143E-3</v>
      </c>
      <c r="FV222" s="14">
        <v>5.7142857142857143E-3</v>
      </c>
      <c r="FW222" s="14">
        <v>4.5454545454545461E-3</v>
      </c>
      <c r="FX222" s="14">
        <v>4.5454545454545461E-3</v>
      </c>
      <c r="FY222" s="14">
        <v>5.7142857142857143E-3</v>
      </c>
      <c r="FZ222" s="14">
        <v>7.1428571428571435E-3</v>
      </c>
      <c r="GA222" s="14">
        <v>5.7142857142857143E-3</v>
      </c>
      <c r="GB222" s="14">
        <v>5.7142857142857143E-3</v>
      </c>
      <c r="GC222" s="14">
        <v>5.7142857142857143E-3</v>
      </c>
      <c r="GD222" s="14">
        <v>7.1428571428571435E-3</v>
      </c>
      <c r="GE222" s="14">
        <v>7.1428571428571435E-3</v>
      </c>
      <c r="GF222" s="14">
        <v>4.6511627906976744E-3</v>
      </c>
      <c r="GG222" s="14">
        <v>4.6511627906976744E-3</v>
      </c>
      <c r="GH222" s="15">
        <v>4.6511627906976744E-3</v>
      </c>
    </row>
    <row r="223" spans="1:190" x14ac:dyDescent="0.3">
      <c r="A223" s="35" t="s">
        <v>10</v>
      </c>
      <c r="B223" s="11" t="s">
        <v>62</v>
      </c>
      <c r="C223" s="13" t="s">
        <v>62</v>
      </c>
      <c r="D223" s="13">
        <f>IF(Distances!BQ114&gt;0,(BP223+Distances!BQ114*1.84)*EB223*D213*2,"")</f>
        <v>26841.469120000005</v>
      </c>
      <c r="E223" s="13" t="s">
        <v>62</v>
      </c>
      <c r="F223" s="13">
        <f>IF(Distances!BS114&gt;0,(BR223+Distances!BS114*1.84)*ED223*F213*2,"")</f>
        <v>3944.6075199999996</v>
      </c>
      <c r="G223" s="13">
        <f>IF(Distances!BT114&gt;0,(BS223+Distances!BT114*1.84)*EE223*G213*2,"")</f>
        <v>37846.905840000007</v>
      </c>
      <c r="H223" s="13" t="s">
        <v>62</v>
      </c>
      <c r="I223" s="13" t="s">
        <v>62</v>
      </c>
      <c r="J223" s="13">
        <f>IF(Distances!BW114&gt;0,(BV223+Distances!BW114*1.84)*EH223*J213*2,"")</f>
        <v>133.28959999999998</v>
      </c>
      <c r="K223" s="12" t="s">
        <v>62</v>
      </c>
      <c r="L223" s="13">
        <f>IF(Distances!BY114&gt;0,(BX223+Distances!BY114*1.84)*EJ223*L213*2,"")</f>
        <v>612.8878933333333</v>
      </c>
      <c r="M223" s="13" t="s">
        <v>62</v>
      </c>
      <c r="N223" s="13">
        <f>IF(Distances!CA114&gt;0,(BZ223+Distances!CA114*1.84)*EL223*N213*2,"")</f>
        <v>260.08757333333335</v>
      </c>
      <c r="O223" s="14">
        <f>IF(Distances!CB114&gt;0,(CA223+Distances!CB114*1.84)*EM223*O213*2,"")</f>
        <v>165.05304558139534</v>
      </c>
      <c r="P223" s="14">
        <f>IF(Distances!CC114&gt;0,(CB223+Distances!CC114*1.84)*EN223*P213*2,"")</f>
        <v>99.214340465116265</v>
      </c>
      <c r="Q223" s="14" t="s">
        <v>62</v>
      </c>
      <c r="R223" s="14" t="s">
        <v>62</v>
      </c>
      <c r="S223" s="14" t="s">
        <v>62</v>
      </c>
      <c r="T223" s="14">
        <f>IF(Distances!CG114&gt;0,(CF223+Distances!CG114*1.84)*ER223*T213*2,"")</f>
        <v>113.96192000000002</v>
      </c>
      <c r="U223" s="14">
        <f>IF(Distances!CH114&gt;0,(CG223+Distances!CH114*1.84)*ES223*U213*2,"")</f>
        <v>147.28136000000001</v>
      </c>
      <c r="V223" s="14">
        <f>IF(Distances!CI114&gt;0,(CH223+Distances!CI114*1.84)*ET223*V213*2,"")</f>
        <v>1724.8563657142856</v>
      </c>
      <c r="W223" s="14" t="s">
        <v>62</v>
      </c>
      <c r="X223" s="14">
        <f>IF(Distances!CK114&gt;0,(CJ223+Distances!CK114*1.84)*EV223*X213*2,"")</f>
        <v>996.32400000000007</v>
      </c>
      <c r="Y223" s="14">
        <f>IF(Distances!CL114&gt;0,(CK223+Distances!CL114*1.84)*EW223*Y213*2,"")</f>
        <v>1039.3891657142858</v>
      </c>
      <c r="Z223" s="14">
        <f>IF(Distances!CM114&gt;0,(CL223+Distances!CM114*1.84)*EX223*Z213*2,"")</f>
        <v>31.717702857142861</v>
      </c>
      <c r="AA223" s="14">
        <f>IF(Distances!CN114&gt;0,(CM223+Distances!CN114*1.84)*EY223*AA213*2,"")</f>
        <v>35.136948571428576</v>
      </c>
      <c r="AB223" s="14">
        <f>IF(Distances!CO114&gt;0,(CN223+Distances!CO114*1.84)*EZ223*AB213*2,"")</f>
        <v>45.087188571428584</v>
      </c>
      <c r="AC223" s="14" t="s">
        <v>62</v>
      </c>
      <c r="AD223" s="14" t="s">
        <v>62</v>
      </c>
      <c r="AE223" s="14">
        <f>IF(Distances!CR114&gt;0,(CQ223+Distances!CR114*1.84)*FC223*AE213*2,"")</f>
        <v>82.388434285714283</v>
      </c>
      <c r="AF223" s="14">
        <f>IF(Distances!CS114&gt;0,(CR223+Distances!CS114*1.84)*FD223*AF213*2,"")</f>
        <v>145.24132571428572</v>
      </c>
      <c r="AG223" s="14">
        <f>IF(Distances!CT114&gt;0,(CS223+Distances!CT114*1.84)*FE223*AG213*2,"")</f>
        <v>121.79446857142857</v>
      </c>
      <c r="AH223" s="14">
        <f>IF(Distances!CU114&gt;0,(CT223+Distances!CU114*1.84)*FF223*AH213*2,"")</f>
        <v>51.395890285714287</v>
      </c>
      <c r="AI223" s="14" t="s">
        <v>62</v>
      </c>
      <c r="AJ223" s="14">
        <f>IF(Distances!CW114&gt;0,(CV223+Distances!CW114*1.84)*FH223*AJ213*2,"")</f>
        <v>40.517810285714283</v>
      </c>
      <c r="AK223" s="14" t="s">
        <v>62</v>
      </c>
      <c r="AL223" s="14" t="s">
        <v>62</v>
      </c>
      <c r="AM223" s="14" t="s">
        <v>62</v>
      </c>
      <c r="AN223" s="14">
        <f>IF(Distances!DA114&gt;0,(CZ223+Distances!DA114*1.84)*FL223*AN213*2,"")</f>
        <v>1208.8572068571427</v>
      </c>
      <c r="AO223" s="14" t="s">
        <v>62</v>
      </c>
      <c r="AP223" s="14" t="s">
        <v>62</v>
      </c>
      <c r="AQ223" s="14" t="s">
        <v>62</v>
      </c>
      <c r="AR223" s="14" t="s">
        <v>62</v>
      </c>
      <c r="AS223" s="14">
        <f>IF(Distances!DF114&gt;0,(DE223+Distances!DF114*1.84)*FQ223*AS213*2,"")</f>
        <v>125.95909485714286</v>
      </c>
      <c r="AT223" s="14">
        <f>IF(Distances!DG114&gt;0,(DF223+Distances!DG114*1.84)*FR223*AT213*2,"")</f>
        <v>89.836214857142849</v>
      </c>
      <c r="AU223" s="14">
        <f>IF(Distances!DH114&gt;0,(DG223+Distances!DH114*1.84)*FS223*AU213*2,"")</f>
        <v>369.35110399999996</v>
      </c>
      <c r="AV223" s="14">
        <f>IF(Distances!DI114&gt;0,(DH223+Distances!DI114*1.84)*FT223*AV213*2,"")</f>
        <v>194.95536470588237</v>
      </c>
      <c r="AW223" s="14">
        <f>IF(Distances!DJ114&gt;0,(DI223+Distances!DJ114*1.84)*FU223*AW213*2,"")</f>
        <v>609.87252571428576</v>
      </c>
      <c r="AX223" s="14" t="s">
        <v>62</v>
      </c>
      <c r="AY223" s="14" t="s">
        <v>62</v>
      </c>
      <c r="AZ223" s="14">
        <f>IF(Distances!DM114&gt;0,(DL223+Distances!DM114*1.84)*FX223*AZ213*2,"")</f>
        <v>179.44490181818185</v>
      </c>
      <c r="BA223" s="14" t="s">
        <v>62</v>
      </c>
      <c r="BB223" s="14" t="s">
        <v>62</v>
      </c>
      <c r="BC223" s="14" t="s">
        <v>62</v>
      </c>
      <c r="BD223" s="14">
        <f>IF(Distances!DQ114&gt;0,(DP223+Distances!DQ114*1.84)*GB223*BD213*2,"")</f>
        <v>918.6833554285713</v>
      </c>
      <c r="BE223" s="14" t="s">
        <v>62</v>
      </c>
      <c r="BF223" s="14">
        <f>IF(Distances!DS114&gt;0,(DR223+Distances!DS114*1.84)*GD223*BF213*2,"")</f>
        <v>198.30249142857144</v>
      </c>
      <c r="BG223" s="14">
        <f>IF(Distances!DT114&gt;0,(DS223+Distances!DT114*1.84)*GE223*BG213*2,"")</f>
        <v>87.629165714285719</v>
      </c>
      <c r="BH223" s="14">
        <f>IF(Distances!DU114&gt;0,(DT223+Distances!DU114*1.84)*GF223*BH213*2,"")</f>
        <v>112.58449860465116</v>
      </c>
      <c r="BI223" s="14">
        <f>IF(Distances!DV114&gt;0,(DU223+Distances!DV114*1.84)*GG223*BI213*2,"")</f>
        <v>93.571601860465123</v>
      </c>
      <c r="BJ223" s="15">
        <f>IF(Distances!DW114&gt;0,(DV223+Distances!DW114*1.84)*GH223*BJ213*2,"")</f>
        <v>164.29606697674419</v>
      </c>
      <c r="BM223" s="35" t="s">
        <v>10</v>
      </c>
      <c r="BN223" s="11">
        <v>530.4011999999999</v>
      </c>
      <c r="BO223" s="13">
        <v>827.82839999999999</v>
      </c>
      <c r="BP223" s="13">
        <v>443.62079999999997</v>
      </c>
      <c r="BQ223" s="13">
        <v>443.62079999999997</v>
      </c>
      <c r="BR223" s="13">
        <v>469.91279999999995</v>
      </c>
      <c r="BS223" s="13">
        <v>2609.1156000000001</v>
      </c>
      <c r="BT223" s="13">
        <v>2870.9603999999999</v>
      </c>
      <c r="BU223" s="13">
        <v>2609.1156000000001</v>
      </c>
      <c r="BV223" s="13">
        <v>0</v>
      </c>
      <c r="BW223" s="12">
        <v>0</v>
      </c>
      <c r="BX223" s="13">
        <v>2810.2031999999999</v>
      </c>
      <c r="BY223" s="13">
        <v>2810.2031999999999</v>
      </c>
      <c r="BZ223" s="13">
        <v>1106.4648</v>
      </c>
      <c r="CA223" s="14">
        <v>1721.6471999999999</v>
      </c>
      <c r="CB223" s="14">
        <v>1428.5207999999998</v>
      </c>
      <c r="CC223" s="14">
        <v>812.80919999999992</v>
      </c>
      <c r="CD223" s="14">
        <v>805.14839999999992</v>
      </c>
      <c r="CE223" s="14">
        <v>828.12239999999997</v>
      </c>
      <c r="CF223" s="14">
        <v>789.83519999999999</v>
      </c>
      <c r="CG223" s="14">
        <v>898.91760000000011</v>
      </c>
      <c r="CH223" s="14">
        <v>1170.1871999999998</v>
      </c>
      <c r="CI223" s="14">
        <v>797.48759999999993</v>
      </c>
      <c r="CJ223" s="14">
        <v>939.70799999999997</v>
      </c>
      <c r="CK223" s="14">
        <v>789.83519999999999</v>
      </c>
      <c r="CL223" s="14">
        <v>978.9276000000001</v>
      </c>
      <c r="CM223" s="14">
        <v>961.15319999999997</v>
      </c>
      <c r="CN223" s="14">
        <v>925.58760000000007</v>
      </c>
      <c r="CO223" s="14">
        <v>916.70039999999995</v>
      </c>
      <c r="CP223" s="14">
        <v>939.70799999999997</v>
      </c>
      <c r="CQ223" s="14">
        <v>1170.1871999999998</v>
      </c>
      <c r="CR223" s="14">
        <v>1170.1871999999998</v>
      </c>
      <c r="CS223" s="14">
        <v>1170.1871999999998</v>
      </c>
      <c r="CT223" s="14">
        <v>1967.8763999999999</v>
      </c>
      <c r="CU223" s="14">
        <v>1783.1856</v>
      </c>
      <c r="CV223" s="14">
        <v>1967.8763999999999</v>
      </c>
      <c r="CW223" s="14">
        <v>1835.0975999999998</v>
      </c>
      <c r="CX223" s="14">
        <v>1659.4284</v>
      </c>
      <c r="CY223" s="14">
        <v>1659.4284</v>
      </c>
      <c r="CZ223" s="14">
        <v>1659.4284</v>
      </c>
      <c r="DA223" s="14">
        <v>2484.8375999999998</v>
      </c>
      <c r="DB223" s="14">
        <v>2533.0704000000001</v>
      </c>
      <c r="DC223" s="14">
        <v>2348.4132</v>
      </c>
      <c r="DD223" s="14">
        <v>2096.7743999999998</v>
      </c>
      <c r="DE223" s="14">
        <v>2096.7743999999998</v>
      </c>
      <c r="DF223" s="14">
        <v>2096.7743999999998</v>
      </c>
      <c r="DG223" s="14">
        <v>2246.2523999999999</v>
      </c>
      <c r="DH223" s="14">
        <v>2022.7452000000001</v>
      </c>
      <c r="DI223" s="14">
        <v>2022.7452000000001</v>
      </c>
      <c r="DJ223" s="14">
        <v>2289.0167999999999</v>
      </c>
      <c r="DK223" s="14">
        <v>0</v>
      </c>
      <c r="DL223" s="14">
        <v>4044.9107999999997</v>
      </c>
      <c r="DM223" s="14">
        <v>2072.4059999999999</v>
      </c>
      <c r="DN223" s="14">
        <v>1984.9535999999998</v>
      </c>
      <c r="DO223" s="14">
        <v>2139.3371999999999</v>
      </c>
      <c r="DP223" s="14">
        <v>2289.0167999999999</v>
      </c>
      <c r="DQ223" s="14">
        <v>2267.6388000000002</v>
      </c>
      <c r="DR223" s="14">
        <v>2037.1175999999998</v>
      </c>
      <c r="DS223" s="14">
        <v>1511.7983999999999</v>
      </c>
      <c r="DT223" s="14">
        <v>2099.0843999999997</v>
      </c>
      <c r="DU223" s="14">
        <v>2304.9767999999999</v>
      </c>
      <c r="DV223" s="15">
        <v>2304.9767999999999</v>
      </c>
      <c r="DY223" s="35" t="s">
        <v>10</v>
      </c>
      <c r="DZ223" s="11">
        <f t="shared" si="83"/>
        <v>1.6666666666666666E-2</v>
      </c>
      <c r="EA223" s="13">
        <f t="shared" si="83"/>
        <v>1.6666666666666666E-2</v>
      </c>
      <c r="EB223" s="13">
        <f t="shared" si="83"/>
        <v>1.6666666666666666E-2</v>
      </c>
      <c r="EC223" s="13">
        <f t="shared" si="83"/>
        <v>1.6666666666666666E-2</v>
      </c>
      <c r="ED223" s="13">
        <f t="shared" si="83"/>
        <v>1.6666666666666666E-2</v>
      </c>
      <c r="EE223" s="13">
        <f t="shared" si="83"/>
        <v>1.6666666666666666E-2</v>
      </c>
      <c r="EF223" s="13">
        <f t="shared" si="83"/>
        <v>1.6666666666666666E-2</v>
      </c>
      <c r="EG223" s="13">
        <f t="shared" si="83"/>
        <v>1.6666666666666666E-2</v>
      </c>
      <c r="EH223" s="13">
        <f t="shared" si="83"/>
        <v>1.6666666666666666E-2</v>
      </c>
      <c r="EI223" s="12">
        <v>0.6</v>
      </c>
      <c r="EJ223" s="13">
        <f t="shared" si="83"/>
        <v>1.6666666666666666E-2</v>
      </c>
      <c r="EK223" s="13">
        <f t="shared" si="83"/>
        <v>1.6666666666666666E-2</v>
      </c>
      <c r="EL223" s="13">
        <f t="shared" si="83"/>
        <v>1.6666666666666666E-2</v>
      </c>
      <c r="EM223" s="14">
        <v>4.6511627906976744E-3</v>
      </c>
      <c r="EN223" s="14">
        <v>4.6511627906976744E-3</v>
      </c>
      <c r="EO223" s="14">
        <v>7.1428571428571435E-3</v>
      </c>
      <c r="EP223" s="14">
        <v>7.1428571428571435E-3</v>
      </c>
      <c r="EQ223" s="14">
        <v>7.1428571428571435E-3</v>
      </c>
      <c r="ER223" s="14">
        <v>7.1428571428571435E-3</v>
      </c>
      <c r="ES223" s="14">
        <v>7.1428571428571435E-3</v>
      </c>
      <c r="ET223" s="14">
        <v>7.1428571428571435E-3</v>
      </c>
      <c r="EU223" s="14">
        <v>7.1428571428571435E-3</v>
      </c>
      <c r="EV223" s="14">
        <v>7.1428571428571435E-3</v>
      </c>
      <c r="EW223" s="14">
        <v>7.1428571428571435E-3</v>
      </c>
      <c r="EX223" s="14">
        <v>7.1428571428571435E-3</v>
      </c>
      <c r="EY223" s="14">
        <v>7.1428571428571435E-3</v>
      </c>
      <c r="EZ223" s="14">
        <v>7.1428571428571435E-3</v>
      </c>
      <c r="FA223" s="14">
        <v>7.1428571428571435E-3</v>
      </c>
      <c r="FB223" s="14">
        <v>7.1428571428571435E-3</v>
      </c>
      <c r="FC223" s="14">
        <v>7.1428571428571435E-3</v>
      </c>
      <c r="FD223" s="14">
        <v>7.1428571428571435E-3</v>
      </c>
      <c r="FE223" s="14">
        <v>7.1428571428571435E-3</v>
      </c>
      <c r="FF223" s="14">
        <v>5.7142857142857143E-3</v>
      </c>
      <c r="FG223" s="14">
        <v>5.7142857142857143E-3</v>
      </c>
      <c r="FH223" s="14">
        <v>5.7142857142857143E-3</v>
      </c>
      <c r="FI223" s="14">
        <v>5.7142857142857143E-3</v>
      </c>
      <c r="FJ223" s="14">
        <v>5.7142857142857143E-3</v>
      </c>
      <c r="FK223" s="14">
        <v>5.7142857142857143E-3</v>
      </c>
      <c r="FL223" s="14">
        <v>5.7142857142857143E-3</v>
      </c>
      <c r="FM223" s="14">
        <v>4.7619047619047623E-3</v>
      </c>
      <c r="FN223" s="14">
        <v>4.7619047619047623E-3</v>
      </c>
      <c r="FO223" s="14">
        <v>4.7619047619047623E-3</v>
      </c>
      <c r="FP223" s="14">
        <v>5.7142857142857143E-3</v>
      </c>
      <c r="FQ223" s="14">
        <v>5.7142857142857143E-3</v>
      </c>
      <c r="FR223" s="14">
        <v>5.7142857142857143E-3</v>
      </c>
      <c r="FS223" s="14">
        <v>5.7142857142857143E-3</v>
      </c>
      <c r="FT223" s="14">
        <v>5.8823529411764705E-3</v>
      </c>
      <c r="FU223" s="14">
        <v>5.7142857142857143E-3</v>
      </c>
      <c r="FV223" s="14">
        <v>5.7142857142857143E-3</v>
      </c>
      <c r="FW223" s="14">
        <v>4.5454545454545461E-3</v>
      </c>
      <c r="FX223" s="14">
        <v>4.5454545454545461E-3</v>
      </c>
      <c r="FY223" s="14">
        <v>5.7142857142857143E-3</v>
      </c>
      <c r="FZ223" s="14">
        <v>7.1428571428571435E-3</v>
      </c>
      <c r="GA223" s="14">
        <v>5.7142857142857143E-3</v>
      </c>
      <c r="GB223" s="14">
        <v>5.7142857142857143E-3</v>
      </c>
      <c r="GC223" s="14">
        <v>5.7142857142857143E-3</v>
      </c>
      <c r="GD223" s="14">
        <v>7.1428571428571435E-3</v>
      </c>
      <c r="GE223" s="14">
        <v>7.1428571428571435E-3</v>
      </c>
      <c r="GF223" s="14">
        <v>4.6511627906976744E-3</v>
      </c>
      <c r="GG223" s="14">
        <v>4.6511627906976744E-3</v>
      </c>
      <c r="GH223" s="15">
        <v>4.6511627906976744E-3</v>
      </c>
    </row>
    <row r="224" spans="1:190" x14ac:dyDescent="0.3">
      <c r="A224" s="35" t="s">
        <v>11</v>
      </c>
      <c r="B224" s="11">
        <f>IF(Distances!BO115&gt;0,(BN224+Distances!BO115*1.84)*DZ224*B213*2,"")</f>
        <v>30355.601173333333</v>
      </c>
      <c r="C224" s="13">
        <f>IF(Distances!BP115&gt;0,(BO224+Distances!BP115*1.84)*EA224*C213*2,"")</f>
        <v>25143.597173333332</v>
      </c>
      <c r="D224" s="13">
        <f>IF(Distances!BQ115&gt;0,(BP224+Distances!BQ115*1.84)*EB224*D213*2,"")</f>
        <v>54084.686613333346</v>
      </c>
      <c r="E224" s="13">
        <f>IF(Distances!BR115&gt;0,(BQ224+Distances!BR115*1.84)*EC224*E213*2,"")</f>
        <v>30230.264213333336</v>
      </c>
      <c r="F224" s="13">
        <f>IF(Distances!BS115&gt;0,(BR224+Distances!BS115*1.84)*ED224*F213*2,"")</f>
        <v>32091.653813333334</v>
      </c>
      <c r="G224" s="13">
        <f>IF(Distances!BT115&gt;0,(BS224+Distances!BT115*1.84)*EE224*G213*2,"")</f>
        <v>35922.866613333324</v>
      </c>
      <c r="H224" s="13">
        <f>IF(Distances!BU115&gt;0,(BT224+Distances!BU115*1.84)*EF224*H213*2,"")</f>
        <v>15100.916693333333</v>
      </c>
      <c r="I224" s="13">
        <f>IF(Distances!BV115&gt;0,(BU224+Distances!BV115*1.84)*EG224*I213*2,"")</f>
        <v>15644.005813333335</v>
      </c>
      <c r="J224" s="13">
        <f>IF(Distances!BW115&gt;0,(BV224+Distances!BW115*1.84)*EH224*J213*2,"")</f>
        <v>746.17749333333325</v>
      </c>
      <c r="K224" s="13">
        <f>IF(Distances!BX115&gt;0,(BW224+Distances!BX115*1.84)*EI224*K213*2,"")</f>
        <v>612.8878933333333</v>
      </c>
      <c r="L224" s="12" t="s">
        <v>62</v>
      </c>
      <c r="M224" s="13">
        <f>IF(Distances!BZ115&gt;0,(BY224+Distances!BZ115*1.84)*EK224*M213*2,"")</f>
        <v>238.19413333333335</v>
      </c>
      <c r="N224" s="13">
        <f>IF(Distances!CA115&gt;0,(BZ224+Distances!CA115*1.84)*EL224*N213*2,"")</f>
        <v>510.01482666666669</v>
      </c>
      <c r="O224" s="14">
        <f>IF(Distances!CB115&gt;0,(CA224+Distances!CB115*1.84)*EM224*O213*2,"")</f>
        <v>264.09704186046514</v>
      </c>
      <c r="P224" s="14">
        <f>IF(Distances!CC115&gt;0,(CB224+Distances!CC115*1.84)*EN224*P213*2,"")</f>
        <v>204.98615069767442</v>
      </c>
      <c r="Q224" s="14">
        <f>IF(Distances!CD115&gt;0,(CC224+Distances!CD115*1.84)*EO224*Q213*2,"")</f>
        <v>3217.8020000000006</v>
      </c>
      <c r="R224" s="14">
        <f>IF(Distances!CE115&gt;0,(CD224+Distances!CE115*1.84)*EP224*R213*2,"")</f>
        <v>3199.4900000000007</v>
      </c>
      <c r="S224" s="14">
        <f>IF(Distances!CF115&gt;0,(CE224+Distances!CF115*1.84)*EQ224*S213*2,"")</f>
        <v>3254.4259999999999</v>
      </c>
      <c r="T224" s="14">
        <f>IF(Distances!CG115&gt;0,(CF224+Distances!CG115*1.84)*ER224*T213*2,"")</f>
        <v>477.77964000000003</v>
      </c>
      <c r="U224" s="14">
        <f>IF(Distances!CH115&gt;0,(CG224+Distances!CH115*1.84)*ES224*U213*2,"")</f>
        <v>471.48720000000003</v>
      </c>
      <c r="V224" s="14">
        <f>IF(Distances!CI115&gt;0,(CH224+Distances!CI115*1.84)*ET224*V213*2,"")</f>
        <v>4773.1229257142868</v>
      </c>
      <c r="W224" s="14">
        <f>IF(Distances!CJ115&gt;0,(CI224+Distances!CJ115*1.84)*EU224*W213*2,"")</f>
        <v>3690.1664800000003</v>
      </c>
      <c r="X224" s="14">
        <f>IF(Distances!CK115&gt;0,(CJ224+Distances!CK115*1.84)*EV224*X213*2,"")</f>
        <v>3661.1711200000004</v>
      </c>
      <c r="Y224" s="14">
        <f>IF(Distances!CL115&gt;0,(CK224+Distances!CL115*1.84)*EW224*Y213*2,"")</f>
        <v>4053.8788457142864</v>
      </c>
      <c r="Z224" s="14">
        <f>IF(Distances!CM115&gt;0,(CL224+Distances!CM115*1.84)*EX224*Z213*2,"")</f>
        <v>128.10178285714287</v>
      </c>
      <c r="AA224" s="14">
        <f>IF(Distances!CN115&gt;0,(CM224+Distances!CN115*1.84)*EY224*AA213*2,"")</f>
        <v>130.64934857142859</v>
      </c>
      <c r="AB224" s="14">
        <f>IF(Distances!CO115&gt;0,(CN224+Distances!CO115*1.84)*EZ224*AB213*2,"")</f>
        <v>138.95270857142859</v>
      </c>
      <c r="AC224" s="14">
        <f>IF(Distances!CP115&gt;0,(CO224+Distances!CP115*1.84)*FA224*AC213*2,"")</f>
        <v>119.64512000000002</v>
      </c>
      <c r="AD224" s="14">
        <f>IF(Distances!CQ115&gt;0,(CP224+Distances!CQ115*1.84)*FB224*AD213*2,"")</f>
        <v>118.74008000000001</v>
      </c>
      <c r="AE224" s="14">
        <f>IF(Distances!CR115&gt;0,(CQ224+Distances!CR115*1.84)*FC224*AE213*2,"")</f>
        <v>187.50107428571428</v>
      </c>
      <c r="AF224" s="14">
        <f>IF(Distances!CS115&gt;0,(CR224+Distances!CS115*1.84)*FD224*AF213*2,"")</f>
        <v>355.46660571428578</v>
      </c>
      <c r="AG224" s="14">
        <f>IF(Distances!CT115&gt;0,(CS224+Distances!CT115*1.84)*FE224*AG213*2,"")</f>
        <v>332.01974857142864</v>
      </c>
      <c r="AH224" s="14">
        <f>IF(Distances!CU115&gt;0,(CT224+Distances!CU115*1.84)*FF224*AH213*2,"")</f>
        <v>70.126578285714288</v>
      </c>
      <c r="AI224" s="14">
        <f>IF(Distances!CV115&gt;0,(CU224+Distances!CV115*1.84)*FG224*AI213*2,"")</f>
        <v>45.119936000000003</v>
      </c>
      <c r="AJ224" s="14">
        <f>IF(Distances!CW115&gt;0,(CV224+Distances!CW115*1.84)*FH224*AJ213*2,"")</f>
        <v>59.248498285714284</v>
      </c>
      <c r="AK224" s="14">
        <f>IF(Distances!CX115&gt;0,(CW224+Distances!CX115*1.84)*FI224*AK213*2,"")</f>
        <v>45.839072000000002</v>
      </c>
      <c r="AL224" s="14">
        <f>IF(Distances!CY115&gt;0,(CX224+Distances!CY115*1.84)*FJ224*AL213*2,"")</f>
        <v>1380.0862080000002</v>
      </c>
      <c r="AM224" s="14">
        <f>IF(Distances!CZ115&gt;0,(CY224+Distances!CZ115*1.84)*FK224*AM213*2,"")</f>
        <v>1380.0862080000002</v>
      </c>
      <c r="AN224" s="14">
        <f>IF(Distances!DA115&gt;0,(CZ224+Distances!DA115*1.84)*FL224*AN213*2,"")</f>
        <v>1564.8390308571429</v>
      </c>
      <c r="AO224" s="14">
        <f>IF(Distances!DB115&gt;0,(DA224+Distances!DB115*1.84)*FM224*AO213*2,"")</f>
        <v>55.413653333333343</v>
      </c>
      <c r="AP224" s="14">
        <f>IF(Distances!DC115&gt;0,(DB224+Distances!DC115*1.84)*FN224*AP213*2,"")</f>
        <v>55.82853333333334</v>
      </c>
      <c r="AQ224" s="14">
        <f>IF(Distances!DD115&gt;0,(DC224+Distances!DD115*1.84)*FO224*AQ213*2,"")</f>
        <v>57.702133333333343</v>
      </c>
      <c r="AR224" s="14">
        <f>IF(Distances!DE115&gt;0,(DD224+Distances!DE115*1.84)*FP224*AR213*2,"")</f>
        <v>78.898432</v>
      </c>
      <c r="AS224" s="14">
        <f>IF(Distances!DF115&gt;0,(DE224+Distances!DF115*1.84)*FQ224*AS213*2,"")</f>
        <v>156.93125485714287</v>
      </c>
      <c r="AT224" s="14">
        <f>IF(Distances!DG115&gt;0,(DF224+Distances!DG115*1.84)*FR224*AT213*2,"")</f>
        <v>120.80837485714288</v>
      </c>
      <c r="AU224" s="14">
        <f>IF(Distances!DH115&gt;0,(DG224+Distances!DH115*1.84)*FS224*AU213*2,"")</f>
        <v>504.73267200000004</v>
      </c>
      <c r="AV224" s="14">
        <f>IF(Distances!DI115&gt;0,(DH224+Distances!DI115*1.84)*FT224*AV213*2,"")</f>
        <v>300.15564705882355</v>
      </c>
      <c r="AW224" s="14">
        <f>IF(Distances!DJ115&gt;0,(DI224+Distances!DJ115*1.84)*FU224*AW213*2,"")</f>
        <v>712.06708571428567</v>
      </c>
      <c r="AX224" s="14">
        <f>IF(Distances!DK115&gt;0,(DJ224+Distances!DK115*1.84)*FV224*AX213*2,"")</f>
        <v>178.12816000000001</v>
      </c>
      <c r="AY224" s="14">
        <f>IF(Distances!DL115&gt;0,(DK224+Distances!DL115*1.84)*FW224*AY213*2,"")</f>
        <v>64.962036363636372</v>
      </c>
      <c r="AZ224" s="14">
        <f>IF(Distances!DM115&gt;0,(DL224+Distances!DM115*1.84)*FX224*AZ213*2,"")</f>
        <v>227.42091636363637</v>
      </c>
      <c r="BA224" s="14">
        <f>IF(Distances!DN115&gt;0,(DM224+Distances!DN115*1.84)*FY224*BA213*2,"")</f>
        <v>153.05868800000002</v>
      </c>
      <c r="BB224" s="14">
        <f>IF(Distances!DO115&gt;0,(DN224+Distances!DO115*1.84)*FZ224*BB213*2,"")</f>
        <v>215.61807999999999</v>
      </c>
      <c r="BC224" s="14">
        <f>IF(Distances!DP115&gt;0,(DO224+Distances!DP115*1.84)*GA224*BC213*2,"")</f>
        <v>1108.20352</v>
      </c>
      <c r="BD224" s="14">
        <f>IF(Distances!DQ115&gt;0,(DP224+Distances!DQ115*1.84)*GB224*BD213*2,"")</f>
        <v>1221.5774354285713</v>
      </c>
      <c r="BE224" s="14">
        <f>IF(Distances!DR115&gt;0,(DQ224+Distances!DR115*1.84)*GC224*BE213*2,"")</f>
        <v>1135.4736640000001</v>
      </c>
      <c r="BF224" s="14">
        <f>IF(Distances!DS115&gt;0,(DR224+Distances!DS115*1.84)*GD224*BF213*2,"")</f>
        <v>314.73961142857144</v>
      </c>
      <c r="BG224" s="14">
        <f>IF(Distances!DT115&gt;0,(DS224+Distances!DT115*1.84)*GE224*BG213*2,"")</f>
        <v>202.70500571428573</v>
      </c>
      <c r="BH224" s="14">
        <f>IF(Distances!DU115&gt;0,(DT224+Distances!DU115*1.84)*GF224*BH213*2,"")</f>
        <v>153.85978046511627</v>
      </c>
      <c r="BI224" s="14">
        <f>IF(Distances!DV115&gt;0,(DU224+Distances!DV115*1.84)*GG224*BI213*2,"")</f>
        <v>150.45103627906977</v>
      </c>
      <c r="BJ224" s="15">
        <f>IF(Distances!DW115&gt;0,(DV224+Distances!DW115*1.84)*GH224*BJ213*2,"")</f>
        <v>221.17550139534882</v>
      </c>
      <c r="BM224" s="35" t="s">
        <v>11</v>
      </c>
      <c r="BN224" s="11">
        <v>2721.8015999999998</v>
      </c>
      <c r="BO224" s="13">
        <v>1947.7415999999998</v>
      </c>
      <c r="BP224" s="13">
        <v>2703.1871999999998</v>
      </c>
      <c r="BQ224" s="13">
        <v>2703.1871999999998</v>
      </c>
      <c r="BR224" s="13">
        <v>2863.7111999999997</v>
      </c>
      <c r="BS224" s="13">
        <v>536.91119999999989</v>
      </c>
      <c r="BT224" s="13">
        <v>456.25439999999998</v>
      </c>
      <c r="BU224" s="13">
        <v>536.91119999999989</v>
      </c>
      <c r="BV224" s="13">
        <v>2810.2031999999999</v>
      </c>
      <c r="BW224" s="13">
        <v>2810.2031999999999</v>
      </c>
      <c r="BX224" s="12">
        <v>0</v>
      </c>
      <c r="BY224" s="13">
        <v>0</v>
      </c>
      <c r="BZ224" s="13">
        <v>1194.4631999999999</v>
      </c>
      <c r="CA224" s="14">
        <v>1456.2239999999999</v>
      </c>
      <c r="CB224" s="14">
        <v>1266.4176</v>
      </c>
      <c r="CC224" s="14">
        <v>2718.4667999999997</v>
      </c>
      <c r="CD224" s="14">
        <v>2692.83</v>
      </c>
      <c r="CE224" s="14">
        <v>2769.7403999999997</v>
      </c>
      <c r="CF224" s="14">
        <v>2641.5563999999999</v>
      </c>
      <c r="CG224" s="14">
        <v>2354.52</v>
      </c>
      <c r="CH224" s="14">
        <v>3062.6736000000001</v>
      </c>
      <c r="CI224" s="14">
        <v>2667.1931999999997</v>
      </c>
      <c r="CJ224" s="14">
        <v>2369.4467999999997</v>
      </c>
      <c r="CK224" s="14">
        <v>2641.5563999999999</v>
      </c>
      <c r="CL224" s="14">
        <v>2565.9143999999997</v>
      </c>
      <c r="CM224" s="14">
        <v>2517.6311999999998</v>
      </c>
      <c r="CN224" s="14">
        <v>2424.4247999999998</v>
      </c>
      <c r="CO224" s="14">
        <v>2401.1232</v>
      </c>
      <c r="CP224" s="14">
        <v>2369.4467999999997</v>
      </c>
      <c r="CQ224" s="14">
        <v>3062.6736000000001</v>
      </c>
      <c r="CR224" s="14">
        <v>3062.6736000000001</v>
      </c>
      <c r="CS224" s="14">
        <v>3062.6736000000001</v>
      </c>
      <c r="CT224" s="14">
        <v>1820.3556000000001</v>
      </c>
      <c r="CU224" s="14">
        <v>2161.5383999999999</v>
      </c>
      <c r="CV224" s="14">
        <v>1820.3556000000001</v>
      </c>
      <c r="CW224" s="14">
        <v>2224.4627999999998</v>
      </c>
      <c r="CX224" s="14">
        <v>449.79480000000001</v>
      </c>
      <c r="CY224" s="14">
        <v>449.79480000000001</v>
      </c>
      <c r="CZ224" s="14">
        <v>449.79480000000001</v>
      </c>
      <c r="DA224" s="14">
        <v>1122.7607999999998</v>
      </c>
      <c r="DB224" s="14">
        <v>1144.5419999999999</v>
      </c>
      <c r="DC224" s="14">
        <v>1242.9059999999999</v>
      </c>
      <c r="DD224" s="14">
        <v>1665.3503999999998</v>
      </c>
      <c r="DE224" s="14">
        <v>1665.3503999999998</v>
      </c>
      <c r="DF224" s="14">
        <v>1665.3503999999998</v>
      </c>
      <c r="DG224" s="14">
        <v>1305.9312</v>
      </c>
      <c r="DH224" s="14">
        <v>2024.694</v>
      </c>
      <c r="DI224" s="14">
        <v>2024.694</v>
      </c>
      <c r="DJ224" s="14">
        <v>1330.7867999999999</v>
      </c>
      <c r="DK224" s="14">
        <v>0</v>
      </c>
      <c r="DL224" s="14">
        <v>3577.7951999999996</v>
      </c>
      <c r="DM224" s="14">
        <v>1561.7028</v>
      </c>
      <c r="DN224" s="14">
        <v>1986.8603999999998</v>
      </c>
      <c r="DO224" s="14">
        <v>1243.788</v>
      </c>
      <c r="DP224" s="14">
        <v>1330.7867999999999</v>
      </c>
      <c r="DQ224" s="14">
        <v>1318.3548000000001</v>
      </c>
      <c r="DR224" s="14">
        <v>2288.3111999999996</v>
      </c>
      <c r="DS224" s="14">
        <v>1739.1695999999999</v>
      </c>
      <c r="DT224" s="14">
        <v>1421.9015999999999</v>
      </c>
      <c r="DU224" s="14">
        <v>2047.1556</v>
      </c>
      <c r="DV224" s="15">
        <v>2047.1556</v>
      </c>
      <c r="DY224" s="35" t="s">
        <v>11</v>
      </c>
      <c r="DZ224" s="11">
        <f t="shared" si="83"/>
        <v>1.6666666666666666E-2</v>
      </c>
      <c r="EA224" s="13">
        <f t="shared" si="83"/>
        <v>1.6666666666666666E-2</v>
      </c>
      <c r="EB224" s="13">
        <f t="shared" si="83"/>
        <v>1.6666666666666666E-2</v>
      </c>
      <c r="EC224" s="13">
        <f t="shared" si="83"/>
        <v>1.6666666666666666E-2</v>
      </c>
      <c r="ED224" s="13">
        <f t="shared" si="83"/>
        <v>1.6666666666666666E-2</v>
      </c>
      <c r="EE224" s="13">
        <f t="shared" si="83"/>
        <v>1.6666666666666666E-2</v>
      </c>
      <c r="EF224" s="13">
        <f t="shared" si="83"/>
        <v>1.6666666666666666E-2</v>
      </c>
      <c r="EG224" s="13">
        <f t="shared" si="83"/>
        <v>1.6666666666666666E-2</v>
      </c>
      <c r="EH224" s="13">
        <f t="shared" si="83"/>
        <v>1.6666666666666666E-2</v>
      </c>
      <c r="EI224" s="13">
        <f t="shared" si="83"/>
        <v>1.6666666666666666E-2</v>
      </c>
      <c r="EJ224" s="12">
        <v>0.6</v>
      </c>
      <c r="EK224" s="13">
        <f t="shared" si="83"/>
        <v>1.6666666666666666E-2</v>
      </c>
      <c r="EL224" s="13">
        <f t="shared" si="83"/>
        <v>1.6666666666666666E-2</v>
      </c>
      <c r="EM224" s="14">
        <v>4.6511627906976744E-3</v>
      </c>
      <c r="EN224" s="14">
        <v>4.6511627906976744E-3</v>
      </c>
      <c r="EO224" s="14">
        <v>7.1428571428571435E-3</v>
      </c>
      <c r="EP224" s="14">
        <v>7.1428571428571435E-3</v>
      </c>
      <c r="EQ224" s="14">
        <v>7.1428571428571435E-3</v>
      </c>
      <c r="ER224" s="14">
        <v>7.1428571428571435E-3</v>
      </c>
      <c r="ES224" s="14">
        <v>7.1428571428571435E-3</v>
      </c>
      <c r="ET224" s="14">
        <v>7.1428571428571435E-3</v>
      </c>
      <c r="EU224" s="14">
        <v>7.1428571428571435E-3</v>
      </c>
      <c r="EV224" s="14">
        <v>7.1428571428571435E-3</v>
      </c>
      <c r="EW224" s="14">
        <v>7.1428571428571435E-3</v>
      </c>
      <c r="EX224" s="14">
        <v>7.1428571428571435E-3</v>
      </c>
      <c r="EY224" s="14">
        <v>7.1428571428571435E-3</v>
      </c>
      <c r="EZ224" s="14">
        <v>7.1428571428571435E-3</v>
      </c>
      <c r="FA224" s="14">
        <v>7.1428571428571435E-3</v>
      </c>
      <c r="FB224" s="14">
        <v>7.1428571428571435E-3</v>
      </c>
      <c r="FC224" s="14">
        <v>7.1428571428571435E-3</v>
      </c>
      <c r="FD224" s="14">
        <v>7.1428571428571435E-3</v>
      </c>
      <c r="FE224" s="14">
        <v>7.1428571428571435E-3</v>
      </c>
      <c r="FF224" s="14">
        <v>5.7142857142857143E-3</v>
      </c>
      <c r="FG224" s="14">
        <v>5.7142857142857143E-3</v>
      </c>
      <c r="FH224" s="14">
        <v>5.7142857142857143E-3</v>
      </c>
      <c r="FI224" s="14">
        <v>5.7142857142857143E-3</v>
      </c>
      <c r="FJ224" s="14">
        <v>5.7142857142857143E-3</v>
      </c>
      <c r="FK224" s="14">
        <v>5.7142857142857143E-3</v>
      </c>
      <c r="FL224" s="14">
        <v>5.7142857142857143E-3</v>
      </c>
      <c r="FM224" s="14">
        <v>4.7619047619047623E-3</v>
      </c>
      <c r="FN224" s="14">
        <v>4.7619047619047623E-3</v>
      </c>
      <c r="FO224" s="14">
        <v>4.7619047619047623E-3</v>
      </c>
      <c r="FP224" s="14">
        <v>5.7142857142857143E-3</v>
      </c>
      <c r="FQ224" s="14">
        <v>5.7142857142857143E-3</v>
      </c>
      <c r="FR224" s="14">
        <v>5.7142857142857143E-3</v>
      </c>
      <c r="FS224" s="14">
        <v>5.7142857142857143E-3</v>
      </c>
      <c r="FT224" s="14">
        <v>5.8823529411764705E-3</v>
      </c>
      <c r="FU224" s="14">
        <v>5.7142857142857143E-3</v>
      </c>
      <c r="FV224" s="14">
        <v>5.7142857142857143E-3</v>
      </c>
      <c r="FW224" s="14">
        <v>4.5454545454545461E-3</v>
      </c>
      <c r="FX224" s="14">
        <v>4.5454545454545461E-3</v>
      </c>
      <c r="FY224" s="14">
        <v>5.7142857142857143E-3</v>
      </c>
      <c r="FZ224" s="14">
        <v>7.1428571428571435E-3</v>
      </c>
      <c r="GA224" s="14">
        <v>5.7142857142857143E-3</v>
      </c>
      <c r="GB224" s="14">
        <v>5.7142857142857143E-3</v>
      </c>
      <c r="GC224" s="14">
        <v>5.7142857142857143E-3</v>
      </c>
      <c r="GD224" s="14">
        <v>7.1428571428571435E-3</v>
      </c>
      <c r="GE224" s="14">
        <v>7.1428571428571435E-3</v>
      </c>
      <c r="GF224" s="14">
        <v>4.6511627906976744E-3</v>
      </c>
      <c r="GG224" s="14">
        <v>4.6511627906976744E-3</v>
      </c>
      <c r="GH224" s="15">
        <v>4.6511627906976744E-3</v>
      </c>
    </row>
    <row r="225" spans="1:190" x14ac:dyDescent="0.3">
      <c r="A225" s="35" t="s">
        <v>12</v>
      </c>
      <c r="B225" s="11" t="s">
        <v>62</v>
      </c>
      <c r="C225" s="13" t="s">
        <v>62</v>
      </c>
      <c r="D225" s="13">
        <f>IF(Distances!BQ116&gt;0,(BP225+Distances!BQ116*1.84)*EB225*D213*2,"")</f>
        <v>42055.882879999997</v>
      </c>
      <c r="E225" s="13" t="s">
        <v>62</v>
      </c>
      <c r="F225" s="13">
        <f>IF(Distances!BS116&gt;0,(BR225+Distances!BS116*1.84)*ED225*F213*2,"")</f>
        <v>20062.85008</v>
      </c>
      <c r="G225" s="13">
        <f>IF(Distances!BT116&gt;0,(BS225+Distances!BT116*1.84)*EE225*G213*2,"")</f>
        <v>23894.062880000001</v>
      </c>
      <c r="H225" s="13" t="s">
        <v>62</v>
      </c>
      <c r="I225" s="13" t="s">
        <v>62</v>
      </c>
      <c r="J225" s="13">
        <f>IF(Distances!BW116&gt;0,(BV225+Distances!BW116*1.84)*EH225*J213*2,"")</f>
        <v>507.98336</v>
      </c>
      <c r="K225" s="13" t="s">
        <v>62</v>
      </c>
      <c r="L225" s="13">
        <f>IF(Distances!BY116&gt;0,(BX225+Distances!BY116*1.84)*EJ225*L213*2,"")</f>
        <v>238.19413333333335</v>
      </c>
      <c r="M225" s="12" t="s">
        <v>62</v>
      </c>
      <c r="N225" s="13">
        <f>IF(Distances!CA116&gt;0,(BZ225+Distances!CA116*1.84)*EL225*N213*2,"")</f>
        <v>271.82069333333334</v>
      </c>
      <c r="O225" s="14">
        <f>IF(Distances!CB116&gt;0,(CA225+Distances!CB116*1.84)*EM225*O213*2,"")</f>
        <v>147.76967441860461</v>
      </c>
      <c r="P225" s="14">
        <f>IF(Distances!CC116&gt;0,(CB225+Distances!CC116*1.84)*EN225*P213*2,"")</f>
        <v>88.658783255813944</v>
      </c>
      <c r="Q225" s="14" t="s">
        <v>62</v>
      </c>
      <c r="R225" s="14" t="s">
        <v>62</v>
      </c>
      <c r="S225" s="14" t="s">
        <v>62</v>
      </c>
      <c r="T225" s="14">
        <f>IF(Distances!CG116&gt;0,(CF225+Distances!CG116*1.84)*ER225*T213*2,"")</f>
        <v>299.13404000000003</v>
      </c>
      <c r="U225" s="14">
        <f>IF(Distances!CH116&gt;0,(CG225+Distances!CH116*1.84)*ES225*U213*2,"")</f>
        <v>292.84160000000003</v>
      </c>
      <c r="V225" s="14">
        <f>IF(Distances!CI116&gt;0,(CH225+Distances!CI116*1.84)*ET225*V213*2,"")</f>
        <v>3292.9165257142863</v>
      </c>
      <c r="W225" s="14" t="s">
        <v>62</v>
      </c>
      <c r="X225" s="14">
        <f>IF(Distances!CK116&gt;0,(CJ225+Distances!CK116*1.84)*EV225*X213*2,"")</f>
        <v>2180.9647199999999</v>
      </c>
      <c r="Y225" s="14">
        <f>IF(Distances!CL116&gt;0,(CK225+Distances!CL116*1.84)*EW225*Y213*2,"")</f>
        <v>2573.6724457142859</v>
      </c>
      <c r="Z225" s="14">
        <f>IF(Distances!CM116&gt;0,(CL225+Distances!CM116*1.84)*EX225*Z213*2,"")</f>
        <v>77.060182857142848</v>
      </c>
      <c r="AA225" s="14">
        <f>IF(Distances!CN116&gt;0,(CM225+Distances!CN116*1.84)*EY225*AA213*2,"")</f>
        <v>79.607748571428573</v>
      </c>
      <c r="AB225" s="14">
        <f>IF(Distances!CO116&gt;0,(CN225+Distances!CO116*1.84)*EZ225*AB213*2,"")</f>
        <v>87.911108571428571</v>
      </c>
      <c r="AC225" s="14" t="s">
        <v>62</v>
      </c>
      <c r="AD225" s="14" t="s">
        <v>62</v>
      </c>
      <c r="AE225" s="14">
        <f>IF(Distances!CR116&gt;0,(CQ225+Distances!CR116*1.84)*FC225*AE213*2,"")</f>
        <v>136.45947428571432</v>
      </c>
      <c r="AF225" s="14">
        <f>IF(Distances!CS116&gt;0,(CR225+Distances!CS116*1.84)*FD225*AF213*2,"")</f>
        <v>253.38340571428574</v>
      </c>
      <c r="AG225" s="14">
        <f>IF(Distances!CT116&gt;0,(CS225+Distances!CT116*1.84)*FE225*AG213*2,"")</f>
        <v>229.9365485714286</v>
      </c>
      <c r="AH225" s="14">
        <f>IF(Distances!CU116&gt;0,(CT225+Distances!CU116*1.84)*FF225*AH213*2,"")</f>
        <v>49.709938285714287</v>
      </c>
      <c r="AI225" s="14" t="s">
        <v>62</v>
      </c>
      <c r="AJ225" s="14">
        <f>IF(Distances!CW116&gt;0,(CV225+Distances!CW116*1.84)*FH225*AJ213*2,"")</f>
        <v>38.83185828571429</v>
      </c>
      <c r="AK225" s="14" t="s">
        <v>62</v>
      </c>
      <c r="AL225" s="14" t="s">
        <v>62</v>
      </c>
      <c r="AM225" s="14" t="s">
        <v>62</v>
      </c>
      <c r="AN225" s="14">
        <f>IF(Distances!DA116&gt;0,(CZ225+Distances!DA116*1.84)*FL225*AN213*2,"")</f>
        <v>462.34047085714286</v>
      </c>
      <c r="AO225" s="14" t="s">
        <v>62</v>
      </c>
      <c r="AP225" s="14" t="s">
        <v>62</v>
      </c>
      <c r="AQ225" s="14" t="s">
        <v>62</v>
      </c>
      <c r="AR225" s="14" t="s">
        <v>62</v>
      </c>
      <c r="AS225" s="14">
        <f>IF(Distances!DF116&gt;0,(DE225+Distances!DF116*1.84)*FQ225*AS213*2,"")</f>
        <v>116.09797485714286</v>
      </c>
      <c r="AT225" s="14">
        <f>IF(Distances!DG116&gt;0,(DF225+Distances!DG116*1.84)*FR225*AT213*2,"")</f>
        <v>79.975094857142849</v>
      </c>
      <c r="AU225" s="14">
        <f>IF(Distances!DH116&gt;0,(DG225+Distances!DH116*1.84)*FS225*AU213*2,"")</f>
        <v>218.89971200000002</v>
      </c>
      <c r="AV225" s="14">
        <f>IF(Distances!DI116&gt;0,(DH225+Distances!DI116*1.84)*FT225*AV213*2,"")</f>
        <v>195.07000000000002</v>
      </c>
      <c r="AW225" s="14">
        <f>IF(Distances!DJ116&gt;0,(DI225+Distances!DJ116*1.84)*FU225*AW213*2,"")</f>
        <v>609.98388571428575</v>
      </c>
      <c r="AX225" s="14" t="s">
        <v>62</v>
      </c>
      <c r="AY225" s="14" t="s">
        <v>62</v>
      </c>
      <c r="AZ225" s="14">
        <f>IF(Distances!DM116&gt;0,(DL225+Distances!DM116*1.84)*FX225*AZ213*2,"")</f>
        <v>162.45887999999999</v>
      </c>
      <c r="BA225" s="14" t="s">
        <v>62</v>
      </c>
      <c r="BB225" s="14" t="s">
        <v>62</v>
      </c>
      <c r="BC225" s="14" t="s">
        <v>62</v>
      </c>
      <c r="BD225" s="14">
        <f>IF(Distances!DQ116&gt;0,(DP225+Distances!DQ116*1.84)*GB225*BD213*2,"")</f>
        <v>568.24495542857142</v>
      </c>
      <c r="BE225" s="14" t="s">
        <v>62</v>
      </c>
      <c r="BF225" s="14">
        <f>IF(Distances!DS116&gt;0,(DR225+Distances!DS116*1.84)*GD225*BF213*2,"")</f>
        <v>212.65641142857143</v>
      </c>
      <c r="BG225" s="14">
        <f>IF(Distances!DT116&gt;0,(DS225+Distances!DT116*1.84)*GE225*BG213*2,"")</f>
        <v>100.62180571428571</v>
      </c>
      <c r="BH225" s="14">
        <f>IF(Distances!DU116&gt;0,(DT225+Distances!DU116*1.84)*GF225*BH213*2,"")</f>
        <v>87.386999069767441</v>
      </c>
      <c r="BI225" s="14">
        <f>IF(Distances!DV116&gt;0,(DU225+Distances!DV116*1.84)*GG225*BI213*2,"")</f>
        <v>83.978254883720936</v>
      </c>
      <c r="BJ225" s="15">
        <f>IF(Distances!DW116&gt;0,(DV225+Distances!DW116*1.84)*GH225*BJ213*2,"")</f>
        <v>154.70271999999997</v>
      </c>
      <c r="BM225" s="35" t="s">
        <v>12</v>
      </c>
      <c r="BN225" s="11">
        <v>2721.8015999999998</v>
      </c>
      <c r="BO225" s="13">
        <v>1947.7415999999998</v>
      </c>
      <c r="BP225" s="13">
        <v>2703.1871999999998</v>
      </c>
      <c r="BQ225" s="13">
        <v>2703.1871999999998</v>
      </c>
      <c r="BR225" s="13">
        <v>2863.7111999999997</v>
      </c>
      <c r="BS225" s="13">
        <v>536.91119999999989</v>
      </c>
      <c r="BT225" s="13">
        <v>456.25439999999998</v>
      </c>
      <c r="BU225" s="13">
        <v>536.91119999999989</v>
      </c>
      <c r="BV225" s="13">
        <v>2810.2031999999999</v>
      </c>
      <c r="BW225" s="13">
        <v>2810.2031999999999</v>
      </c>
      <c r="BX225" s="13">
        <v>0</v>
      </c>
      <c r="BY225" s="12">
        <v>0</v>
      </c>
      <c r="BZ225" s="13">
        <v>1194.4631999999999</v>
      </c>
      <c r="CA225" s="14">
        <v>1456.2239999999999</v>
      </c>
      <c r="CB225" s="14">
        <v>1266.4176</v>
      </c>
      <c r="CC225" s="14">
        <v>2718.4667999999997</v>
      </c>
      <c r="CD225" s="14">
        <v>2692.83</v>
      </c>
      <c r="CE225" s="14">
        <v>2769.7403999999997</v>
      </c>
      <c r="CF225" s="14">
        <v>2641.5563999999999</v>
      </c>
      <c r="CG225" s="14">
        <v>2354.52</v>
      </c>
      <c r="CH225" s="14">
        <v>3062.6736000000001</v>
      </c>
      <c r="CI225" s="14">
        <v>2667.1931999999997</v>
      </c>
      <c r="CJ225" s="14">
        <v>2369.4467999999997</v>
      </c>
      <c r="CK225" s="14">
        <v>2641.5563999999999</v>
      </c>
      <c r="CL225" s="14">
        <v>2565.9143999999997</v>
      </c>
      <c r="CM225" s="14">
        <v>2517.6311999999998</v>
      </c>
      <c r="CN225" s="14">
        <v>2424.4247999999998</v>
      </c>
      <c r="CO225" s="14">
        <v>2401.1232</v>
      </c>
      <c r="CP225" s="14">
        <v>2369.4467999999997</v>
      </c>
      <c r="CQ225" s="14">
        <v>3062.6736000000001</v>
      </c>
      <c r="CR225" s="14">
        <v>3062.6736000000001</v>
      </c>
      <c r="CS225" s="14">
        <v>3062.6736000000001</v>
      </c>
      <c r="CT225" s="14">
        <v>1820.3556000000001</v>
      </c>
      <c r="CU225" s="14">
        <v>2161.5383999999999</v>
      </c>
      <c r="CV225" s="14">
        <v>1820.3556000000001</v>
      </c>
      <c r="CW225" s="14">
        <v>2224.4627999999998</v>
      </c>
      <c r="CX225" s="14">
        <v>449.79480000000001</v>
      </c>
      <c r="CY225" s="14">
        <v>449.79480000000001</v>
      </c>
      <c r="CZ225" s="14">
        <v>449.79480000000001</v>
      </c>
      <c r="DA225" s="14">
        <v>1122.7607999999998</v>
      </c>
      <c r="DB225" s="14">
        <v>1144.5419999999999</v>
      </c>
      <c r="DC225" s="14">
        <v>1242.9059999999999</v>
      </c>
      <c r="DD225" s="14">
        <v>1665.3503999999998</v>
      </c>
      <c r="DE225" s="14">
        <v>1665.3503999999998</v>
      </c>
      <c r="DF225" s="14">
        <v>1665.3503999999998</v>
      </c>
      <c r="DG225" s="14">
        <v>1305.9312</v>
      </c>
      <c r="DH225" s="14">
        <v>2024.694</v>
      </c>
      <c r="DI225" s="14">
        <v>2024.694</v>
      </c>
      <c r="DJ225" s="14">
        <v>1330.7867999999999</v>
      </c>
      <c r="DK225" s="14">
        <v>0</v>
      </c>
      <c r="DL225" s="14">
        <v>3577.7951999999996</v>
      </c>
      <c r="DM225" s="14">
        <v>1561.7028</v>
      </c>
      <c r="DN225" s="14">
        <v>1986.8603999999998</v>
      </c>
      <c r="DO225" s="14">
        <v>1243.788</v>
      </c>
      <c r="DP225" s="14">
        <v>1330.7867999999999</v>
      </c>
      <c r="DQ225" s="14">
        <v>1318.3548000000001</v>
      </c>
      <c r="DR225" s="14">
        <v>2288.3111999999996</v>
      </c>
      <c r="DS225" s="14">
        <v>1739.1695999999999</v>
      </c>
      <c r="DT225" s="14">
        <v>1421.9015999999999</v>
      </c>
      <c r="DU225" s="14">
        <v>2047.1556</v>
      </c>
      <c r="DV225" s="15">
        <v>2047.1556</v>
      </c>
      <c r="DY225" s="35" t="s">
        <v>12</v>
      </c>
      <c r="DZ225" s="11">
        <f t="shared" si="83"/>
        <v>1.6666666666666666E-2</v>
      </c>
      <c r="EA225" s="13">
        <f t="shared" si="83"/>
        <v>1.6666666666666666E-2</v>
      </c>
      <c r="EB225" s="13">
        <f t="shared" si="83"/>
        <v>1.6666666666666666E-2</v>
      </c>
      <c r="EC225" s="13">
        <f t="shared" si="83"/>
        <v>1.6666666666666666E-2</v>
      </c>
      <c r="ED225" s="13">
        <f t="shared" si="83"/>
        <v>1.6666666666666666E-2</v>
      </c>
      <c r="EE225" s="13">
        <f t="shared" si="83"/>
        <v>1.6666666666666666E-2</v>
      </c>
      <c r="EF225" s="13">
        <f t="shared" si="83"/>
        <v>1.6666666666666666E-2</v>
      </c>
      <c r="EG225" s="13">
        <f t="shared" si="83"/>
        <v>1.6666666666666666E-2</v>
      </c>
      <c r="EH225" s="13">
        <f t="shared" si="83"/>
        <v>1.6666666666666666E-2</v>
      </c>
      <c r="EI225" s="13">
        <f t="shared" si="83"/>
        <v>1.6666666666666666E-2</v>
      </c>
      <c r="EJ225" s="13">
        <f t="shared" si="83"/>
        <v>1.6666666666666666E-2</v>
      </c>
      <c r="EK225" s="12">
        <v>0.6</v>
      </c>
      <c r="EL225" s="13">
        <f t="shared" si="83"/>
        <v>1.6666666666666666E-2</v>
      </c>
      <c r="EM225" s="14">
        <v>4.6511627906976744E-3</v>
      </c>
      <c r="EN225" s="14">
        <v>4.6511627906976744E-3</v>
      </c>
      <c r="EO225" s="14">
        <v>7.1428571428571435E-3</v>
      </c>
      <c r="EP225" s="14">
        <v>7.1428571428571435E-3</v>
      </c>
      <c r="EQ225" s="14">
        <v>7.1428571428571435E-3</v>
      </c>
      <c r="ER225" s="14">
        <v>7.1428571428571435E-3</v>
      </c>
      <c r="ES225" s="14">
        <v>7.1428571428571435E-3</v>
      </c>
      <c r="ET225" s="14">
        <v>7.1428571428571435E-3</v>
      </c>
      <c r="EU225" s="14">
        <v>7.1428571428571435E-3</v>
      </c>
      <c r="EV225" s="14">
        <v>7.1428571428571435E-3</v>
      </c>
      <c r="EW225" s="14">
        <v>7.1428571428571435E-3</v>
      </c>
      <c r="EX225" s="14">
        <v>7.1428571428571435E-3</v>
      </c>
      <c r="EY225" s="14">
        <v>7.1428571428571435E-3</v>
      </c>
      <c r="EZ225" s="14">
        <v>7.1428571428571435E-3</v>
      </c>
      <c r="FA225" s="14">
        <v>7.1428571428571435E-3</v>
      </c>
      <c r="FB225" s="14">
        <v>7.1428571428571435E-3</v>
      </c>
      <c r="FC225" s="14">
        <v>7.1428571428571435E-3</v>
      </c>
      <c r="FD225" s="14">
        <v>7.1428571428571435E-3</v>
      </c>
      <c r="FE225" s="14">
        <v>7.1428571428571435E-3</v>
      </c>
      <c r="FF225" s="14">
        <v>5.7142857142857143E-3</v>
      </c>
      <c r="FG225" s="14">
        <v>5.7142857142857143E-3</v>
      </c>
      <c r="FH225" s="14">
        <v>5.7142857142857143E-3</v>
      </c>
      <c r="FI225" s="14">
        <v>5.7142857142857143E-3</v>
      </c>
      <c r="FJ225" s="14">
        <v>5.7142857142857143E-3</v>
      </c>
      <c r="FK225" s="14">
        <v>5.7142857142857143E-3</v>
      </c>
      <c r="FL225" s="14">
        <v>5.7142857142857143E-3</v>
      </c>
      <c r="FM225" s="14">
        <v>4.7619047619047623E-3</v>
      </c>
      <c r="FN225" s="14">
        <v>4.7619047619047623E-3</v>
      </c>
      <c r="FO225" s="14">
        <v>4.7619047619047623E-3</v>
      </c>
      <c r="FP225" s="14">
        <v>5.7142857142857143E-3</v>
      </c>
      <c r="FQ225" s="14">
        <v>5.7142857142857143E-3</v>
      </c>
      <c r="FR225" s="14">
        <v>5.7142857142857143E-3</v>
      </c>
      <c r="FS225" s="14">
        <v>5.7142857142857143E-3</v>
      </c>
      <c r="FT225" s="14">
        <v>5.8823529411764705E-3</v>
      </c>
      <c r="FU225" s="14">
        <v>5.7142857142857143E-3</v>
      </c>
      <c r="FV225" s="14">
        <v>5.7142857142857143E-3</v>
      </c>
      <c r="FW225" s="14">
        <v>4.5454545454545461E-3</v>
      </c>
      <c r="FX225" s="14">
        <v>4.5454545454545461E-3</v>
      </c>
      <c r="FY225" s="14">
        <v>5.7142857142857143E-3</v>
      </c>
      <c r="FZ225" s="14">
        <v>7.1428571428571435E-3</v>
      </c>
      <c r="GA225" s="14">
        <v>5.7142857142857143E-3</v>
      </c>
      <c r="GB225" s="14">
        <v>5.7142857142857143E-3</v>
      </c>
      <c r="GC225" s="14">
        <v>5.7142857142857143E-3</v>
      </c>
      <c r="GD225" s="14">
        <v>7.1428571428571435E-3</v>
      </c>
      <c r="GE225" s="14">
        <v>7.1428571428571435E-3</v>
      </c>
      <c r="GF225" s="14">
        <v>4.6511627906976744E-3</v>
      </c>
      <c r="GG225" s="14">
        <v>4.6511627906976744E-3</v>
      </c>
      <c r="GH225" s="15">
        <v>4.6511627906976744E-3</v>
      </c>
    </row>
    <row r="226" spans="1:190" x14ac:dyDescent="0.3">
      <c r="A226" s="35" t="s">
        <v>13</v>
      </c>
      <c r="B226" s="11">
        <f>IF(Distances!BO117&gt;0,(BN226+Distances!BO117*1.84)*DZ226*B213*2,"")</f>
        <v>11093.115493333335</v>
      </c>
      <c r="C226" s="13">
        <f>IF(Distances!BP117&gt;0,(BO226+Distances!BP117*1.84)*EA226*C213*2,"")</f>
        <v>11683.715013333333</v>
      </c>
      <c r="D226" s="13">
        <f>IF(Distances!BQ117&gt;0,(BP226+Distances!BQ117*1.84)*EB226*D213*2,"")</f>
        <v>36705.309573333339</v>
      </c>
      <c r="E226" s="13">
        <f>IF(Distances!BR117&gt;0,(BQ226+Distances!BR117*1.84)*EC226*E213*2,"")</f>
        <v>12850.887173333333</v>
      </c>
      <c r="F226" s="13">
        <f>IF(Distances!BS117&gt;0,(BR226+Distances!BS117*1.84)*ED226*F213*2,"")</f>
        <v>14056.746373333332</v>
      </c>
      <c r="G226" s="13">
        <f>IF(Distances!BT117&gt;0,(BS226+Distances!BT117*1.84)*EE226*G213*2,"")</f>
        <v>33200.447973333328</v>
      </c>
      <c r="H226" s="13">
        <f>IF(Distances!BU117&gt;0,(BT226+Distances!BU117*1.84)*EF226*H213*2,"")</f>
        <v>13648.948773333332</v>
      </c>
      <c r="I226" s="13">
        <f>IF(Distances!BV117&gt;0,(BU226+Distances!BV117*1.84)*EG226*I213*2,"")</f>
        <v>12921.587173333333</v>
      </c>
      <c r="J226" s="13">
        <f>IF(Distances!BW117&gt;0,(BV226+Distances!BW117*1.84)*EH226*J213*2,"")</f>
        <v>393.3771733333333</v>
      </c>
      <c r="K226" s="13">
        <f>IF(Distances!BX117&gt;0,(BW226+Distances!BX117*1.84)*EI226*K213*2,"")</f>
        <v>260.08757333333335</v>
      </c>
      <c r="L226" s="13">
        <f>IF(Distances!BY117&gt;0,(BX226+Distances!BY117*1.84)*EJ226*L213*2,"")</f>
        <v>510.01482666666669</v>
      </c>
      <c r="M226" s="13">
        <f>IF(Distances!BZ117&gt;0,(BY226+Distances!BZ117*1.84)*EK226*M213*2,"")</f>
        <v>271.82069333333334</v>
      </c>
      <c r="N226" s="12" t="s">
        <v>62</v>
      </c>
      <c r="O226" s="14">
        <f>IF(Distances!CB117&gt;0,(CA226+Distances!CB117*1.84)*EM226*O213*2,"")</f>
        <v>163.83604837209305</v>
      </c>
      <c r="P226" s="14">
        <f>IF(Distances!CC117&gt;0,(CB226+Distances!CC117*1.84)*EN226*P213*2,"")</f>
        <v>167.59138232558138</v>
      </c>
      <c r="Q226" s="14">
        <f>IF(Distances!CD117&gt;0,(CC226+Distances!CD117*1.84)*EO226*Q213*2,"")</f>
        <v>1567.6442857142861</v>
      </c>
      <c r="R226" s="14">
        <f>IF(Distances!CE117&gt;0,(CD226+Distances!CE117*1.84)*EP226*R213*2,"")</f>
        <v>1558.5482857142858</v>
      </c>
      <c r="S226" s="14">
        <f>IF(Distances!CF117&gt;0,(CE226+Distances!CF117*1.84)*EQ226*S213*2,"")</f>
        <v>1585.830285714286</v>
      </c>
      <c r="T226" s="14">
        <f>IF(Distances!CG117&gt;0,(CF226+Distances!CG117*1.84)*ER226*T213*2,"")</f>
        <v>250.62912000000003</v>
      </c>
      <c r="U226" s="14">
        <f>IF(Distances!CH117&gt;0,(CG226+Distances!CH117*1.84)*ES226*U213*2,"")</f>
        <v>306.80076000000003</v>
      </c>
      <c r="V226" s="14">
        <f>IF(Distances!CI117&gt;0,(CH226+Distances!CI117*1.84)*ET226*V213*2,"")</f>
        <v>3092.2530971428573</v>
      </c>
      <c r="W226" s="14">
        <f>IF(Distances!CJ117&gt;0,(CI226+Distances!CJ117*1.84)*EU226*W213*2,"")</f>
        <v>1797.3716114285719</v>
      </c>
      <c r="X226" s="14">
        <f>IF(Distances!CK117&gt;0,(CJ226+Distances!CK117*1.84)*EV226*X213*2,"")</f>
        <v>2204.183611428572</v>
      </c>
      <c r="Y226" s="14">
        <f>IF(Distances!CL117&gt;0,(CK226+Distances!CL117*1.84)*EW226*Y213*2,"")</f>
        <v>2171.7745371428573</v>
      </c>
      <c r="Z226" s="14">
        <f>IF(Distances!CM117&gt;0,(CL226+Distances!CM117*1.84)*EX226*Z213*2,"")</f>
        <v>79.206754285714297</v>
      </c>
      <c r="AA226" s="14">
        <f>IF(Distances!CN117&gt;0,(CM226+Distances!CN117*1.84)*EY226*AA213*2,"")</f>
        <v>82.200959999999995</v>
      </c>
      <c r="AB226" s="14">
        <f>IF(Distances!CO117&gt;0,(CN226+Distances!CO117*1.84)*EZ226*AB213*2,"")</f>
        <v>91.301600000000008</v>
      </c>
      <c r="AC226" s="14">
        <f>IF(Distances!CP117&gt;0,(CO226+Distances!CP117*1.84)*FA226*AC213*2,"")</f>
        <v>72.193211428571431</v>
      </c>
      <c r="AD226" s="14">
        <f>IF(Distances!CQ117&gt;0,(CP226+Distances!CQ117*1.84)*FB226*AD213*2,"")</f>
        <v>68.499131428571445</v>
      </c>
      <c r="AE226" s="14">
        <f>IF(Distances!CR117&gt;0,(CQ226+Distances!CR117*1.84)*FC226*AE213*2,"")</f>
        <v>129.5400457142857</v>
      </c>
      <c r="AF226" s="14">
        <f>IF(Distances!CS117&gt;0,(CR226+Distances!CS117*1.84)*FD226*AF213*2,"")</f>
        <v>239.54454857142858</v>
      </c>
      <c r="AG226" s="14">
        <f>IF(Distances!CT117&gt;0,(CS226+Distances!CT117*1.84)*FE226*AG213*2,"")</f>
        <v>216.09769142857147</v>
      </c>
      <c r="AH226" s="14">
        <f>IF(Distances!CU117&gt;0,(CT226+Distances!CU117*1.84)*FF226*AH213*2,"")</f>
        <v>72.749366857142846</v>
      </c>
      <c r="AI226" s="14">
        <f>IF(Distances!CV117&gt;0,(CU226+Distances!CV117*1.84)*FG226*AI213*2,"")</f>
        <v>48.60778057142857</v>
      </c>
      <c r="AJ226" s="14">
        <f>IF(Distances!CW117&gt;0,(CV226+Distances!CW117*1.84)*FH226*AJ213*2,"")</f>
        <v>61.871286857142849</v>
      </c>
      <c r="AK226" s="14">
        <f>IF(Distances!CX117&gt;0,(CW226+Distances!CX117*1.84)*FI226*AK213*2,"")</f>
        <v>49.742116571428568</v>
      </c>
      <c r="AL226" s="14">
        <f>IF(Distances!CY117&gt;0,(CX226+Distances!CY117*1.84)*FJ226*AL213*2,"")</f>
        <v>1854.5192228571429</v>
      </c>
      <c r="AM226" s="14">
        <f>IF(Distances!CZ117&gt;0,(CY226+Distances!CZ117*1.84)*FK226*AM213*2,"")</f>
        <v>1854.5192228571429</v>
      </c>
      <c r="AN226" s="14">
        <f>IF(Distances!DA117&gt;0,(CZ226+Distances!DA117*1.84)*FL226*AN213*2,"")</f>
        <v>2039.2720457142855</v>
      </c>
      <c r="AO226" s="14">
        <f>IF(Distances!DB117&gt;0,(DA226+Distances!DB117*1.84)*FM226*AO213*2,"")</f>
        <v>67.845927619047629</v>
      </c>
      <c r="AP226" s="14">
        <f>IF(Distances!DC117&gt;0,(DB226+Distances!DC117*1.84)*FN226*AP213*2,"")</f>
        <v>68.850727619047618</v>
      </c>
      <c r="AQ226" s="14">
        <f>IF(Distances!DD117&gt;0,(DC226+Distances!DD117*1.84)*FO226*AQ213*2,"")</f>
        <v>71.359047619047629</v>
      </c>
      <c r="AR226" s="14">
        <f>IF(Distances!DE117&gt;0,(DD226+Distances!DE117*1.84)*FP226*AR213*2,"")</f>
        <v>64.86663314285714</v>
      </c>
      <c r="AS226" s="14">
        <f>IF(Distances!DF117&gt;0,(DE226+Distances!DF117*1.84)*FQ226*AS213*2,"")</f>
        <v>142.89945600000001</v>
      </c>
      <c r="AT226" s="14">
        <f>IF(Distances!DG117&gt;0,(DF226+Distances!DG117*1.84)*FR226*AT213*2,"")</f>
        <v>106.77657599999999</v>
      </c>
      <c r="AU226" s="14">
        <f>IF(Distances!DH117&gt;0,(DG226+Distances!DH117*1.84)*FS226*AU213*2,"")</f>
        <v>459.76608000000004</v>
      </c>
      <c r="AV226" s="14">
        <f>IF(Distances!DI117&gt;0,(DH226+Distances!DI117*1.84)*FT226*AV213*2,"")</f>
        <v>224.95178823529412</v>
      </c>
      <c r="AW226" s="14">
        <f>IF(Distances!DJ117&gt;0,(DI226+Distances!DJ117*1.84)*FU226*AW213*2,"")</f>
        <v>639.01190857142865</v>
      </c>
      <c r="AX226" s="14">
        <f>IF(Distances!DK117&gt;0,(DJ226+Distances!DK117*1.84)*FV226*AX213*2,"")</f>
        <v>162.78866285714284</v>
      </c>
      <c r="AY226" s="14">
        <f>IF(Distances!DL117&gt;0,(DK226+Distances!DL117*1.84)*FW226*AY213*2,"")</f>
        <v>30.697890909090912</v>
      </c>
      <c r="AZ226" s="14">
        <f>IF(Distances!DM117&gt;0,(DL226+Distances!DM117*1.84)*FX226*AZ213*2,"")</f>
        <v>227.36432000000005</v>
      </c>
      <c r="BA226" s="14">
        <f>IF(Distances!DN117&gt;0,(DM226+Distances!DN117*1.84)*FY226*BA213*2,"")</f>
        <v>141.72865828571429</v>
      </c>
      <c r="BB226" s="14">
        <f>IF(Distances!DO117&gt;0,(DN226+Distances!DO117*1.84)*FZ226*BB213*2,"")</f>
        <v>142.92242285714286</v>
      </c>
      <c r="BC226" s="14">
        <f>IF(Distances!DP117&gt;0,(DO226+Distances!DP117*1.84)*GA226*BC213*2,"")</f>
        <v>993.9088822857143</v>
      </c>
      <c r="BD226" s="14">
        <f>IF(Distances!DQ117&gt;0,(DP226+Distances!DQ117*1.84)*GB226*BD213*2,"")</f>
        <v>1123.4046537142858</v>
      </c>
      <c r="BE226" s="14">
        <f>IF(Distances!DR117&gt;0,(DQ226+Distances!DR117*1.84)*GC226*BE213*2,"")</f>
        <v>1034.9999542857142</v>
      </c>
      <c r="BF226" s="14">
        <f>IF(Distances!DS117&gt;0,(DR226+Distances!DS117*1.84)*GD226*BF213*2,"")</f>
        <v>270.89003428571431</v>
      </c>
      <c r="BG226" s="14">
        <f>IF(Distances!DT117&gt;0,(DS226+Distances!DT117*1.84)*GE226*BG213*2,"")</f>
        <v>157.06310857142859</v>
      </c>
      <c r="BH226" s="14">
        <f>IF(Distances!DU117&gt;0,(DT226+Distances!DU117*1.84)*GF226*BH213*2,"")</f>
        <v>134.91085395348838</v>
      </c>
      <c r="BI226" s="14">
        <f>IF(Distances!DV117&gt;0,(DU226+Distances!DV117*1.84)*GG226*BI213*2,"")</f>
        <v>119.34172279069766</v>
      </c>
      <c r="BJ226" s="15">
        <f>IF(Distances!DW117&gt;0,(DV226+Distances!DW117*1.84)*GH226*BJ213*2,"")</f>
        <v>190.06618790697675</v>
      </c>
      <c r="BM226" s="35" t="s">
        <v>13</v>
      </c>
      <c r="BN226" s="11">
        <v>803.30039999999997</v>
      </c>
      <c r="BO226" s="13">
        <v>891.01319999999998</v>
      </c>
      <c r="BP226" s="13">
        <v>1064.3555999999999</v>
      </c>
      <c r="BQ226" s="13">
        <v>1064.3555999999999</v>
      </c>
      <c r="BR226" s="13">
        <v>1127.5236</v>
      </c>
      <c r="BS226" s="13">
        <v>1074.8555999999999</v>
      </c>
      <c r="BT226" s="13">
        <v>1182.8796</v>
      </c>
      <c r="BU226" s="13">
        <v>1074.8555999999999</v>
      </c>
      <c r="BV226" s="13">
        <v>1106.4648</v>
      </c>
      <c r="BW226" s="13">
        <v>1106.4648</v>
      </c>
      <c r="BX226" s="13">
        <v>1194.4631999999999</v>
      </c>
      <c r="BY226" s="13">
        <v>1194.4631999999999</v>
      </c>
      <c r="BZ226" s="12">
        <v>0</v>
      </c>
      <c r="CA226" s="14">
        <v>858.76559999999995</v>
      </c>
      <c r="CB226" s="14">
        <v>1634.4048</v>
      </c>
      <c r="CC226" s="14">
        <v>1350.51</v>
      </c>
      <c r="CD226" s="14">
        <v>1337.7755999999999</v>
      </c>
      <c r="CE226" s="14">
        <v>1375.9703999999999</v>
      </c>
      <c r="CF226" s="14">
        <v>1312.3152</v>
      </c>
      <c r="CG226" s="14">
        <v>1649.9195999999999</v>
      </c>
      <c r="CH226" s="14">
        <v>1976.3015999999998</v>
      </c>
      <c r="CI226" s="14">
        <v>1325.0496000000001</v>
      </c>
      <c r="CJ226" s="14">
        <v>1553.2776000000001</v>
      </c>
      <c r="CK226" s="14">
        <v>1312.3152</v>
      </c>
      <c r="CL226" s="14">
        <v>1796.8524</v>
      </c>
      <c r="CM226" s="14">
        <v>1764.2015999999996</v>
      </c>
      <c r="CN226" s="14">
        <v>1698.8999999999999</v>
      </c>
      <c r="CO226" s="14">
        <v>1682.5703999999998</v>
      </c>
      <c r="CP226" s="14">
        <v>1553.2776000000001</v>
      </c>
      <c r="CQ226" s="14">
        <v>1976.3015999999998</v>
      </c>
      <c r="CR226" s="14">
        <v>1976.3015999999998</v>
      </c>
      <c r="CS226" s="14">
        <v>1976.3015999999998</v>
      </c>
      <c r="CT226" s="14">
        <v>2992.1135999999997</v>
      </c>
      <c r="CU226" s="14">
        <v>3408.9888000000001</v>
      </c>
      <c r="CV226" s="14">
        <v>2992.1135999999997</v>
      </c>
      <c r="CW226" s="14">
        <v>3508.2431999999994</v>
      </c>
      <c r="CX226" s="14">
        <v>2160.8159999999998</v>
      </c>
      <c r="CY226" s="14">
        <v>2160.8159999999998</v>
      </c>
      <c r="CZ226" s="14">
        <v>2160.8159999999998</v>
      </c>
      <c r="DA226" s="14">
        <v>2717.7192</v>
      </c>
      <c r="DB226" s="14">
        <v>2770.4712</v>
      </c>
      <c r="DC226" s="14">
        <v>2902.1579999999999</v>
      </c>
      <c r="DD226" s="14">
        <v>1993.7231999999999</v>
      </c>
      <c r="DE226" s="14">
        <v>1993.7231999999999</v>
      </c>
      <c r="DF226" s="14">
        <v>1993.7231999999999</v>
      </c>
      <c r="DG226" s="14">
        <v>1967.1539999999998</v>
      </c>
      <c r="DH226" s="14">
        <v>1688.4923999999999</v>
      </c>
      <c r="DI226" s="14">
        <v>1688.4923999999999</v>
      </c>
      <c r="DJ226" s="14">
        <v>2004.6096</v>
      </c>
      <c r="DK226" s="14">
        <v>0</v>
      </c>
      <c r="DL226" s="14">
        <v>4518.5028000000002</v>
      </c>
      <c r="DM226" s="14">
        <v>2256.1224000000002</v>
      </c>
      <c r="DN226" s="14">
        <v>1656.9503999999999</v>
      </c>
      <c r="DO226" s="14">
        <v>1873.5275999999999</v>
      </c>
      <c r="DP226" s="14">
        <v>2004.6096</v>
      </c>
      <c r="DQ226" s="14">
        <v>1985.886</v>
      </c>
      <c r="DR226" s="14">
        <v>2463.2075999999997</v>
      </c>
      <c r="DS226" s="14">
        <v>1882.7003999999999</v>
      </c>
      <c r="DT226" s="14">
        <v>1854.9132</v>
      </c>
      <c r="DU226" s="14">
        <v>2153.3568</v>
      </c>
      <c r="DV226" s="15">
        <v>2153.3568</v>
      </c>
      <c r="DY226" s="35" t="s">
        <v>13</v>
      </c>
      <c r="DZ226" s="11">
        <f t="shared" si="83"/>
        <v>1.6666666666666666E-2</v>
      </c>
      <c r="EA226" s="13">
        <f t="shared" si="83"/>
        <v>1.6666666666666666E-2</v>
      </c>
      <c r="EB226" s="13">
        <f t="shared" si="83"/>
        <v>1.6666666666666666E-2</v>
      </c>
      <c r="EC226" s="13">
        <f t="shared" si="83"/>
        <v>1.6666666666666666E-2</v>
      </c>
      <c r="ED226" s="13">
        <f t="shared" si="83"/>
        <v>1.6666666666666666E-2</v>
      </c>
      <c r="EE226" s="13">
        <f t="shared" si="83"/>
        <v>1.6666666666666666E-2</v>
      </c>
      <c r="EF226" s="13">
        <f t="shared" si="83"/>
        <v>1.6666666666666666E-2</v>
      </c>
      <c r="EG226" s="13">
        <f t="shared" si="83"/>
        <v>1.6666666666666666E-2</v>
      </c>
      <c r="EH226" s="13">
        <f t="shared" si="83"/>
        <v>1.6666666666666666E-2</v>
      </c>
      <c r="EI226" s="13">
        <f t="shared" si="83"/>
        <v>1.6666666666666666E-2</v>
      </c>
      <c r="EJ226" s="13">
        <f t="shared" si="83"/>
        <v>1.6666666666666666E-2</v>
      </c>
      <c r="EK226" s="13">
        <f t="shared" si="83"/>
        <v>1.6666666666666666E-2</v>
      </c>
      <c r="EL226" s="12">
        <v>0.6</v>
      </c>
      <c r="EM226" s="14">
        <v>4.6511627906976744E-3</v>
      </c>
      <c r="EN226" s="14">
        <v>4.6511627906976744E-3</v>
      </c>
      <c r="EO226" s="14">
        <v>7.1428571428571435E-3</v>
      </c>
      <c r="EP226" s="14">
        <v>7.1428571428571435E-3</v>
      </c>
      <c r="EQ226" s="14">
        <v>7.1428571428571435E-3</v>
      </c>
      <c r="ER226" s="14">
        <v>7.1428571428571435E-3</v>
      </c>
      <c r="ES226" s="14">
        <v>7.1428571428571435E-3</v>
      </c>
      <c r="ET226" s="14">
        <v>7.1428571428571435E-3</v>
      </c>
      <c r="EU226" s="14">
        <v>7.1428571428571435E-3</v>
      </c>
      <c r="EV226" s="14">
        <v>7.1428571428571435E-3</v>
      </c>
      <c r="EW226" s="14">
        <v>7.1428571428571435E-3</v>
      </c>
      <c r="EX226" s="14">
        <v>7.1428571428571435E-3</v>
      </c>
      <c r="EY226" s="14">
        <v>7.1428571428571435E-3</v>
      </c>
      <c r="EZ226" s="14">
        <v>7.1428571428571435E-3</v>
      </c>
      <c r="FA226" s="14">
        <v>7.1428571428571435E-3</v>
      </c>
      <c r="FB226" s="14">
        <v>7.1428571428571435E-3</v>
      </c>
      <c r="FC226" s="14">
        <v>7.1428571428571435E-3</v>
      </c>
      <c r="FD226" s="14">
        <v>7.1428571428571435E-3</v>
      </c>
      <c r="FE226" s="14">
        <v>7.1428571428571435E-3</v>
      </c>
      <c r="FF226" s="14">
        <v>5.7142857142857143E-3</v>
      </c>
      <c r="FG226" s="14">
        <v>5.7142857142857143E-3</v>
      </c>
      <c r="FH226" s="14">
        <v>5.7142857142857143E-3</v>
      </c>
      <c r="FI226" s="14">
        <v>5.7142857142857143E-3</v>
      </c>
      <c r="FJ226" s="14">
        <v>5.7142857142857143E-3</v>
      </c>
      <c r="FK226" s="14">
        <v>5.7142857142857143E-3</v>
      </c>
      <c r="FL226" s="14">
        <v>5.7142857142857143E-3</v>
      </c>
      <c r="FM226" s="14">
        <v>4.7619047619047623E-3</v>
      </c>
      <c r="FN226" s="14">
        <v>4.7619047619047623E-3</v>
      </c>
      <c r="FO226" s="14">
        <v>4.7619047619047623E-3</v>
      </c>
      <c r="FP226" s="14">
        <v>5.7142857142857143E-3</v>
      </c>
      <c r="FQ226" s="14">
        <v>5.7142857142857143E-3</v>
      </c>
      <c r="FR226" s="14">
        <v>5.7142857142857143E-3</v>
      </c>
      <c r="FS226" s="14">
        <v>5.7142857142857143E-3</v>
      </c>
      <c r="FT226" s="14">
        <v>5.8823529411764705E-3</v>
      </c>
      <c r="FU226" s="14">
        <v>5.7142857142857143E-3</v>
      </c>
      <c r="FV226" s="14">
        <v>5.7142857142857143E-3</v>
      </c>
      <c r="FW226" s="14">
        <v>4.5454545454545461E-3</v>
      </c>
      <c r="FX226" s="14">
        <v>4.5454545454545461E-3</v>
      </c>
      <c r="FY226" s="14">
        <v>5.7142857142857143E-3</v>
      </c>
      <c r="FZ226" s="14">
        <v>7.1428571428571435E-3</v>
      </c>
      <c r="GA226" s="14">
        <v>5.7142857142857143E-3</v>
      </c>
      <c r="GB226" s="14">
        <v>5.7142857142857143E-3</v>
      </c>
      <c r="GC226" s="14">
        <v>5.7142857142857143E-3</v>
      </c>
      <c r="GD226" s="14">
        <v>7.1428571428571435E-3</v>
      </c>
      <c r="GE226" s="14">
        <v>7.1428571428571435E-3</v>
      </c>
      <c r="GF226" s="14">
        <v>4.6511627906976744E-3</v>
      </c>
      <c r="GG226" s="14">
        <v>4.6511627906976744E-3</v>
      </c>
      <c r="GH226" s="15">
        <v>4.6511627906976744E-3</v>
      </c>
    </row>
    <row r="227" spans="1:190" x14ac:dyDescent="0.3">
      <c r="A227" s="35" t="s">
        <v>14</v>
      </c>
      <c r="B227" s="16">
        <f>IF(Distances!BO118&gt;0,(BN227+Distances!BO118*1.84)*DZ227*B213*2,"")</f>
        <v>4108.8254400000005</v>
      </c>
      <c r="C227" s="14">
        <f>IF(Distances!BP118&gt;0,(BO227+Distances!BP118*1.84)*EA227*C213*2,"")</f>
        <v>4100.0020800000002</v>
      </c>
      <c r="D227" s="14">
        <f>IF(Distances!BQ118&gt;0,(BP227+Distances!BQ118*1.84)*EB227*D213*2,"")</f>
        <v>15180.112140000001</v>
      </c>
      <c r="E227" s="14">
        <f>IF(Distances!BR118&gt;0,(BQ227+Distances!BR118*1.84)*EC227*E213*2,"")</f>
        <v>6234.703739999999</v>
      </c>
      <c r="F227" s="14">
        <f>IF(Distances!BS118&gt;0,(BR227+Distances!BS118*1.84)*ED227*F213*2,"")</f>
        <v>6775.6647900000007</v>
      </c>
      <c r="G227" s="14">
        <f>IF(Distances!BT118&gt;0,(BS227+Distances!BT118*1.84)*EE227*G213*2,"")</f>
        <v>13564.967610000002</v>
      </c>
      <c r="H227" s="14">
        <f>IF(Distances!BU118&gt;0,(BT227+Distances!BU118*1.84)*EF227*H213*2,"")</f>
        <v>5694.3577800000012</v>
      </c>
      <c r="I227" s="14">
        <f>IF(Distances!BV118&gt;0,(BU227+Distances!BV118*1.84)*EG227*I213*2,"")</f>
        <v>5960.3948100000007</v>
      </c>
      <c r="J227" s="14">
        <f>IF(Distances!BW118&gt;0,(BV227+Distances!BW118*1.84)*EH227*J213*2,"")</f>
        <v>176.72076000000001</v>
      </c>
      <c r="K227" s="14">
        <f>IF(Distances!BX118&gt;0,(BW227+Distances!BX118*1.84)*EI227*K213*2,"")</f>
        <v>126.73716</v>
      </c>
      <c r="L227" s="14">
        <f>IF(Distances!BY118&gt;0,(BX227+Distances!BY118*1.84)*EJ227*L213*2,"")</f>
        <v>202.78880000000001</v>
      </c>
      <c r="M227" s="14">
        <f>IF(Distances!BZ118&gt;0,(BY227+Distances!BZ118*1.84)*EK227*M213*2,"")</f>
        <v>113.46599999999999</v>
      </c>
      <c r="N227" s="14">
        <f>IF(Distances!CA118&gt;0,(BZ227+Distances!CA118*1.84)*EL227*N213*2,"")</f>
        <v>125.80268000000001</v>
      </c>
      <c r="O227" s="12" t="s">
        <v>62</v>
      </c>
      <c r="P227" s="13">
        <f>IF(Distances!CC118&gt;0,(CB227+Distances!CC118*1.84)*EN227*P213*2,"")</f>
        <v>4997.85664</v>
      </c>
      <c r="Q227" s="14">
        <f>IF(Distances!CD118&gt;0,(CC227+Distances!CD118*1.84)*EO227*Q213*2,"")</f>
        <v>1659.2648571428572</v>
      </c>
      <c r="R227" s="14">
        <f>IF(Distances!CE118&gt;0,(CD227+Distances!CE118*1.84)*EP227*R213*2,"")</f>
        <v>1649.0948571428571</v>
      </c>
      <c r="S227" s="14">
        <f>IF(Distances!CF118&gt;0,(CE227+Distances!CF118*1.84)*EQ227*S213*2,"")</f>
        <v>1679.5988571428572</v>
      </c>
      <c r="T227" s="14">
        <f>IF(Distances!CG118&gt;0,(CF227+Distances!CG118*1.84)*ER227*T213*2,"")</f>
        <v>263.00492000000008</v>
      </c>
      <c r="U227" s="14">
        <f>IF(Distances!CH118&gt;0,(CG227+Distances!CH118*1.84)*ES227*U213*2,"")</f>
        <v>244.45771999999997</v>
      </c>
      <c r="V227" s="14">
        <f>IF(Distances!CI118&gt;0,(CH227+Distances!CI118*1.84)*ET227*V213*2,"")</f>
        <v>2925.5408800000005</v>
      </c>
      <c r="W227" s="14">
        <f>IF(Distances!CJ118&gt;0,(CI227+Distances!CJ118*1.84)*EU227*W213*2,"")</f>
        <v>1901.1528342857146</v>
      </c>
      <c r="X227" s="14">
        <f>IF(Distances!CK118&gt;0,(CJ227+Distances!CK118*1.84)*EV227*X213*2,"")</f>
        <v>2339.5771542857146</v>
      </c>
      <c r="Y227" s="14">
        <f>IF(Distances!CL118&gt;0,(CK227+Distances!CL118*1.84)*EW227*Y213*2,"")</f>
        <v>2274.3168800000003</v>
      </c>
      <c r="Z227" s="14">
        <f>IF(Distances!CM118&gt;0,(CL227+Distances!CM118*1.84)*EX227*Z213*2,"")</f>
        <v>59.886297142857146</v>
      </c>
      <c r="AA227" s="14">
        <f>IF(Distances!CN118&gt;0,(CM227+Distances!CN118*1.84)*EY227*AA213*2,"")</f>
        <v>63.215542857142857</v>
      </c>
      <c r="AB227" s="14">
        <f>IF(Distances!CO118&gt;0,(CN227+Distances!CO118*1.84)*EZ227*AB213*2,"")</f>
        <v>72.986502857142867</v>
      </c>
      <c r="AC227" s="14">
        <f>IF(Distances!CP118&gt;0,(CO227+Distances!CP118*1.84)*FA227*AC213*2,"")</f>
        <v>54.045874285714291</v>
      </c>
      <c r="AD227" s="14">
        <f>IF(Distances!CQ118&gt;0,(CP227+Distances!CQ118*1.84)*FB227*AD213*2,"")</f>
        <v>73.167874285714305</v>
      </c>
      <c r="AE227" s="14">
        <f>IF(Distances!CR118&gt;0,(CQ227+Distances!CR118*1.84)*FC227*AE213*2,"")</f>
        <v>123.79134857142857</v>
      </c>
      <c r="AF227" s="14">
        <f>IF(Distances!CS118&gt;0,(CR227+Distances!CS118*1.84)*FD227*AF213*2,"")</f>
        <v>228.04715428571433</v>
      </c>
      <c r="AG227" s="14">
        <f>IF(Distances!CT118&gt;0,(CS227+Distances!CT118*1.84)*FE227*AG213*2,"")</f>
        <v>204.60029714285713</v>
      </c>
      <c r="AH227" s="14">
        <f>IF(Distances!CU118&gt;0,(CT227+Distances!CU118*1.84)*FF227*AH213*2,"")</f>
        <v>56.290272000000002</v>
      </c>
      <c r="AI227" s="14">
        <f>IF(Distances!CV118&gt;0,(CU227+Distances!CV118*1.84)*FG227*AI213*2,"")</f>
        <v>24.089485714285715</v>
      </c>
      <c r="AJ227" s="14">
        <f>IF(Distances!CW118&gt;0,(CV227+Distances!CW118*1.84)*FH227*AJ213*2,"")</f>
        <v>45.412191999999997</v>
      </c>
      <c r="AK227" s="14">
        <f>IF(Distances!CX118&gt;0,(CW227+Distances!CX118*1.84)*FI227*AK213*2,"")</f>
        <v>24.520141714285714</v>
      </c>
      <c r="AL227" s="14">
        <f>IF(Distances!CY118&gt;0,(CX227+Distances!CY118*1.84)*FJ227*AL213*2,"")</f>
        <v>1777.2470125714287</v>
      </c>
      <c r="AM227" s="14">
        <f>IF(Distances!CZ118&gt;0,(CY227+Distances!CZ118*1.84)*FK227*AM213*2,"")</f>
        <v>1777.2470125714287</v>
      </c>
      <c r="AN227" s="14">
        <f>IF(Distances!DA118&gt;0,(CZ227+Distances!DA118*1.84)*FL227*AN213*2,"")</f>
        <v>1961.9998354285717</v>
      </c>
      <c r="AO227" s="14">
        <f>IF(Distances!DB118&gt;0,(DA227+Distances!DB118*1.84)*FM227*AO213*2,"")</f>
        <v>46.718102857142853</v>
      </c>
      <c r="AP227" s="14">
        <f>IF(Distances!DC118&gt;0,(DB227+Distances!DC118*1.84)*FN227*AP213*2,"")</f>
        <v>47.324182857142851</v>
      </c>
      <c r="AQ227" s="14">
        <f>IF(Distances!DD118&gt;0,(DC227+Distances!DD118*1.84)*FO227*AQ213*2,"")</f>
        <v>49.59986285714286</v>
      </c>
      <c r="AR227" s="14">
        <f>IF(Distances!DE118&gt;0,(DD227+Distances!DE118*1.84)*FP227*AR213*2,"")</f>
        <v>52.44559542857143</v>
      </c>
      <c r="AS227" s="14">
        <f>IF(Distances!DF118&gt;0,(DE227+Distances!DF118*1.84)*FQ227*AS213*2,"")</f>
        <v>130.4784182857143</v>
      </c>
      <c r="AT227" s="14">
        <f>IF(Distances!DG118&gt;0,(DF227+Distances!DG118*1.84)*FR227*AT213*2,"")</f>
        <v>94.355538285714289</v>
      </c>
      <c r="AU227" s="14">
        <f>IF(Distances!DH118&gt;0,(DG227+Distances!DH118*1.84)*FS227*AU213*2,"")</f>
        <v>300.62720000000002</v>
      </c>
      <c r="AV227" s="14">
        <f>IF(Distances!DI118&gt;0,(DH227+Distances!DI118*1.84)*FT227*AV213*2,"")</f>
        <v>179.94562352941176</v>
      </c>
      <c r="AW227" s="14">
        <f>IF(Distances!DJ118&gt;0,(DI227+Distances!DJ118*1.84)*FU227*AW213*2,"")</f>
        <v>595.29163428571428</v>
      </c>
      <c r="AX227" s="14">
        <f>IF(Distances!DK118&gt;0,(DJ227+Distances!DK118*1.84)*FV227*AX213*2,"")</f>
        <v>104.90406857142857</v>
      </c>
      <c r="AY227" s="14">
        <f>IF(Distances!DL118&gt;0,(DK227+Distances!DL118*1.84)*FW227*AY213*2,"")</f>
        <v>29.567127272727276</v>
      </c>
      <c r="AZ227" s="14">
        <f>IF(Distances!DM118&gt;0,(DL227+Distances!DM118*1.84)*FX227*AZ213*2,"")</f>
        <v>170.68023272727277</v>
      </c>
      <c r="BA227" s="14">
        <f>IF(Distances!DN118&gt;0,(DM227+Distances!DN118*1.84)*FY227*BA213*2,"")</f>
        <v>84.752310857142859</v>
      </c>
      <c r="BB227" s="14">
        <f>IF(Distances!DO118&gt;0,(DN227+Distances!DO118*1.84)*FZ227*BB213*2,"")</f>
        <v>99.986468571428574</v>
      </c>
      <c r="BC227" s="14">
        <f>IF(Distances!DP118&gt;0,(DO227+Distances!DP118*1.84)*GA227*BC213*2,"")</f>
        <v>646.61957485714288</v>
      </c>
      <c r="BD227" s="14">
        <f>IF(Distances!DQ118&gt;0,(DP227+Distances!DQ118*1.84)*GB227*BD213*2,"")</f>
        <v>752.94325028571438</v>
      </c>
      <c r="BE227" s="14">
        <f>IF(Distances!DR118&gt;0,(DQ227+Distances!DR118*1.84)*GC227*BE213*2,"")</f>
        <v>667.89624685714284</v>
      </c>
      <c r="BF227" s="14">
        <f>IF(Distances!DS118&gt;0,(DR227+Distances!DS118*1.84)*GD227*BF213*2,"")</f>
        <v>188.85184000000001</v>
      </c>
      <c r="BG227" s="14">
        <f>IF(Distances!DT118&gt;0,(DS227+Distances!DT118*1.84)*GE227*BG213*2,"")</f>
        <v>102.7554742857143</v>
      </c>
      <c r="BH227" s="12">
        <f>IF(Distances!DU118&gt;0,(DT227+Distances!DU118*1.84)*GF227*BH213*2,"")</f>
        <v>11606.576639999999</v>
      </c>
      <c r="BI227" s="12">
        <f>IF(Distances!DV118&gt;0,(DU227+Distances!DV118*1.84)*GG227*BI213*2,"")</f>
        <v>7306.9747199999993</v>
      </c>
      <c r="BJ227" s="17">
        <f>IF(Distances!DW118&gt;0,(DV227+Distances!DW118*1.84)*GH227*BJ213*2,"")</f>
        <v>16430.43072</v>
      </c>
      <c r="BM227" s="35" t="s">
        <v>14</v>
      </c>
      <c r="BN227" s="16">
        <v>814.16160000000002</v>
      </c>
      <c r="BO227" s="14">
        <v>810.66719999999998</v>
      </c>
      <c r="BP227" s="14">
        <v>1656.0935999999999</v>
      </c>
      <c r="BQ227" s="14">
        <v>1656.0935999999999</v>
      </c>
      <c r="BR227" s="14">
        <v>1754.4156</v>
      </c>
      <c r="BS227" s="14">
        <v>1547.4564</v>
      </c>
      <c r="BT227" s="14">
        <v>1442.0952</v>
      </c>
      <c r="BU227" s="14">
        <v>1547.4564</v>
      </c>
      <c r="BV227" s="14">
        <v>1721.6471999999999</v>
      </c>
      <c r="BW227" s="14">
        <v>1721.6471999999999</v>
      </c>
      <c r="BX227" s="14">
        <v>1456.2239999999999</v>
      </c>
      <c r="BY227" s="14">
        <v>1456.2239999999999</v>
      </c>
      <c r="BZ227" s="14">
        <v>858.76559999999995</v>
      </c>
      <c r="CA227" s="12">
        <v>0</v>
      </c>
      <c r="CB227" s="13">
        <v>876.72479999999996</v>
      </c>
      <c r="CC227" s="14">
        <v>1509.8748000000001</v>
      </c>
      <c r="CD227" s="14">
        <v>1495.6368</v>
      </c>
      <c r="CE227" s="14">
        <v>1538.3423999999998</v>
      </c>
      <c r="CF227" s="14">
        <v>1467.1692</v>
      </c>
      <c r="CG227" s="14">
        <v>1057.5852</v>
      </c>
      <c r="CH227" s="14">
        <v>1806.1931999999999</v>
      </c>
      <c r="CI227" s="14">
        <v>1481.3987999999999</v>
      </c>
      <c r="CJ227" s="14">
        <v>1747.7796000000001</v>
      </c>
      <c r="CK227" s="14">
        <v>1467.1692</v>
      </c>
      <c r="CL227" s="14">
        <v>1151.7323999999999</v>
      </c>
      <c r="CM227" s="14">
        <v>1130.808</v>
      </c>
      <c r="CN227" s="14">
        <v>1088.9675999999999</v>
      </c>
      <c r="CO227" s="14">
        <v>1078.5096000000001</v>
      </c>
      <c r="CP227" s="14">
        <v>1747.7796000000001</v>
      </c>
      <c r="CQ227" s="14">
        <v>1806.1931999999999</v>
      </c>
      <c r="CR227" s="14">
        <v>1806.1931999999999</v>
      </c>
      <c r="CS227" s="14">
        <v>1806.1931999999999</v>
      </c>
      <c r="CT227" s="14">
        <v>1583.0387999999998</v>
      </c>
      <c r="CU227" s="14">
        <v>1294.7339999999999</v>
      </c>
      <c r="CV227" s="14">
        <v>1583.0387999999998</v>
      </c>
      <c r="CW227" s="14">
        <v>1332.4164000000001</v>
      </c>
      <c r="CX227" s="14">
        <v>2066.7024000000001</v>
      </c>
      <c r="CY227" s="14">
        <v>2066.7024000000001</v>
      </c>
      <c r="CZ227" s="14">
        <v>2066.7024000000001</v>
      </c>
      <c r="DA227" s="14">
        <v>1639.6043999999999</v>
      </c>
      <c r="DB227" s="14">
        <v>1671.4235999999999</v>
      </c>
      <c r="DC227" s="14">
        <v>1790.8968</v>
      </c>
      <c r="DD227" s="14">
        <v>1481.3987999999999</v>
      </c>
      <c r="DE227" s="14">
        <v>1481.3987999999999</v>
      </c>
      <c r="DF227" s="14">
        <v>1481.3987999999999</v>
      </c>
      <c r="DG227" s="14">
        <v>1003.6319999999999</v>
      </c>
      <c r="DH227" s="14">
        <v>954.48359999999991</v>
      </c>
      <c r="DI227" s="14">
        <v>954.48359999999991</v>
      </c>
      <c r="DJ227" s="14">
        <v>1022.7252</v>
      </c>
      <c r="DK227" s="14">
        <v>0</v>
      </c>
      <c r="DL227" s="14">
        <v>2990.7864</v>
      </c>
      <c r="DM227" s="14">
        <v>1040.8607999999999</v>
      </c>
      <c r="DN227" s="14">
        <v>936.66719999999987</v>
      </c>
      <c r="DO227" s="14">
        <v>955.00440000000003</v>
      </c>
      <c r="DP227" s="14">
        <v>1022.7252</v>
      </c>
      <c r="DQ227" s="14">
        <v>1013.1828</v>
      </c>
      <c r="DR227" s="14">
        <v>1058.6351999999999</v>
      </c>
      <c r="DS227" s="14">
        <v>963.41280000000006</v>
      </c>
      <c r="DT227" s="12">
        <v>678.31679999999994</v>
      </c>
      <c r="DU227" s="12">
        <v>499.43039999999996</v>
      </c>
      <c r="DV227" s="17">
        <v>499.43039999999996</v>
      </c>
      <c r="DY227" s="35" t="s">
        <v>14</v>
      </c>
      <c r="DZ227" s="16">
        <f>0.2/32</f>
        <v>6.2500000000000003E-3</v>
      </c>
      <c r="EA227" s="14">
        <v>6.2500000000000003E-3</v>
      </c>
      <c r="EB227" s="14">
        <v>6.2500000000000003E-3</v>
      </c>
      <c r="EC227" s="14">
        <v>6.2500000000000003E-3</v>
      </c>
      <c r="ED227" s="14">
        <v>6.2500000000000003E-3</v>
      </c>
      <c r="EE227" s="14">
        <v>6.2500000000000003E-3</v>
      </c>
      <c r="EF227" s="14">
        <v>6.2500000000000003E-3</v>
      </c>
      <c r="EG227" s="14">
        <v>6.2500000000000003E-3</v>
      </c>
      <c r="EH227" s="14">
        <v>6.2500000000000003E-3</v>
      </c>
      <c r="EI227" s="14">
        <v>6.2500000000000003E-3</v>
      </c>
      <c r="EJ227" s="14">
        <v>6.2500000000000003E-3</v>
      </c>
      <c r="EK227" s="14">
        <v>6.2500000000000003E-3</v>
      </c>
      <c r="EL227" s="14">
        <v>6.2500000000000003E-3</v>
      </c>
      <c r="EM227" s="12">
        <v>0.6</v>
      </c>
      <c r="EN227" s="13">
        <v>0.2</v>
      </c>
      <c r="EO227" s="14">
        <v>7.1428571428571435E-3</v>
      </c>
      <c r="EP227" s="14">
        <v>7.1428571428571435E-3</v>
      </c>
      <c r="EQ227" s="14">
        <v>7.1428571428571435E-3</v>
      </c>
      <c r="ER227" s="14">
        <v>7.1428571428571435E-3</v>
      </c>
      <c r="ES227" s="14">
        <v>7.1428571428571435E-3</v>
      </c>
      <c r="ET227" s="14">
        <v>7.1428571428571435E-3</v>
      </c>
      <c r="EU227" s="14">
        <v>7.1428571428571435E-3</v>
      </c>
      <c r="EV227" s="14">
        <v>7.1428571428571435E-3</v>
      </c>
      <c r="EW227" s="14">
        <v>7.1428571428571435E-3</v>
      </c>
      <c r="EX227" s="14">
        <v>7.1428571428571435E-3</v>
      </c>
      <c r="EY227" s="14">
        <v>7.1428571428571435E-3</v>
      </c>
      <c r="EZ227" s="14">
        <v>7.1428571428571435E-3</v>
      </c>
      <c r="FA227" s="14">
        <v>7.1428571428571435E-3</v>
      </c>
      <c r="FB227" s="14">
        <v>7.1428571428571435E-3</v>
      </c>
      <c r="FC227" s="14">
        <v>7.1428571428571435E-3</v>
      </c>
      <c r="FD227" s="14">
        <v>7.1428571428571435E-3</v>
      </c>
      <c r="FE227" s="14">
        <v>7.1428571428571435E-3</v>
      </c>
      <c r="FF227" s="14">
        <v>5.7142857142857143E-3</v>
      </c>
      <c r="FG227" s="14">
        <v>5.7142857142857143E-3</v>
      </c>
      <c r="FH227" s="14">
        <v>5.7142857142857143E-3</v>
      </c>
      <c r="FI227" s="14">
        <v>5.7142857142857143E-3</v>
      </c>
      <c r="FJ227" s="14">
        <v>5.7142857142857143E-3</v>
      </c>
      <c r="FK227" s="14">
        <v>5.7142857142857143E-3</v>
      </c>
      <c r="FL227" s="14">
        <v>5.7142857142857143E-3</v>
      </c>
      <c r="FM227" s="14">
        <v>4.7619047619047623E-3</v>
      </c>
      <c r="FN227" s="14">
        <v>4.7619047619047623E-3</v>
      </c>
      <c r="FO227" s="14">
        <v>4.7619047619047623E-3</v>
      </c>
      <c r="FP227" s="14">
        <v>5.7142857142857143E-3</v>
      </c>
      <c r="FQ227" s="14">
        <v>5.7142857142857143E-3</v>
      </c>
      <c r="FR227" s="14">
        <v>5.7142857142857143E-3</v>
      </c>
      <c r="FS227" s="14">
        <v>5.7142857142857143E-3</v>
      </c>
      <c r="FT227" s="14">
        <v>5.8823529411764705E-3</v>
      </c>
      <c r="FU227" s="14">
        <v>5.7142857142857143E-3</v>
      </c>
      <c r="FV227" s="14">
        <v>5.7142857142857143E-3</v>
      </c>
      <c r="FW227" s="14">
        <v>4.5454545454545461E-3</v>
      </c>
      <c r="FX227" s="14">
        <v>4.5454545454545461E-3</v>
      </c>
      <c r="FY227" s="14">
        <v>5.7142857142857143E-3</v>
      </c>
      <c r="FZ227" s="14">
        <v>7.1428571428571435E-3</v>
      </c>
      <c r="GA227" s="14">
        <v>5.7142857142857143E-3</v>
      </c>
      <c r="GB227" s="14">
        <v>5.7142857142857143E-3</v>
      </c>
      <c r="GC227" s="14">
        <v>5.7142857142857143E-3</v>
      </c>
      <c r="GD227" s="14">
        <v>7.1428571428571435E-3</v>
      </c>
      <c r="GE227" s="14">
        <v>7.1428571428571435E-3</v>
      </c>
      <c r="GF227" s="12">
        <v>0.6</v>
      </c>
      <c r="GG227" s="12">
        <v>0.6</v>
      </c>
      <c r="GH227" s="17">
        <v>0.6</v>
      </c>
    </row>
    <row r="228" spans="1:190" x14ac:dyDescent="0.3">
      <c r="A228" s="35" t="s">
        <v>15</v>
      </c>
      <c r="B228" s="16">
        <f>IF(Distances!BO119&gt;0,(BN228+Distances!BO119*1.84)*DZ228*B213*2,"")</f>
        <v>4156.5610699999997</v>
      </c>
      <c r="C228" s="14">
        <f>IF(Distances!BP119&gt;0,(BO228+Distances!BP119*1.84)*EA228*C213*2,"")</f>
        <v>4135.8176899999999</v>
      </c>
      <c r="D228" s="14">
        <f>IF(Distances!BQ119&gt;0,(BP228+Distances!BQ119*1.84)*EB228*D213*2,"")</f>
        <v>12655.308080000004</v>
      </c>
      <c r="E228" s="14">
        <f>IF(Distances!BR119&gt;0,(BQ228+Distances!BR119*1.84)*EC228*E213*2,"")</f>
        <v>3709.8996800000004</v>
      </c>
      <c r="F228" s="14">
        <f>IF(Distances!BS119&gt;0,(BR228+Distances!BS119*1.84)*ED228*F213*2,"")</f>
        <v>4208.5679900000005</v>
      </c>
      <c r="G228" s="14">
        <f>IF(Distances!BT119&gt;0,(BS228+Distances!BT119*1.84)*EE228*G213*2,"")</f>
        <v>13389.68009</v>
      </c>
      <c r="H228" s="14">
        <f>IF(Distances!BU119&gt;0,(BT228+Distances!BU119*1.84)*EF228*H213*2,"")</f>
        <v>5507.2775000000011</v>
      </c>
      <c r="I228" s="14">
        <f>IF(Distances!BV119&gt;0,(BU228+Distances!BV119*1.84)*EG228*I213*2,"")</f>
        <v>5785.1072900000008</v>
      </c>
      <c r="J228" s="14">
        <f>IF(Distances!BW119&gt;0,(BV228+Distances!BW119*1.84)*EH228*J213*2,"")</f>
        <v>126.16603999999998</v>
      </c>
      <c r="K228" s="14">
        <f>IF(Distances!BX119&gt;0,(BW228+Distances!BX119*1.84)*EI228*K213*2,"")</f>
        <v>76.182439999999986</v>
      </c>
      <c r="L228" s="14">
        <f>IF(Distances!BY119&gt;0,(BX228+Distances!BY119*1.84)*EJ228*L213*2,"")</f>
        <v>157.40008</v>
      </c>
      <c r="M228" s="14">
        <f>IF(Distances!BZ119&gt;0,(BY228+Distances!BZ119*1.84)*EK228*M213*2,"")</f>
        <v>68.077280000000002</v>
      </c>
      <c r="N228" s="14">
        <f>IF(Distances!CA119&gt;0,(BZ228+Distances!CA119*1.84)*EL228*N213*2,"")</f>
        <v>128.68624</v>
      </c>
      <c r="O228" s="13">
        <f>IF(Distances!CB119&gt;0,(CA228+Distances!CB119*1.84)*EM228*O213*2,"")</f>
        <v>4997.85664</v>
      </c>
      <c r="P228" s="12" t="s">
        <v>62</v>
      </c>
      <c r="Q228" s="14">
        <f>IF(Distances!CD119&gt;0,(CC228+Distances!CD119*1.84)*EO228*Q213*2,"")</f>
        <v>1565.6205714285716</v>
      </c>
      <c r="R228" s="14">
        <f>IF(Distances!CE119&gt;0,(CD228+Distances!CE119*1.84)*EP228*R213*2,"")</f>
        <v>1551.5025714285719</v>
      </c>
      <c r="S228" s="14">
        <f>IF(Distances!CF119&gt;0,(CE228+Distances!CF119*1.84)*EQ228*S213*2,"")</f>
        <v>1593.8685714285714</v>
      </c>
      <c r="T228" s="14">
        <f>IF(Distances!CG119&gt;0,(CF228+Distances!CG119*1.84)*ER228*T213*2,"")</f>
        <v>248.23404000000002</v>
      </c>
      <c r="U228" s="14">
        <f>IF(Distances!CH119&gt;0,(CG228+Distances!CH119*1.84)*ES228*U213*2,"")</f>
        <v>224.78628000000003</v>
      </c>
      <c r="V228" s="14">
        <f>IF(Distances!CI119&gt;0,(CH228+Distances!CI119*1.84)*ET228*V213*2,"")</f>
        <v>2436.034468571429</v>
      </c>
      <c r="W228" s="14">
        <f>IF(Distances!CJ119&gt;0,(CI228+Distances!CJ119*1.84)*EU228*W213*2,"")</f>
        <v>1783.3591428571433</v>
      </c>
      <c r="X228" s="14">
        <f>IF(Distances!CK119&gt;0,(CJ228+Distances!CK119*1.84)*EV228*X213*2,"")</f>
        <v>2338.6279428571429</v>
      </c>
      <c r="Y228" s="14">
        <f>IF(Distances!CL119&gt;0,(CK228+Distances!CL119*1.84)*EW228*Y213*2,"")</f>
        <v>2151.9295885714287</v>
      </c>
      <c r="Z228" s="14">
        <f>IF(Distances!CM119&gt;0,(CL228+Distances!CM119*1.84)*EX228*Z213*2,"")</f>
        <v>55.592845714285716</v>
      </c>
      <c r="AA228" s="14">
        <f>IF(Distances!CN119&gt;0,(CM228+Distances!CN119*1.84)*EY228*AA213*2,"")</f>
        <v>58.627371428571422</v>
      </c>
      <c r="AB228" s="14">
        <f>IF(Distances!CO119&gt;0,(CN228+Distances!CO119*1.84)*EZ228*AB213*2,"")</f>
        <v>67.808411428571432</v>
      </c>
      <c r="AC228" s="14">
        <f>IF(Distances!CP119&gt;0,(CO228+Distances!CP119*1.84)*FA228*AC213*2,"")</f>
        <v>48.720182857142859</v>
      </c>
      <c r="AD228" s="14">
        <f>IF(Distances!CQ119&gt;0,(CP228+Distances!CQ119*1.84)*FB228*AD213*2,"")</f>
        <v>73.135142857142867</v>
      </c>
      <c r="AE228" s="14">
        <f>IF(Distances!CR119&gt;0,(CQ228+Distances!CR119*1.84)*FC228*AE213*2,"")</f>
        <v>106.91181714285715</v>
      </c>
      <c r="AF228" s="14">
        <f>IF(Distances!CS119&gt;0,(CR228+Distances!CS119*1.84)*FD228*AF213*2,"")</f>
        <v>194.28809142857145</v>
      </c>
      <c r="AG228" s="14">
        <f>IF(Distances!CT119&gt;0,(CS228+Distances!CT119*1.84)*FE228*AG213*2,"")</f>
        <v>170.84123428571428</v>
      </c>
      <c r="AH228" s="14">
        <f>IF(Distances!CU119&gt;0,(CT228+Distances!CU119*1.84)*FF228*AH213*2,"")</f>
        <v>48.608987428571425</v>
      </c>
      <c r="AI228" s="14">
        <f>IF(Distances!CV119&gt;0,(CU228+Distances!CV119*1.84)*FG228*AI213*2,"")</f>
        <v>16.283209142857142</v>
      </c>
      <c r="AJ228" s="14">
        <f>IF(Distances!CW119&gt;0,(CV228+Distances!CW119*1.84)*FH228*AJ213*2,"")</f>
        <v>37.730907428571427</v>
      </c>
      <c r="AK228" s="14">
        <f>IF(Distances!CX119&gt;0,(CW228+Distances!CX119*1.84)*FI228*AK213*2,"")</f>
        <v>16.725577142857141</v>
      </c>
      <c r="AL228" s="14">
        <f>IF(Distances!CY119&gt;0,(CX228+Distances!CY119*1.84)*FJ228*AL213*2,"")</f>
        <v>1374.8785097142857</v>
      </c>
      <c r="AM228" s="14">
        <f>IF(Distances!CZ119&gt;0,(CY228+Distances!CZ119*1.84)*FK228*AM213*2,"")</f>
        <v>1374.8785097142857</v>
      </c>
      <c r="AN228" s="14">
        <f>IF(Distances!DA119&gt;0,(CZ228+Distances!DA119*1.84)*FL228*AN213*2,"")</f>
        <v>1559.6313325714284</v>
      </c>
      <c r="AO228" s="14">
        <f>IF(Distances!DB119&gt;0,(DA228+Distances!DB119*1.84)*FM228*AO213*2,"")</f>
        <v>47.975161904761904</v>
      </c>
      <c r="AP228" s="14">
        <f>IF(Distances!DC119&gt;0,(DB228+Distances!DC119*1.84)*FN228*AP213*2,"")</f>
        <v>48.871161904761905</v>
      </c>
      <c r="AQ228" s="14">
        <f>IF(Distances!DD119&gt;0,(DC228+Distances!DD119*1.84)*FO228*AQ213*2,"")</f>
        <v>44.232281904761912</v>
      </c>
      <c r="AR228" s="14">
        <f>IF(Distances!DE119&gt;0,(DD228+Distances!DE119*1.84)*FP228*AR213*2,"")</f>
        <v>66.254546285714298</v>
      </c>
      <c r="AS228" s="14">
        <f>IF(Distances!DF119&gt;0,(DE228+Distances!DF119*1.84)*FQ228*AS213*2,"")</f>
        <v>144.28736914285716</v>
      </c>
      <c r="AT228" s="14">
        <f>IF(Distances!DG119&gt;0,(DF228+Distances!DG119*1.84)*FR228*AT213*2,"")</f>
        <v>108.16448914285716</v>
      </c>
      <c r="AU228" s="14">
        <f>IF(Distances!DH119&gt;0,(DG228+Distances!DH119*1.84)*FS228*AU213*2,"")</f>
        <v>328.55366399999997</v>
      </c>
      <c r="AV228" s="14">
        <f>IF(Distances!DI119&gt;0,(DH228+Distances!DI119*1.84)*FT228*AV213*2,"")</f>
        <v>190.02592941176471</v>
      </c>
      <c r="AW228" s="14">
        <f>IF(Distances!DJ119&gt;0,(DI228+Distances!DJ119*1.84)*FU228*AW213*2,"")</f>
        <v>605.08393142857142</v>
      </c>
      <c r="AX228" s="14">
        <f>IF(Distances!DK119&gt;0,(DJ228+Distances!DK119*1.84)*FV228*AX213*2,"")</f>
        <v>115.84932571428573</v>
      </c>
      <c r="AY228" s="14">
        <f>IF(Distances!DL119&gt;0,(DK228+Distances!DL119*1.84)*FW228*AY213*2,"")</f>
        <v>3.4592000000000009</v>
      </c>
      <c r="AZ228" s="14">
        <f>IF(Distances!DM119&gt;0,(DL228+Distances!DM119*1.84)*FX228*AZ213*2,"")</f>
        <v>148.47540363636364</v>
      </c>
      <c r="BA228" s="14">
        <f>IF(Distances!DN119&gt;0,(DM228+Distances!DN119*1.84)*FY228*BA213*2,"")</f>
        <v>88.912036571428558</v>
      </c>
      <c r="BB228" s="14">
        <f>IF(Distances!DO119&gt;0,(DN228+Distances!DO119*1.84)*FZ228*BB213*2,"")</f>
        <v>108.82836571428572</v>
      </c>
      <c r="BC228" s="14">
        <f>IF(Distances!DP119&gt;0,(DO228+Distances!DP119*1.84)*GA228*BC213*2,"")</f>
        <v>695.22973257142849</v>
      </c>
      <c r="BD228" s="14">
        <f>IF(Distances!DQ119&gt;0,(DP228+Distances!DQ119*1.84)*GB228*BD213*2,"")</f>
        <v>822.99289599999997</v>
      </c>
      <c r="BE228" s="14">
        <f>IF(Distances!DR119&gt;0,(DQ228+Distances!DR119*1.84)*GC228*BE213*2,"")</f>
        <v>734.68035657142855</v>
      </c>
      <c r="BF228" s="14">
        <f>IF(Distances!DS119&gt;0,(DR228+Distances!DS119*1.84)*GD228*BF213*2,"")</f>
        <v>201.25149714285718</v>
      </c>
      <c r="BG228" s="14">
        <f>IF(Distances!DT119&gt;0,(DS228+Distances!DT119*1.84)*GE228*BG213*2,"")</f>
        <v>107.95561142857143</v>
      </c>
      <c r="BH228" s="13">
        <f>IF(Distances!DU119&gt;0,(DT228+Distances!DU119*1.84)*GF228*BH213*2,"")</f>
        <v>4017.6480000000006</v>
      </c>
      <c r="BI228" s="13">
        <f>IF(Distances!DV119&gt;0,(DU228+Distances!DV119*1.84)*GG228*BI213*2,"")</f>
        <v>2363.7491199999999</v>
      </c>
      <c r="BJ228" s="18">
        <f>IF(Distances!DW119&gt;0,(DV228+Distances!DW119*1.84)*GH228*BJ213*2,"")</f>
        <v>5404.9011200000004</v>
      </c>
      <c r="BM228" s="35" t="s">
        <v>15</v>
      </c>
      <c r="BN228" s="16">
        <v>1551.0347999999999</v>
      </c>
      <c r="BO228" s="14">
        <v>1542.8196</v>
      </c>
      <c r="BP228" s="14">
        <v>1374.1392000000001</v>
      </c>
      <c r="BQ228" s="14">
        <v>1374.1392000000001</v>
      </c>
      <c r="BR228" s="14">
        <v>1455.7115999999999</v>
      </c>
      <c r="BS228" s="14">
        <v>2196.0036</v>
      </c>
      <c r="BT228" s="14">
        <v>2085.9720000000002</v>
      </c>
      <c r="BU228" s="14">
        <v>2196.0036</v>
      </c>
      <c r="BV228" s="14">
        <v>1428.5207999999998</v>
      </c>
      <c r="BW228" s="14">
        <v>1428.5207999999998</v>
      </c>
      <c r="BX228" s="14">
        <v>1266.4176</v>
      </c>
      <c r="BY228" s="14">
        <v>1266.4176</v>
      </c>
      <c r="BZ228" s="14">
        <v>1634.4048</v>
      </c>
      <c r="CA228" s="13">
        <v>876.72479999999996</v>
      </c>
      <c r="CB228" s="12">
        <v>0</v>
      </c>
      <c r="CC228" s="14">
        <v>2096.7408</v>
      </c>
      <c r="CD228" s="14">
        <v>2076.9756000000002</v>
      </c>
      <c r="CE228" s="14">
        <v>2136.2879999999996</v>
      </c>
      <c r="CF228" s="14">
        <v>2037.4284</v>
      </c>
      <c r="CG228" s="14">
        <v>1578.8388</v>
      </c>
      <c r="CH228" s="14">
        <v>1933.3775999999998</v>
      </c>
      <c r="CI228" s="14">
        <v>2057.2020000000002</v>
      </c>
      <c r="CJ228" s="14">
        <v>2464.6019999999999</v>
      </c>
      <c r="CK228" s="14">
        <v>2037.4284</v>
      </c>
      <c r="CL228" s="14">
        <v>1719.4295999999999</v>
      </c>
      <c r="CM228" s="14">
        <v>1688.1899999999998</v>
      </c>
      <c r="CN228" s="14">
        <v>1625.7023999999999</v>
      </c>
      <c r="CO228" s="14">
        <v>1610.0783999999999</v>
      </c>
      <c r="CP228" s="14">
        <v>2464.6019999999999</v>
      </c>
      <c r="CQ228" s="14">
        <v>1933.3775999999998</v>
      </c>
      <c r="CR228" s="14">
        <v>1933.3775999999998</v>
      </c>
      <c r="CS228" s="14">
        <v>1933.3775999999998</v>
      </c>
      <c r="CT228" s="14">
        <v>1628.8943999999999</v>
      </c>
      <c r="CU228" s="14">
        <v>1329.6528000000001</v>
      </c>
      <c r="CV228" s="14">
        <v>1628.8943999999999</v>
      </c>
      <c r="CW228" s="14">
        <v>1368.36</v>
      </c>
      <c r="CX228" s="14">
        <v>2132.6843999999996</v>
      </c>
      <c r="CY228" s="14">
        <v>2132.6843999999996</v>
      </c>
      <c r="CZ228" s="14">
        <v>2132.6843999999996</v>
      </c>
      <c r="DA228" s="14">
        <v>2423.5679999999998</v>
      </c>
      <c r="DB228" s="14">
        <v>2470.6079999999997</v>
      </c>
      <c r="DC228" s="14">
        <v>2227.0668000000001</v>
      </c>
      <c r="DD228" s="14">
        <v>2803.5084000000002</v>
      </c>
      <c r="DE228" s="14">
        <v>2803.5084000000002</v>
      </c>
      <c r="DF228" s="14">
        <v>2803.5084000000002</v>
      </c>
      <c r="DG228" s="14">
        <v>1896.1403999999998</v>
      </c>
      <c r="DH228" s="14">
        <v>1843.8167999999998</v>
      </c>
      <c r="DI228" s="14">
        <v>1843.8167999999998</v>
      </c>
      <c r="DJ228" s="14">
        <v>1932.2352000000001</v>
      </c>
      <c r="DK228" s="14">
        <v>0</v>
      </c>
      <c r="DL228" s="14">
        <v>3098.1215999999995</v>
      </c>
      <c r="DM228" s="14">
        <v>1849.8227999999999</v>
      </c>
      <c r="DN228" s="14">
        <v>1809.3684000000001</v>
      </c>
      <c r="DO228" s="14">
        <v>1805.8907999999999</v>
      </c>
      <c r="DP228" s="14">
        <v>1932.2352000000001</v>
      </c>
      <c r="DQ228" s="14">
        <v>1913.7636</v>
      </c>
      <c r="DR228" s="14">
        <v>1993.5971999999999</v>
      </c>
      <c r="DS228" s="14">
        <v>1772.3832</v>
      </c>
      <c r="DT228" s="13">
        <v>1489.278</v>
      </c>
      <c r="DU228" s="13">
        <v>1172.4551999999999</v>
      </c>
      <c r="DV228" s="18">
        <v>1172.4551999999999</v>
      </c>
      <c r="DY228" s="35" t="s">
        <v>15</v>
      </c>
      <c r="DZ228" s="16">
        <v>6.2500000000000003E-3</v>
      </c>
      <c r="EA228" s="14">
        <v>6.2500000000000003E-3</v>
      </c>
      <c r="EB228" s="14">
        <v>6.2500000000000003E-3</v>
      </c>
      <c r="EC228" s="14">
        <v>6.2500000000000003E-3</v>
      </c>
      <c r="ED228" s="14">
        <v>6.2500000000000003E-3</v>
      </c>
      <c r="EE228" s="14">
        <v>6.2500000000000003E-3</v>
      </c>
      <c r="EF228" s="14">
        <v>6.2500000000000003E-3</v>
      </c>
      <c r="EG228" s="14">
        <v>6.2500000000000003E-3</v>
      </c>
      <c r="EH228" s="14">
        <v>6.2500000000000003E-3</v>
      </c>
      <c r="EI228" s="14">
        <v>6.2500000000000003E-3</v>
      </c>
      <c r="EJ228" s="14">
        <v>6.2500000000000003E-3</v>
      </c>
      <c r="EK228" s="14">
        <v>6.2500000000000003E-3</v>
      </c>
      <c r="EL228" s="14">
        <v>6.2500000000000003E-3</v>
      </c>
      <c r="EM228" s="13">
        <v>0.2</v>
      </c>
      <c r="EN228" s="12">
        <v>0.6</v>
      </c>
      <c r="EO228" s="14">
        <v>7.1428571428571435E-3</v>
      </c>
      <c r="EP228" s="14">
        <v>7.1428571428571435E-3</v>
      </c>
      <c r="EQ228" s="14">
        <v>7.1428571428571435E-3</v>
      </c>
      <c r="ER228" s="14">
        <v>7.1428571428571435E-3</v>
      </c>
      <c r="ES228" s="14">
        <v>7.1428571428571435E-3</v>
      </c>
      <c r="ET228" s="14">
        <v>7.1428571428571435E-3</v>
      </c>
      <c r="EU228" s="14">
        <v>7.1428571428571435E-3</v>
      </c>
      <c r="EV228" s="14">
        <v>7.1428571428571435E-3</v>
      </c>
      <c r="EW228" s="14">
        <v>7.1428571428571435E-3</v>
      </c>
      <c r="EX228" s="14">
        <v>7.1428571428571435E-3</v>
      </c>
      <c r="EY228" s="14">
        <v>7.1428571428571435E-3</v>
      </c>
      <c r="EZ228" s="14">
        <v>7.1428571428571435E-3</v>
      </c>
      <c r="FA228" s="14">
        <v>7.1428571428571435E-3</v>
      </c>
      <c r="FB228" s="14">
        <v>7.1428571428571435E-3</v>
      </c>
      <c r="FC228" s="14">
        <v>7.1428571428571435E-3</v>
      </c>
      <c r="FD228" s="14">
        <v>7.1428571428571435E-3</v>
      </c>
      <c r="FE228" s="14">
        <v>7.1428571428571435E-3</v>
      </c>
      <c r="FF228" s="14">
        <v>5.7142857142857143E-3</v>
      </c>
      <c r="FG228" s="14">
        <v>5.7142857142857143E-3</v>
      </c>
      <c r="FH228" s="14">
        <v>5.7142857142857143E-3</v>
      </c>
      <c r="FI228" s="14">
        <v>5.7142857142857143E-3</v>
      </c>
      <c r="FJ228" s="14">
        <v>5.7142857142857143E-3</v>
      </c>
      <c r="FK228" s="14">
        <v>5.7142857142857143E-3</v>
      </c>
      <c r="FL228" s="14">
        <v>5.7142857142857143E-3</v>
      </c>
      <c r="FM228" s="14">
        <v>4.7619047619047623E-3</v>
      </c>
      <c r="FN228" s="14">
        <v>4.7619047619047623E-3</v>
      </c>
      <c r="FO228" s="14">
        <v>4.7619047619047623E-3</v>
      </c>
      <c r="FP228" s="14">
        <v>5.7142857142857143E-3</v>
      </c>
      <c r="FQ228" s="14">
        <v>5.7142857142857143E-3</v>
      </c>
      <c r="FR228" s="14">
        <v>5.7142857142857143E-3</v>
      </c>
      <c r="FS228" s="14">
        <v>5.7142857142857143E-3</v>
      </c>
      <c r="FT228" s="14">
        <v>5.8823529411764705E-3</v>
      </c>
      <c r="FU228" s="14">
        <v>5.7142857142857143E-3</v>
      </c>
      <c r="FV228" s="14">
        <v>5.7142857142857143E-3</v>
      </c>
      <c r="FW228" s="14">
        <v>4.5454545454545461E-3</v>
      </c>
      <c r="FX228" s="14">
        <v>4.5454545454545461E-3</v>
      </c>
      <c r="FY228" s="14">
        <v>5.7142857142857143E-3</v>
      </c>
      <c r="FZ228" s="14">
        <v>7.1428571428571435E-3</v>
      </c>
      <c r="GA228" s="14">
        <v>5.7142857142857143E-3</v>
      </c>
      <c r="GB228" s="14">
        <v>5.7142857142857143E-3</v>
      </c>
      <c r="GC228" s="14">
        <v>5.7142857142857143E-3</v>
      </c>
      <c r="GD228" s="14">
        <v>7.1428571428571435E-3</v>
      </c>
      <c r="GE228" s="14">
        <v>7.1428571428571435E-3</v>
      </c>
      <c r="GF228" s="13">
        <v>0.2</v>
      </c>
      <c r="GG228" s="13">
        <v>0.2</v>
      </c>
      <c r="GH228" s="18">
        <v>0.2</v>
      </c>
    </row>
    <row r="229" spans="1:190" x14ac:dyDescent="0.3">
      <c r="A229" s="35" t="s">
        <v>16</v>
      </c>
      <c r="B229" s="16" t="s">
        <v>62</v>
      </c>
      <c r="C229" s="14" t="s">
        <v>62</v>
      </c>
      <c r="D229" s="14">
        <f>IF(Distances!BQ120&gt;0,(BP229+Distances!BQ120*1.84)*EB229*D213*2,"")</f>
        <v>10919.65641</v>
      </c>
      <c r="E229" s="14" t="s">
        <v>62</v>
      </c>
      <c r="F229" s="14">
        <f>IF(Distances!BS120&gt;0,(BR229+Distances!BS120*1.84)*ED229*F213*2,"")</f>
        <v>2384.0888399999999</v>
      </c>
      <c r="G229" s="14">
        <f>IF(Distances!BT120&gt;0,(BS229+Distances!BT120*1.84)*EE229*G213*2,"")</f>
        <v>14156.29938</v>
      </c>
      <c r="H229" s="14" t="s">
        <v>62</v>
      </c>
      <c r="I229" s="14" t="s">
        <v>62</v>
      </c>
      <c r="J229" s="14">
        <f>IF(Distances!BW120&gt;0,(BV229+Distances!BW120*1.84)*EH229*J213*2,"")</f>
        <v>90.624059999999986</v>
      </c>
      <c r="K229" s="14" t="s">
        <v>62</v>
      </c>
      <c r="L229" s="14">
        <f>IF(Distances!BY120&gt;0,(BX229+Distances!BY120*1.84)*EJ229*L213*2,"")</f>
        <v>225.24614000000003</v>
      </c>
      <c r="M229" s="14" t="s">
        <v>62</v>
      </c>
      <c r="N229" s="14">
        <f>IF(Distances!CA120&gt;0,(BZ229+Distances!CA120*1.84)*EL229*N213*2,"")</f>
        <v>109.73510000000002</v>
      </c>
      <c r="O229" s="14">
        <f>IF(Distances!CB120&gt;0,(CA229+Distances!CB120*1.84)*EM229*O213*2,"")</f>
        <v>151.26321488372093</v>
      </c>
      <c r="P229" s="14">
        <f>IF(Distances!CC120&gt;0,(CB229+Distances!CC120*1.84)*EN229*P213*2,"")</f>
        <v>142.72634046511629</v>
      </c>
      <c r="Q229" s="12" t="s">
        <v>62</v>
      </c>
      <c r="R229" s="13" t="s">
        <v>62</v>
      </c>
      <c r="S229" s="13" t="s">
        <v>62</v>
      </c>
      <c r="T229" s="13">
        <f>IF(Distances!CG120&gt;0,(CF229+Distances!CG120*1.84)*ER229*T213*2,"")</f>
        <v>183.51914000000005</v>
      </c>
      <c r="U229" s="13">
        <f>IF(Distances!CH120&gt;0,(CG229+Distances!CH120*1.84)*ES229*U213*2,"")</f>
        <v>235.01911999999999</v>
      </c>
      <c r="V229" s="13">
        <f>IF(Distances!CI120&gt;0,(CH229+Distances!CI120*1.84)*ET229*V213*2,"")</f>
        <v>2737.9201600000006</v>
      </c>
      <c r="W229" s="13" t="s">
        <v>62</v>
      </c>
      <c r="X229" s="13">
        <f>IF(Distances!CK120&gt;0,(CJ229+Distances!CK120*1.84)*EV229*X213*2,"")</f>
        <v>1095.0916200000001</v>
      </c>
      <c r="Y229" s="13">
        <f>IF(Distances!CL120&gt;0,(CK229+Distances!CL120*1.84)*EW229*Y213*2,"")</f>
        <v>1687.0703599999999</v>
      </c>
      <c r="Z229" s="13">
        <f>IF(Distances!CM120&gt;0,(CL229+Distances!CM120*1.84)*EX229*Z213*2,"")</f>
        <v>48.43486</v>
      </c>
      <c r="AA229" s="13">
        <f>IF(Distances!CN120&gt;0,(CM229+Distances!CN120*1.84)*EY229*AA213*2,"")</f>
        <v>54.547059999999988</v>
      </c>
      <c r="AB229" s="13">
        <f>IF(Distances!CO120&gt;0,(CN229+Distances!CO120*1.84)*EZ229*AB213*2,"")</f>
        <v>72.217020000000005</v>
      </c>
      <c r="AC229" s="13" t="s">
        <v>62</v>
      </c>
      <c r="AD229" s="13" t="s">
        <v>62</v>
      </c>
      <c r="AE229" s="13">
        <f>IF(Distances!CR120&gt;0,(CQ229+Distances!CR120*1.84)*FC229*AE213*2,"")</f>
        <v>134.50464000000002</v>
      </c>
      <c r="AF229" s="13">
        <f>IF(Distances!CS120&gt;0,(CR229+Distances!CS120*1.84)*FD229*AF213*2,"")</f>
        <v>234.82208000000003</v>
      </c>
      <c r="AG229" s="13">
        <f>IF(Distances!CT120&gt;0,(CS229+Distances!CT120*1.84)*FE229*AG213*2,"")</f>
        <v>193.79007999999999</v>
      </c>
      <c r="AH229" s="14">
        <f>IF(Distances!CU120&gt;0,(CT229+Distances!CU120*1.84)*FF229*AH213*2,"")</f>
        <v>47.398066285714286</v>
      </c>
      <c r="AI229" s="14" t="s">
        <v>62</v>
      </c>
      <c r="AJ229" s="14">
        <f>IF(Distances!CW120&gt;0,(CV229+Distances!CW120*1.84)*FH229*AJ213*2,"")</f>
        <v>36.519986285714282</v>
      </c>
      <c r="AK229" s="14" t="s">
        <v>62</v>
      </c>
      <c r="AL229" s="14" t="s">
        <v>62</v>
      </c>
      <c r="AM229" s="14" t="s">
        <v>62</v>
      </c>
      <c r="AN229" s="14">
        <f>IF(Distances!DA120&gt;0,(CZ229+Distances!DA120*1.84)*FL229*AN213*2,"")</f>
        <v>1123.2330788571428</v>
      </c>
      <c r="AO229" s="14" t="s">
        <v>62</v>
      </c>
      <c r="AP229" s="14" t="s">
        <v>62</v>
      </c>
      <c r="AQ229" s="14" t="s">
        <v>62</v>
      </c>
      <c r="AR229" s="14" t="s">
        <v>62</v>
      </c>
      <c r="AS229" s="14">
        <f>IF(Distances!DF120&gt;0,(DE229+Distances!DF120*1.84)*FQ229*AS213*2,"")</f>
        <v>106.68959085714286</v>
      </c>
      <c r="AT229" s="14">
        <f>IF(Distances!DG120&gt;0,(DF229+Distances!DG120*1.84)*FR229*AT213*2,"")</f>
        <v>70.566710857142851</v>
      </c>
      <c r="AU229" s="14">
        <f>IF(Distances!DH120&gt;0,(DG229+Distances!DH120*1.84)*FS229*AU213*2,"")</f>
        <v>218.30163199999998</v>
      </c>
      <c r="AV229" s="14">
        <f>IF(Distances!DI120&gt;0,(DH229+Distances!DI120*1.84)*FT229*AV213*2,"")</f>
        <v>129.85635294117645</v>
      </c>
      <c r="AW229" s="14">
        <f>IF(Distances!DJ120&gt;0,(DI229+Distances!DJ120*1.84)*FU229*AW213*2,"")</f>
        <v>546.63348571428583</v>
      </c>
      <c r="AX229" s="14" t="s">
        <v>62</v>
      </c>
      <c r="AY229" s="14" t="s">
        <v>62</v>
      </c>
      <c r="AZ229" s="14">
        <f>IF(Distances!DM120&gt;0,(DL229+Distances!DM120*1.84)*FX229*AZ213*2,"")</f>
        <v>170.97434181818187</v>
      </c>
      <c r="BA229" s="14" t="s">
        <v>62</v>
      </c>
      <c r="BB229" s="13" t="s">
        <v>62</v>
      </c>
      <c r="BC229" s="14" t="s">
        <v>62</v>
      </c>
      <c r="BD229" s="14">
        <f>IF(Distances!DQ120&gt;0,(DP229+Distances!DQ120*1.84)*GB229*BD213*2,"")</f>
        <v>566.85026742857144</v>
      </c>
      <c r="BE229" s="14" t="s">
        <v>62</v>
      </c>
      <c r="BF229" s="13">
        <f>IF(Distances!DS120&gt;0,(DR229+Distances!DS120*1.84)*GD229*BF213*2,"")</f>
        <v>295.77928000000003</v>
      </c>
      <c r="BG229" s="13">
        <f>IF(Distances!DT120&gt;0,(DS229+Distances!DT120*1.84)*GE229*BG213*2,"")</f>
        <v>107.80623999999999</v>
      </c>
      <c r="BH229" s="14">
        <f>IF(Distances!DU120&gt;0,(DT229+Distances!DU120*1.84)*GF229*BH213*2,"")</f>
        <v>140.84881860465114</v>
      </c>
      <c r="BI229" s="14">
        <f>IF(Distances!DV120&gt;0,(DU229+Distances!DV120*1.84)*GG229*BI213*2,"")</f>
        <v>87.521413953488363</v>
      </c>
      <c r="BJ229" s="15">
        <f>IF(Distances!DW120&gt;0,(DV229+Distances!DW120*1.84)*GH229*BJ213*2,"")</f>
        <v>158.24587906976745</v>
      </c>
      <c r="BM229" s="35" t="s">
        <v>16</v>
      </c>
      <c r="BN229" s="16">
        <v>974.86199999999997</v>
      </c>
      <c r="BO229" s="14">
        <v>1274.8344</v>
      </c>
      <c r="BP229" s="14">
        <v>781.8803999999999</v>
      </c>
      <c r="BQ229" s="14">
        <v>781.8803999999999</v>
      </c>
      <c r="BR229" s="14">
        <v>828.27359999999999</v>
      </c>
      <c r="BS229" s="14">
        <v>2594.7431999999999</v>
      </c>
      <c r="BT229" s="14">
        <v>2692.0824000000002</v>
      </c>
      <c r="BU229" s="14">
        <v>2594.7431999999999</v>
      </c>
      <c r="BV229" s="14">
        <v>812.80919999999992</v>
      </c>
      <c r="BW229" s="14">
        <v>812.80919999999992</v>
      </c>
      <c r="BX229" s="14">
        <v>2718.4667999999997</v>
      </c>
      <c r="BY229" s="14">
        <v>2718.4667999999997</v>
      </c>
      <c r="BZ229" s="14">
        <v>1350.51</v>
      </c>
      <c r="CA229" s="14">
        <v>1509.8748000000001</v>
      </c>
      <c r="CB229" s="14">
        <v>2096.7408</v>
      </c>
      <c r="CC229" s="12">
        <v>0</v>
      </c>
      <c r="CD229" s="13">
        <v>712.44599999999991</v>
      </c>
      <c r="CE229" s="13">
        <v>732.774</v>
      </c>
      <c r="CF229" s="13">
        <v>698.89679999999998</v>
      </c>
      <c r="CG229" s="13">
        <v>769.07039999999995</v>
      </c>
      <c r="CH229" s="13">
        <v>976.6848</v>
      </c>
      <c r="CI229" s="13">
        <v>705.66719999999998</v>
      </c>
      <c r="CJ229" s="13">
        <v>492.48359999999997</v>
      </c>
      <c r="CK229" s="13">
        <v>698.89679999999998</v>
      </c>
      <c r="CL229" s="13">
        <v>837.50519999999995</v>
      </c>
      <c r="CM229" s="13">
        <v>822.30119999999988</v>
      </c>
      <c r="CN229" s="13">
        <v>791.87639999999999</v>
      </c>
      <c r="CO229" s="13">
        <v>784.2743999999999</v>
      </c>
      <c r="CP229" s="13">
        <v>492.48359999999997</v>
      </c>
      <c r="CQ229" s="13">
        <v>976.6848</v>
      </c>
      <c r="CR229" s="13">
        <v>976.6848</v>
      </c>
      <c r="CS229" s="13">
        <v>976.6848</v>
      </c>
      <c r="CT229" s="14">
        <v>1618.0667999999998</v>
      </c>
      <c r="CU229" s="14">
        <v>1829.7803999999999</v>
      </c>
      <c r="CV229" s="14">
        <v>1618.0667999999998</v>
      </c>
      <c r="CW229" s="14">
        <v>1883.0447999999997</v>
      </c>
      <c r="CX229" s="14">
        <v>1520.6855999999998</v>
      </c>
      <c r="CY229" s="14">
        <v>1520.6855999999998</v>
      </c>
      <c r="CZ229" s="14">
        <v>1520.6855999999998</v>
      </c>
      <c r="DA229" s="14">
        <v>1278.2783999999999</v>
      </c>
      <c r="DB229" s="14">
        <v>1303.0835999999999</v>
      </c>
      <c r="DC229" s="14">
        <v>1512.0251999999998</v>
      </c>
      <c r="DD229" s="14">
        <v>1253.7336</v>
      </c>
      <c r="DE229" s="14">
        <v>1253.7336</v>
      </c>
      <c r="DF229" s="14">
        <v>1253.7336</v>
      </c>
      <c r="DG229" s="14">
        <v>1302.1931999999999</v>
      </c>
      <c r="DH229" s="14">
        <v>916.0619999999999</v>
      </c>
      <c r="DI229" s="14">
        <v>916.0619999999999</v>
      </c>
      <c r="DJ229" s="14">
        <v>1326.9731999999999</v>
      </c>
      <c r="DK229" s="14">
        <v>0</v>
      </c>
      <c r="DL229" s="14">
        <v>3811.9704000000002</v>
      </c>
      <c r="DM229" s="14">
        <v>1046.5727999999999</v>
      </c>
      <c r="DN229" s="13">
        <v>898.95960000000002</v>
      </c>
      <c r="DO229" s="14">
        <v>1240.2348</v>
      </c>
      <c r="DP229" s="14">
        <v>1326.9731999999999</v>
      </c>
      <c r="DQ229" s="14">
        <v>1314.5832</v>
      </c>
      <c r="DR229" s="13">
        <v>1524.6168</v>
      </c>
      <c r="DS229" s="13">
        <v>1056.3503999999998</v>
      </c>
      <c r="DT229" s="14">
        <v>2858.6879999999996</v>
      </c>
      <c r="DU229" s="14">
        <v>2142.3779999999997</v>
      </c>
      <c r="DV229" s="15">
        <v>2142.3779999999997</v>
      </c>
      <c r="DY229" s="35" t="s">
        <v>16</v>
      </c>
      <c r="DZ229" s="16">
        <v>6.2500000000000003E-3</v>
      </c>
      <c r="EA229" s="14">
        <v>6.2500000000000003E-3</v>
      </c>
      <c r="EB229" s="14">
        <v>6.2500000000000003E-3</v>
      </c>
      <c r="EC229" s="14">
        <v>6.2500000000000003E-3</v>
      </c>
      <c r="ED229" s="14">
        <v>6.2500000000000003E-3</v>
      </c>
      <c r="EE229" s="14">
        <v>6.2500000000000003E-3</v>
      </c>
      <c r="EF229" s="14">
        <v>6.2500000000000003E-3</v>
      </c>
      <c r="EG229" s="14">
        <v>6.2500000000000003E-3</v>
      </c>
      <c r="EH229" s="14">
        <v>6.2500000000000003E-3</v>
      </c>
      <c r="EI229" s="14">
        <v>6.2500000000000003E-3</v>
      </c>
      <c r="EJ229" s="14">
        <v>6.2500000000000003E-3</v>
      </c>
      <c r="EK229" s="14">
        <v>6.2500000000000003E-3</v>
      </c>
      <c r="EL229" s="14">
        <v>6.2500000000000003E-3</v>
      </c>
      <c r="EM229" s="14">
        <v>4.6511627906976744E-3</v>
      </c>
      <c r="EN229" s="14">
        <v>4.6511627906976744E-3</v>
      </c>
      <c r="EO229" s="12">
        <v>0.6</v>
      </c>
      <c r="EP229" s="13">
        <f t="shared" ref="EP229:FE244" si="84">0.2/16</f>
        <v>1.2500000000000001E-2</v>
      </c>
      <c r="EQ229" s="13">
        <f t="shared" si="84"/>
        <v>1.2500000000000001E-2</v>
      </c>
      <c r="ER229" s="13">
        <f t="shared" si="84"/>
        <v>1.2500000000000001E-2</v>
      </c>
      <c r="ES229" s="13">
        <f t="shared" si="84"/>
        <v>1.2500000000000001E-2</v>
      </c>
      <c r="ET229" s="13">
        <f t="shared" si="84"/>
        <v>1.2500000000000001E-2</v>
      </c>
      <c r="EU229" s="13">
        <f t="shared" si="84"/>
        <v>1.2500000000000001E-2</v>
      </c>
      <c r="EV229" s="13">
        <f t="shared" si="84"/>
        <v>1.2500000000000001E-2</v>
      </c>
      <c r="EW229" s="13">
        <f t="shared" si="84"/>
        <v>1.2500000000000001E-2</v>
      </c>
      <c r="EX229" s="13">
        <f t="shared" si="84"/>
        <v>1.2500000000000001E-2</v>
      </c>
      <c r="EY229" s="13">
        <f t="shared" si="84"/>
        <v>1.2500000000000001E-2</v>
      </c>
      <c r="EZ229" s="13">
        <f t="shared" si="84"/>
        <v>1.2500000000000001E-2</v>
      </c>
      <c r="FA229" s="13">
        <f t="shared" si="84"/>
        <v>1.2500000000000001E-2</v>
      </c>
      <c r="FB229" s="13">
        <f t="shared" si="84"/>
        <v>1.2500000000000001E-2</v>
      </c>
      <c r="FC229" s="13">
        <f t="shared" si="84"/>
        <v>1.2500000000000001E-2</v>
      </c>
      <c r="FD229" s="13">
        <f t="shared" si="84"/>
        <v>1.2500000000000001E-2</v>
      </c>
      <c r="FE229" s="13">
        <f t="shared" si="84"/>
        <v>1.2500000000000001E-2</v>
      </c>
      <c r="FF229" s="14">
        <v>5.7142857142857143E-3</v>
      </c>
      <c r="FG229" s="14">
        <v>5.7142857142857143E-3</v>
      </c>
      <c r="FH229" s="14">
        <v>5.7142857142857143E-3</v>
      </c>
      <c r="FI229" s="14">
        <v>5.7142857142857143E-3</v>
      </c>
      <c r="FJ229" s="14">
        <v>5.7142857142857143E-3</v>
      </c>
      <c r="FK229" s="14">
        <v>5.7142857142857143E-3</v>
      </c>
      <c r="FL229" s="14">
        <v>5.7142857142857143E-3</v>
      </c>
      <c r="FM229" s="14">
        <v>4.7619047619047623E-3</v>
      </c>
      <c r="FN229" s="14">
        <v>4.7619047619047623E-3</v>
      </c>
      <c r="FO229" s="14">
        <v>4.7619047619047623E-3</v>
      </c>
      <c r="FP229" s="14">
        <v>5.7142857142857143E-3</v>
      </c>
      <c r="FQ229" s="14">
        <v>5.7142857142857143E-3</v>
      </c>
      <c r="FR229" s="14">
        <v>5.7142857142857143E-3</v>
      </c>
      <c r="FS229" s="14">
        <v>5.7142857142857143E-3</v>
      </c>
      <c r="FT229" s="14">
        <v>5.8823529411764705E-3</v>
      </c>
      <c r="FU229" s="14">
        <v>5.7142857142857143E-3</v>
      </c>
      <c r="FV229" s="14">
        <v>5.7142857142857143E-3</v>
      </c>
      <c r="FW229" s="14">
        <v>4.5454545454545461E-3</v>
      </c>
      <c r="FX229" s="14">
        <v>4.5454545454545461E-3</v>
      </c>
      <c r="FY229" s="14">
        <v>5.7142857142857143E-3</v>
      </c>
      <c r="FZ229" s="13">
        <f t="shared" ref="FZ229:FZ234" si="85">0.2/16</f>
        <v>1.2500000000000001E-2</v>
      </c>
      <c r="GA229" s="14">
        <v>5.7142857142857143E-3</v>
      </c>
      <c r="GB229" s="14">
        <v>5.7142857142857143E-3</v>
      </c>
      <c r="GC229" s="14">
        <v>5.7142857142857143E-3</v>
      </c>
      <c r="GD229" s="13">
        <f t="shared" ref="GD229:GE244" si="86">0.2/16</f>
        <v>1.2500000000000001E-2</v>
      </c>
      <c r="GE229" s="13">
        <f t="shared" si="86"/>
        <v>1.2500000000000001E-2</v>
      </c>
      <c r="GF229" s="14">
        <v>4.6511627906976744E-3</v>
      </c>
      <c r="GG229" s="14">
        <v>4.6511627906976744E-3</v>
      </c>
      <c r="GH229" s="15">
        <v>4.6511627906976744E-3</v>
      </c>
    </row>
    <row r="230" spans="1:190" x14ac:dyDescent="0.3">
      <c r="A230" s="35" t="s">
        <v>17</v>
      </c>
      <c r="B230" s="16" t="s">
        <v>62</v>
      </c>
      <c r="C230" s="14" t="s">
        <v>62</v>
      </c>
      <c r="D230" s="14">
        <f>IF(Distances!BQ121&gt;0,(BP230+Distances!BQ121*1.84)*EB230*D213*2,"")</f>
        <v>10901.05524</v>
      </c>
      <c r="E230" s="14" t="s">
        <v>62</v>
      </c>
      <c r="F230" s="14">
        <f>IF(Distances!BS121&gt;0,(BR230+Distances!BS121*1.84)*ED230*F213*2,"")</f>
        <v>2364.3847499999997</v>
      </c>
      <c r="G230" s="14">
        <f>IF(Distances!BT121&gt;0,(BS230+Distances!BT121*1.84)*EE230*G213*2,"")</f>
        <v>14094.514650000001</v>
      </c>
      <c r="H230" s="14" t="s">
        <v>62</v>
      </c>
      <c r="I230" s="14" t="s">
        <v>62</v>
      </c>
      <c r="J230" s="14">
        <f>IF(Distances!BW121&gt;0,(BV230+Distances!BW121*1.84)*EH230*J213*2,"")</f>
        <v>90.241019999999992</v>
      </c>
      <c r="K230" s="14" t="s">
        <v>62</v>
      </c>
      <c r="L230" s="14">
        <f>IF(Distances!BY121&gt;0,(BX230+Distances!BY121*1.84)*EJ230*L213*2,"")</f>
        <v>223.96430000000001</v>
      </c>
      <c r="M230" s="14" t="s">
        <v>62</v>
      </c>
      <c r="N230" s="14">
        <f>IF(Distances!CA121&gt;0,(BZ230+Distances!CA121*1.84)*EL230*N213*2,"")</f>
        <v>109.09838000000001</v>
      </c>
      <c r="O230" s="14">
        <f>IF(Distances!CB121&gt;0,(CA230+Distances!CB121*1.84)*EM230*O213*2,"")</f>
        <v>150.33608930232555</v>
      </c>
      <c r="P230" s="14">
        <f>IF(Distances!CC121&gt;0,(CB230+Distances!CC121*1.84)*EN230*P213*2,"")</f>
        <v>141.43930418604654</v>
      </c>
      <c r="Q230" s="13" t="s">
        <v>62</v>
      </c>
      <c r="R230" s="12" t="s">
        <v>62</v>
      </c>
      <c r="S230" s="13" t="s">
        <v>62</v>
      </c>
      <c r="T230" s="13">
        <f>IF(Distances!CG121&gt;0,(CF230+Distances!CG121*1.84)*ER230*T213*2,"")</f>
        <v>182.36666</v>
      </c>
      <c r="U230" s="13">
        <f>IF(Distances!CH121&gt;0,(CG230+Distances!CH121*1.84)*ES230*U213*2,"")</f>
        <v>233.75050999999999</v>
      </c>
      <c r="V230" s="13">
        <f>IF(Distances!CI121&gt;0,(CH230+Distances!CI121*1.84)*ET230*V213*2,"")</f>
        <v>2724.5830599999999</v>
      </c>
      <c r="W230" s="13" t="s">
        <v>62</v>
      </c>
      <c r="X230" s="13">
        <f>IF(Distances!CK121&gt;0,(CJ230+Distances!CK121*1.84)*EV230*X213*2,"")</f>
        <v>1088.3682600000002</v>
      </c>
      <c r="Y230" s="13">
        <f>IF(Distances!CL121&gt;0,(CK230+Distances!CL121*1.84)*EW230*Y213*2,"")</f>
        <v>1677.5212400000003</v>
      </c>
      <c r="Z230" s="13">
        <f>IF(Distances!CM121&gt;0,(CL230+Distances!CM121*1.84)*EX230*Z213*2,"")</f>
        <v>48.040480000000002</v>
      </c>
      <c r="AA230" s="13">
        <f>IF(Distances!CN121&gt;0,(CM230+Distances!CN121*1.84)*EY230*AA213*2,"")</f>
        <v>54.159400000000005</v>
      </c>
      <c r="AB230" s="13">
        <f>IF(Distances!CO121&gt;0,(CN230+Distances!CO121*1.84)*EZ230*AB213*2,"")</f>
        <v>71.844059999999999</v>
      </c>
      <c r="AC230" s="13" t="s">
        <v>62</v>
      </c>
      <c r="AD230" s="13" t="s">
        <v>62</v>
      </c>
      <c r="AE230" s="13">
        <f>IF(Distances!CR121&gt;0,(CQ230+Distances!CR121*1.84)*FC230*AE213*2,"")</f>
        <v>134.04474000000002</v>
      </c>
      <c r="AF230" s="13">
        <f>IF(Distances!CS121&gt;0,(CR230+Distances!CS121*1.84)*FD230*AF213*2,"")</f>
        <v>233.90227999999999</v>
      </c>
      <c r="AG230" s="13">
        <f>IF(Distances!CT121&gt;0,(CS230+Distances!CT121*1.84)*FE230*AG213*2,"")</f>
        <v>192.87028000000001</v>
      </c>
      <c r="AH230" s="14">
        <f>IF(Distances!CU121&gt;0,(CT230+Distances!CU121*1.84)*FF230*AH213*2,"")</f>
        <v>47.223730285714282</v>
      </c>
      <c r="AI230" s="14" t="s">
        <v>62</v>
      </c>
      <c r="AJ230" s="14">
        <f>IF(Distances!CW121&gt;0,(CV230+Distances!CW121*1.84)*FH230*AJ213*2,"")</f>
        <v>36.345650285714278</v>
      </c>
      <c r="AK230" s="14" t="s">
        <v>62</v>
      </c>
      <c r="AL230" s="14" t="s">
        <v>62</v>
      </c>
      <c r="AM230" s="14" t="s">
        <v>62</v>
      </c>
      <c r="AN230" s="14">
        <f>IF(Distances!DA121&gt;0,(CZ230+Distances!DA121*1.84)*FL230*AN213*2,"")</f>
        <v>1114.3839908571429</v>
      </c>
      <c r="AO230" s="14" t="s">
        <v>62</v>
      </c>
      <c r="AP230" s="14" t="s">
        <v>62</v>
      </c>
      <c r="AQ230" s="14" t="s">
        <v>62</v>
      </c>
      <c r="AR230" s="14" t="s">
        <v>62</v>
      </c>
      <c r="AS230" s="14">
        <f>IF(Distances!DF121&gt;0,(DE230+Distances!DF121*1.84)*FQ230*AS213*2,"")</f>
        <v>106.41944685714286</v>
      </c>
      <c r="AT230" s="14">
        <f>IF(Distances!DG121&gt;0,(DF230+Distances!DG121*1.84)*FR230*AT213*2,"")</f>
        <v>70.296566857142849</v>
      </c>
      <c r="AU230" s="14">
        <f>IF(Distances!DH121&gt;0,(DG230+Distances!DH121*1.84)*FS230*AU213*2,"")</f>
        <v>216.336704</v>
      </c>
      <c r="AV230" s="14">
        <f>IF(Distances!DI121&gt;0,(DH230+Distances!DI121*1.84)*FT230*AV213*2,"")</f>
        <v>129.34889411764706</v>
      </c>
      <c r="AW230" s="14">
        <f>IF(Distances!DJ121&gt;0,(DI230+Distances!DJ121*1.84)*FU230*AW213*2,"")</f>
        <v>546.14052571428579</v>
      </c>
      <c r="AX230" s="14" t="s">
        <v>62</v>
      </c>
      <c r="AY230" s="14" t="s">
        <v>62</v>
      </c>
      <c r="AZ230" s="14">
        <f>IF(Distances!DM121&gt;0,(DL230+Distances!DM121*1.84)*FX230*AZ213*2,"")</f>
        <v>169.66699636363637</v>
      </c>
      <c r="BA230" s="14" t="s">
        <v>62</v>
      </c>
      <c r="BB230" s="13" t="s">
        <v>62</v>
      </c>
      <c r="BC230" s="14" t="s">
        <v>62</v>
      </c>
      <c r="BD230" s="14">
        <f>IF(Distances!DQ121&gt;0,(DP230+Distances!DQ121*1.84)*GB230*BD213*2,"")</f>
        <v>562.27605942857144</v>
      </c>
      <c r="BE230" s="14" t="s">
        <v>62</v>
      </c>
      <c r="BF230" s="13">
        <f>IF(Distances!DS121&gt;0,(DR230+Distances!DS121*1.84)*GD230*BF213*2,"")</f>
        <v>294.34204</v>
      </c>
      <c r="BG230" s="13">
        <f>IF(Distances!DT121&gt;0,(DS230+Distances!DT121*1.84)*GE230*BG213*2,"")</f>
        <v>106.81084000000001</v>
      </c>
      <c r="BH230" s="14">
        <f>IF(Distances!DU121&gt;0,(DT230+Distances!DU121*1.84)*GF230*BH213*2,"")</f>
        <v>139.84550697674419</v>
      </c>
      <c r="BI230" s="14">
        <f>IF(Distances!DV121&gt;0,(DU230+Distances!DV121*1.84)*GG230*BI213*2,"")</f>
        <v>86.769711627906986</v>
      </c>
      <c r="BJ230" s="15">
        <f>IF(Distances!DW121&gt;0,(DV230+Distances!DW121*1.84)*GH230*BJ213*2,"")</f>
        <v>157.49417674418603</v>
      </c>
      <c r="BM230" s="35" t="s">
        <v>17</v>
      </c>
      <c r="BN230" s="16">
        <v>965.67239999999993</v>
      </c>
      <c r="BO230" s="14">
        <v>1262.8223999999998</v>
      </c>
      <c r="BP230" s="14">
        <v>774.5136</v>
      </c>
      <c r="BQ230" s="14">
        <v>774.5136</v>
      </c>
      <c r="BR230" s="14">
        <v>820.46999999999991</v>
      </c>
      <c r="BS230" s="14">
        <v>2570.2739999999999</v>
      </c>
      <c r="BT230" s="14">
        <v>2666.6976</v>
      </c>
      <c r="BU230" s="14">
        <v>2570.2739999999999</v>
      </c>
      <c r="BV230" s="14">
        <v>805.14839999999992</v>
      </c>
      <c r="BW230" s="14">
        <v>805.14839999999992</v>
      </c>
      <c r="BX230" s="14">
        <v>2692.83</v>
      </c>
      <c r="BY230" s="14">
        <v>2692.83</v>
      </c>
      <c r="BZ230" s="14">
        <v>1337.7755999999999</v>
      </c>
      <c r="CA230" s="14">
        <v>1495.6368</v>
      </c>
      <c r="CB230" s="14">
        <v>2076.9756000000002</v>
      </c>
      <c r="CC230" s="13">
        <v>712.44599999999991</v>
      </c>
      <c r="CD230" s="12">
        <v>0</v>
      </c>
      <c r="CE230" s="13">
        <v>725.86919999999998</v>
      </c>
      <c r="CF230" s="13">
        <v>692.31119999999999</v>
      </c>
      <c r="CG230" s="13">
        <v>761.82119999999998</v>
      </c>
      <c r="CH230" s="13">
        <v>967.4867999999999</v>
      </c>
      <c r="CI230" s="13">
        <v>701.54279999999994</v>
      </c>
      <c r="CJ230" s="13">
        <v>487.84679999999997</v>
      </c>
      <c r="CK230" s="13">
        <v>692.31119999999999</v>
      </c>
      <c r="CL230" s="13">
        <v>829.61759999999992</v>
      </c>
      <c r="CM230" s="13">
        <v>814.548</v>
      </c>
      <c r="CN230" s="13">
        <v>784.41719999999998</v>
      </c>
      <c r="CO230" s="13">
        <v>776.89080000000001</v>
      </c>
      <c r="CP230" s="13">
        <v>487.84679999999997</v>
      </c>
      <c r="CQ230" s="13">
        <v>967.4867999999999</v>
      </c>
      <c r="CR230" s="13">
        <v>967.4867999999999</v>
      </c>
      <c r="CS230" s="13">
        <v>967.4867999999999</v>
      </c>
      <c r="CT230" s="14">
        <v>1602.8123999999998</v>
      </c>
      <c r="CU230" s="14">
        <v>1812.5352</v>
      </c>
      <c r="CV230" s="14">
        <v>1602.8123999999998</v>
      </c>
      <c r="CW230" s="14">
        <v>1865.2956000000001</v>
      </c>
      <c r="CX230" s="14">
        <v>1506.3468</v>
      </c>
      <c r="CY230" s="14">
        <v>1506.3468</v>
      </c>
      <c r="CZ230" s="14">
        <v>1506.3468</v>
      </c>
      <c r="DA230" s="14">
        <v>1266.2328</v>
      </c>
      <c r="DB230" s="14">
        <v>1290.7944</v>
      </c>
      <c r="DC230" s="14">
        <v>1497.7703999999999</v>
      </c>
      <c r="DD230" s="14">
        <v>1241.9148</v>
      </c>
      <c r="DE230" s="14">
        <v>1241.9148</v>
      </c>
      <c r="DF230" s="14">
        <v>1241.9148</v>
      </c>
      <c r="DG230" s="14">
        <v>1289.9123999999999</v>
      </c>
      <c r="DH230" s="14">
        <v>907.4351999999999</v>
      </c>
      <c r="DI230" s="14">
        <v>907.4351999999999</v>
      </c>
      <c r="DJ230" s="14">
        <v>1314.4656</v>
      </c>
      <c r="DK230" s="14">
        <v>0</v>
      </c>
      <c r="DL230" s="14">
        <v>3776.0183999999999</v>
      </c>
      <c r="DM230" s="14">
        <v>1036.7112</v>
      </c>
      <c r="DN230" s="13">
        <v>890.49239999999986</v>
      </c>
      <c r="DO230" s="14">
        <v>1228.5419999999999</v>
      </c>
      <c r="DP230" s="14">
        <v>1314.4656</v>
      </c>
      <c r="DQ230" s="14">
        <v>1302.1931999999999</v>
      </c>
      <c r="DR230" s="13">
        <v>1510.2444</v>
      </c>
      <c r="DS230" s="13">
        <v>1046.3964000000001</v>
      </c>
      <c r="DT230" s="14">
        <v>2831.7239999999997</v>
      </c>
      <c r="DU230" s="14">
        <v>2122.1759999999999</v>
      </c>
      <c r="DV230" s="15">
        <v>2122.1759999999999</v>
      </c>
      <c r="DY230" s="35" t="s">
        <v>17</v>
      </c>
      <c r="DZ230" s="16">
        <v>6.2500000000000003E-3</v>
      </c>
      <c r="EA230" s="14">
        <v>6.2500000000000003E-3</v>
      </c>
      <c r="EB230" s="14">
        <v>6.2500000000000003E-3</v>
      </c>
      <c r="EC230" s="14">
        <v>6.2500000000000003E-3</v>
      </c>
      <c r="ED230" s="14">
        <v>6.2500000000000003E-3</v>
      </c>
      <c r="EE230" s="14">
        <v>6.2500000000000003E-3</v>
      </c>
      <c r="EF230" s="14">
        <v>6.2500000000000003E-3</v>
      </c>
      <c r="EG230" s="14">
        <v>6.2500000000000003E-3</v>
      </c>
      <c r="EH230" s="14">
        <v>6.2500000000000003E-3</v>
      </c>
      <c r="EI230" s="14">
        <v>6.2500000000000003E-3</v>
      </c>
      <c r="EJ230" s="14">
        <v>6.2500000000000003E-3</v>
      </c>
      <c r="EK230" s="14">
        <v>6.2500000000000003E-3</v>
      </c>
      <c r="EL230" s="14">
        <v>6.2500000000000003E-3</v>
      </c>
      <c r="EM230" s="14">
        <v>4.6511627906976744E-3</v>
      </c>
      <c r="EN230" s="14">
        <v>4.6511627906976744E-3</v>
      </c>
      <c r="EO230" s="13">
        <f>0.2/16</f>
        <v>1.2500000000000001E-2</v>
      </c>
      <c r="EP230" s="12">
        <v>0.6</v>
      </c>
      <c r="EQ230" s="13">
        <f t="shared" si="84"/>
        <v>1.2500000000000001E-2</v>
      </c>
      <c r="ER230" s="13">
        <f t="shared" si="84"/>
        <v>1.2500000000000001E-2</v>
      </c>
      <c r="ES230" s="13">
        <f t="shared" si="84"/>
        <v>1.2500000000000001E-2</v>
      </c>
      <c r="ET230" s="13">
        <f t="shared" si="84"/>
        <v>1.2500000000000001E-2</v>
      </c>
      <c r="EU230" s="13">
        <f t="shared" si="84"/>
        <v>1.2500000000000001E-2</v>
      </c>
      <c r="EV230" s="13">
        <f t="shared" si="84"/>
        <v>1.2500000000000001E-2</v>
      </c>
      <c r="EW230" s="13">
        <f t="shared" si="84"/>
        <v>1.2500000000000001E-2</v>
      </c>
      <c r="EX230" s="13">
        <f t="shared" si="84"/>
        <v>1.2500000000000001E-2</v>
      </c>
      <c r="EY230" s="13">
        <f t="shared" si="84"/>
        <v>1.2500000000000001E-2</v>
      </c>
      <c r="EZ230" s="13">
        <f t="shared" si="84"/>
        <v>1.2500000000000001E-2</v>
      </c>
      <c r="FA230" s="13">
        <f t="shared" si="84"/>
        <v>1.2500000000000001E-2</v>
      </c>
      <c r="FB230" s="13">
        <f t="shared" si="84"/>
        <v>1.2500000000000001E-2</v>
      </c>
      <c r="FC230" s="13">
        <f t="shared" si="84"/>
        <v>1.2500000000000001E-2</v>
      </c>
      <c r="FD230" s="13">
        <f t="shared" si="84"/>
        <v>1.2500000000000001E-2</v>
      </c>
      <c r="FE230" s="13">
        <f t="shared" si="84"/>
        <v>1.2500000000000001E-2</v>
      </c>
      <c r="FF230" s="14">
        <v>5.7142857142857143E-3</v>
      </c>
      <c r="FG230" s="14">
        <v>5.7142857142857143E-3</v>
      </c>
      <c r="FH230" s="14">
        <v>5.7142857142857143E-3</v>
      </c>
      <c r="FI230" s="14">
        <v>5.7142857142857143E-3</v>
      </c>
      <c r="FJ230" s="14">
        <v>5.7142857142857143E-3</v>
      </c>
      <c r="FK230" s="14">
        <v>5.7142857142857143E-3</v>
      </c>
      <c r="FL230" s="14">
        <v>5.7142857142857143E-3</v>
      </c>
      <c r="FM230" s="14">
        <v>4.7619047619047623E-3</v>
      </c>
      <c r="FN230" s="14">
        <v>4.7619047619047623E-3</v>
      </c>
      <c r="FO230" s="14">
        <v>4.7619047619047623E-3</v>
      </c>
      <c r="FP230" s="14">
        <v>5.7142857142857143E-3</v>
      </c>
      <c r="FQ230" s="14">
        <v>5.7142857142857143E-3</v>
      </c>
      <c r="FR230" s="14">
        <v>5.7142857142857143E-3</v>
      </c>
      <c r="FS230" s="14">
        <v>5.7142857142857143E-3</v>
      </c>
      <c r="FT230" s="14">
        <v>5.8823529411764705E-3</v>
      </c>
      <c r="FU230" s="14">
        <v>5.7142857142857143E-3</v>
      </c>
      <c r="FV230" s="14">
        <v>5.7142857142857143E-3</v>
      </c>
      <c r="FW230" s="14">
        <v>4.5454545454545461E-3</v>
      </c>
      <c r="FX230" s="14">
        <v>4.5454545454545461E-3</v>
      </c>
      <c r="FY230" s="14">
        <v>5.7142857142857143E-3</v>
      </c>
      <c r="FZ230" s="13">
        <f t="shared" si="85"/>
        <v>1.2500000000000001E-2</v>
      </c>
      <c r="GA230" s="14">
        <v>5.7142857142857143E-3</v>
      </c>
      <c r="GB230" s="14">
        <v>5.7142857142857143E-3</v>
      </c>
      <c r="GC230" s="14">
        <v>5.7142857142857143E-3</v>
      </c>
      <c r="GD230" s="13">
        <f t="shared" si="86"/>
        <v>1.2500000000000001E-2</v>
      </c>
      <c r="GE230" s="13">
        <f t="shared" si="86"/>
        <v>1.2500000000000001E-2</v>
      </c>
      <c r="GF230" s="14">
        <v>4.6511627906976744E-3</v>
      </c>
      <c r="GG230" s="14">
        <v>4.6511627906976744E-3</v>
      </c>
      <c r="GH230" s="15">
        <v>4.6511627906976744E-3</v>
      </c>
    </row>
    <row r="231" spans="1:190" x14ac:dyDescent="0.3">
      <c r="A231" s="35" t="s">
        <v>18</v>
      </c>
      <c r="B231" s="16" t="s">
        <v>62</v>
      </c>
      <c r="C231" s="14" t="s">
        <v>62</v>
      </c>
      <c r="D231" s="14">
        <f>IF(Distances!BQ122&gt;0,(BP231+Distances!BQ122*1.84)*EB231*D213*2,"")</f>
        <v>10956.858750000001</v>
      </c>
      <c r="E231" s="14" t="s">
        <v>62</v>
      </c>
      <c r="F231" s="14">
        <f>IF(Distances!BS122&gt;0,(BR231+Distances!BS122*1.84)*ED231*F213*2,"")</f>
        <v>2423.4970200000002</v>
      </c>
      <c r="G231" s="14">
        <f>IF(Distances!BT122&gt;0,(BS231+Distances!BT122*1.84)*EE231*G213*2,"")</f>
        <v>14279.868839999999</v>
      </c>
      <c r="H231" s="14" t="s">
        <v>62</v>
      </c>
      <c r="I231" s="14" t="s">
        <v>62</v>
      </c>
      <c r="J231" s="14">
        <f>IF(Distances!BW122&gt;0,(BV231+Distances!BW122*1.84)*EH231*J213*2,"")</f>
        <v>91.389719999999997</v>
      </c>
      <c r="K231" s="14" t="s">
        <v>62</v>
      </c>
      <c r="L231" s="14">
        <f>IF(Distances!BY122&gt;0,(BX231+Distances!BY122*1.84)*EJ231*L213*2,"")</f>
        <v>227.80982</v>
      </c>
      <c r="M231" s="14" t="s">
        <v>62</v>
      </c>
      <c r="N231" s="14">
        <f>IF(Distances!CA122&gt;0,(BZ231+Distances!CA122*1.84)*EL231*N213*2,"")</f>
        <v>111.00812000000002</v>
      </c>
      <c r="O231" s="14">
        <f>IF(Distances!CB122&gt;0,(CA231+Distances!CB122*1.84)*EM231*O213*2,"")</f>
        <v>153.11691906976742</v>
      </c>
      <c r="P231" s="14">
        <f>IF(Distances!CC122&gt;0,(CB231+Distances!CC122*1.84)*EN231*P213*2,"")</f>
        <v>145.30150697674415</v>
      </c>
      <c r="Q231" s="13" t="s">
        <v>62</v>
      </c>
      <c r="R231" s="13" t="s">
        <v>62</v>
      </c>
      <c r="S231" s="12" t="s">
        <v>62</v>
      </c>
      <c r="T231" s="13">
        <f>IF(Distances!CG122&gt;0,(CF231+Distances!CG122*1.84)*ER231*T213*2,"")</f>
        <v>185.82263000000006</v>
      </c>
      <c r="U231" s="13">
        <f>IF(Distances!CH122&gt;0,(CG231+Distances!CH122*1.84)*ES231*U213*2,"")</f>
        <v>237.55487000000002</v>
      </c>
      <c r="V231" s="13">
        <f>IF(Distances!CI122&gt;0,(CH231+Distances!CI122*1.84)*ET231*V213*2,"")</f>
        <v>2764.6187200000004</v>
      </c>
      <c r="W231" s="13" t="s">
        <v>62</v>
      </c>
      <c r="X231" s="13">
        <f>IF(Distances!CK122&gt;0,(CJ231+Distances!CK122*1.84)*EV231*X213*2,"")</f>
        <v>1108.5383400000001</v>
      </c>
      <c r="Y231" s="13">
        <f>IF(Distances!CL122&gt;0,(CK231+Distances!CL122*1.84)*EW231*Y213*2,"")</f>
        <v>1706.15642</v>
      </c>
      <c r="Z231" s="13">
        <f>IF(Distances!CM122&gt;0,(CL231+Distances!CM122*1.84)*EX231*Z213*2,"")</f>
        <v>49.224040000000002</v>
      </c>
      <c r="AA231" s="13">
        <f>IF(Distances!CN122&gt;0,(CM231+Distances!CN122*1.84)*EY231*AA213*2,"")</f>
        <v>55.321540000000006</v>
      </c>
      <c r="AB231" s="13">
        <f>IF(Distances!CO122&gt;0,(CN231+Distances!CO122*1.84)*EZ231*AB213*2,"")</f>
        <v>72.963360000000009</v>
      </c>
      <c r="AC231" s="13" t="s">
        <v>62</v>
      </c>
      <c r="AD231" s="13" t="s">
        <v>62</v>
      </c>
      <c r="AE231" s="13">
        <f>IF(Distances!CR122&gt;0,(CQ231+Distances!CR122*1.84)*FC231*AE213*2,"")</f>
        <v>135.42528000000001</v>
      </c>
      <c r="AF231" s="13">
        <f>IF(Distances!CS122&gt;0,(CR231+Distances!CS122*1.84)*FD231*AF213*2,"")</f>
        <v>236.66336000000001</v>
      </c>
      <c r="AG231" s="13">
        <f>IF(Distances!CT122&gt;0,(CS231+Distances!CT122*1.84)*FE231*AG213*2,"")</f>
        <v>195.63136</v>
      </c>
      <c r="AH231" s="14">
        <f>IF(Distances!CU122&gt;0,(CT231+Distances!CU122*1.84)*FF231*AH213*2,"")</f>
        <v>47.746738285714287</v>
      </c>
      <c r="AI231" s="14" t="s">
        <v>62</v>
      </c>
      <c r="AJ231" s="14">
        <f>IF(Distances!CW122&gt;0,(CV231+Distances!CW122*1.84)*FH231*AJ213*2,"")</f>
        <v>36.868658285714282</v>
      </c>
      <c r="AK231" s="14" t="s">
        <v>62</v>
      </c>
      <c r="AL231" s="14" t="s">
        <v>62</v>
      </c>
      <c r="AM231" s="14" t="s">
        <v>62</v>
      </c>
      <c r="AN231" s="14">
        <f>IF(Distances!DA122&gt;0,(CZ231+Distances!DA122*1.84)*FL231*AN213*2,"")</f>
        <v>1140.926070857143</v>
      </c>
      <c r="AO231" s="14" t="s">
        <v>62</v>
      </c>
      <c r="AP231" s="14" t="s">
        <v>62</v>
      </c>
      <c r="AQ231" s="14" t="s">
        <v>62</v>
      </c>
      <c r="AR231" s="14" t="s">
        <v>62</v>
      </c>
      <c r="AS231" s="14">
        <f>IF(Distances!DF122&gt;0,(DE231+Distances!DF122*1.84)*FQ231*AS213*2,"")</f>
        <v>107.22968685714287</v>
      </c>
      <c r="AT231" s="14">
        <f>IF(Distances!DG122&gt;0,(DF231+Distances!DG122*1.84)*FR231*AT213*2,"")</f>
        <v>71.106806857142857</v>
      </c>
      <c r="AU231" s="14">
        <f>IF(Distances!DH122&gt;0,(DG231+Distances!DH122*1.84)*FS231*AU213*2,"")</f>
        <v>222.22880000000001</v>
      </c>
      <c r="AV231" s="14">
        <f>IF(Distances!DI122&gt;0,(DH231+Distances!DI122*1.84)*FT231*AV213*2,"")</f>
        <v>130.87225882352942</v>
      </c>
      <c r="AW231" s="14">
        <f>IF(Distances!DJ122&gt;0,(DI231+Distances!DJ122*1.84)*FU231*AW213*2,"")</f>
        <v>547.62036571428575</v>
      </c>
      <c r="AX231" s="14" t="s">
        <v>62</v>
      </c>
      <c r="AY231" s="14" t="s">
        <v>62</v>
      </c>
      <c r="AZ231" s="14">
        <f>IF(Distances!DM122&gt;0,(DL231+Distances!DM122*1.84)*FX231*AZ213*2,"")</f>
        <v>173.58903272727272</v>
      </c>
      <c r="BA231" s="14" t="s">
        <v>62</v>
      </c>
      <c r="BB231" s="13" t="s">
        <v>62</v>
      </c>
      <c r="BC231" s="14" t="s">
        <v>62</v>
      </c>
      <c r="BD231" s="14">
        <f>IF(Distances!DQ122&gt;0,(DP231+Distances!DQ122*1.84)*GB231*BD213*2,"")</f>
        <v>576.00175542857141</v>
      </c>
      <c r="BE231" s="14" t="s">
        <v>62</v>
      </c>
      <c r="BF231" s="13">
        <f>IF(Distances!DS122&gt;0,(DR231+Distances!DS122*1.84)*GD231*BF213*2,"")</f>
        <v>298.65375999999998</v>
      </c>
      <c r="BG231" s="13">
        <f>IF(Distances!DT122&gt;0,(DS231+Distances!DT122*1.84)*GE231*BG213*2,"")</f>
        <v>109.79787999999999</v>
      </c>
      <c r="BH231" s="14">
        <f>IF(Distances!DU122&gt;0,(DT231+Distances!DU122*1.84)*GF231*BH213*2,"")</f>
        <v>142.85512930232559</v>
      </c>
      <c r="BI231" s="14">
        <f>IF(Distances!DV122&gt;0,(DU231+Distances!DV122*1.84)*GG231*BI213*2,"")</f>
        <v>89.024818604651173</v>
      </c>
      <c r="BJ231" s="15">
        <f>IF(Distances!DW122&gt;0,(DV231+Distances!DW122*1.84)*GH231*BJ213*2,"")</f>
        <v>159.74928372093026</v>
      </c>
      <c r="BM231" s="35" t="s">
        <v>18</v>
      </c>
      <c r="BN231" s="16">
        <v>993.2328</v>
      </c>
      <c r="BO231" s="14">
        <v>1298.8668</v>
      </c>
      <c r="BP231" s="14">
        <v>796.61400000000003</v>
      </c>
      <c r="BQ231" s="14">
        <v>796.61400000000003</v>
      </c>
      <c r="BR231" s="14">
        <v>843.88080000000002</v>
      </c>
      <c r="BS231" s="14">
        <v>2643.6815999999999</v>
      </c>
      <c r="BT231" s="14">
        <v>2742.8604</v>
      </c>
      <c r="BU231" s="14">
        <v>2643.6815999999999</v>
      </c>
      <c r="BV231" s="14">
        <v>828.12239999999997</v>
      </c>
      <c r="BW231" s="14">
        <v>828.12239999999997</v>
      </c>
      <c r="BX231" s="14">
        <v>2769.7403999999997</v>
      </c>
      <c r="BY231" s="14">
        <v>2769.7403999999997</v>
      </c>
      <c r="BZ231" s="14">
        <v>1375.9703999999999</v>
      </c>
      <c r="CA231" s="14">
        <v>1538.3423999999998</v>
      </c>
      <c r="CB231" s="14">
        <v>2136.2879999999996</v>
      </c>
      <c r="CC231" s="13">
        <v>732.774</v>
      </c>
      <c r="CD231" s="13">
        <v>725.86919999999998</v>
      </c>
      <c r="CE231" s="12">
        <v>0</v>
      </c>
      <c r="CF231" s="13">
        <v>712.05960000000005</v>
      </c>
      <c r="CG231" s="13">
        <v>783.56039999999996</v>
      </c>
      <c r="CH231" s="13">
        <v>995.09760000000006</v>
      </c>
      <c r="CI231" s="13">
        <v>718.96439999999996</v>
      </c>
      <c r="CJ231" s="13">
        <v>501.75720000000001</v>
      </c>
      <c r="CK231" s="13">
        <v>712.05960000000005</v>
      </c>
      <c r="CL231" s="13">
        <v>853.28880000000004</v>
      </c>
      <c r="CM231" s="13">
        <v>837.79079999999999</v>
      </c>
      <c r="CN231" s="13">
        <v>806.80319999999995</v>
      </c>
      <c r="CO231" s="13">
        <v>799.05840000000001</v>
      </c>
      <c r="CP231" s="13">
        <v>501.75720000000001</v>
      </c>
      <c r="CQ231" s="13">
        <v>995.09760000000006</v>
      </c>
      <c r="CR231" s="13">
        <v>995.09760000000006</v>
      </c>
      <c r="CS231" s="13">
        <v>995.09760000000006</v>
      </c>
      <c r="CT231" s="14">
        <v>1648.5755999999999</v>
      </c>
      <c r="CU231" s="14">
        <v>1864.2875999999999</v>
      </c>
      <c r="CV231" s="14">
        <v>1648.5755999999999</v>
      </c>
      <c r="CW231" s="14">
        <v>1918.56</v>
      </c>
      <c r="CX231" s="14">
        <v>1549.3548000000001</v>
      </c>
      <c r="CY231" s="14">
        <v>1549.3548000000001</v>
      </c>
      <c r="CZ231" s="14">
        <v>1549.3548000000001</v>
      </c>
      <c r="DA231" s="14">
        <v>1302.3779999999999</v>
      </c>
      <c r="DB231" s="14">
        <v>1327.6451999999999</v>
      </c>
      <c r="DC231" s="14">
        <v>1540.5347999999999</v>
      </c>
      <c r="DD231" s="14">
        <v>1277.3628000000001</v>
      </c>
      <c r="DE231" s="14">
        <v>1277.3628000000001</v>
      </c>
      <c r="DF231" s="14">
        <v>1277.3628000000001</v>
      </c>
      <c r="DG231" s="14">
        <v>1326.7380000000001</v>
      </c>
      <c r="DH231" s="14">
        <v>933.33239999999989</v>
      </c>
      <c r="DI231" s="14">
        <v>933.33239999999989</v>
      </c>
      <c r="DJ231" s="14">
        <v>1351.9967999999999</v>
      </c>
      <c r="DK231" s="14">
        <v>0</v>
      </c>
      <c r="DL231" s="14">
        <v>3883.8743999999997</v>
      </c>
      <c r="DM231" s="14">
        <v>1066.3044</v>
      </c>
      <c r="DN231" s="13">
        <v>915.90239999999983</v>
      </c>
      <c r="DO231" s="14">
        <v>1263.6119999999999</v>
      </c>
      <c r="DP231" s="14">
        <v>1351.9967999999999</v>
      </c>
      <c r="DQ231" s="14">
        <v>1339.3715999999999</v>
      </c>
      <c r="DR231" s="13">
        <v>1553.3616</v>
      </c>
      <c r="DS231" s="13">
        <v>1076.2667999999999</v>
      </c>
      <c r="DT231" s="14">
        <v>2912.6075999999998</v>
      </c>
      <c r="DU231" s="14">
        <v>2182.7820000000002</v>
      </c>
      <c r="DV231" s="15">
        <v>2182.7820000000002</v>
      </c>
      <c r="DY231" s="35" t="s">
        <v>18</v>
      </c>
      <c r="DZ231" s="16">
        <v>6.2500000000000003E-3</v>
      </c>
      <c r="EA231" s="14">
        <v>6.2500000000000003E-3</v>
      </c>
      <c r="EB231" s="14">
        <v>6.2500000000000003E-3</v>
      </c>
      <c r="EC231" s="14">
        <v>6.2500000000000003E-3</v>
      </c>
      <c r="ED231" s="14">
        <v>6.2500000000000003E-3</v>
      </c>
      <c r="EE231" s="14">
        <v>6.2500000000000003E-3</v>
      </c>
      <c r="EF231" s="14">
        <v>6.2500000000000003E-3</v>
      </c>
      <c r="EG231" s="14">
        <v>6.2500000000000003E-3</v>
      </c>
      <c r="EH231" s="14">
        <v>6.2500000000000003E-3</v>
      </c>
      <c r="EI231" s="14">
        <v>6.2500000000000003E-3</v>
      </c>
      <c r="EJ231" s="14">
        <v>6.2500000000000003E-3</v>
      </c>
      <c r="EK231" s="14">
        <v>6.2500000000000003E-3</v>
      </c>
      <c r="EL231" s="14">
        <v>6.2500000000000003E-3</v>
      </c>
      <c r="EM231" s="14">
        <v>4.6511627906976744E-3</v>
      </c>
      <c r="EN231" s="14">
        <v>4.6511627906976744E-3</v>
      </c>
      <c r="EO231" s="13">
        <f t="shared" ref="EO231:FC245" si="87">0.2/16</f>
        <v>1.2500000000000001E-2</v>
      </c>
      <c r="EP231" s="13">
        <f t="shared" si="87"/>
        <v>1.2500000000000001E-2</v>
      </c>
      <c r="EQ231" s="12">
        <v>0.6</v>
      </c>
      <c r="ER231" s="13">
        <f t="shared" si="84"/>
        <v>1.2500000000000001E-2</v>
      </c>
      <c r="ES231" s="13">
        <f t="shared" si="84"/>
        <v>1.2500000000000001E-2</v>
      </c>
      <c r="ET231" s="13">
        <f t="shared" si="84"/>
        <v>1.2500000000000001E-2</v>
      </c>
      <c r="EU231" s="13">
        <f t="shared" si="84"/>
        <v>1.2500000000000001E-2</v>
      </c>
      <c r="EV231" s="13">
        <f t="shared" si="84"/>
        <v>1.2500000000000001E-2</v>
      </c>
      <c r="EW231" s="13">
        <f t="shared" si="84"/>
        <v>1.2500000000000001E-2</v>
      </c>
      <c r="EX231" s="13">
        <f t="shared" si="84"/>
        <v>1.2500000000000001E-2</v>
      </c>
      <c r="EY231" s="13">
        <f t="shared" si="84"/>
        <v>1.2500000000000001E-2</v>
      </c>
      <c r="EZ231" s="13">
        <f t="shared" si="84"/>
        <v>1.2500000000000001E-2</v>
      </c>
      <c r="FA231" s="13">
        <f t="shared" si="84"/>
        <v>1.2500000000000001E-2</v>
      </c>
      <c r="FB231" s="13">
        <f t="shared" si="84"/>
        <v>1.2500000000000001E-2</v>
      </c>
      <c r="FC231" s="13">
        <f t="shared" si="84"/>
        <v>1.2500000000000001E-2</v>
      </c>
      <c r="FD231" s="13">
        <f t="shared" si="84"/>
        <v>1.2500000000000001E-2</v>
      </c>
      <c r="FE231" s="13">
        <f t="shared" si="84"/>
        <v>1.2500000000000001E-2</v>
      </c>
      <c r="FF231" s="14">
        <v>5.7142857142857143E-3</v>
      </c>
      <c r="FG231" s="14">
        <v>5.7142857142857143E-3</v>
      </c>
      <c r="FH231" s="14">
        <v>5.7142857142857143E-3</v>
      </c>
      <c r="FI231" s="14">
        <v>5.7142857142857143E-3</v>
      </c>
      <c r="FJ231" s="14">
        <v>5.7142857142857143E-3</v>
      </c>
      <c r="FK231" s="14">
        <v>5.7142857142857143E-3</v>
      </c>
      <c r="FL231" s="14">
        <v>5.7142857142857143E-3</v>
      </c>
      <c r="FM231" s="14">
        <v>4.7619047619047623E-3</v>
      </c>
      <c r="FN231" s="14">
        <v>4.7619047619047623E-3</v>
      </c>
      <c r="FO231" s="14">
        <v>4.7619047619047623E-3</v>
      </c>
      <c r="FP231" s="14">
        <v>5.7142857142857143E-3</v>
      </c>
      <c r="FQ231" s="14">
        <v>5.7142857142857143E-3</v>
      </c>
      <c r="FR231" s="14">
        <v>5.7142857142857143E-3</v>
      </c>
      <c r="FS231" s="14">
        <v>5.7142857142857143E-3</v>
      </c>
      <c r="FT231" s="14">
        <v>5.8823529411764705E-3</v>
      </c>
      <c r="FU231" s="14">
        <v>5.7142857142857143E-3</v>
      </c>
      <c r="FV231" s="14">
        <v>5.7142857142857143E-3</v>
      </c>
      <c r="FW231" s="14">
        <v>4.5454545454545461E-3</v>
      </c>
      <c r="FX231" s="14">
        <v>4.5454545454545461E-3</v>
      </c>
      <c r="FY231" s="14">
        <v>5.7142857142857143E-3</v>
      </c>
      <c r="FZ231" s="13">
        <f t="shared" si="85"/>
        <v>1.2500000000000001E-2</v>
      </c>
      <c r="GA231" s="14">
        <v>5.7142857142857143E-3</v>
      </c>
      <c r="GB231" s="14">
        <v>5.7142857142857143E-3</v>
      </c>
      <c r="GC231" s="14">
        <v>5.7142857142857143E-3</v>
      </c>
      <c r="GD231" s="13">
        <f t="shared" si="86"/>
        <v>1.2500000000000001E-2</v>
      </c>
      <c r="GE231" s="13">
        <f t="shared" si="86"/>
        <v>1.2500000000000001E-2</v>
      </c>
      <c r="GF231" s="14">
        <v>4.6511627906976744E-3</v>
      </c>
      <c r="GG231" s="14">
        <v>4.6511627906976744E-3</v>
      </c>
      <c r="GH231" s="15">
        <v>4.6511627906976744E-3</v>
      </c>
    </row>
    <row r="232" spans="1:190" x14ac:dyDescent="0.3">
      <c r="A232" s="35" t="s">
        <v>19</v>
      </c>
      <c r="B232" s="16">
        <f>IF(Distances!BO123&gt;0,(BN232+Distances!BO123*1.84)*DZ232*B213*2,"")</f>
        <v>3275.1411400000002</v>
      </c>
      <c r="C232" s="14">
        <f>IF(Distances!BP123&gt;0,(BO232+Distances!BP123*1.84)*EA232*C213*2,"")</f>
        <v>4011.1281400000003</v>
      </c>
      <c r="D232" s="14">
        <f>IF(Distances!BQ123&gt;0,(BP232+Distances!BQ123*1.84)*EB232*D213*2,"")</f>
        <v>11747.057500000001</v>
      </c>
      <c r="E232" s="14">
        <f>IF(Distances!BR123&gt;0,(BQ232+Distances!BR123*1.84)*EC232*E213*2,"")</f>
        <v>2801.6490999999996</v>
      </c>
      <c r="F232" s="14">
        <f>IF(Distances!BS123&gt;0,(BR232+Distances!BS123*1.84)*ED232*F213*2,"")</f>
        <v>3208.15996</v>
      </c>
      <c r="G232" s="14">
        <f>IF(Distances!BT123&gt;0,(BS232+Distances!BT123*1.84)*EE232*G213*2,"")</f>
        <v>14854.149789999999</v>
      </c>
      <c r="H232" s="14">
        <f>IF(Distances!BU123&gt;0,(BT232+Distances!BU123*1.84)*EF232*H213*2,"")</f>
        <v>7489.0378899999996</v>
      </c>
      <c r="I232" s="14">
        <f>IF(Distances!BV123&gt;0,(BU232+Distances!BV123*1.84)*EG232*I213*2,"")</f>
        <v>7249.5769900000005</v>
      </c>
      <c r="J232" s="14">
        <f>IF(Distances!BW123&gt;0,(BV232+Distances!BW123*1.84)*EH232*J213*2,"")</f>
        <v>106.96455999999999</v>
      </c>
      <c r="K232" s="14">
        <f>IF(Distances!BX123&gt;0,(BW232+Distances!BX123*1.84)*EI232*K213*2,"")</f>
        <v>56.98096000000001</v>
      </c>
      <c r="L232" s="14">
        <f>IF(Distances!BY123&gt;0,(BX232+Distances!BY123*1.84)*EJ232*L213*2,"")</f>
        <v>238.88982000000001</v>
      </c>
      <c r="M232" s="14">
        <f>IF(Distances!BZ123&gt;0,(BY232+Distances!BZ123*1.84)*EK232*M213*2,"")</f>
        <v>149.56702000000001</v>
      </c>
      <c r="N232" s="14">
        <f>IF(Distances!CA123&gt;0,(BZ232+Distances!CA123*1.84)*EL232*N213*2,"")</f>
        <v>125.31456000000001</v>
      </c>
      <c r="O232" s="14">
        <f>IF(Distances!CB123&gt;0,(CA232+Distances!CB123*1.84)*EM232*O213*2,"")</f>
        <v>171.2590176744186</v>
      </c>
      <c r="P232" s="14">
        <f>IF(Distances!CC123&gt;0,(CB232+Distances!CC123*1.84)*EN232*P213*2,"")</f>
        <v>161.64077023255814</v>
      </c>
      <c r="Q232" s="13">
        <f>IF(Distances!CD123&gt;0,(CC232+Distances!CD123*1.84)*EO232*Q213*2,"")</f>
        <v>1310.8510000000003</v>
      </c>
      <c r="R232" s="13">
        <f>IF(Distances!CE123&gt;0,(CD232+Distances!CE123*1.84)*EP232*R213*2,"")</f>
        <v>1302.6189999999999</v>
      </c>
      <c r="S232" s="13">
        <f>IF(Distances!CF123&gt;0,(CE232+Distances!CF123*1.84)*EQ232*S213*2,"")</f>
        <v>1327.3045000000004</v>
      </c>
      <c r="T232" s="12" t="s">
        <v>62</v>
      </c>
      <c r="U232" s="13">
        <f>IF(Distances!CH123&gt;0,(CG232+Distances!CH123*1.84)*ES232*U213*2,"")</f>
        <v>292.42696000000001</v>
      </c>
      <c r="V232" s="13">
        <f>IF(Distances!CI123&gt;0,(CH232+Distances!CI123*1.84)*ET232*V213*2,"")</f>
        <v>3205.0713000000005</v>
      </c>
      <c r="W232" s="13">
        <f>IF(Distances!CJ123&gt;0,(CI232+Distances!CJ123*1.84)*EU232*W213*2,"")</f>
        <v>1501.4889199999998</v>
      </c>
      <c r="X232" s="13">
        <f>IF(Distances!CK123&gt;0,(CJ232+Distances!CK123*1.84)*EV232*X213*2,"")</f>
        <v>1582.10834</v>
      </c>
      <c r="Y232" s="13">
        <f>IF(Distances!CL123&gt;0,(CK232+Distances!CL123*1.84)*EW232*Y213*2,"")</f>
        <v>2165.6098000000002</v>
      </c>
      <c r="Z232" s="13">
        <f>IF(Distances!CM123&gt;0,(CL232+Distances!CM123*1.84)*EX232*Z213*2,"")</f>
        <v>64.740499999999997</v>
      </c>
      <c r="AA232" s="13">
        <f>IF(Distances!CN123&gt;0,(CM232+Distances!CN123*1.84)*EY232*AA213*2,"")</f>
        <v>70.874120000000005</v>
      </c>
      <c r="AB232" s="13">
        <f>IF(Distances!CO123&gt;0,(CN232+Distances!CO123*1.84)*EZ232*AB213*2,"")</f>
        <v>88.587340000000012</v>
      </c>
      <c r="AC232" s="13">
        <f>IF(Distances!CP123&gt;0,(CO232+Distances!CP123*1.84)*FA232*AC213*2,"")</f>
        <v>55.594539999999995</v>
      </c>
      <c r="AD232" s="13">
        <f>IF(Distances!CQ123&gt;0,(CP232+Distances!CQ123*1.84)*FB232*AD213*2,"")</f>
        <v>41.417859999999997</v>
      </c>
      <c r="AE232" s="13">
        <f>IF(Distances!CR123&gt;0,(CQ232+Distances!CR123*1.84)*FC232*AE213*2,"")</f>
        <v>150.61329999999998</v>
      </c>
      <c r="AF232" s="13">
        <f>IF(Distances!CS123&gt;0,(CR232+Distances!CS123*1.84)*FD232*AF213*2,"")</f>
        <v>267.03940000000006</v>
      </c>
      <c r="AG232" s="13">
        <f>IF(Distances!CT123&gt;0,(CS232+Distances!CT123*1.84)*FE232*AG213*2,"")</f>
        <v>226.00739999999996</v>
      </c>
      <c r="AH232" s="14">
        <f>IF(Distances!CU123&gt;0,(CT232+Distances!CU123*1.84)*FF232*AH213*2,"")</f>
        <v>50.872589714285716</v>
      </c>
      <c r="AI232" s="14">
        <f>IF(Distances!CV123&gt;0,(CU232+Distances!CV123*1.84)*FG232*AI213*2,"")</f>
        <v>24.317851428571426</v>
      </c>
      <c r="AJ232" s="14">
        <f>IF(Distances!CW123&gt;0,(CV232+Distances!CW123*1.84)*FH232*AJ213*2,"")</f>
        <v>39.994509714285712</v>
      </c>
      <c r="AK232" s="14">
        <f>IF(Distances!CX123&gt;0,(CW232+Distances!CX123*1.84)*FI232*AK213*2,"")</f>
        <v>24.909307428571427</v>
      </c>
      <c r="AL232" s="14">
        <f>IF(Distances!CY123&gt;0,(CX232+Distances!CY123*1.84)*FJ232*AL213*2,"")</f>
        <v>1127.799689142857</v>
      </c>
      <c r="AM232" s="14">
        <f>IF(Distances!CZ123&gt;0,(CY232+Distances!CZ123*1.84)*FK232*AM213*2,"")</f>
        <v>1127.799689142857</v>
      </c>
      <c r="AN232" s="14">
        <f>IF(Distances!DA123&gt;0,(CZ232+Distances!DA123*1.84)*FL232*AN213*2,"")</f>
        <v>1312.552512</v>
      </c>
      <c r="AO232" s="14">
        <f>IF(Distances!DB123&gt;0,(DA232+Distances!DB123*1.84)*FM232*AO213*2,"")</f>
        <v>30.322232380952382</v>
      </c>
      <c r="AP232" s="14">
        <f>IF(Distances!DC123&gt;0,(DB232+Distances!DC123*1.84)*FN232*AP213*2,"")</f>
        <v>30.78127238095238</v>
      </c>
      <c r="AQ232" s="14">
        <f>IF(Distances!DD123&gt;0,(DC232+Distances!DD123*1.84)*FO232*AQ213*2,"")</f>
        <v>34.648472380952377</v>
      </c>
      <c r="AR232" s="14">
        <f>IF(Distances!DE123&gt;0,(DD232+Distances!DE123*1.84)*FP232*AR213*2,"")</f>
        <v>35.841398857142856</v>
      </c>
      <c r="AS232" s="14">
        <f>IF(Distances!DF123&gt;0,(DE232+Distances!DF123*1.84)*FQ232*AS213*2,"")</f>
        <v>113.87422171428571</v>
      </c>
      <c r="AT232" s="14">
        <f>IF(Distances!DG123&gt;0,(DF232+Distances!DG123*1.84)*FR232*AT213*2,"")</f>
        <v>77.751341714285715</v>
      </c>
      <c r="AU232" s="14">
        <f>IF(Distances!DH123&gt;0,(DG232+Distances!DH123*1.84)*FS232*AU213*2,"")</f>
        <v>268.37497600000006</v>
      </c>
      <c r="AV232" s="14">
        <f>IF(Distances!DI123&gt;0,(DH232+Distances!DI123*1.84)*FT232*AV213*2,"")</f>
        <v>148.90851764705883</v>
      </c>
      <c r="AW232" s="14">
        <f>IF(Distances!DJ123&gt;0,(DI232+Distances!DJ123*1.84)*FU232*AW213*2,"")</f>
        <v>565.14130285714293</v>
      </c>
      <c r="AX232" s="14">
        <f>IF(Distances!DK123&gt;0,(DJ232+Distances!DK123*1.84)*FV232*AX213*2,"")</f>
        <v>93.670537142857142</v>
      </c>
      <c r="AY232" s="14">
        <f>IF(Distances!DL123&gt;0,(DK232+Distances!DL123*1.84)*FW232*AY213*2,"")</f>
        <v>12.719418181818183</v>
      </c>
      <c r="AZ232" s="14">
        <f>IF(Distances!DM123&gt;0,(DL232+Distances!DM123*1.84)*FX232*AZ213*2,"")</f>
        <v>179.77172363636367</v>
      </c>
      <c r="BA232" s="14">
        <f>IF(Distances!DN123&gt;0,(DM232+Distances!DN123*1.84)*FY232*BA213*2,"")</f>
        <v>62.480621714285711</v>
      </c>
      <c r="BB232" s="13">
        <f>IF(Distances!DO123&gt;0,(DN232+Distances!DO123*1.84)*FZ232*BB213*2,"")</f>
        <v>122.33336</v>
      </c>
      <c r="BC232" s="14">
        <f>IF(Distances!DP123&gt;0,(DO232+Distances!DP123*1.84)*GA232*BC213*2,"")</f>
        <v>568.66391771428573</v>
      </c>
      <c r="BD232" s="14">
        <f>IF(Distances!DQ123&gt;0,(DP232+Distances!DQ123*1.84)*GB232*BD213*2,"")</f>
        <v>681.04864914285713</v>
      </c>
      <c r="BE232" s="14">
        <f>IF(Distances!DR123&gt;0,(DQ232+Distances!DR123*1.84)*GC232*BE213*2,"")</f>
        <v>595.08618971428564</v>
      </c>
      <c r="BF232" s="13">
        <f>IF(Distances!DS123&gt;0,(DR232+Distances!DS123*1.84)*GD232*BF213*2,"")</f>
        <v>326.44512000000003</v>
      </c>
      <c r="BG232" s="13">
        <f>IF(Distances!DT123&gt;0,(DS232+Distances!DT123*1.84)*GE232*BG213*2,"")</f>
        <v>139.79844</v>
      </c>
      <c r="BH232" s="14">
        <f>IF(Distances!DU123&gt;0,(DT232+Distances!DU123*1.84)*GF232*BH213*2,"")</f>
        <v>150.85472744186046</v>
      </c>
      <c r="BI232" s="14">
        <f>IF(Distances!DV123&gt;0,(DU232+Distances!DV123*1.84)*GG232*BI213*2,"")</f>
        <v>98.281525581395343</v>
      </c>
      <c r="BJ232" s="15">
        <f>IF(Distances!DW123&gt;0,(DV232+Distances!DW123*1.84)*GH232*BJ213*2,"")</f>
        <v>169.00599069767441</v>
      </c>
      <c r="BM232" s="35" t="s">
        <v>19</v>
      </c>
      <c r="BN232" s="16">
        <v>947.30160000000001</v>
      </c>
      <c r="BO232" s="14">
        <v>1238.7816</v>
      </c>
      <c r="BP232" s="14">
        <v>759.78</v>
      </c>
      <c r="BQ232" s="14">
        <v>759.78</v>
      </c>
      <c r="BR232" s="14">
        <v>804.85439999999994</v>
      </c>
      <c r="BS232" s="14">
        <v>2521.3355999999999</v>
      </c>
      <c r="BT232" s="14">
        <v>2616.1715999999997</v>
      </c>
      <c r="BU232" s="14">
        <v>2521.3355999999999</v>
      </c>
      <c r="BV232" s="14">
        <v>789.83519999999999</v>
      </c>
      <c r="BW232" s="14">
        <v>789.83519999999999</v>
      </c>
      <c r="BX232" s="14">
        <v>2641.5563999999999</v>
      </c>
      <c r="BY232" s="14">
        <v>2641.5563999999999</v>
      </c>
      <c r="BZ232" s="14">
        <v>1312.3152</v>
      </c>
      <c r="CA232" s="14">
        <v>1467.1692</v>
      </c>
      <c r="CB232" s="14">
        <v>2037.4284</v>
      </c>
      <c r="CC232" s="13">
        <v>698.89679999999998</v>
      </c>
      <c r="CD232" s="13">
        <v>692.31119999999999</v>
      </c>
      <c r="CE232" s="13">
        <v>712.05960000000005</v>
      </c>
      <c r="CF232" s="12">
        <v>0</v>
      </c>
      <c r="CG232" s="13">
        <v>747.33119999999997</v>
      </c>
      <c r="CH232" s="13">
        <v>949.07399999999984</v>
      </c>
      <c r="CI232" s="13">
        <v>685.72559999999999</v>
      </c>
      <c r="CJ232" s="13">
        <v>478.57319999999999</v>
      </c>
      <c r="CK232" s="13">
        <v>679.14</v>
      </c>
      <c r="CL232" s="13">
        <v>813.83399999999995</v>
      </c>
      <c r="CM232" s="13">
        <v>799.05840000000001</v>
      </c>
      <c r="CN232" s="13">
        <v>769.49879999999996</v>
      </c>
      <c r="CO232" s="13">
        <v>762.10679999999991</v>
      </c>
      <c r="CP232" s="13">
        <v>478.57319999999999</v>
      </c>
      <c r="CQ232" s="13">
        <v>949.07399999999984</v>
      </c>
      <c r="CR232" s="13">
        <v>949.07399999999984</v>
      </c>
      <c r="CS232" s="13">
        <v>949.07399999999984</v>
      </c>
      <c r="CT232" s="14">
        <v>1572.3036</v>
      </c>
      <c r="CU232" s="14">
        <v>1778.0279999999998</v>
      </c>
      <c r="CV232" s="14">
        <v>1572.3036</v>
      </c>
      <c r="CW232" s="14">
        <v>1829.7803999999999</v>
      </c>
      <c r="CX232" s="14">
        <v>1477.6692</v>
      </c>
      <c r="CY232" s="14">
        <v>1477.6692</v>
      </c>
      <c r="CZ232" s="14">
        <v>1477.6692</v>
      </c>
      <c r="DA232" s="14">
        <v>1242.1332</v>
      </c>
      <c r="DB232" s="14">
        <v>1266.2328</v>
      </c>
      <c r="DC232" s="14">
        <v>1469.2607999999998</v>
      </c>
      <c r="DD232" s="14">
        <v>1218.2772</v>
      </c>
      <c r="DE232" s="14">
        <v>1218.2772</v>
      </c>
      <c r="DF232" s="14">
        <v>1218.2772</v>
      </c>
      <c r="DG232" s="14">
        <v>1265.3676</v>
      </c>
      <c r="DH232" s="14">
        <v>890.16480000000001</v>
      </c>
      <c r="DI232" s="14">
        <v>890.16480000000001</v>
      </c>
      <c r="DJ232" s="14">
        <v>1289.4503999999999</v>
      </c>
      <c r="DK232" s="14">
        <v>0</v>
      </c>
      <c r="DL232" s="14">
        <v>3704.1143999999999</v>
      </c>
      <c r="DM232" s="14">
        <v>1016.9796</v>
      </c>
      <c r="DN232" s="13">
        <v>873.54960000000005</v>
      </c>
      <c r="DO232" s="14">
        <v>1205.1564000000001</v>
      </c>
      <c r="DP232" s="14">
        <v>1289.4503999999999</v>
      </c>
      <c r="DQ232" s="14">
        <v>1277.4048</v>
      </c>
      <c r="DR232" s="13">
        <v>1481.4911999999999</v>
      </c>
      <c r="DS232" s="13">
        <v>1026.4884</v>
      </c>
      <c r="DT232" s="14">
        <v>2777.8128000000002</v>
      </c>
      <c r="DU232" s="14">
        <v>2081.7719999999999</v>
      </c>
      <c r="DV232" s="15">
        <v>2081.7719999999999</v>
      </c>
      <c r="DY232" s="35" t="s">
        <v>19</v>
      </c>
      <c r="DZ232" s="16">
        <v>6.2500000000000003E-3</v>
      </c>
      <c r="EA232" s="14">
        <v>6.2500000000000003E-3</v>
      </c>
      <c r="EB232" s="14">
        <v>6.2500000000000003E-3</v>
      </c>
      <c r="EC232" s="14">
        <v>6.2500000000000003E-3</v>
      </c>
      <c r="ED232" s="14">
        <v>6.2500000000000003E-3</v>
      </c>
      <c r="EE232" s="14">
        <v>6.2500000000000003E-3</v>
      </c>
      <c r="EF232" s="14">
        <v>6.2500000000000003E-3</v>
      </c>
      <c r="EG232" s="14">
        <v>6.2500000000000003E-3</v>
      </c>
      <c r="EH232" s="14">
        <v>6.2500000000000003E-3</v>
      </c>
      <c r="EI232" s="14">
        <v>6.2500000000000003E-3</v>
      </c>
      <c r="EJ232" s="14">
        <v>6.2500000000000003E-3</v>
      </c>
      <c r="EK232" s="14">
        <v>6.2500000000000003E-3</v>
      </c>
      <c r="EL232" s="14">
        <v>6.2500000000000003E-3</v>
      </c>
      <c r="EM232" s="14">
        <v>4.6511627906976744E-3</v>
      </c>
      <c r="EN232" s="14">
        <v>4.6511627906976744E-3</v>
      </c>
      <c r="EO232" s="13">
        <f t="shared" si="87"/>
        <v>1.2500000000000001E-2</v>
      </c>
      <c r="EP232" s="13">
        <f t="shared" si="87"/>
        <v>1.2500000000000001E-2</v>
      </c>
      <c r="EQ232" s="13">
        <f t="shared" si="87"/>
        <v>1.2500000000000001E-2</v>
      </c>
      <c r="ER232" s="12">
        <v>0.6</v>
      </c>
      <c r="ES232" s="13">
        <f t="shared" si="84"/>
        <v>1.2500000000000001E-2</v>
      </c>
      <c r="ET232" s="13">
        <f t="shared" si="84"/>
        <v>1.2500000000000001E-2</v>
      </c>
      <c r="EU232" s="13">
        <f t="shared" si="84"/>
        <v>1.2500000000000001E-2</v>
      </c>
      <c r="EV232" s="13">
        <f t="shared" si="84"/>
        <v>1.2500000000000001E-2</v>
      </c>
      <c r="EW232" s="13">
        <f t="shared" si="84"/>
        <v>1.2500000000000001E-2</v>
      </c>
      <c r="EX232" s="13">
        <f t="shared" si="84"/>
        <v>1.2500000000000001E-2</v>
      </c>
      <c r="EY232" s="13">
        <f t="shared" si="84"/>
        <v>1.2500000000000001E-2</v>
      </c>
      <c r="EZ232" s="13">
        <f t="shared" si="84"/>
        <v>1.2500000000000001E-2</v>
      </c>
      <c r="FA232" s="13">
        <f t="shared" si="84"/>
        <v>1.2500000000000001E-2</v>
      </c>
      <c r="FB232" s="13">
        <f t="shared" si="84"/>
        <v>1.2500000000000001E-2</v>
      </c>
      <c r="FC232" s="13">
        <f t="shared" si="84"/>
        <v>1.2500000000000001E-2</v>
      </c>
      <c r="FD232" s="13">
        <f t="shared" si="84"/>
        <v>1.2500000000000001E-2</v>
      </c>
      <c r="FE232" s="13">
        <f t="shared" si="84"/>
        <v>1.2500000000000001E-2</v>
      </c>
      <c r="FF232" s="14">
        <v>5.7142857142857143E-3</v>
      </c>
      <c r="FG232" s="14">
        <v>5.7142857142857143E-3</v>
      </c>
      <c r="FH232" s="14">
        <v>5.7142857142857143E-3</v>
      </c>
      <c r="FI232" s="14">
        <v>5.7142857142857143E-3</v>
      </c>
      <c r="FJ232" s="14">
        <v>5.7142857142857143E-3</v>
      </c>
      <c r="FK232" s="14">
        <v>5.7142857142857143E-3</v>
      </c>
      <c r="FL232" s="14">
        <v>5.7142857142857143E-3</v>
      </c>
      <c r="FM232" s="14">
        <v>4.7619047619047623E-3</v>
      </c>
      <c r="FN232" s="14">
        <v>4.7619047619047623E-3</v>
      </c>
      <c r="FO232" s="14">
        <v>4.7619047619047623E-3</v>
      </c>
      <c r="FP232" s="14">
        <v>5.7142857142857143E-3</v>
      </c>
      <c r="FQ232" s="14">
        <v>5.7142857142857143E-3</v>
      </c>
      <c r="FR232" s="14">
        <v>5.7142857142857143E-3</v>
      </c>
      <c r="FS232" s="14">
        <v>5.7142857142857143E-3</v>
      </c>
      <c r="FT232" s="14">
        <v>5.8823529411764705E-3</v>
      </c>
      <c r="FU232" s="14">
        <v>5.7142857142857143E-3</v>
      </c>
      <c r="FV232" s="14">
        <v>5.7142857142857143E-3</v>
      </c>
      <c r="FW232" s="14">
        <v>4.5454545454545461E-3</v>
      </c>
      <c r="FX232" s="14">
        <v>4.5454545454545461E-3</v>
      </c>
      <c r="FY232" s="14">
        <v>5.7142857142857143E-3</v>
      </c>
      <c r="FZ232" s="13">
        <f t="shared" si="85"/>
        <v>1.2500000000000001E-2</v>
      </c>
      <c r="GA232" s="14">
        <v>5.7142857142857143E-3</v>
      </c>
      <c r="GB232" s="14">
        <v>5.7142857142857143E-3</v>
      </c>
      <c r="GC232" s="14">
        <v>5.7142857142857143E-3</v>
      </c>
      <c r="GD232" s="13">
        <f t="shared" si="86"/>
        <v>1.2500000000000001E-2</v>
      </c>
      <c r="GE232" s="13">
        <f t="shared" si="86"/>
        <v>1.2500000000000001E-2</v>
      </c>
      <c r="GF232" s="14">
        <v>4.6511627906976744E-3</v>
      </c>
      <c r="GG232" s="14">
        <v>4.6511627906976744E-3</v>
      </c>
      <c r="GH232" s="15">
        <v>4.6511627906976744E-3</v>
      </c>
    </row>
    <row r="233" spans="1:190" x14ac:dyDescent="0.3">
      <c r="A233" s="35" t="s">
        <v>20</v>
      </c>
      <c r="B233" s="16">
        <f>IF(Distances!BO124&gt;0,(BN233+Distances!BO124*1.84)*DZ233*B213*2,"")</f>
        <v>4717.7392900000004</v>
      </c>
      <c r="C233" s="14">
        <f>IF(Distances!BP124&gt;0,(BO233+Distances!BP124*1.84)*EA233*C213*2,"")</f>
        <v>5381.6759199999997</v>
      </c>
      <c r="D233" s="14">
        <f>IF(Distances!BQ124&gt;0,(BP233+Distances!BQ124*1.84)*EB233*D213*2,"")</f>
        <v>12577.895620000003</v>
      </c>
      <c r="E233" s="14">
        <f>IF(Distances!BR124&gt;0,(BQ233+Distances!BR124*1.84)*EC233*E213*2,"")</f>
        <v>3632.4872200000004</v>
      </c>
      <c r="F233" s="14">
        <f>IF(Distances!BS124&gt;0,(BR233+Distances!BS124*1.84)*ED233*F213*2,"")</f>
        <v>4054.7359000000006</v>
      </c>
      <c r="G233" s="14">
        <f>IF(Distances!BT124&gt;0,(BS233+Distances!BT124*1.84)*EE233*G213*2,"")</f>
        <v>13852.762059999999</v>
      </c>
      <c r="H233" s="14">
        <f>IF(Distances!BU124&gt;0,(BT233+Distances!BU124*1.84)*EF233*H213*2,"")</f>
        <v>7336.5592000000006</v>
      </c>
      <c r="I233" s="14">
        <f>IF(Distances!BV124&gt;0,(BU233+Distances!BV124*1.84)*EG233*I213*2,"")</f>
        <v>6248.1892600000001</v>
      </c>
      <c r="J233" s="14">
        <f>IF(Distances!BW124&gt;0,(BV233+Distances!BW124*1.84)*EH233*J213*2,"")</f>
        <v>123.62428</v>
      </c>
      <c r="K233" s="14">
        <f>IF(Distances!BX124&gt;0,(BW233+Distances!BX124*1.84)*EI233*K213*2,"")</f>
        <v>73.640680000000003</v>
      </c>
      <c r="L233" s="14">
        <f>IF(Distances!BY124&gt;0,(BX233+Distances!BY124*1.84)*EJ233*L213*2,"")</f>
        <v>235.74359999999999</v>
      </c>
      <c r="M233" s="14">
        <f>IF(Distances!BZ124&gt;0,(BY233+Distances!BZ124*1.84)*EK233*M213*2,"")</f>
        <v>146.42080000000001</v>
      </c>
      <c r="N233" s="14">
        <f>IF(Distances!CA124&gt;0,(BZ233+Distances!CA124*1.84)*EL233*N213*2,"")</f>
        <v>153.40038000000001</v>
      </c>
      <c r="O233" s="14">
        <f>IF(Distances!CB124&gt;0,(CA233+Distances!CB124*1.84)*EM233*O213*2,"")</f>
        <v>159.18177116279068</v>
      </c>
      <c r="P233" s="14">
        <f>IF(Distances!CC124&gt;0,(CB233+Distances!CC124*1.84)*EN233*P213*2,"")</f>
        <v>146.37246139534884</v>
      </c>
      <c r="Q233" s="13">
        <f>IF(Distances!CD124&gt;0,(CC233+Distances!CD124*1.84)*EO233*Q213*2,"")</f>
        <v>1678.7079999999999</v>
      </c>
      <c r="R233" s="13">
        <f>IF(Distances!CE124&gt;0,(CD233+Distances!CE124*1.84)*EP233*R213*2,"")</f>
        <v>1669.6465000000001</v>
      </c>
      <c r="S233" s="13">
        <f>IF(Distances!CF124&gt;0,(CE233+Distances!CF124*1.84)*EQ233*S213*2,"")</f>
        <v>1696.8205</v>
      </c>
      <c r="T233" s="13">
        <f>IF(Distances!CG124&gt;0,(CF233+Distances!CG124*1.84)*ER233*T213*2,"")</f>
        <v>292.42696000000001</v>
      </c>
      <c r="U233" s="12" t="s">
        <v>62</v>
      </c>
      <c r="V233" s="13">
        <f>IF(Distances!CI124&gt;0,(CH233+Distances!CI124*1.84)*ET233*V213*2,"")</f>
        <v>3398.5871400000001</v>
      </c>
      <c r="W233" s="13">
        <f>IF(Distances!CJ124&gt;0,(CI233+Distances!CJ124*1.84)*EU233*W213*2,"")</f>
        <v>1846.0611199999998</v>
      </c>
      <c r="X233" s="13">
        <f>IF(Distances!CK124&gt;0,(CJ233+Distances!CK124*1.84)*EV233*X213*2,"")</f>
        <v>2645.1543799999999</v>
      </c>
      <c r="Y233" s="13">
        <f>IF(Distances!CL124&gt;0,(CK233+Distances!CL124*1.84)*EW233*Y213*2,"")</f>
        <v>2509.9993000000004</v>
      </c>
      <c r="Z233" s="13">
        <f>IF(Distances!CM124&gt;0,(CL233+Distances!CM124*1.84)*EX233*Z213*2,"")</f>
        <v>70.589420000000004</v>
      </c>
      <c r="AA233" s="13">
        <f>IF(Distances!CN124&gt;0,(CM233+Distances!CN124*1.84)*EY233*AA213*2,"")</f>
        <v>76.821740000000005</v>
      </c>
      <c r="AB233" s="13">
        <f>IF(Distances!CO124&gt;0,(CN233+Distances!CO124*1.84)*EZ233*AB213*2,"")</f>
        <v>94.730260000000001</v>
      </c>
      <c r="AC233" s="13">
        <f>IF(Distances!CP124&gt;0,(CO233+Distances!CP124*1.84)*FA233*AC213*2,"")</f>
        <v>61.78576000000001</v>
      </c>
      <c r="AD233" s="13">
        <f>IF(Distances!CQ124&gt;0,(CP233+Distances!CQ124*1.84)*FB233*AD213*2,"")</f>
        <v>78.07462000000001</v>
      </c>
      <c r="AE233" s="13">
        <f>IF(Distances!CR124&gt;0,(CQ233+Distances!CR124*1.84)*FC233*AE213*2,"")</f>
        <v>157.28626</v>
      </c>
      <c r="AF233" s="13">
        <f>IF(Distances!CS124&gt;0,(CR233+Distances!CS124*1.84)*FD233*AF213*2,"")</f>
        <v>280.38532000000004</v>
      </c>
      <c r="AG233" s="13">
        <f>IF(Distances!CT124&gt;0,(CS233+Distances!CT124*1.84)*FE233*AG213*2,"")</f>
        <v>239.35332</v>
      </c>
      <c r="AH233" s="14">
        <f>IF(Distances!CU124&gt;0,(CT233+Distances!CU124*1.84)*FF233*AH213*2,"")</f>
        <v>44.21431771428572</v>
      </c>
      <c r="AI233" s="14">
        <f>IF(Distances!CV124&gt;0,(CU233+Distances!CV124*1.84)*FG233*AI213*2,"")</f>
        <v>20.374747428571428</v>
      </c>
      <c r="AJ233" s="14">
        <f>IF(Distances!CW124&gt;0,(CV233+Distances!CW124*1.84)*FH233*AJ213*2,"")</f>
        <v>33.336237714285716</v>
      </c>
      <c r="AK233" s="14">
        <f>IF(Distances!CX124&gt;0,(CW233+Distances!CX124*1.84)*FI233*AK213*2,"")</f>
        <v>20.776891428571428</v>
      </c>
      <c r="AL233" s="14">
        <f>IF(Distances!CY124&gt;0,(CX233+Distances!CY124*1.84)*FJ233*AL213*2,"")</f>
        <v>626.38765714285717</v>
      </c>
      <c r="AM233" s="14">
        <f>IF(Distances!CZ124&gt;0,(CY233+Distances!CZ124*1.84)*FK233*AM213*2,"")</f>
        <v>626.38765714285717</v>
      </c>
      <c r="AN233" s="14">
        <f>IF(Distances!DA124&gt;0,(CZ233+Distances!DA124*1.84)*FL233*AN213*2,"")</f>
        <v>811.14048000000003</v>
      </c>
      <c r="AO233" s="14">
        <f>IF(Distances!DB124&gt;0,(DA233+Distances!DB124*1.84)*FM233*AO213*2,"")</f>
        <v>29.625272380952381</v>
      </c>
      <c r="AP233" s="14">
        <f>IF(Distances!DC124&gt;0,(DB233+Distances!DC124*1.84)*FN233*AP213*2,"")</f>
        <v>29.987992380952385</v>
      </c>
      <c r="AQ233" s="14">
        <f>IF(Distances!DD124&gt;0,(DC233+Distances!DD124*1.84)*FO233*AQ213*2,"")</f>
        <v>35.240632380952377</v>
      </c>
      <c r="AR233" s="14">
        <f>IF(Distances!DE124&gt;0,(DD233+Distances!DE124*1.84)*FP233*AR213*2,"")</f>
        <v>36.610934857142851</v>
      </c>
      <c r="AS233" s="14">
        <f>IF(Distances!DF124&gt;0,(DE233+Distances!DF124*1.84)*FQ233*AS213*2,"")</f>
        <v>114.64375771428571</v>
      </c>
      <c r="AT233" s="14">
        <f>IF(Distances!DG124&gt;0,(DF233+Distances!DG124*1.84)*FR233*AT213*2,"")</f>
        <v>78.520877714285717</v>
      </c>
      <c r="AU233" s="14">
        <f>IF(Distances!DH124&gt;0,(DG233+Distances!DH124*1.84)*FS233*AU213*2,"")</f>
        <v>261.84985599999999</v>
      </c>
      <c r="AV233" s="14">
        <f>IF(Distances!DI124&gt;0,(DH233+Distances!DI124*1.84)*FT233*AV213*2,"")</f>
        <v>165.9965882352941</v>
      </c>
      <c r="AW233" s="14">
        <f>IF(Distances!DJ124&gt;0,(DI233+Distances!DJ124*1.84)*FU233*AW213*2,"")</f>
        <v>581.74114285714279</v>
      </c>
      <c r="AX233" s="14">
        <f>IF(Distances!DK124&gt;0,(DJ233+Distances!DK124*1.84)*FV233*AX213*2,"")</f>
        <v>91.051657142857152</v>
      </c>
      <c r="AY233" s="14">
        <f>IF(Distances!DL124&gt;0,(DK233+Distances!DL124*1.84)*FW233*AY213*2,"")</f>
        <v>20.868945454545457</v>
      </c>
      <c r="AZ233" s="14">
        <f>IF(Distances!DM124&gt;0,(DL233+Distances!DM124*1.84)*FX233*AZ213*2,"")</f>
        <v>162.55416727272728</v>
      </c>
      <c r="BA233" s="14">
        <f>IF(Distances!DN124&gt;0,(DM233+Distances!DN124*1.84)*FY233*BA213*2,"")</f>
        <v>61.221485714285706</v>
      </c>
      <c r="BB233" s="13">
        <f>IF(Distances!DO124&gt;0,(DN233+Distances!DO124*1.84)*FZ233*BB213*2,"")</f>
        <v>151.25876</v>
      </c>
      <c r="BC233" s="14">
        <f>IF(Distances!DP124&gt;0,(DO233+Distances!DP124*1.84)*GA233*BC213*2,"")</f>
        <v>558.36350171428569</v>
      </c>
      <c r="BD233" s="14">
        <f>IF(Distances!DQ124&gt;0,(DP233+Distances!DQ124*1.84)*GB233*BD213*2,"")</f>
        <v>664.28781714285719</v>
      </c>
      <c r="BE233" s="14">
        <f>IF(Distances!DR124&gt;0,(DQ233+Distances!DR124*1.84)*GC233*BE213*2,"")</f>
        <v>579.25002971428557</v>
      </c>
      <c r="BF233" s="13">
        <f>IF(Distances!DS124&gt;0,(DR233+Distances!DS124*1.84)*GD233*BF213*2,"")</f>
        <v>309.13272000000001</v>
      </c>
      <c r="BG233" s="13">
        <f>IF(Distances!DT124&gt;0,(DS233+Distances!DT124*1.84)*GE233*BG213*2,"")</f>
        <v>127.66799999999999</v>
      </c>
      <c r="BH233" s="14">
        <f>IF(Distances!DU124&gt;0,(DT233+Distances!DU124*1.84)*GF233*BH213*2,"")</f>
        <v>142.14748279069767</v>
      </c>
      <c r="BI233" s="14">
        <f>IF(Distances!DV124&gt;0,(DU233+Distances!DV124*1.84)*GG233*BI213*2,"")</f>
        <v>91.319605581395336</v>
      </c>
      <c r="BJ233" s="15">
        <f>IF(Distances!DW124&gt;0,(DV233+Distances!DW124*1.84)*GH233*BJ213*2,"")</f>
        <v>162.04407069767441</v>
      </c>
      <c r="BM233" s="35" t="s">
        <v>20</v>
      </c>
      <c r="BN233" s="16">
        <v>1294.5155999999999</v>
      </c>
      <c r="BO233" s="14">
        <v>1557.4607999999998</v>
      </c>
      <c r="BP233" s="14">
        <v>864.71280000000002</v>
      </c>
      <c r="BQ233" s="14">
        <v>864.71280000000002</v>
      </c>
      <c r="BR233" s="14">
        <v>916.02</v>
      </c>
      <c r="BS233" s="14">
        <v>1900.6343999999999</v>
      </c>
      <c r="BT233" s="14">
        <v>2331.672</v>
      </c>
      <c r="BU233" s="14">
        <v>1900.6343999999999</v>
      </c>
      <c r="BV233" s="14">
        <v>898.91760000000011</v>
      </c>
      <c r="BW233" s="14">
        <v>898.91760000000011</v>
      </c>
      <c r="BX233" s="14">
        <v>2354.52</v>
      </c>
      <c r="BY233" s="14">
        <v>2354.52</v>
      </c>
      <c r="BZ233" s="14">
        <v>1649.9195999999999</v>
      </c>
      <c r="CA233" s="14">
        <v>1057.5852</v>
      </c>
      <c r="CB233" s="14">
        <v>1578.8388</v>
      </c>
      <c r="CC233" s="13">
        <v>769.07039999999995</v>
      </c>
      <c r="CD233" s="13">
        <v>761.82119999999998</v>
      </c>
      <c r="CE233" s="13">
        <v>783.56039999999996</v>
      </c>
      <c r="CF233" s="13">
        <v>747.33119999999997</v>
      </c>
      <c r="CG233" s="12">
        <v>0</v>
      </c>
      <c r="CH233" s="13">
        <v>858.42119999999989</v>
      </c>
      <c r="CI233" s="13">
        <v>699.24959999999999</v>
      </c>
      <c r="CJ233" s="13">
        <v>987.59640000000002</v>
      </c>
      <c r="CK233" s="13">
        <v>692.53800000000001</v>
      </c>
      <c r="CL233" s="13">
        <v>706.70039999999995</v>
      </c>
      <c r="CM233" s="13">
        <v>693.89880000000005</v>
      </c>
      <c r="CN233" s="13">
        <v>668.24519999999995</v>
      </c>
      <c r="CO233" s="13">
        <v>661.81920000000002</v>
      </c>
      <c r="CP233" s="13">
        <v>987.59640000000002</v>
      </c>
      <c r="CQ233" s="13">
        <v>858.42119999999989</v>
      </c>
      <c r="CR233" s="13">
        <v>858.42119999999989</v>
      </c>
      <c r="CS233" s="13">
        <v>858.42119999999989</v>
      </c>
      <c r="CT233" s="14">
        <v>765.5927999999999</v>
      </c>
      <c r="CU233" s="14">
        <v>1208.8944000000001</v>
      </c>
      <c r="CV233" s="14">
        <v>765.5927999999999</v>
      </c>
      <c r="CW233" s="14">
        <v>1244.0819999999999</v>
      </c>
      <c r="CX233" s="14">
        <v>441.084</v>
      </c>
      <c r="CY233" s="14">
        <v>441.084</v>
      </c>
      <c r="CZ233" s="14">
        <v>441.084</v>
      </c>
      <c r="DA233" s="14">
        <v>981.43079999999986</v>
      </c>
      <c r="DB233" s="14">
        <v>1000.4735999999999</v>
      </c>
      <c r="DC233" s="14">
        <v>1276.2371999999998</v>
      </c>
      <c r="DD233" s="14">
        <v>1027.8323999999998</v>
      </c>
      <c r="DE233" s="14">
        <v>1027.8323999999998</v>
      </c>
      <c r="DF233" s="14">
        <v>1027.8323999999998</v>
      </c>
      <c r="DG233" s="14">
        <v>1000.4735999999999</v>
      </c>
      <c r="DH233" s="14">
        <v>956.55</v>
      </c>
      <c r="DI233" s="14">
        <v>956.55</v>
      </c>
      <c r="DJ233" s="14">
        <v>1019.508</v>
      </c>
      <c r="DK233" s="14">
        <v>0</v>
      </c>
      <c r="DL233" s="14">
        <v>3006.5196000000001</v>
      </c>
      <c r="DM233" s="14">
        <v>765.32399999999996</v>
      </c>
      <c r="DN233" s="13">
        <v>938.69159999999999</v>
      </c>
      <c r="DO233" s="14">
        <v>952.87920000000008</v>
      </c>
      <c r="DP233" s="14">
        <v>1019.508</v>
      </c>
      <c r="DQ233" s="14">
        <v>1009.9907999999999</v>
      </c>
      <c r="DR233" s="13">
        <v>1084.2551999999998</v>
      </c>
      <c r="DS233" s="13">
        <v>681.07199999999989</v>
      </c>
      <c r="DT233" s="14">
        <v>2319.6936000000001</v>
      </c>
      <c r="DU233" s="14">
        <v>1670.5583999999999</v>
      </c>
      <c r="DV233" s="15">
        <v>1670.5583999999999</v>
      </c>
      <c r="DY233" s="35" t="s">
        <v>20</v>
      </c>
      <c r="DZ233" s="16">
        <v>6.2500000000000003E-3</v>
      </c>
      <c r="EA233" s="14">
        <v>6.2500000000000003E-3</v>
      </c>
      <c r="EB233" s="14">
        <v>6.2500000000000003E-3</v>
      </c>
      <c r="EC233" s="14">
        <v>6.2500000000000003E-3</v>
      </c>
      <c r="ED233" s="14">
        <v>6.2500000000000003E-3</v>
      </c>
      <c r="EE233" s="14">
        <v>6.2500000000000003E-3</v>
      </c>
      <c r="EF233" s="14">
        <v>6.2500000000000003E-3</v>
      </c>
      <c r="EG233" s="14">
        <v>6.2500000000000003E-3</v>
      </c>
      <c r="EH233" s="14">
        <v>6.2500000000000003E-3</v>
      </c>
      <c r="EI233" s="14">
        <v>6.2500000000000003E-3</v>
      </c>
      <c r="EJ233" s="14">
        <v>6.2500000000000003E-3</v>
      </c>
      <c r="EK233" s="14">
        <v>6.2500000000000003E-3</v>
      </c>
      <c r="EL233" s="14">
        <v>6.2500000000000003E-3</v>
      </c>
      <c r="EM233" s="14">
        <v>4.6511627906976744E-3</v>
      </c>
      <c r="EN233" s="14">
        <v>4.6511627906976744E-3</v>
      </c>
      <c r="EO233" s="13">
        <f t="shared" si="87"/>
        <v>1.2500000000000001E-2</v>
      </c>
      <c r="EP233" s="13">
        <f t="shared" si="87"/>
        <v>1.2500000000000001E-2</v>
      </c>
      <c r="EQ233" s="13">
        <f t="shared" si="87"/>
        <v>1.2500000000000001E-2</v>
      </c>
      <c r="ER233" s="13">
        <f t="shared" si="87"/>
        <v>1.2500000000000001E-2</v>
      </c>
      <c r="ES233" s="12">
        <v>0.6</v>
      </c>
      <c r="ET233" s="13">
        <f t="shared" si="84"/>
        <v>1.2500000000000001E-2</v>
      </c>
      <c r="EU233" s="13">
        <f t="shared" si="84"/>
        <v>1.2500000000000001E-2</v>
      </c>
      <c r="EV233" s="13">
        <f t="shared" si="84"/>
        <v>1.2500000000000001E-2</v>
      </c>
      <c r="EW233" s="13">
        <f t="shared" si="84"/>
        <v>1.2500000000000001E-2</v>
      </c>
      <c r="EX233" s="13">
        <f t="shared" si="84"/>
        <v>1.2500000000000001E-2</v>
      </c>
      <c r="EY233" s="13">
        <f t="shared" si="84"/>
        <v>1.2500000000000001E-2</v>
      </c>
      <c r="EZ233" s="13">
        <f t="shared" si="84"/>
        <v>1.2500000000000001E-2</v>
      </c>
      <c r="FA233" s="13">
        <f t="shared" si="84"/>
        <v>1.2500000000000001E-2</v>
      </c>
      <c r="FB233" s="13">
        <f t="shared" si="84"/>
        <v>1.2500000000000001E-2</v>
      </c>
      <c r="FC233" s="13">
        <f t="shared" si="84"/>
        <v>1.2500000000000001E-2</v>
      </c>
      <c r="FD233" s="13">
        <f t="shared" si="84"/>
        <v>1.2500000000000001E-2</v>
      </c>
      <c r="FE233" s="13">
        <f t="shared" si="84"/>
        <v>1.2500000000000001E-2</v>
      </c>
      <c r="FF233" s="14">
        <v>5.7142857142857143E-3</v>
      </c>
      <c r="FG233" s="14">
        <v>5.7142857142857143E-3</v>
      </c>
      <c r="FH233" s="14">
        <v>5.7142857142857143E-3</v>
      </c>
      <c r="FI233" s="14">
        <v>5.7142857142857143E-3</v>
      </c>
      <c r="FJ233" s="14">
        <v>5.7142857142857143E-3</v>
      </c>
      <c r="FK233" s="14">
        <v>5.7142857142857143E-3</v>
      </c>
      <c r="FL233" s="14">
        <v>5.7142857142857143E-3</v>
      </c>
      <c r="FM233" s="14">
        <v>4.7619047619047623E-3</v>
      </c>
      <c r="FN233" s="14">
        <v>4.7619047619047623E-3</v>
      </c>
      <c r="FO233" s="14">
        <v>4.7619047619047623E-3</v>
      </c>
      <c r="FP233" s="14">
        <v>5.7142857142857143E-3</v>
      </c>
      <c r="FQ233" s="14">
        <v>5.7142857142857143E-3</v>
      </c>
      <c r="FR233" s="14">
        <v>5.7142857142857143E-3</v>
      </c>
      <c r="FS233" s="14">
        <v>5.7142857142857143E-3</v>
      </c>
      <c r="FT233" s="14">
        <v>5.8823529411764705E-3</v>
      </c>
      <c r="FU233" s="14">
        <v>5.7142857142857143E-3</v>
      </c>
      <c r="FV233" s="14">
        <v>5.7142857142857143E-3</v>
      </c>
      <c r="FW233" s="14">
        <v>4.5454545454545461E-3</v>
      </c>
      <c r="FX233" s="14">
        <v>4.5454545454545461E-3</v>
      </c>
      <c r="FY233" s="14">
        <v>5.7142857142857143E-3</v>
      </c>
      <c r="FZ233" s="13">
        <f t="shared" si="85"/>
        <v>1.2500000000000001E-2</v>
      </c>
      <c r="GA233" s="14">
        <v>5.7142857142857143E-3</v>
      </c>
      <c r="GB233" s="14">
        <v>5.7142857142857143E-3</v>
      </c>
      <c r="GC233" s="14">
        <v>5.7142857142857143E-3</v>
      </c>
      <c r="GD233" s="13">
        <f t="shared" si="86"/>
        <v>1.2500000000000001E-2</v>
      </c>
      <c r="GE233" s="13">
        <f t="shared" si="86"/>
        <v>1.2500000000000001E-2</v>
      </c>
      <c r="GF233" s="14">
        <v>4.6511627906976744E-3</v>
      </c>
      <c r="GG233" s="14">
        <v>4.6511627906976744E-3</v>
      </c>
      <c r="GH233" s="15">
        <v>4.6511627906976744E-3</v>
      </c>
    </row>
    <row r="234" spans="1:190" x14ac:dyDescent="0.3">
      <c r="A234" s="35" t="s">
        <v>21</v>
      </c>
      <c r="B234" s="16">
        <f>IF(Distances!BO125&gt;0,(BN234+Distances!BO125*1.84)*DZ234*B213*2,"")</f>
        <v>6339.5457799999995</v>
      </c>
      <c r="C234" s="14">
        <f>IF(Distances!BP125&gt;0,(BO234+Distances!BP125*1.84)*EA234*C213*2,"")</f>
        <v>7012.1148800000001</v>
      </c>
      <c r="D234" s="14">
        <f>IF(Distances!BQ125&gt;0,(BP234+Distances!BQ125*1.84)*EB234*D213*2,"")</f>
        <v>14089.304060000004</v>
      </c>
      <c r="E234" s="14">
        <f>IF(Distances!BR125&gt;0,(BQ234+Distances!BR125*1.84)*EC234*E213*2,"")</f>
        <v>5143.8956600000001</v>
      </c>
      <c r="F234" s="14">
        <f>IF(Distances!BS125&gt;0,(BR234+Distances!BS125*1.84)*ED234*F213*2,"")</f>
        <v>5605.276789999999</v>
      </c>
      <c r="G234" s="14">
        <f>IF(Distances!BT125&gt;0,(BS234+Distances!BT125*1.84)*EE234*G213*2,"")</f>
        <v>17323.423040000001</v>
      </c>
      <c r="H234" s="14">
        <f>IF(Distances!BU125&gt;0,(BT234+Distances!BU125*1.84)*EF234*H213*2,"")</f>
        <v>9959.8382599999986</v>
      </c>
      <c r="I234" s="14">
        <f>IF(Distances!BV125&gt;0,(BU234+Distances!BV125*1.84)*EG234*I213*2,"")</f>
        <v>9718.8502399999998</v>
      </c>
      <c r="J234" s="14">
        <f>IF(Distances!BW125&gt;0,(BV234+Distances!BW125*1.84)*EH234*J213*2,"")</f>
        <v>154.06976</v>
      </c>
      <c r="K234" s="14">
        <f>IF(Distances!BX125&gt;0,(BW234+Distances!BX125*1.84)*EI234*K213*2,"")</f>
        <v>104.08616000000001</v>
      </c>
      <c r="L234" s="14">
        <f>IF(Distances!BY125&gt;0,(BX234+Distances!BY125*1.84)*EJ234*L213*2,"")</f>
        <v>288.03328000000005</v>
      </c>
      <c r="M234" s="14">
        <f>IF(Distances!BZ125&gt;0,(BY234+Distances!BZ125*1.84)*EK234*M213*2,"")</f>
        <v>198.71048000000002</v>
      </c>
      <c r="N234" s="14">
        <f>IF(Distances!CA125&gt;0,(BZ234+Distances!CA125*1.84)*EL234*N213*2,"")</f>
        <v>186.60148000000001</v>
      </c>
      <c r="O234" s="14">
        <f>IF(Distances!CB125&gt;0,(CA234+Distances!CB125*1.84)*EM234*O213*2,"")</f>
        <v>229.91419906976748</v>
      </c>
      <c r="P234" s="14">
        <f>IF(Distances!CC125&gt;0,(CB234+Distances!CC125*1.84)*EN234*P213*2,"")</f>
        <v>191.44456930232559</v>
      </c>
      <c r="Q234" s="13">
        <f>IF(Distances!CD125&gt;0,(CC234+Distances!CD125*1.84)*EO234*Q213*2,"")</f>
        <v>2360.2760000000003</v>
      </c>
      <c r="R234" s="13">
        <f>IF(Distances!CE125&gt;0,(CD234+Distances!CE125*1.84)*EP234*R213*2,"")</f>
        <v>2348.7784999999999</v>
      </c>
      <c r="S234" s="13">
        <f>IF(Distances!CF125&gt;0,(CE234+Distances!CF125*1.84)*EQ234*S213*2,"")</f>
        <v>2383.2920000000004</v>
      </c>
      <c r="T234" s="13">
        <f>IF(Distances!CG125&gt;0,(CF234+Distances!CG125*1.84)*ER234*T213*2,"")</f>
        <v>386.81895000000003</v>
      </c>
      <c r="U234" s="13">
        <f>IF(Distances!CH125&gt;0,(CG234+Distances!CH125*1.84)*ES234*U213*2,"")</f>
        <v>410.17430999999999</v>
      </c>
      <c r="V234" s="12" t="s">
        <v>62</v>
      </c>
      <c r="W234" s="13">
        <f>IF(Distances!CJ125&gt;0,(CI234+Distances!CJ125*1.84)*EU234*W213*2,"")</f>
        <v>3181.7593599999996</v>
      </c>
      <c r="X234" s="13">
        <f>IF(Distances!CK125&gt;0,(CJ234+Distances!CK125*1.84)*EV234*X213*2,"")</f>
        <v>2842.0957000000008</v>
      </c>
      <c r="Y234" s="13">
        <f>IF(Distances!CL125&gt;0,(CK234+Distances!CL125*1.84)*EW234*Y213*2,"")</f>
        <v>3511.85592</v>
      </c>
      <c r="Z234" s="13">
        <f>IF(Distances!CM125&gt;0,(CL234+Distances!CM125*1.84)*EX234*Z213*2,"")</f>
        <v>89.918760000000006</v>
      </c>
      <c r="AA234" s="13">
        <f>IF(Distances!CN125&gt;0,(CM234+Distances!CN125*1.84)*EY234*AA213*2,"")</f>
        <v>96.104880000000009</v>
      </c>
      <c r="AB234" s="13">
        <f>IF(Distances!CO125&gt;0,(CN234+Distances!CO125*1.84)*EZ234*AB213*2,"")</f>
        <v>113.92394</v>
      </c>
      <c r="AC234" s="13">
        <f>IF(Distances!CP125&gt;0,(CO234+Distances!CP125*1.84)*FA234*AC213*2,"")</f>
        <v>80.958019999999991</v>
      </c>
      <c r="AD234" s="13">
        <f>IF(Distances!CQ125&gt;0,(CP234+Distances!CQ125*1.84)*FB234*AD213*2,"")</f>
        <v>84.865700000000004</v>
      </c>
      <c r="AE234" s="13">
        <f>IF(Distances!CR125&gt;0,(CQ234+Distances!CR125*1.84)*FC234*AE213*2,"")</f>
        <v>131.24719999999999</v>
      </c>
      <c r="AF234" s="13">
        <f>IF(Distances!CS125&gt;0,(CR234+Distances!CS125*1.84)*FD234*AF213*2,"")</f>
        <v>228.30720000000002</v>
      </c>
      <c r="AG234" s="13">
        <f>IF(Distances!CT125&gt;0,(CS234+Distances!CT125*1.84)*FE234*AG213*2,"")</f>
        <v>187.27520000000001</v>
      </c>
      <c r="AH234" s="14">
        <f>IF(Distances!CU125&gt;0,(CT234+Distances!CU125*1.84)*FF234*AH213*2,"")</f>
        <v>42.784420571428576</v>
      </c>
      <c r="AI234" s="14">
        <f>IF(Distances!CV125&gt;0,(CU234+Distances!CV125*1.84)*FG234*AI213*2,"")</f>
        <v>23.313426285714282</v>
      </c>
      <c r="AJ234" s="14">
        <f>IF(Distances!CW125&gt;0,(CV234+Distances!CW125*1.84)*FH234*AJ213*2,"")</f>
        <v>31.906340571428569</v>
      </c>
      <c r="AK234" s="14">
        <f>IF(Distances!CX125&gt;0,(CW234+Distances!CX125*1.84)*FI234*AK213*2,"")</f>
        <v>23.688690285714287</v>
      </c>
      <c r="AL234" s="14">
        <f>IF(Distances!CY125&gt;0,(CX234+Distances!CY125*1.84)*FJ234*AL213*2,"")</f>
        <v>847.99452342857148</v>
      </c>
      <c r="AM234" s="14">
        <f>IF(Distances!CZ125&gt;0,(CY234+Distances!CZ125*1.84)*FK234*AM213*2,"")</f>
        <v>847.99452342857148</v>
      </c>
      <c r="AN234" s="14">
        <f>IF(Distances!DA125&gt;0,(CZ234+Distances!DA125*1.84)*FL234*AN213*2,"")</f>
        <v>1032.7473462857142</v>
      </c>
      <c r="AO234" s="14">
        <f>IF(Distances!DB125&gt;0,(DA234+Distances!DB125*1.84)*FM234*AO213*2,"")</f>
        <v>35.761470476190475</v>
      </c>
      <c r="AP234" s="14">
        <f>IF(Distances!DC125&gt;0,(DB234+Distances!DC125*1.84)*FN234*AP213*2,"")</f>
        <v>36.118430476190476</v>
      </c>
      <c r="AQ234" s="14">
        <f>IF(Distances!DD125&gt;0,(DC234+Distances!DD125*1.84)*FO234*AQ213*2,"")</f>
        <v>43.355390476190479</v>
      </c>
      <c r="AR234" s="14">
        <f>IF(Distances!DE125&gt;0,(DD234+Distances!DE125*1.84)*FP234*AR213*2,"")</f>
        <v>55.625124571428572</v>
      </c>
      <c r="AS234" s="14">
        <f>IF(Distances!DF125&gt;0,(DE234+Distances!DF125*1.84)*FQ234*AS213*2,"")</f>
        <v>133.65794742857145</v>
      </c>
      <c r="AT234" s="14">
        <f>IF(Distances!DG125&gt;0,(DF234+Distances!DG125*1.84)*FR234*AT213*2,"")</f>
        <v>97.535067428571423</v>
      </c>
      <c r="AU234" s="14">
        <f>IF(Distances!DH125&gt;0,(DG234+Distances!DH125*1.84)*FS234*AU213*2,"")</f>
        <v>416.00025600000004</v>
      </c>
      <c r="AV234" s="14">
        <f>IF(Distances!DI125&gt;0,(DH234+Distances!DI125*1.84)*FT234*AV213*2,"")</f>
        <v>198.97510588235292</v>
      </c>
      <c r="AW234" s="14">
        <f>IF(Distances!DJ125&gt;0,(DI234+Distances!DJ125*1.84)*FU234*AW213*2,"")</f>
        <v>613.77741714285719</v>
      </c>
      <c r="AX234" s="14">
        <f>IF(Distances!DK125&gt;0,(DJ234+Distances!DK125*1.84)*FV234*AX213*2,"")</f>
        <v>146.78649142857142</v>
      </c>
      <c r="AY234" s="14">
        <f>IF(Distances!DL125&gt;0,(DK234+Distances!DL125*1.84)*FW234*AY213*2,"")</f>
        <v>33.146763636363637</v>
      </c>
      <c r="AZ234" s="14">
        <f>IF(Distances!DM125&gt;0,(DL234+Distances!DM125*1.84)*FX234*AZ213*2,"")</f>
        <v>199.22802909090913</v>
      </c>
      <c r="BA234" s="14">
        <f>IF(Distances!DN125&gt;0,(DM234+Distances!DN125*1.84)*FY234*BA213*2,"")</f>
        <v>88.397257142857129</v>
      </c>
      <c r="BB234" s="13">
        <f>IF(Distances!DO125&gt;0,(DN234+Distances!DO125*1.84)*FZ234*BB213*2,"")</f>
        <v>206.90560000000002</v>
      </c>
      <c r="BC234" s="14">
        <f>IF(Distances!DP125&gt;0,(DO234+Distances!DP125*1.84)*GA234*BC213*2,"")</f>
        <v>899.81088914285715</v>
      </c>
      <c r="BD234" s="14">
        <f>IF(Distances!DQ125&gt;0,(DP234+Distances!DQ125*1.84)*GB234*BD213*2,"")</f>
        <v>1020.9907565714286</v>
      </c>
      <c r="BE234" s="14">
        <f>IF(Distances!DR125&gt;0,(DQ234+Distances!DR125*1.84)*GC234*BE213*2,"")</f>
        <v>933.77492114285701</v>
      </c>
      <c r="BF234" s="13">
        <f>IF(Distances!DS125&gt;0,(DR234+Distances!DS125*1.84)*GD234*BF213*2,"")</f>
        <v>331.99520000000007</v>
      </c>
      <c r="BG234" s="13">
        <f>IF(Distances!DT125&gt;0,(DS234+Distances!DT125*1.84)*GE234*BG213*2,"")</f>
        <v>149.88368</v>
      </c>
      <c r="BH234" s="14">
        <f>IF(Distances!DU125&gt;0,(DT234+Distances!DU125*1.84)*GF234*BH213*2,"")</f>
        <v>187.40597581395349</v>
      </c>
      <c r="BI234" s="14">
        <f>IF(Distances!DV125&gt;0,(DU234+Distances!DV125*1.84)*GG234*BI213*2,"")</f>
        <v>132.63986604651163</v>
      </c>
      <c r="BJ234" s="15">
        <f>IF(Distances!DW125&gt;0,(DV234+Distances!DW125*1.84)*GH234*BJ213*2,"")</f>
        <v>203.36433116279071</v>
      </c>
      <c r="BM234" s="35" t="s">
        <v>21</v>
      </c>
      <c r="BN234" s="16">
        <v>1599.1751999999999</v>
      </c>
      <c r="BO234" s="14">
        <v>1865.5391999999999</v>
      </c>
      <c r="BP234" s="14">
        <v>1125.6504</v>
      </c>
      <c r="BQ234" s="14">
        <v>1125.6504</v>
      </c>
      <c r="BR234" s="14">
        <v>1192.4555999999998</v>
      </c>
      <c r="BS234" s="14">
        <v>2937.5135999999998</v>
      </c>
      <c r="BT234" s="14">
        <v>3032.9543999999996</v>
      </c>
      <c r="BU234" s="14">
        <v>2937.5135999999998</v>
      </c>
      <c r="BV234" s="14">
        <v>1170.1871999999998</v>
      </c>
      <c r="BW234" s="14">
        <v>1170.1871999999998</v>
      </c>
      <c r="BX234" s="14">
        <v>3062.6736000000001</v>
      </c>
      <c r="BY234" s="14">
        <v>3062.6736000000001</v>
      </c>
      <c r="BZ234" s="14">
        <v>1976.3015999999998</v>
      </c>
      <c r="CA234" s="14">
        <v>1806.1931999999999</v>
      </c>
      <c r="CB234" s="14">
        <v>1933.3775999999998</v>
      </c>
      <c r="CC234" s="13">
        <v>976.6848</v>
      </c>
      <c r="CD234" s="13">
        <v>967.4867999999999</v>
      </c>
      <c r="CE234" s="13">
        <v>995.09760000000006</v>
      </c>
      <c r="CF234" s="13">
        <v>949.07399999999984</v>
      </c>
      <c r="CG234" s="13">
        <v>858.42119999999989</v>
      </c>
      <c r="CH234" s="12">
        <v>0</v>
      </c>
      <c r="CI234" s="13">
        <v>1282.7807999999998</v>
      </c>
      <c r="CJ234" s="13">
        <v>785.77800000000002</v>
      </c>
      <c r="CK234" s="13">
        <v>1045.8335999999999</v>
      </c>
      <c r="CL234" s="13">
        <v>755.6472</v>
      </c>
      <c r="CM234" s="13">
        <v>741.92160000000001</v>
      </c>
      <c r="CN234" s="13">
        <v>714.47879999999998</v>
      </c>
      <c r="CO234" s="13">
        <v>707.62439999999992</v>
      </c>
      <c r="CP234" s="13">
        <v>785.77800000000002</v>
      </c>
      <c r="CQ234" s="13">
        <v>0</v>
      </c>
      <c r="CR234" s="13">
        <v>0</v>
      </c>
      <c r="CS234" s="13">
        <v>0</v>
      </c>
      <c r="CT234" s="14">
        <v>302.83679999999998</v>
      </c>
      <c r="CU234" s="14">
        <v>1128.3887999999999</v>
      </c>
      <c r="CV234" s="14">
        <v>302.83679999999998</v>
      </c>
      <c r="CW234" s="14">
        <v>1161.2244000000001</v>
      </c>
      <c r="CX234" s="14">
        <v>462.5292</v>
      </c>
      <c r="CY234" s="14">
        <v>462.5292</v>
      </c>
      <c r="CZ234" s="14">
        <v>462.5292</v>
      </c>
      <c r="DA234" s="14">
        <v>965.94119999999998</v>
      </c>
      <c r="DB234" s="14">
        <v>984.6816</v>
      </c>
      <c r="DC234" s="14">
        <v>1364.6219999999998</v>
      </c>
      <c r="DD234" s="14">
        <v>1522.0632000000001</v>
      </c>
      <c r="DE234" s="14">
        <v>1522.0632000000001</v>
      </c>
      <c r="DF234" s="14">
        <v>1522.0632000000001</v>
      </c>
      <c r="DG234" s="14">
        <v>1626.2736</v>
      </c>
      <c r="DH234" s="14">
        <v>1179.5447999999999</v>
      </c>
      <c r="DI234" s="14">
        <v>1179.5447999999999</v>
      </c>
      <c r="DJ234" s="14">
        <v>1657.2275999999999</v>
      </c>
      <c r="DK234" s="14">
        <v>0</v>
      </c>
      <c r="DL234" s="14">
        <v>3677.4107999999997</v>
      </c>
      <c r="DM234" s="14">
        <v>1022.1539999999999</v>
      </c>
      <c r="DN234" s="13">
        <v>1157.52</v>
      </c>
      <c r="DO234" s="14">
        <v>1548.8843999999999</v>
      </c>
      <c r="DP234" s="14">
        <v>1657.2275999999999</v>
      </c>
      <c r="DQ234" s="14">
        <v>1641.7547999999999</v>
      </c>
      <c r="DR234" s="13">
        <v>975.24</v>
      </c>
      <c r="DS234" s="13">
        <v>565.58879999999999</v>
      </c>
      <c r="DT234" s="14">
        <v>3198.3755999999998</v>
      </c>
      <c r="DU234" s="14">
        <v>2443.4004</v>
      </c>
      <c r="DV234" s="15">
        <v>2443.4004</v>
      </c>
      <c r="DY234" s="35" t="s">
        <v>21</v>
      </c>
      <c r="DZ234" s="16">
        <v>6.2500000000000003E-3</v>
      </c>
      <c r="EA234" s="14">
        <v>6.2500000000000003E-3</v>
      </c>
      <c r="EB234" s="14">
        <v>6.2500000000000003E-3</v>
      </c>
      <c r="EC234" s="14">
        <v>6.2500000000000003E-3</v>
      </c>
      <c r="ED234" s="14">
        <v>6.2500000000000003E-3</v>
      </c>
      <c r="EE234" s="14">
        <v>6.2500000000000003E-3</v>
      </c>
      <c r="EF234" s="14">
        <v>6.2500000000000003E-3</v>
      </c>
      <c r="EG234" s="14">
        <v>6.2500000000000003E-3</v>
      </c>
      <c r="EH234" s="14">
        <v>6.2500000000000003E-3</v>
      </c>
      <c r="EI234" s="14">
        <v>6.2500000000000003E-3</v>
      </c>
      <c r="EJ234" s="14">
        <v>6.2500000000000003E-3</v>
      </c>
      <c r="EK234" s="14">
        <v>6.2500000000000003E-3</v>
      </c>
      <c r="EL234" s="14">
        <v>6.2500000000000003E-3</v>
      </c>
      <c r="EM234" s="14">
        <v>4.6511627906976744E-3</v>
      </c>
      <c r="EN234" s="14">
        <v>4.6511627906976744E-3</v>
      </c>
      <c r="EO234" s="13">
        <f t="shared" si="87"/>
        <v>1.2500000000000001E-2</v>
      </c>
      <c r="EP234" s="13">
        <f t="shared" si="87"/>
        <v>1.2500000000000001E-2</v>
      </c>
      <c r="EQ234" s="13">
        <f t="shared" si="87"/>
        <v>1.2500000000000001E-2</v>
      </c>
      <c r="ER234" s="13">
        <f t="shared" si="87"/>
        <v>1.2500000000000001E-2</v>
      </c>
      <c r="ES234" s="13">
        <f t="shared" si="87"/>
        <v>1.2500000000000001E-2</v>
      </c>
      <c r="ET234" s="12">
        <v>0.6</v>
      </c>
      <c r="EU234" s="13">
        <f t="shared" si="84"/>
        <v>1.2500000000000001E-2</v>
      </c>
      <c r="EV234" s="13">
        <f t="shared" si="84"/>
        <v>1.2500000000000001E-2</v>
      </c>
      <c r="EW234" s="13">
        <f t="shared" si="84"/>
        <v>1.2500000000000001E-2</v>
      </c>
      <c r="EX234" s="13">
        <f t="shared" si="84"/>
        <v>1.2500000000000001E-2</v>
      </c>
      <c r="EY234" s="13">
        <f t="shared" si="84"/>
        <v>1.2500000000000001E-2</v>
      </c>
      <c r="EZ234" s="13">
        <f t="shared" si="84"/>
        <v>1.2500000000000001E-2</v>
      </c>
      <c r="FA234" s="13">
        <f t="shared" si="84"/>
        <v>1.2500000000000001E-2</v>
      </c>
      <c r="FB234" s="13">
        <f t="shared" si="84"/>
        <v>1.2500000000000001E-2</v>
      </c>
      <c r="FC234" s="13">
        <f t="shared" si="84"/>
        <v>1.2500000000000001E-2</v>
      </c>
      <c r="FD234" s="13">
        <f t="shared" si="84"/>
        <v>1.2500000000000001E-2</v>
      </c>
      <c r="FE234" s="13">
        <f t="shared" si="84"/>
        <v>1.2500000000000001E-2</v>
      </c>
      <c r="FF234" s="14">
        <v>5.7142857142857143E-3</v>
      </c>
      <c r="FG234" s="14">
        <v>5.7142857142857143E-3</v>
      </c>
      <c r="FH234" s="14">
        <v>5.7142857142857143E-3</v>
      </c>
      <c r="FI234" s="14">
        <v>5.7142857142857143E-3</v>
      </c>
      <c r="FJ234" s="14">
        <v>5.7142857142857143E-3</v>
      </c>
      <c r="FK234" s="14">
        <v>5.7142857142857143E-3</v>
      </c>
      <c r="FL234" s="14">
        <v>5.7142857142857143E-3</v>
      </c>
      <c r="FM234" s="14">
        <v>4.7619047619047623E-3</v>
      </c>
      <c r="FN234" s="14">
        <v>4.7619047619047623E-3</v>
      </c>
      <c r="FO234" s="14">
        <v>4.7619047619047623E-3</v>
      </c>
      <c r="FP234" s="14">
        <v>5.7142857142857143E-3</v>
      </c>
      <c r="FQ234" s="14">
        <v>5.7142857142857143E-3</v>
      </c>
      <c r="FR234" s="14">
        <v>5.7142857142857143E-3</v>
      </c>
      <c r="FS234" s="14">
        <v>5.7142857142857143E-3</v>
      </c>
      <c r="FT234" s="14">
        <v>5.8823529411764705E-3</v>
      </c>
      <c r="FU234" s="14">
        <v>5.7142857142857143E-3</v>
      </c>
      <c r="FV234" s="14">
        <v>5.7142857142857143E-3</v>
      </c>
      <c r="FW234" s="14">
        <v>4.5454545454545461E-3</v>
      </c>
      <c r="FX234" s="14">
        <v>4.5454545454545461E-3</v>
      </c>
      <c r="FY234" s="14">
        <v>5.7142857142857143E-3</v>
      </c>
      <c r="FZ234" s="13">
        <f t="shared" si="85"/>
        <v>1.2500000000000001E-2</v>
      </c>
      <c r="GA234" s="14">
        <v>5.7142857142857143E-3</v>
      </c>
      <c r="GB234" s="14">
        <v>5.7142857142857143E-3</v>
      </c>
      <c r="GC234" s="14">
        <v>5.7142857142857143E-3</v>
      </c>
      <c r="GD234" s="13">
        <f t="shared" si="86"/>
        <v>1.2500000000000001E-2</v>
      </c>
      <c r="GE234" s="13">
        <f t="shared" si="86"/>
        <v>1.2500000000000001E-2</v>
      </c>
      <c r="GF234" s="14">
        <v>4.6511627906976744E-3</v>
      </c>
      <c r="GG234" s="14">
        <v>4.6511627906976744E-3</v>
      </c>
      <c r="GH234" s="15">
        <v>4.6511627906976744E-3</v>
      </c>
    </row>
    <row r="235" spans="1:190" x14ac:dyDescent="0.3">
      <c r="A235" s="35" t="s">
        <v>22</v>
      </c>
      <c r="B235" s="16" t="s">
        <v>62</v>
      </c>
      <c r="C235" s="14" t="s">
        <v>62</v>
      </c>
      <c r="D235" s="14">
        <f>IF(Distances!BQ126&gt;0,(BP235+Distances!BQ126*1.84)*EB235*D213*2,"")</f>
        <v>10882.454070000002</v>
      </c>
      <c r="E235" s="14" t="s">
        <v>62</v>
      </c>
      <c r="F235" s="14">
        <f>IF(Distances!BS126&gt;0,(BR235+Distances!BS126*1.84)*ED235*F213*2,"")</f>
        <v>2344.6594500000001</v>
      </c>
      <c r="G235" s="14">
        <f>IF(Distances!BT126&gt;0,(BS235+Distances!BT126*1.84)*EE235*G213*2,"")</f>
        <v>14032.72992</v>
      </c>
      <c r="H235" s="14" t="s">
        <v>62</v>
      </c>
      <c r="I235" s="14" t="s">
        <v>62</v>
      </c>
      <c r="J235" s="14">
        <f>IF(Distances!BW126&gt;0,(BV235+Distances!BW126*1.84)*EH235*J213*2,"")</f>
        <v>89.857979999999998</v>
      </c>
      <c r="K235" s="14" t="s">
        <v>62</v>
      </c>
      <c r="L235" s="14">
        <f>IF(Distances!BY126&gt;0,(BX235+Distances!BY126*1.84)*EJ235*L213*2,"")</f>
        <v>222.68245999999999</v>
      </c>
      <c r="M235" s="14" t="s">
        <v>62</v>
      </c>
      <c r="N235" s="14">
        <f>IF(Distances!CA126&gt;0,(BZ235+Distances!CA126*1.84)*EL235*N213*2,"")</f>
        <v>108.46208000000001</v>
      </c>
      <c r="O235" s="14">
        <f>IF(Distances!CB126&gt;0,(CA235+Distances!CB126*1.84)*EM235*O213*2,"")</f>
        <v>149.40896372093022</v>
      </c>
      <c r="P235" s="14">
        <f>IF(Distances!CC126&gt;0,(CB235+Distances!CC126*1.84)*EN235*P213*2,"")</f>
        <v>140.15172093023259</v>
      </c>
      <c r="Q235" s="13" t="s">
        <v>62</v>
      </c>
      <c r="R235" s="13" t="s">
        <v>62</v>
      </c>
      <c r="S235" s="13" t="s">
        <v>62</v>
      </c>
      <c r="T235" s="13">
        <f>IF(Distances!CG126&gt;0,(CF235+Distances!CG126*1.84)*ER235*T213*2,"")</f>
        <v>181.21417999999997</v>
      </c>
      <c r="U235" s="13">
        <f>IF(Distances!CH126&gt;0,(CG235+Distances!CH126*1.84)*ES235*U213*2,"")</f>
        <v>222.80047999999996</v>
      </c>
      <c r="V235" s="13">
        <f>IF(Distances!CI126&gt;0,(CH235+Distances!CI126*1.84)*ET235*V213*2,"")</f>
        <v>3181.7593599999996</v>
      </c>
      <c r="W235" s="12" t="s">
        <v>62</v>
      </c>
      <c r="X235" s="13">
        <f>IF(Distances!CK126&gt;0,(CJ235+Distances!CK126*1.84)*EV235*X213*2,"")</f>
        <v>1081.6449</v>
      </c>
      <c r="Y235" s="13">
        <f>IF(Distances!CL126&gt;0,(CK235+Distances!CL126*1.84)*EW235*Y213*2,"")</f>
        <v>1667.9721200000004</v>
      </c>
      <c r="Z235" s="13">
        <f>IF(Distances!CM126&gt;0,(CL235+Distances!CM126*1.84)*EX235*Z213*2,"")</f>
        <v>47.645679999999999</v>
      </c>
      <c r="AA235" s="13">
        <f>IF(Distances!CN126&gt;0,(CM235+Distances!CN126*1.84)*EY235*AA213*2,"")</f>
        <v>53.77216</v>
      </c>
      <c r="AB235" s="13">
        <f>IF(Distances!CO126&gt;0,(CN235+Distances!CO126*1.84)*EZ235*AB213*2,"")</f>
        <v>71.471100000000007</v>
      </c>
      <c r="AC235" s="13" t="s">
        <v>62</v>
      </c>
      <c r="AD235" s="13" t="s">
        <v>62</v>
      </c>
      <c r="AE235" s="13">
        <f>IF(Distances!CR126&gt;0,(CQ235+Distances!CR126*1.84)*FC235*AE213*2,"")</f>
        <v>133.58441999999999</v>
      </c>
      <c r="AF235" s="13">
        <f>IF(Distances!CS126&gt;0,(CR235+Distances!CS126*1.84)*FD235*AF213*2,"")</f>
        <v>232.98163999999997</v>
      </c>
      <c r="AG235" s="13">
        <f>IF(Distances!CT126&gt;0,(CS235+Distances!CT126*1.84)*FE235*AG213*2,"")</f>
        <v>191.94964000000002</v>
      </c>
      <c r="AH235" s="14">
        <f>IF(Distances!CU126&gt;0,(CT235+Distances!CU126*1.84)*FF235*AH213*2,"")</f>
        <v>47.049394285714286</v>
      </c>
      <c r="AI235" s="14" t="s">
        <v>62</v>
      </c>
      <c r="AJ235" s="14">
        <f>IF(Distances!CW126&gt;0,(CV235+Distances!CW126*1.84)*FH235*AJ213*2,"")</f>
        <v>36.171314285714281</v>
      </c>
      <c r="AK235" s="14" t="s">
        <v>62</v>
      </c>
      <c r="AL235" s="14" t="s">
        <v>62</v>
      </c>
      <c r="AM235" s="14" t="s">
        <v>62</v>
      </c>
      <c r="AN235" s="14">
        <f>IF(Distances!DA126&gt;0,(CZ235+Distances!DA126*1.84)*FL235*AN213*2,"")</f>
        <v>1105.5349028571427</v>
      </c>
      <c r="AO235" s="14" t="s">
        <v>62</v>
      </c>
      <c r="AP235" s="14" t="s">
        <v>62</v>
      </c>
      <c r="AQ235" s="14" t="s">
        <v>62</v>
      </c>
      <c r="AR235" s="14" t="s">
        <v>62</v>
      </c>
      <c r="AS235" s="14">
        <f>IF(Distances!DF126&gt;0,(DE235+Distances!DF126*1.84)*FQ235*AS213*2,"")</f>
        <v>106.14930285714286</v>
      </c>
      <c r="AT235" s="14">
        <f>IF(Distances!DG126&gt;0,(DF235+Distances!DG126*1.84)*FR235*AT213*2,"")</f>
        <v>70.026422857142862</v>
      </c>
      <c r="AU235" s="14">
        <f>IF(Distances!DH126&gt;0,(DG235+Distances!DH126*1.84)*FS235*AU213*2,"")</f>
        <v>214.37311999999997</v>
      </c>
      <c r="AV235" s="14">
        <f>IF(Distances!DI126&gt;0,(DH235+Distances!DI126*1.84)*FT235*AV213*2,"")</f>
        <v>128.84094117647061</v>
      </c>
      <c r="AW235" s="14">
        <f>IF(Distances!DJ126&gt;0,(DI235+Distances!DJ126*1.84)*FU235*AW213*2,"")</f>
        <v>545.64708571428571</v>
      </c>
      <c r="AX235" s="14" t="s">
        <v>62</v>
      </c>
      <c r="AY235" s="14" t="s">
        <v>62</v>
      </c>
      <c r="AZ235" s="14">
        <f>IF(Distances!DM126&gt;0,(DL235+Distances!DM126*1.84)*FX235*AZ213*2,"")</f>
        <v>168.35965090909093</v>
      </c>
      <c r="BA235" s="14" t="s">
        <v>62</v>
      </c>
      <c r="BB235" s="12" t="s">
        <v>62</v>
      </c>
      <c r="BC235" s="14" t="s">
        <v>62</v>
      </c>
      <c r="BD235" s="14">
        <f>IF(Distances!DQ126&gt;0,(DP235+Distances!DQ126*1.84)*GB235*BD213*2,"")</f>
        <v>557.70185142857144</v>
      </c>
      <c r="BE235" s="14" t="s">
        <v>62</v>
      </c>
      <c r="BF235" s="13">
        <f>IF(Distances!DS126&gt;0,(DR235+Distances!DS126*1.84)*GD235*BF213*2,"")</f>
        <v>292.90479999999997</v>
      </c>
      <c r="BG235" s="13">
        <f>IF(Distances!DT126&gt;0,(DS235+Distances!DT126*1.84)*GE235*BG213*2,"")</f>
        <v>105.81544</v>
      </c>
      <c r="BH235" s="14">
        <f>IF(Distances!DU126&gt;0,(DT235+Distances!DU126*1.84)*GF235*BH213*2,"")</f>
        <v>138.84250790697675</v>
      </c>
      <c r="BI235" s="14">
        <f>IF(Distances!DV126&gt;0,(DU235+Distances!DV126*1.84)*GG235*BI213*2,"")</f>
        <v>86.018009302325581</v>
      </c>
      <c r="BJ235" s="15">
        <f>IF(Distances!DW126&gt;0,(DV235+Distances!DW126*1.84)*GH235*BJ213*2,"")</f>
        <v>156.74247441860464</v>
      </c>
      <c r="BM235" s="35" t="s">
        <v>22</v>
      </c>
      <c r="BN235" s="16">
        <v>956.4828</v>
      </c>
      <c r="BO235" s="14">
        <v>1250.8019999999999</v>
      </c>
      <c r="BP235" s="14">
        <v>767.14679999999998</v>
      </c>
      <c r="BQ235" s="14">
        <v>767.14679999999998</v>
      </c>
      <c r="BR235" s="14">
        <v>812.65800000000002</v>
      </c>
      <c r="BS235" s="14">
        <v>2545.8047999999999</v>
      </c>
      <c r="BT235" s="14">
        <v>2641.3044</v>
      </c>
      <c r="BU235" s="14">
        <v>2545.8047999999999</v>
      </c>
      <c r="BV235" s="14">
        <v>797.48759999999993</v>
      </c>
      <c r="BW235" s="14">
        <v>797.48759999999993</v>
      </c>
      <c r="BX235" s="14">
        <v>2667.1931999999997</v>
      </c>
      <c r="BY235" s="14">
        <v>2667.1931999999997</v>
      </c>
      <c r="BZ235" s="14">
        <v>1325.0496000000001</v>
      </c>
      <c r="CA235" s="14">
        <v>1481.3987999999999</v>
      </c>
      <c r="CB235" s="14">
        <v>2057.2020000000002</v>
      </c>
      <c r="CC235" s="13">
        <v>705.66719999999998</v>
      </c>
      <c r="CD235" s="13">
        <v>701.54279999999994</v>
      </c>
      <c r="CE235" s="13">
        <v>718.96439999999996</v>
      </c>
      <c r="CF235" s="13">
        <v>685.72559999999999</v>
      </c>
      <c r="CG235" s="13">
        <v>699.24959999999999</v>
      </c>
      <c r="CH235" s="13">
        <v>1282.7807999999998</v>
      </c>
      <c r="CI235" s="12">
        <v>0</v>
      </c>
      <c r="CJ235" s="13">
        <v>483.21</v>
      </c>
      <c r="CK235" s="13">
        <v>685.72559999999999</v>
      </c>
      <c r="CL235" s="13">
        <v>821.72159999999997</v>
      </c>
      <c r="CM235" s="13">
        <v>806.80319999999995</v>
      </c>
      <c r="CN235" s="13">
        <v>776.95799999999997</v>
      </c>
      <c r="CO235" s="13">
        <v>769.49879999999996</v>
      </c>
      <c r="CP235" s="13">
        <v>483.21</v>
      </c>
      <c r="CQ235" s="13">
        <v>958.28039999999987</v>
      </c>
      <c r="CR235" s="13">
        <v>958.28039999999987</v>
      </c>
      <c r="CS235" s="13">
        <v>958.28039999999987</v>
      </c>
      <c r="CT235" s="14">
        <v>1587.558</v>
      </c>
      <c r="CU235" s="14">
        <v>1795.2815999999998</v>
      </c>
      <c r="CV235" s="14">
        <v>1587.558</v>
      </c>
      <c r="CW235" s="14">
        <v>1847.5379999999998</v>
      </c>
      <c r="CX235" s="14">
        <v>1492.008</v>
      </c>
      <c r="CY235" s="14">
        <v>1492.008</v>
      </c>
      <c r="CZ235" s="14">
        <v>1492.008</v>
      </c>
      <c r="DA235" s="14">
        <v>1254.1787999999999</v>
      </c>
      <c r="DB235" s="14">
        <v>1278.5136</v>
      </c>
      <c r="DC235" s="14">
        <v>1483.5155999999999</v>
      </c>
      <c r="DD235" s="14">
        <v>1230.096</v>
      </c>
      <c r="DE235" s="14">
        <v>1230.096</v>
      </c>
      <c r="DF235" s="14">
        <v>1230.096</v>
      </c>
      <c r="DG235" s="14">
        <v>1277.6399999999999</v>
      </c>
      <c r="DH235" s="14">
        <v>898.8</v>
      </c>
      <c r="DI235" s="14">
        <v>898.8</v>
      </c>
      <c r="DJ235" s="14">
        <v>1301.9580000000001</v>
      </c>
      <c r="DK235" s="14">
        <v>0</v>
      </c>
      <c r="DL235" s="14">
        <v>3740.0663999999997</v>
      </c>
      <c r="DM235" s="14">
        <v>1026.8496</v>
      </c>
      <c r="DN235" s="12">
        <v>882.01679999999999</v>
      </c>
      <c r="DO235" s="14">
        <v>1216.8492000000001</v>
      </c>
      <c r="DP235" s="14">
        <v>1301.9580000000001</v>
      </c>
      <c r="DQ235" s="14">
        <v>1289.8032000000001</v>
      </c>
      <c r="DR235" s="13">
        <v>1495.8719999999998</v>
      </c>
      <c r="DS235" s="13">
        <v>1036.4423999999999</v>
      </c>
      <c r="DT235" s="14">
        <v>2804.7683999999999</v>
      </c>
      <c r="DU235" s="14">
        <v>2101.9739999999997</v>
      </c>
      <c r="DV235" s="15">
        <v>2101.9739999999997</v>
      </c>
      <c r="DY235" s="35" t="s">
        <v>22</v>
      </c>
      <c r="DZ235" s="16">
        <v>6.2500000000000003E-3</v>
      </c>
      <c r="EA235" s="14">
        <v>6.2500000000000003E-3</v>
      </c>
      <c r="EB235" s="14">
        <v>6.2500000000000003E-3</v>
      </c>
      <c r="EC235" s="14">
        <v>6.2500000000000003E-3</v>
      </c>
      <c r="ED235" s="14">
        <v>6.2500000000000003E-3</v>
      </c>
      <c r="EE235" s="14">
        <v>6.2500000000000003E-3</v>
      </c>
      <c r="EF235" s="14">
        <v>6.2500000000000003E-3</v>
      </c>
      <c r="EG235" s="14">
        <v>6.2500000000000003E-3</v>
      </c>
      <c r="EH235" s="14">
        <v>6.2500000000000003E-3</v>
      </c>
      <c r="EI235" s="14">
        <v>6.2500000000000003E-3</v>
      </c>
      <c r="EJ235" s="14">
        <v>6.2500000000000003E-3</v>
      </c>
      <c r="EK235" s="14">
        <v>6.2500000000000003E-3</v>
      </c>
      <c r="EL235" s="14">
        <v>6.2500000000000003E-3</v>
      </c>
      <c r="EM235" s="14">
        <v>4.6511627906976744E-3</v>
      </c>
      <c r="EN235" s="14">
        <v>4.6511627906976744E-3</v>
      </c>
      <c r="EO235" s="13">
        <f t="shared" si="87"/>
        <v>1.2500000000000001E-2</v>
      </c>
      <c r="EP235" s="13">
        <f t="shared" si="87"/>
        <v>1.2500000000000001E-2</v>
      </c>
      <c r="EQ235" s="13">
        <f t="shared" si="87"/>
        <v>1.2500000000000001E-2</v>
      </c>
      <c r="ER235" s="13">
        <f t="shared" si="87"/>
        <v>1.2500000000000001E-2</v>
      </c>
      <c r="ES235" s="13">
        <f t="shared" si="87"/>
        <v>1.2500000000000001E-2</v>
      </c>
      <c r="ET235" s="13">
        <f t="shared" si="87"/>
        <v>1.2500000000000001E-2</v>
      </c>
      <c r="EU235" s="12">
        <v>0.6</v>
      </c>
      <c r="EV235" s="13">
        <f t="shared" si="84"/>
        <v>1.2500000000000001E-2</v>
      </c>
      <c r="EW235" s="13">
        <f t="shared" si="84"/>
        <v>1.2500000000000001E-2</v>
      </c>
      <c r="EX235" s="13">
        <f t="shared" si="84"/>
        <v>1.2500000000000001E-2</v>
      </c>
      <c r="EY235" s="13">
        <f t="shared" si="84"/>
        <v>1.2500000000000001E-2</v>
      </c>
      <c r="EZ235" s="13">
        <f t="shared" si="84"/>
        <v>1.2500000000000001E-2</v>
      </c>
      <c r="FA235" s="13">
        <f t="shared" si="84"/>
        <v>1.2500000000000001E-2</v>
      </c>
      <c r="FB235" s="13">
        <f t="shared" si="84"/>
        <v>1.2500000000000001E-2</v>
      </c>
      <c r="FC235" s="13">
        <f t="shared" si="84"/>
        <v>1.2500000000000001E-2</v>
      </c>
      <c r="FD235" s="13">
        <f t="shared" si="84"/>
        <v>1.2500000000000001E-2</v>
      </c>
      <c r="FE235" s="13">
        <f t="shared" si="84"/>
        <v>1.2500000000000001E-2</v>
      </c>
      <c r="FF235" s="14">
        <v>5.7142857142857143E-3</v>
      </c>
      <c r="FG235" s="14">
        <v>5.7142857142857143E-3</v>
      </c>
      <c r="FH235" s="14">
        <v>5.7142857142857143E-3</v>
      </c>
      <c r="FI235" s="14">
        <v>5.7142857142857143E-3</v>
      </c>
      <c r="FJ235" s="14">
        <v>5.7142857142857143E-3</v>
      </c>
      <c r="FK235" s="14">
        <v>5.7142857142857143E-3</v>
      </c>
      <c r="FL235" s="14">
        <v>5.7142857142857143E-3</v>
      </c>
      <c r="FM235" s="14">
        <v>4.7619047619047623E-3</v>
      </c>
      <c r="FN235" s="14">
        <v>4.7619047619047623E-3</v>
      </c>
      <c r="FO235" s="14">
        <v>4.7619047619047623E-3</v>
      </c>
      <c r="FP235" s="14">
        <v>5.7142857142857143E-3</v>
      </c>
      <c r="FQ235" s="14">
        <v>5.7142857142857143E-3</v>
      </c>
      <c r="FR235" s="14">
        <v>5.7142857142857143E-3</v>
      </c>
      <c r="FS235" s="14">
        <v>5.7142857142857143E-3</v>
      </c>
      <c r="FT235" s="14">
        <v>5.8823529411764705E-3</v>
      </c>
      <c r="FU235" s="14">
        <v>5.7142857142857143E-3</v>
      </c>
      <c r="FV235" s="14">
        <v>5.7142857142857143E-3</v>
      </c>
      <c r="FW235" s="14">
        <v>4.5454545454545461E-3</v>
      </c>
      <c r="FX235" s="14">
        <v>4.5454545454545461E-3</v>
      </c>
      <c r="FY235" s="14">
        <v>5.7142857142857143E-3</v>
      </c>
      <c r="FZ235" s="12">
        <v>0.6</v>
      </c>
      <c r="GA235" s="14">
        <v>5.7142857142857143E-3</v>
      </c>
      <c r="GB235" s="14">
        <v>5.7142857142857143E-3</v>
      </c>
      <c r="GC235" s="14">
        <v>5.7142857142857143E-3</v>
      </c>
      <c r="GD235" s="13">
        <f t="shared" si="86"/>
        <v>1.2500000000000001E-2</v>
      </c>
      <c r="GE235" s="13">
        <f t="shared" si="86"/>
        <v>1.2500000000000001E-2</v>
      </c>
      <c r="GF235" s="14">
        <v>4.6511627906976744E-3</v>
      </c>
      <c r="GG235" s="14">
        <v>4.6511627906976744E-3</v>
      </c>
      <c r="GH235" s="15">
        <v>4.6511627906976744E-3</v>
      </c>
    </row>
    <row r="236" spans="1:190" x14ac:dyDescent="0.3">
      <c r="A236" s="35" t="s">
        <v>23</v>
      </c>
      <c r="B236" s="16">
        <f>IF(Distances!BO127&gt;0,(BN236+Distances!BO127*1.84)*DZ236*B213*2,"")</f>
        <v>3632.4882299999999</v>
      </c>
      <c r="C236" s="14">
        <f>IF(Distances!BP127&gt;0,(BO236+Distances!BP127*1.84)*EA236*C213*2,"")</f>
        <v>4365.67551</v>
      </c>
      <c r="D236" s="14">
        <f>IF(Distances!BQ127&gt;0,(BP236+Distances!BQ127*1.84)*EB236*D213*2,"")</f>
        <v>11891.328930000001</v>
      </c>
      <c r="E236" s="14">
        <f>IF(Distances!BR127&gt;0,(BQ236+Distances!BR127*1.84)*EC236*E213*2,"")</f>
        <v>2945.9205299999999</v>
      </c>
      <c r="F236" s="14">
        <f>IF(Distances!BS127&gt;0,(BR236+Distances!BS127*1.84)*ED236*F213*2,"")</f>
        <v>3374.0443800000007</v>
      </c>
      <c r="G236" s="14">
        <f>IF(Distances!BT127&gt;0,(BS236+Distances!BT127*1.84)*EE236*G213*2,"")</f>
        <v>13937.751539999999</v>
      </c>
      <c r="H236" s="14">
        <f>IF(Distances!BU127&gt;0,(BT236+Distances!BU127*1.84)*EF236*H213*2,"")</f>
        <v>6588.2289900000005</v>
      </c>
      <c r="I236" s="14">
        <f>IF(Distances!BV127&gt;0,(BU236+Distances!BV127*1.84)*EG236*I213*2,"")</f>
        <v>6333.1787399999994</v>
      </c>
      <c r="J236" s="14">
        <f>IF(Distances!BW127&gt;0,(BV236+Distances!BW127*1.84)*EH236*J213*2,"")</f>
        <v>110.10660000000001</v>
      </c>
      <c r="K236" s="14">
        <f>IF(Distances!BX127&gt;0,(BW236+Distances!BX127*1.84)*EI236*K213*2,"")</f>
        <v>60.123000000000005</v>
      </c>
      <c r="L236" s="14">
        <f>IF(Distances!BY127&gt;0,(BX236+Distances!BY127*1.84)*EJ236*L213*2,"")</f>
        <v>220.93274000000002</v>
      </c>
      <c r="M236" s="14">
        <f>IF(Distances!BZ127&gt;0,(BY236+Distances!BZ127*1.84)*EK236*M213*2,"")</f>
        <v>131.60993999999999</v>
      </c>
      <c r="N236" s="14">
        <f>IF(Distances!CA127&gt;0,(BZ236+Distances!CA127*1.84)*EL236*N213*2,"")</f>
        <v>133.01108000000002</v>
      </c>
      <c r="O236" s="14">
        <f>IF(Distances!CB127&gt;0,(CA236+Distances!CB127*1.84)*EM236*O213*2,"")</f>
        <v>183.86412279069768</v>
      </c>
      <c r="P236" s="14">
        <f>IF(Distances!CC127&gt;0,(CB236+Distances!CC127*1.84)*EN236*P213*2,"")</f>
        <v>183.78952558139534</v>
      </c>
      <c r="Q236" s="13">
        <f>IF(Distances!CD127&gt;0,(CC236+Distances!CD127*1.84)*EO236*Q213*2,"")</f>
        <v>944.04450000000008</v>
      </c>
      <c r="R236" s="13">
        <f>IF(Distances!CE127&gt;0,(CD236+Distances!CE127*1.84)*EP236*R213*2,"")</f>
        <v>938.24850000000004</v>
      </c>
      <c r="S236" s="13">
        <f>IF(Distances!CF127&gt;0,(CE236+Distances!CF127*1.84)*EQ236*S213*2,"")</f>
        <v>955.63649999999996</v>
      </c>
      <c r="T236" s="13">
        <f>IF(Distances!CG127&gt;0,(CF236+Distances!CG127*1.84)*ER236*T213*2,"")</f>
        <v>190.94410999999999</v>
      </c>
      <c r="U236" s="13">
        <f>IF(Distances!CH127&gt;0,(CG236+Distances!CH127*1.84)*ES236*U213*2,"")</f>
        <v>319.24277000000001</v>
      </c>
      <c r="V236" s="13">
        <f>IF(Distances!CI127&gt;0,(CH236+Distances!CI127*1.84)*ET236*V213*2,"")</f>
        <v>2842.0957000000008</v>
      </c>
      <c r="W236" s="13">
        <f>IF(Distances!CJ127&gt;0,(CI236+Distances!CJ127*1.84)*EU236*W213*2,"")</f>
        <v>1081.6449</v>
      </c>
      <c r="X236" s="12" t="s">
        <v>62</v>
      </c>
      <c r="Y236" s="13">
        <f>IF(Distances!CL127&gt;0,(CK236+Distances!CL127*1.84)*EW236*Y213*2,"")</f>
        <v>2345.3993600000003</v>
      </c>
      <c r="Z236" s="13">
        <f>IF(Distances!CM127&gt;0,(CL236+Distances!CM127*1.84)*EX236*Z213*2,"")</f>
        <v>71.782240000000002</v>
      </c>
      <c r="AA236" s="13">
        <f>IF(Distances!CN127&gt;0,(CM236+Distances!CN127*1.84)*EY236*AA213*2,"")</f>
        <v>77.708380000000005</v>
      </c>
      <c r="AB236" s="13">
        <f>IF(Distances!CO127&gt;0,(CN236+Distances!CO127*1.84)*EZ236*AB213*2,"")</f>
        <v>95.007480000000015</v>
      </c>
      <c r="AC236" s="13">
        <f>IF(Distances!CP127&gt;0,(CO236+Distances!CP127*1.84)*FA236*AC213*2,"")</f>
        <v>61.911360000000002</v>
      </c>
      <c r="AD236" s="13">
        <f>IF(Distances!CQ127&gt;0,(CP236+Distances!CQ127*1.84)*FB236*AD213*2,"")</f>
        <v>13.137600000000001</v>
      </c>
      <c r="AE236" s="13">
        <f>IF(Distances!CR127&gt;0,(CQ236+Distances!CR127*1.84)*FC236*AE213*2,"")</f>
        <v>157.78524000000002</v>
      </c>
      <c r="AF236" s="13">
        <f>IF(Distances!CS127&gt;0,(CR236+Distances!CS127*1.84)*FD236*AF213*2,"")</f>
        <v>281.38328000000001</v>
      </c>
      <c r="AG236" s="13">
        <f>IF(Distances!CT127&gt;0,(CS236+Distances!CT127*1.84)*FE236*AG213*2,"")</f>
        <v>240.35128</v>
      </c>
      <c r="AH236" s="14">
        <f>IF(Distances!CU127&gt;0,(CT236+Distances!CU127*1.84)*FF236*AH213*2,"")</f>
        <v>48.756082285714278</v>
      </c>
      <c r="AI236" s="14">
        <f>IF(Distances!CV127&gt;0,(CU236+Distances!CV127*1.84)*FG236*AI213*2,"")</f>
        <v>21.749952</v>
      </c>
      <c r="AJ236" s="14">
        <f>IF(Distances!CW127&gt;0,(CV236+Distances!CW127*1.84)*FH236*AJ213*2,"")</f>
        <v>37.878002285714288</v>
      </c>
      <c r="AK236" s="14">
        <f>IF(Distances!CX127&gt;0,(CW236+Distances!CX127*1.84)*FI236*AK213*2,"")</f>
        <v>22.29552</v>
      </c>
      <c r="AL236" s="14">
        <f>IF(Distances!CY127&gt;0,(CX236+Distances!CY127*1.84)*FJ236*AL213*2,"")</f>
        <v>1225.6738559999999</v>
      </c>
      <c r="AM236" s="14">
        <f>IF(Distances!CZ127&gt;0,(CY236+Distances!CZ127*1.84)*FK236*AM213*2,"")</f>
        <v>1225.6738559999999</v>
      </c>
      <c r="AN236" s="14">
        <f>IF(Distances!DA127&gt;0,(CZ236+Distances!DA127*1.84)*FL236*AN213*2,"")</f>
        <v>1410.4266788571429</v>
      </c>
      <c r="AO236" s="14">
        <f>IF(Distances!DB127&gt;0,(DA236+Distances!DB127*1.84)*FM236*AO213*2,"")</f>
        <v>33.083680000000001</v>
      </c>
      <c r="AP236" s="14">
        <f>IF(Distances!DC127&gt;0,(DB236+Distances!DC127*1.84)*FN236*AP213*2,"")</f>
        <v>33.628480000000003</v>
      </c>
      <c r="AQ236" s="14">
        <f>IF(Distances!DD127&gt;0,(DC236+Distances!DD127*1.84)*FO236*AQ213*2,"")</f>
        <v>37.765599999999999</v>
      </c>
      <c r="AR236" s="14">
        <f>IF(Distances!DE127&gt;0,(DD236+Distances!DE127*1.84)*FP236*AR213*2,"")</f>
        <v>39.174719999999994</v>
      </c>
      <c r="AS236" s="14">
        <f>IF(Distances!DF127&gt;0,(DE236+Distances!DF127*1.84)*FQ236*AS213*2,"")</f>
        <v>117.20754285714285</v>
      </c>
      <c r="AT236" s="14">
        <f>IF(Distances!DG127&gt;0,(DF236+Distances!DG127*1.84)*FR236*AT213*2,"")</f>
        <v>81.084662857142845</v>
      </c>
      <c r="AU236" s="14">
        <f>IF(Distances!DH127&gt;0,(DG236+Distances!DH127*1.84)*FS236*AU213*2,"")</f>
        <v>201.340352</v>
      </c>
      <c r="AV236" s="14">
        <f>IF(Distances!DI127&gt;0,(DH236+Distances!DI127*1.84)*FT236*AV213*2,"")</f>
        <v>131.95437647058824</v>
      </c>
      <c r="AW236" s="14">
        <f>IF(Distances!DJ127&gt;0,(DI236+Distances!DJ127*1.84)*FU236*AW213*2,"")</f>
        <v>548.67156571428586</v>
      </c>
      <c r="AX236" s="14">
        <f>IF(Distances!DK127&gt;0,(DJ236+Distances!DK127*1.84)*FV236*AX213*2,"")</f>
        <v>69.368159999999989</v>
      </c>
      <c r="AY236" s="14">
        <f>IF(Distances!DL127&gt;0,(DK236+Distances!DL127*1.84)*FW236*AY213*2,"")</f>
        <v>9.5546181818181832</v>
      </c>
      <c r="AZ236" s="14">
        <f>IF(Distances!DM127&gt;0,(DL236+Distances!DM127*1.84)*FX236*AZ213*2,"")</f>
        <v>174.74884363636366</v>
      </c>
      <c r="BA236" s="14">
        <f>IF(Distances!DN127&gt;0,(DM236+Distances!DN127*1.84)*FY236*BA213*2,"")</f>
        <v>66.049536000000003</v>
      </c>
      <c r="BB236" s="13">
        <f>IF(Distances!DO127&gt;0,(DN236+Distances!DO127*1.84)*FZ236*BB213*2,"")</f>
        <v>93.88763999999999</v>
      </c>
      <c r="BC236" s="14">
        <f>IF(Distances!DP127&gt;0,(DO236+Distances!DP127*1.84)*GA236*BC213*2,"")</f>
        <v>421.22342399999997</v>
      </c>
      <c r="BD236" s="14">
        <f>IF(Distances!DQ127&gt;0,(DP236+Distances!DQ127*1.84)*GB236*BD213*2,"")</f>
        <v>525.51343542857137</v>
      </c>
      <c r="BE236" s="14">
        <f>IF(Distances!DR127&gt;0,(DQ236+Distances!DR127*1.84)*GC236*BE213*2,"")</f>
        <v>440.70911999999993</v>
      </c>
      <c r="BF236" s="13">
        <f>IF(Distances!DS127&gt;0,(DR236+Distances!DS127*1.84)*GD236*BF213*2,"")</f>
        <v>290.08912000000004</v>
      </c>
      <c r="BG236" s="13">
        <f>IF(Distances!DT127&gt;0,(DS236+Distances!DT127*1.84)*GE236*BG213*2,"")</f>
        <v>105.57100000000001</v>
      </c>
      <c r="BH236" s="14">
        <f>IF(Distances!DU127&gt;0,(DT236+Distances!DU127*1.84)*GF236*BH213*2,"")</f>
        <v>160.51403906976745</v>
      </c>
      <c r="BI236" s="14">
        <f>IF(Distances!DV127&gt;0,(DU236+Distances!DV127*1.84)*GG236*BI213*2,"")</f>
        <v>106.14800372093023</v>
      </c>
      <c r="BJ236" s="15">
        <f>IF(Distances!DW127&gt;0,(DV236+Distances!DW127*1.84)*GH236*BJ213*2,"")</f>
        <v>176.87246883720928</v>
      </c>
      <c r="BM236" s="35" t="s">
        <v>23</v>
      </c>
      <c r="BN236" s="16">
        <v>1175.8571999999999</v>
      </c>
      <c r="BO236" s="14">
        <v>1466.2284</v>
      </c>
      <c r="BP236" s="14">
        <v>903.94920000000002</v>
      </c>
      <c r="BQ236" s="14">
        <v>903.94920000000002</v>
      </c>
      <c r="BR236" s="14">
        <v>957.58320000000003</v>
      </c>
      <c r="BS236" s="14">
        <v>2245.4375999999997</v>
      </c>
      <c r="BT236" s="14">
        <v>2346.4476</v>
      </c>
      <c r="BU236" s="14">
        <v>2245.4375999999997</v>
      </c>
      <c r="BV236" s="14">
        <v>939.70799999999997</v>
      </c>
      <c r="BW236" s="14">
        <v>939.70799999999997</v>
      </c>
      <c r="BX236" s="14">
        <v>2369.4467999999997</v>
      </c>
      <c r="BY236" s="14">
        <v>2369.4467999999997</v>
      </c>
      <c r="BZ236" s="14">
        <v>1553.2776000000001</v>
      </c>
      <c r="CA236" s="14">
        <v>1747.7796000000001</v>
      </c>
      <c r="CB236" s="14">
        <v>2464.6019999999999</v>
      </c>
      <c r="CC236" s="13">
        <v>492.48359999999997</v>
      </c>
      <c r="CD236" s="13">
        <v>487.84679999999997</v>
      </c>
      <c r="CE236" s="13">
        <v>501.75720000000001</v>
      </c>
      <c r="CF236" s="13">
        <v>478.57319999999999</v>
      </c>
      <c r="CG236" s="13">
        <v>987.59640000000002</v>
      </c>
      <c r="CH236" s="13">
        <v>785.77800000000002</v>
      </c>
      <c r="CI236" s="13">
        <v>483.21</v>
      </c>
      <c r="CJ236" s="12">
        <v>0</v>
      </c>
      <c r="CK236" s="13">
        <v>890.16480000000001</v>
      </c>
      <c r="CL236" s="13">
        <v>1041.7007999999998</v>
      </c>
      <c r="CM236" s="13">
        <v>1022.7755999999999</v>
      </c>
      <c r="CN236" s="13">
        <v>984.93359999999996</v>
      </c>
      <c r="CO236" s="13">
        <v>975.47519999999997</v>
      </c>
      <c r="CP236" s="13">
        <v>0</v>
      </c>
      <c r="CQ236" s="13">
        <v>1179.5447999999999</v>
      </c>
      <c r="CR236" s="13">
        <v>1179.5447999999999</v>
      </c>
      <c r="CS236" s="13">
        <v>1179.5447999999999</v>
      </c>
      <c r="CT236" s="14">
        <v>1474.1412</v>
      </c>
      <c r="CU236" s="14">
        <v>1640.3688</v>
      </c>
      <c r="CV236" s="14">
        <v>1474.1412</v>
      </c>
      <c r="CW236" s="14">
        <v>1688.106</v>
      </c>
      <c r="CX236" s="14">
        <v>1723.2936</v>
      </c>
      <c r="CY236" s="14">
        <v>1723.2936</v>
      </c>
      <c r="CZ236" s="14">
        <v>1723.2936</v>
      </c>
      <c r="DA236" s="14">
        <v>1474.1412</v>
      </c>
      <c r="DB236" s="14">
        <v>1502.7431999999999</v>
      </c>
      <c r="DC236" s="14">
        <v>1719.942</v>
      </c>
      <c r="DD236" s="14">
        <v>1451.1419999999998</v>
      </c>
      <c r="DE236" s="14">
        <v>1451.1419999999998</v>
      </c>
      <c r="DF236" s="14">
        <v>1451.1419999999998</v>
      </c>
      <c r="DG236" s="14">
        <v>933.43319999999994</v>
      </c>
      <c r="DH236" s="14">
        <v>688.97640000000001</v>
      </c>
      <c r="DI236" s="14">
        <v>688.97640000000001</v>
      </c>
      <c r="DJ236" s="14">
        <v>951.19079999999985</v>
      </c>
      <c r="DK236" s="14">
        <v>0</v>
      </c>
      <c r="DL236" s="14">
        <v>3653.0171999999998</v>
      </c>
      <c r="DM236" s="14">
        <v>1182.0816</v>
      </c>
      <c r="DN236" s="13">
        <v>676.12439999999992</v>
      </c>
      <c r="DO236" s="14">
        <v>889.03079999999989</v>
      </c>
      <c r="DP236" s="14">
        <v>951.19079999999985</v>
      </c>
      <c r="DQ236" s="14">
        <v>942.3119999999999</v>
      </c>
      <c r="DR236" s="13">
        <v>1204.9631999999999</v>
      </c>
      <c r="DS236" s="13">
        <v>771.24599999999998</v>
      </c>
      <c r="DT236" s="14">
        <v>3124.4387999999999</v>
      </c>
      <c r="DU236" s="14">
        <v>2380.2156</v>
      </c>
      <c r="DV236" s="15">
        <v>2380.2156</v>
      </c>
      <c r="DY236" s="35" t="s">
        <v>23</v>
      </c>
      <c r="DZ236" s="16">
        <v>6.2500000000000003E-3</v>
      </c>
      <c r="EA236" s="14">
        <v>6.2500000000000003E-3</v>
      </c>
      <c r="EB236" s="14">
        <v>6.2500000000000003E-3</v>
      </c>
      <c r="EC236" s="14">
        <v>6.2500000000000003E-3</v>
      </c>
      <c r="ED236" s="14">
        <v>6.2500000000000003E-3</v>
      </c>
      <c r="EE236" s="14">
        <v>6.2500000000000003E-3</v>
      </c>
      <c r="EF236" s="14">
        <v>6.2500000000000003E-3</v>
      </c>
      <c r="EG236" s="14">
        <v>6.2500000000000003E-3</v>
      </c>
      <c r="EH236" s="14">
        <v>6.2500000000000003E-3</v>
      </c>
      <c r="EI236" s="14">
        <v>6.2500000000000003E-3</v>
      </c>
      <c r="EJ236" s="14">
        <v>6.2500000000000003E-3</v>
      </c>
      <c r="EK236" s="14">
        <v>6.2500000000000003E-3</v>
      </c>
      <c r="EL236" s="14">
        <v>6.2500000000000003E-3</v>
      </c>
      <c r="EM236" s="14">
        <v>4.6511627906976744E-3</v>
      </c>
      <c r="EN236" s="14">
        <v>4.6511627906976744E-3</v>
      </c>
      <c r="EO236" s="13">
        <f t="shared" si="87"/>
        <v>1.2500000000000001E-2</v>
      </c>
      <c r="EP236" s="13">
        <f t="shared" si="87"/>
        <v>1.2500000000000001E-2</v>
      </c>
      <c r="EQ236" s="13">
        <f t="shared" si="87"/>
        <v>1.2500000000000001E-2</v>
      </c>
      <c r="ER236" s="13">
        <f t="shared" si="87"/>
        <v>1.2500000000000001E-2</v>
      </c>
      <c r="ES236" s="13">
        <f t="shared" si="87"/>
        <v>1.2500000000000001E-2</v>
      </c>
      <c r="ET236" s="13">
        <f t="shared" si="87"/>
        <v>1.2500000000000001E-2</v>
      </c>
      <c r="EU236" s="13">
        <f t="shared" si="87"/>
        <v>1.2500000000000001E-2</v>
      </c>
      <c r="EV236" s="12">
        <v>0.6</v>
      </c>
      <c r="EW236" s="13">
        <f t="shared" si="84"/>
        <v>1.2500000000000001E-2</v>
      </c>
      <c r="EX236" s="13">
        <f t="shared" si="84"/>
        <v>1.2500000000000001E-2</v>
      </c>
      <c r="EY236" s="13">
        <f t="shared" si="84"/>
        <v>1.2500000000000001E-2</v>
      </c>
      <c r="EZ236" s="13">
        <f t="shared" si="84"/>
        <v>1.2500000000000001E-2</v>
      </c>
      <c r="FA236" s="13">
        <f t="shared" si="84"/>
        <v>1.2500000000000001E-2</v>
      </c>
      <c r="FB236" s="13">
        <f t="shared" si="84"/>
        <v>1.2500000000000001E-2</v>
      </c>
      <c r="FC236" s="13">
        <f t="shared" si="84"/>
        <v>1.2500000000000001E-2</v>
      </c>
      <c r="FD236" s="13">
        <f t="shared" si="84"/>
        <v>1.2500000000000001E-2</v>
      </c>
      <c r="FE236" s="13">
        <f t="shared" si="84"/>
        <v>1.2500000000000001E-2</v>
      </c>
      <c r="FF236" s="14">
        <v>5.7142857142857143E-3</v>
      </c>
      <c r="FG236" s="14">
        <v>5.7142857142857143E-3</v>
      </c>
      <c r="FH236" s="14">
        <v>5.7142857142857143E-3</v>
      </c>
      <c r="FI236" s="14">
        <v>5.7142857142857143E-3</v>
      </c>
      <c r="FJ236" s="14">
        <v>5.7142857142857143E-3</v>
      </c>
      <c r="FK236" s="14">
        <v>5.7142857142857143E-3</v>
      </c>
      <c r="FL236" s="14">
        <v>5.7142857142857143E-3</v>
      </c>
      <c r="FM236" s="14">
        <v>4.7619047619047623E-3</v>
      </c>
      <c r="FN236" s="14">
        <v>4.7619047619047623E-3</v>
      </c>
      <c r="FO236" s="14">
        <v>4.7619047619047623E-3</v>
      </c>
      <c r="FP236" s="14">
        <v>5.7142857142857143E-3</v>
      </c>
      <c r="FQ236" s="14">
        <v>5.7142857142857143E-3</v>
      </c>
      <c r="FR236" s="14">
        <v>5.7142857142857143E-3</v>
      </c>
      <c r="FS236" s="14">
        <v>5.7142857142857143E-3</v>
      </c>
      <c r="FT236" s="14">
        <v>5.8823529411764705E-3</v>
      </c>
      <c r="FU236" s="14">
        <v>5.7142857142857143E-3</v>
      </c>
      <c r="FV236" s="14">
        <v>5.7142857142857143E-3</v>
      </c>
      <c r="FW236" s="14">
        <v>4.5454545454545461E-3</v>
      </c>
      <c r="FX236" s="14">
        <v>4.5454545454545461E-3</v>
      </c>
      <c r="FY236" s="14">
        <v>5.7142857142857143E-3</v>
      </c>
      <c r="FZ236" s="13">
        <f t="shared" ref="FZ236:FZ245" si="88">0.2/16</f>
        <v>1.2500000000000001E-2</v>
      </c>
      <c r="GA236" s="14">
        <v>5.7142857142857143E-3</v>
      </c>
      <c r="GB236" s="14">
        <v>5.7142857142857143E-3</v>
      </c>
      <c r="GC236" s="14">
        <v>5.7142857142857143E-3</v>
      </c>
      <c r="GD236" s="13">
        <f t="shared" si="86"/>
        <v>1.2500000000000001E-2</v>
      </c>
      <c r="GE236" s="13">
        <f t="shared" si="86"/>
        <v>1.2500000000000001E-2</v>
      </c>
      <c r="GF236" s="14">
        <v>4.6511627906976744E-3</v>
      </c>
      <c r="GG236" s="14">
        <v>4.6511627906976744E-3</v>
      </c>
      <c r="GH236" s="15">
        <v>4.6511627906976744E-3</v>
      </c>
    </row>
    <row r="237" spans="1:190" x14ac:dyDescent="0.3">
      <c r="A237" s="35" t="s">
        <v>24</v>
      </c>
      <c r="B237" s="16">
        <f>IF(Distances!BO128&gt;0,(BN237+Distances!BO128*1.84)*DZ237*B213*2,"")</f>
        <v>3565.0515400000004</v>
      </c>
      <c r="C237" s="14">
        <f>IF(Distances!BP128&gt;0,(BO237+Distances!BP128*1.84)*EA237*C213*2,"")</f>
        <v>4301.0385400000005</v>
      </c>
      <c r="D237" s="14">
        <f>IF(Distances!BQ128&gt;0,(BP237+Distances!BQ128*1.84)*EB237*D213*2,"")</f>
        <v>12036.967900000001</v>
      </c>
      <c r="E237" s="14">
        <f>IF(Distances!BR128&gt;0,(BQ237+Distances!BR128*1.84)*EC237*E213*2,"")</f>
        <v>3091.5595000000003</v>
      </c>
      <c r="F237" s="14">
        <f>IF(Distances!BS128&gt;0,(BR237+Distances!BS128*1.84)*ED237*F213*2,"")</f>
        <v>3498.0703600000002</v>
      </c>
      <c r="G237" s="14">
        <f>IF(Distances!BT128&gt;0,(BS237+Distances!BT128*1.84)*EE237*G213*2,"")</f>
        <v>15144.06019</v>
      </c>
      <c r="H237" s="14">
        <f>IF(Distances!BU128&gt;0,(BT237+Distances!BU128*1.84)*EF237*H213*2,"")</f>
        <v>7778.3119900000002</v>
      </c>
      <c r="I237" s="14">
        <f>IF(Distances!BV128&gt;0,(BU237+Distances!BV128*1.84)*EG237*I213*2,"")</f>
        <v>7539.4873899999993</v>
      </c>
      <c r="J237" s="14">
        <f>IF(Distances!BW128&gt;0,(BV237+Distances!BW128*1.84)*EH237*J213*2,"")</f>
        <v>112.70536</v>
      </c>
      <c r="K237" s="14">
        <f>IF(Distances!BX128&gt;0,(BW237+Distances!BX128*1.84)*EI237*K213*2,"")</f>
        <v>62.721759999999996</v>
      </c>
      <c r="L237" s="14">
        <f>IF(Distances!BY128&gt;0,(BX237+Distances!BY128*1.84)*EJ237*L213*2,"")</f>
        <v>244.63062000000002</v>
      </c>
      <c r="M237" s="14">
        <f>IF(Distances!BZ128&gt;0,(BY237+Distances!BZ128*1.84)*EK237*M213*2,"")</f>
        <v>155.30781999999999</v>
      </c>
      <c r="N237" s="14">
        <f>IF(Distances!CA128&gt;0,(BZ237+Distances!CA128*1.84)*EL237*N213*2,"")</f>
        <v>131.05536000000001</v>
      </c>
      <c r="O237" s="14">
        <f>IF(Distances!CB128&gt;0,(CA237+Distances!CB128*1.84)*EM237*O213*2,"")</f>
        <v>178.73540837209305</v>
      </c>
      <c r="P237" s="14">
        <f>IF(Distances!CC128&gt;0,(CB237+Distances!CC128*1.84)*EN237*P213*2,"")</f>
        <v>169.11716093023253</v>
      </c>
      <c r="Q237" s="13">
        <f>IF(Distances!CD128&gt;0,(CC237+Distances!CD128*1.84)*EO237*Q213*2,"")</f>
        <v>1454.3709999999999</v>
      </c>
      <c r="R237" s="13">
        <f>IF(Distances!CE128&gt;0,(CD237+Distances!CE128*1.84)*EP237*R213*2,"")</f>
        <v>1446.1390000000001</v>
      </c>
      <c r="S237" s="13">
        <f>IF(Distances!CF128&gt;0,(CE237+Distances!CF128*1.84)*EQ237*S213*2,"")</f>
        <v>1470.8244999999999</v>
      </c>
      <c r="T237" s="13">
        <f>IF(Distances!CG128&gt;0,(CF237+Distances!CG128*1.84)*ER237*T213*2,"")</f>
        <v>261.36670000000004</v>
      </c>
      <c r="U237" s="13">
        <f>IF(Distances!CH128&gt;0,(CG237+Distances!CH128*1.84)*ES237*U213*2,"")</f>
        <v>302.93095000000005</v>
      </c>
      <c r="V237" s="13">
        <f>IF(Distances!CI128&gt;0,(CH237+Distances!CI128*1.84)*ET237*V213*2,"")</f>
        <v>3511.85592</v>
      </c>
      <c r="W237" s="13">
        <f>IF(Distances!CJ128&gt;0,(CI237+Distances!CJ128*1.84)*EU237*W213*2,"")</f>
        <v>1667.9721200000004</v>
      </c>
      <c r="X237" s="13">
        <f>IF(Distances!CK128&gt;0,(CJ237+Distances!CK128*1.84)*EV237*X213*2,"")</f>
        <v>2345.3993600000003</v>
      </c>
      <c r="Y237" s="12" t="s">
        <v>62</v>
      </c>
      <c r="Z237" s="13">
        <f>IF(Distances!CM128&gt;0,(CL237+Distances!CM128*1.84)*EX237*Z213*2,"")</f>
        <v>70.481300000000005</v>
      </c>
      <c r="AA237" s="13">
        <f>IF(Distances!CN128&gt;0,(CM237+Distances!CN128*1.84)*EY237*AA213*2,"")</f>
        <v>76.614920000000012</v>
      </c>
      <c r="AB237" s="13">
        <f>IF(Distances!CO128&gt;0,(CN237+Distances!CO128*1.84)*EZ237*AB213*2,"")</f>
        <v>94.328140000000019</v>
      </c>
      <c r="AC237" s="13">
        <f>IF(Distances!CP128&gt;0,(CO237+Distances!CP128*1.84)*FA237*AC213*2,"")</f>
        <v>61.335340000000002</v>
      </c>
      <c r="AD237" s="13">
        <f>IF(Distances!CQ128&gt;0,(CP237+Distances!CQ128*1.84)*FB237*AD213*2,"")</f>
        <v>47.158659999999998</v>
      </c>
      <c r="AE237" s="13">
        <f>IF(Distances!CR128&gt;0,(CQ237+Distances!CR128*1.84)*FC237*AE213*2,"")</f>
        <v>156.35410000000002</v>
      </c>
      <c r="AF237" s="13">
        <f>IF(Distances!CS128&gt;0,(CR237+Distances!CS128*1.84)*FD237*AF213*2,"")</f>
        <v>278.52100000000002</v>
      </c>
      <c r="AG237" s="13">
        <f>IF(Distances!CT128&gt;0,(CS237+Distances!CT128*1.84)*FE237*AG213*2,"")</f>
        <v>237.489</v>
      </c>
      <c r="AH237" s="14">
        <f>IF(Distances!CU128&gt;0,(CT237+Distances!CU128*1.84)*FF237*AH213*2,"")</f>
        <v>52.184772571428567</v>
      </c>
      <c r="AI237" s="14">
        <f>IF(Distances!CV128&gt;0,(CU237+Distances!CV128*1.84)*FG237*AI213*2,"")</f>
        <v>25.630034285714281</v>
      </c>
      <c r="AJ237" s="14">
        <f>IF(Distances!CW128&gt;0,(CV237+Distances!CW128*1.84)*FH237*AJ213*2,"")</f>
        <v>41.30669257142857</v>
      </c>
      <c r="AK237" s="14">
        <f>IF(Distances!CX128&gt;0,(CW237+Distances!CX128*1.84)*FI237*AK213*2,"")</f>
        <v>26.221490285714285</v>
      </c>
      <c r="AL237" s="14">
        <f>IF(Distances!CY128&gt;0,(CX237+Distances!CY128*1.84)*FJ237*AL213*2,"")</f>
        <v>1198.6575634285716</v>
      </c>
      <c r="AM237" s="14">
        <f>IF(Distances!CZ128&gt;0,(CY237+Distances!CZ128*1.84)*FK237*AM213*2,"")</f>
        <v>1198.6575634285716</v>
      </c>
      <c r="AN237" s="14">
        <f>IF(Distances!DA128&gt;0,(CZ237+Distances!DA128*1.84)*FL237*AN213*2,"")</f>
        <v>1383.4103862857144</v>
      </c>
      <c r="AO237" s="14">
        <f>IF(Distances!DB128&gt;0,(DA237+Distances!DB128*1.84)*FM237*AO213*2,"")</f>
        <v>32.509203809523818</v>
      </c>
      <c r="AP237" s="14">
        <f>IF(Distances!DC128&gt;0,(DB237+Distances!DC128*1.84)*FN237*AP213*2,"")</f>
        <v>32.968243809523813</v>
      </c>
      <c r="AQ237" s="14">
        <f>IF(Distances!DD128&gt;0,(DC237+Distances!DD128*1.84)*FO237*AQ213*2,"")</f>
        <v>36.835443809523809</v>
      </c>
      <c r="AR237" s="14">
        <f>IF(Distances!DE128&gt;0,(DD237+Distances!DE128*1.84)*FP237*AR213*2,"")</f>
        <v>38.465764571428572</v>
      </c>
      <c r="AS237" s="14">
        <f>IF(Distances!DF128&gt;0,(DE237+Distances!DF128*1.84)*FQ237*AS213*2,"")</f>
        <v>116.49858742857144</v>
      </c>
      <c r="AT237" s="14">
        <f>IF(Distances!DG128&gt;0,(DF237+Distances!DG128*1.84)*FR237*AT213*2,"")</f>
        <v>80.375707428571431</v>
      </c>
      <c r="AU237" s="14">
        <f>IF(Distances!DH128&gt;0,(DG237+Distances!DH128*1.84)*FS237*AU213*2,"")</f>
        <v>286.74553600000002</v>
      </c>
      <c r="AV237" s="14">
        <f>IF(Distances!DI128&gt;0,(DH237+Distances!DI128*1.84)*FT237*AV213*2,"")</f>
        <v>155.66239999999999</v>
      </c>
      <c r="AW237" s="14">
        <f>IF(Distances!DJ128&gt;0,(DI237+Distances!DJ128*1.84)*FU237*AW213*2,"")</f>
        <v>571.70221714285719</v>
      </c>
      <c r="AX237" s="14">
        <f>IF(Distances!DK128&gt;0,(DJ237+Distances!DK128*1.84)*FV237*AX213*2,"")</f>
        <v>100.23145142857143</v>
      </c>
      <c r="AY237" s="14">
        <f>IF(Distances!DL128&gt;0,(DK237+Distances!DL128*1.84)*FW237*AY213*2,"")</f>
        <v>16.894545454545458</v>
      </c>
      <c r="AZ237" s="14">
        <f>IF(Distances!DM128&gt;0,(DL237+Distances!DM128*1.84)*FX237*AZ213*2,"")</f>
        <v>183.94685090909095</v>
      </c>
      <c r="BA237" s="14">
        <f>IF(Distances!DN128&gt;0,(DM237+Distances!DN128*1.84)*FY237*BA213*2,"")</f>
        <v>67.72935314285715</v>
      </c>
      <c r="BB237" s="13">
        <f>IF(Distances!DO128&gt;0,(DN237+Distances!DO128*1.84)*FZ237*BB213*2,"")</f>
        <v>133.81496000000001</v>
      </c>
      <c r="BC237" s="14">
        <f>IF(Distances!DP128&gt;0,(DO237+Distances!DP128*1.84)*GA237*BC213*2,"")</f>
        <v>610.65376914285719</v>
      </c>
      <c r="BD237" s="14">
        <f>IF(Distances!DQ128&gt;0,(DP237+Distances!DQ128*1.84)*GB237*BD213*2,"")</f>
        <v>723.03850057142859</v>
      </c>
      <c r="BE237" s="14">
        <f>IF(Distances!DR128&gt;0,(DQ237+Distances!DR128*1.84)*GC237*BE213*2,"")</f>
        <v>637.07604114285721</v>
      </c>
      <c r="BF237" s="13">
        <f>IF(Distances!DS128&gt;0,(DR237+Distances!DS128*1.84)*GD237*BF213*2,"")</f>
        <v>337.92672000000005</v>
      </c>
      <c r="BG237" s="13">
        <f>IF(Distances!DT128&gt;0,(DS237+Distances!DT128*1.84)*GE237*BG213*2,"")</f>
        <v>151.28004000000001</v>
      </c>
      <c r="BH237" s="14">
        <f>IF(Distances!DU128&gt;0,(DT237+Distances!DU128*1.84)*GF237*BH213*2,"")</f>
        <v>155.1269506976744</v>
      </c>
      <c r="BI237" s="14">
        <f>IF(Distances!DV128&gt;0,(DU237+Distances!DV128*1.84)*GG237*BI213*2,"")</f>
        <v>102.5537488372093</v>
      </c>
      <c r="BJ237" s="15">
        <f>IF(Distances!DW128&gt;0,(DV237+Distances!DW128*1.84)*GH237*BJ213*2,"")</f>
        <v>173.27821395348838</v>
      </c>
      <c r="BM237" s="35" t="s">
        <v>24</v>
      </c>
      <c r="BN237" s="16">
        <v>947.30160000000001</v>
      </c>
      <c r="BO237" s="14">
        <v>1238.7816</v>
      </c>
      <c r="BP237" s="14">
        <v>759.78</v>
      </c>
      <c r="BQ237" s="14">
        <v>759.78</v>
      </c>
      <c r="BR237" s="14">
        <v>804.85439999999994</v>
      </c>
      <c r="BS237" s="14">
        <v>2521.3355999999999</v>
      </c>
      <c r="BT237" s="14">
        <v>2615.9196000000002</v>
      </c>
      <c r="BU237" s="14">
        <v>2521.3355999999999</v>
      </c>
      <c r="BV237" s="14">
        <v>789.83519999999999</v>
      </c>
      <c r="BW237" s="14">
        <v>789.83519999999999</v>
      </c>
      <c r="BX237" s="14">
        <v>2641.5563999999999</v>
      </c>
      <c r="BY237" s="14">
        <v>2641.5563999999999</v>
      </c>
      <c r="BZ237" s="14">
        <v>1312.3152</v>
      </c>
      <c r="CA237" s="14">
        <v>1467.1692</v>
      </c>
      <c r="CB237" s="14">
        <v>2037.4284</v>
      </c>
      <c r="CC237" s="13">
        <v>698.89679999999998</v>
      </c>
      <c r="CD237" s="13">
        <v>692.31119999999999</v>
      </c>
      <c r="CE237" s="13">
        <v>712.05960000000005</v>
      </c>
      <c r="CF237" s="13">
        <v>679.14</v>
      </c>
      <c r="CG237" s="13">
        <v>692.53800000000001</v>
      </c>
      <c r="CH237" s="13">
        <v>1045.8335999999999</v>
      </c>
      <c r="CI237" s="13">
        <v>685.72559999999999</v>
      </c>
      <c r="CJ237" s="13">
        <v>890.16480000000001</v>
      </c>
      <c r="CK237" s="12">
        <v>0</v>
      </c>
      <c r="CL237" s="13">
        <v>813.83399999999995</v>
      </c>
      <c r="CM237" s="13">
        <v>799.05840000000001</v>
      </c>
      <c r="CN237" s="13">
        <v>769.49879999999996</v>
      </c>
      <c r="CO237" s="13">
        <v>762.10679999999991</v>
      </c>
      <c r="CP237" s="13">
        <v>478.57319999999999</v>
      </c>
      <c r="CQ237" s="13">
        <v>949.07399999999984</v>
      </c>
      <c r="CR237" s="13">
        <v>949.07399999999984</v>
      </c>
      <c r="CS237" s="13">
        <v>949.07399999999984</v>
      </c>
      <c r="CT237" s="14">
        <v>1572.3036</v>
      </c>
      <c r="CU237" s="14">
        <v>1778.0279999999998</v>
      </c>
      <c r="CV237" s="14">
        <v>1572.3036</v>
      </c>
      <c r="CW237" s="14">
        <v>1829.7803999999999</v>
      </c>
      <c r="CX237" s="14">
        <v>1477.6692</v>
      </c>
      <c r="CY237" s="14">
        <v>1477.6692</v>
      </c>
      <c r="CZ237" s="14">
        <v>1477.6692</v>
      </c>
      <c r="DA237" s="14">
        <v>1242.1332</v>
      </c>
      <c r="DB237" s="14">
        <v>1266.2328</v>
      </c>
      <c r="DC237" s="14">
        <v>1469.2607999999998</v>
      </c>
      <c r="DD237" s="14">
        <v>1218.2772</v>
      </c>
      <c r="DE237" s="14">
        <v>1218.2772</v>
      </c>
      <c r="DF237" s="14">
        <v>1218.2772</v>
      </c>
      <c r="DG237" s="14">
        <v>1265.3676</v>
      </c>
      <c r="DH237" s="14">
        <v>890.16480000000001</v>
      </c>
      <c r="DI237" s="14">
        <v>890.16480000000001</v>
      </c>
      <c r="DJ237" s="14">
        <v>1289.4503999999999</v>
      </c>
      <c r="DK237" s="14">
        <v>0</v>
      </c>
      <c r="DL237" s="14">
        <v>3704.1143999999999</v>
      </c>
      <c r="DM237" s="14">
        <v>1016.9796</v>
      </c>
      <c r="DN237" s="13">
        <v>873.54960000000005</v>
      </c>
      <c r="DO237" s="14">
        <v>1205.1564000000001</v>
      </c>
      <c r="DP237" s="14">
        <v>1289.4503999999999</v>
      </c>
      <c r="DQ237" s="14">
        <v>1277.4048</v>
      </c>
      <c r="DR237" s="13">
        <v>1481.4911999999999</v>
      </c>
      <c r="DS237" s="13">
        <v>1026.4884</v>
      </c>
      <c r="DT237" s="14">
        <v>2777.8128000000002</v>
      </c>
      <c r="DU237" s="14">
        <v>2081.7719999999999</v>
      </c>
      <c r="DV237" s="15">
        <v>2081.7719999999999</v>
      </c>
      <c r="DY237" s="35" t="s">
        <v>24</v>
      </c>
      <c r="DZ237" s="16">
        <v>6.2500000000000003E-3</v>
      </c>
      <c r="EA237" s="14">
        <v>6.2500000000000003E-3</v>
      </c>
      <c r="EB237" s="14">
        <v>6.2500000000000003E-3</v>
      </c>
      <c r="EC237" s="14">
        <v>6.2500000000000003E-3</v>
      </c>
      <c r="ED237" s="14">
        <v>6.2500000000000003E-3</v>
      </c>
      <c r="EE237" s="14">
        <v>6.2500000000000003E-3</v>
      </c>
      <c r="EF237" s="14">
        <v>6.2500000000000003E-3</v>
      </c>
      <c r="EG237" s="14">
        <v>6.2500000000000003E-3</v>
      </c>
      <c r="EH237" s="14">
        <v>6.2500000000000003E-3</v>
      </c>
      <c r="EI237" s="14">
        <v>6.2500000000000003E-3</v>
      </c>
      <c r="EJ237" s="14">
        <v>6.2500000000000003E-3</v>
      </c>
      <c r="EK237" s="14">
        <v>6.2500000000000003E-3</v>
      </c>
      <c r="EL237" s="14">
        <v>6.2500000000000003E-3</v>
      </c>
      <c r="EM237" s="14">
        <v>4.6511627906976744E-3</v>
      </c>
      <c r="EN237" s="14">
        <v>4.6511627906976744E-3</v>
      </c>
      <c r="EO237" s="13">
        <f t="shared" si="87"/>
        <v>1.2500000000000001E-2</v>
      </c>
      <c r="EP237" s="13">
        <f t="shared" si="87"/>
        <v>1.2500000000000001E-2</v>
      </c>
      <c r="EQ237" s="13">
        <f t="shared" si="87"/>
        <v>1.2500000000000001E-2</v>
      </c>
      <c r="ER237" s="13">
        <f t="shared" si="87"/>
        <v>1.2500000000000001E-2</v>
      </c>
      <c r="ES237" s="13">
        <f t="shared" si="87"/>
        <v>1.2500000000000001E-2</v>
      </c>
      <c r="ET237" s="13">
        <f t="shared" si="87"/>
        <v>1.2500000000000001E-2</v>
      </c>
      <c r="EU237" s="13">
        <f t="shared" si="87"/>
        <v>1.2500000000000001E-2</v>
      </c>
      <c r="EV237" s="13">
        <f t="shared" si="87"/>
        <v>1.2500000000000001E-2</v>
      </c>
      <c r="EW237" s="12">
        <v>0.6</v>
      </c>
      <c r="EX237" s="13">
        <f t="shared" si="84"/>
        <v>1.2500000000000001E-2</v>
      </c>
      <c r="EY237" s="13">
        <f t="shared" si="84"/>
        <v>1.2500000000000001E-2</v>
      </c>
      <c r="EZ237" s="13">
        <f t="shared" si="84"/>
        <v>1.2500000000000001E-2</v>
      </c>
      <c r="FA237" s="13">
        <f t="shared" si="84"/>
        <v>1.2500000000000001E-2</v>
      </c>
      <c r="FB237" s="13">
        <f t="shared" si="84"/>
        <v>1.2500000000000001E-2</v>
      </c>
      <c r="FC237" s="13">
        <f t="shared" si="84"/>
        <v>1.2500000000000001E-2</v>
      </c>
      <c r="FD237" s="13">
        <f t="shared" si="84"/>
        <v>1.2500000000000001E-2</v>
      </c>
      <c r="FE237" s="13">
        <f t="shared" si="84"/>
        <v>1.2500000000000001E-2</v>
      </c>
      <c r="FF237" s="14">
        <v>5.7142857142857143E-3</v>
      </c>
      <c r="FG237" s="14">
        <v>5.7142857142857143E-3</v>
      </c>
      <c r="FH237" s="14">
        <v>5.7142857142857143E-3</v>
      </c>
      <c r="FI237" s="14">
        <v>5.7142857142857143E-3</v>
      </c>
      <c r="FJ237" s="14">
        <v>5.7142857142857143E-3</v>
      </c>
      <c r="FK237" s="14">
        <v>5.7142857142857143E-3</v>
      </c>
      <c r="FL237" s="14">
        <v>5.7142857142857143E-3</v>
      </c>
      <c r="FM237" s="14">
        <v>4.7619047619047623E-3</v>
      </c>
      <c r="FN237" s="14">
        <v>4.7619047619047623E-3</v>
      </c>
      <c r="FO237" s="14">
        <v>4.7619047619047623E-3</v>
      </c>
      <c r="FP237" s="14">
        <v>5.7142857142857143E-3</v>
      </c>
      <c r="FQ237" s="14">
        <v>5.7142857142857143E-3</v>
      </c>
      <c r="FR237" s="14">
        <v>5.7142857142857143E-3</v>
      </c>
      <c r="FS237" s="14">
        <v>5.7142857142857143E-3</v>
      </c>
      <c r="FT237" s="14">
        <v>5.8823529411764705E-3</v>
      </c>
      <c r="FU237" s="14">
        <v>5.7142857142857143E-3</v>
      </c>
      <c r="FV237" s="14">
        <v>5.7142857142857143E-3</v>
      </c>
      <c r="FW237" s="14">
        <v>4.5454545454545461E-3</v>
      </c>
      <c r="FX237" s="14">
        <v>4.5454545454545461E-3</v>
      </c>
      <c r="FY237" s="14">
        <v>5.7142857142857143E-3</v>
      </c>
      <c r="FZ237" s="13">
        <f t="shared" si="88"/>
        <v>1.2500000000000001E-2</v>
      </c>
      <c r="GA237" s="14">
        <v>5.7142857142857143E-3</v>
      </c>
      <c r="GB237" s="14">
        <v>5.7142857142857143E-3</v>
      </c>
      <c r="GC237" s="14">
        <v>5.7142857142857143E-3</v>
      </c>
      <c r="GD237" s="13">
        <f t="shared" si="86"/>
        <v>1.2500000000000001E-2</v>
      </c>
      <c r="GE237" s="13">
        <f t="shared" si="86"/>
        <v>1.2500000000000001E-2</v>
      </c>
      <c r="GF237" s="14">
        <v>4.6511627906976744E-3</v>
      </c>
      <c r="GG237" s="14">
        <v>4.6511627906976744E-3</v>
      </c>
      <c r="GH237" s="15">
        <v>4.6511627906976744E-3</v>
      </c>
    </row>
    <row r="238" spans="1:190" x14ac:dyDescent="0.3">
      <c r="A238" s="35" t="s">
        <v>25</v>
      </c>
      <c r="B238" s="16">
        <f>IF(Distances!BO129&gt;0,(BN238+Distances!BO129*1.84)*DZ238*B213*2,"")</f>
        <v>3890.9553099999998</v>
      </c>
      <c r="C238" s="14">
        <f>IF(Distances!BP129&gt;0,(BO238+Distances!BP129*1.84)*EA238*C213*2,"")</f>
        <v>4614.0466299999998</v>
      </c>
      <c r="D238" s="14">
        <f>IF(Distances!BQ129&gt;0,(BP238+Distances!BQ129*1.84)*EB238*D213*2,"")</f>
        <v>11654.394039999999</v>
      </c>
      <c r="E238" s="14">
        <f>IF(Distances!BR129&gt;0,(BQ238+Distances!BR129*1.84)*EC238*E213*2,"")</f>
        <v>2708.9856400000003</v>
      </c>
      <c r="F238" s="14">
        <f>IF(Distances!BS129&gt;0,(BR238+Distances!BS129*1.84)*ED238*F213*2,"")</f>
        <v>3142.7937699999998</v>
      </c>
      <c r="G238" s="14">
        <f>IF(Distances!BT129&gt;0,(BS238+Distances!BT129*1.84)*EE238*G213*2,"")</f>
        <v>14086.350820000001</v>
      </c>
      <c r="H238" s="14">
        <f>IF(Distances!BU129&gt;0,(BT238+Distances!BU129*1.84)*EF238*H213*2,"")</f>
        <v>6743.1276399999997</v>
      </c>
      <c r="I238" s="14">
        <f>IF(Distances!BV129&gt;0,(BU238+Distances!BV129*1.84)*EG238*I213*2,"")</f>
        <v>6481.7780200000007</v>
      </c>
      <c r="J238" s="14">
        <f>IF(Distances!BW129&gt;0,(BV238+Distances!BW129*1.84)*EH238*J213*2,"")</f>
        <v>105.48958</v>
      </c>
      <c r="K238" s="14">
        <f>IF(Distances!BX129&gt;0,(BW238+Distances!BX129*1.84)*EI238*K213*2,"")</f>
        <v>55.505980000000001</v>
      </c>
      <c r="L238" s="14">
        <f>IF(Distances!BY129&gt;0,(BX238+Distances!BY129*1.84)*EJ238*L213*2,"")</f>
        <v>224.17812000000001</v>
      </c>
      <c r="M238" s="14">
        <f>IF(Distances!BZ129&gt;0,(BY238+Distances!BZ129*1.84)*EK238*M213*2,"")</f>
        <v>134.85531999999998</v>
      </c>
      <c r="N238" s="14">
        <f>IF(Distances!CA129&gt;0,(BZ238+Distances!CA129*1.84)*EL238*N213*2,"")</f>
        <v>138.61182000000002</v>
      </c>
      <c r="O238" s="14">
        <f>IF(Distances!CB129&gt;0,(CA238+Distances!CB129*1.84)*EM238*O213*2,"")</f>
        <v>136.48504930232556</v>
      </c>
      <c r="P238" s="14">
        <f>IF(Distances!CC129&gt;0,(CB238+Distances!CC129*1.84)*EN238*P213*2,"")</f>
        <v>126.69997395348837</v>
      </c>
      <c r="Q238" s="13">
        <f>IF(Distances!CD129&gt;0,(CC238+Distances!CD129*1.84)*EO238*Q213*2,"")</f>
        <v>1210.8715</v>
      </c>
      <c r="R238" s="13">
        <f>IF(Distances!CE129&gt;0,(CD238+Distances!CE129*1.84)*EP238*R213*2,"")</f>
        <v>1201.0120000000002</v>
      </c>
      <c r="S238" s="13">
        <f>IF(Distances!CF129&gt;0,(CE238+Distances!CF129*1.84)*EQ238*S213*2,"")</f>
        <v>1230.6010000000001</v>
      </c>
      <c r="T238" s="13">
        <f>IF(Distances!CG129&gt;0,(CF238+Distances!CG129*1.84)*ER238*T213*2,"")</f>
        <v>226.59174999999999</v>
      </c>
      <c r="U238" s="13">
        <f>IF(Distances!CH129&gt;0,(CG238+Distances!CH129*1.84)*ES238*U213*2,"")</f>
        <v>247.06297000000001</v>
      </c>
      <c r="V238" s="13">
        <f>IF(Distances!CI129&gt;0,(CH238+Distances!CI129*1.84)*ET238*V213*2,"")</f>
        <v>2607.6440400000001</v>
      </c>
      <c r="W238" s="13">
        <f>IF(Distances!CJ129&gt;0,(CI238+Distances!CJ129*1.84)*EU238*W213*2,"")</f>
        <v>1381.7247199999999</v>
      </c>
      <c r="X238" s="13">
        <f>IF(Distances!CK129&gt;0,(CJ238+Distances!CK129*1.84)*EV238*X213*2,"")</f>
        <v>2081.68496</v>
      </c>
      <c r="Y238" s="13">
        <f>IF(Distances!CL129&gt;0,(CK238+Distances!CL129*1.84)*EW238*Y213*2,"")</f>
        <v>2043.9577000000002</v>
      </c>
      <c r="Z238" s="12" t="s">
        <v>62</v>
      </c>
      <c r="AA238" s="13">
        <f>IF(Distances!CN129&gt;0,(CM238+Distances!CN129*1.84)*EY238*AA213*2,"")</f>
        <v>57.773960000000002</v>
      </c>
      <c r="AB238" s="13">
        <f>IF(Distances!CO129&gt;0,(CN238+Distances!CO129*1.84)*EZ238*AB213*2,"")</f>
        <v>75.567400000000006</v>
      </c>
      <c r="AC238" s="13">
        <f>IF(Distances!CP129&gt;0,(CO238+Distances!CP129*1.84)*FA238*AC213*2,"")</f>
        <v>42.594760000000008</v>
      </c>
      <c r="AD238" s="13">
        <f>IF(Distances!CQ129&gt;0,(CP238+Distances!CQ129*1.84)*FB238*AD213*2,"")</f>
        <v>60.335139999999996</v>
      </c>
      <c r="AE238" s="13">
        <f>IF(Distances!CR129&gt;0,(CQ238+Distances!CR129*1.84)*FC238*AE213*2,"")</f>
        <v>138.97096000000002</v>
      </c>
      <c r="AF238" s="13">
        <f>IF(Distances!CS129&gt;0,(CR238+Distances!CS129*1.84)*FD238*AF213*2,"")</f>
        <v>243.75472000000002</v>
      </c>
      <c r="AG238" s="13">
        <f>IF(Distances!CT129&gt;0,(CS238+Distances!CT129*1.84)*FE238*AG213*2,"")</f>
        <v>202.72271999999998</v>
      </c>
      <c r="AH238" s="14">
        <f>IF(Distances!CU129&gt;0,(CT238+Distances!CU129*1.84)*FF238*AH213*2,"")</f>
        <v>39.933499428571423</v>
      </c>
      <c r="AI238" s="14">
        <f>IF(Distances!CV129&gt;0,(CU238+Distances!CV129*1.84)*FG238*AI213*2,"")</f>
        <v>16.545417142857143</v>
      </c>
      <c r="AJ238" s="14">
        <f>IF(Distances!CW129&gt;0,(CV238+Distances!CW129*1.84)*FH238*AJ213*2,"")</f>
        <v>29.055419428571426</v>
      </c>
      <c r="AK238" s="14">
        <f>IF(Distances!CX129&gt;0,(CW238+Distances!CX129*1.84)*FI238*AK213*2,"")</f>
        <v>16.983273142857144</v>
      </c>
      <c r="AL238" s="14">
        <f>IF(Distances!CY129&gt;0,(CX238+Distances!CY129*1.84)*FJ238*AL213*2,"")</f>
        <v>377.37495771428576</v>
      </c>
      <c r="AM238" s="14">
        <f>IF(Distances!CZ129&gt;0,(CY238+Distances!CZ129*1.84)*FK238*AM213*2,"")</f>
        <v>377.37495771428576</v>
      </c>
      <c r="AN238" s="14">
        <f>IF(Distances!DA129&gt;0,(CZ238+Distances!DA129*1.84)*FL238*AN213*2,"")</f>
        <v>562.12778057142862</v>
      </c>
      <c r="AO238" s="14">
        <f>IF(Distances!DB129&gt;0,(DA238+Distances!DB129*1.84)*FM238*AO213*2,"")</f>
        <v>22.856975238095242</v>
      </c>
      <c r="AP238" s="14">
        <f>IF(Distances!DC129&gt;0,(DB238+Distances!DC129*1.84)*FN238*AP213*2,"")</f>
        <v>23.251855238095239</v>
      </c>
      <c r="AQ238" s="14">
        <f>IF(Distances!DD129&gt;0,(DC238+Distances!DD129*1.84)*FO238*AQ213*2,"")</f>
        <v>28.972655238095239</v>
      </c>
      <c r="AR238" s="14">
        <f>IF(Distances!DE129&gt;0,(DD238+Distances!DE129*1.84)*FP238*AR213*2,"")</f>
        <v>28.583442285714284</v>
      </c>
      <c r="AS238" s="14">
        <f>IF(Distances!DF129&gt;0,(DE238+Distances!DF129*1.84)*FQ238*AS213*2,"")</f>
        <v>106.61626514285716</v>
      </c>
      <c r="AT238" s="14">
        <f>IF(Distances!DG129&gt;0,(DF238+Distances!DG129*1.84)*FR238*AT213*2,"")</f>
        <v>70.493385142857136</v>
      </c>
      <c r="AU238" s="14">
        <f>IF(Distances!DH129&gt;0,(DG238+Distances!DH129*1.84)*FS238*AU213*2,"")</f>
        <v>205.26630399999999</v>
      </c>
      <c r="AV238" s="14">
        <f>IF(Distances!DI129&gt;0,(DH238+Distances!DI129*1.84)*FT238*AV213*2,"")</f>
        <v>144.96404705882352</v>
      </c>
      <c r="AW238" s="14">
        <f>IF(Distances!DJ129&gt;0,(DI238+Distances!DJ129*1.84)*FU238*AW213*2,"")</f>
        <v>561.30953142857163</v>
      </c>
      <c r="AX238" s="14">
        <f>IF(Distances!DK129&gt;0,(DJ238+Distances!DK129*1.84)*FV238*AX213*2,"")</f>
        <v>70.940685714285706</v>
      </c>
      <c r="AY238" s="14">
        <f>IF(Distances!DL129&gt;0,(DK238+Distances!DL129*1.84)*FW238*AY213*2,"")</f>
        <v>4.7706181818181825</v>
      </c>
      <c r="AZ238" s="14">
        <f>IF(Distances!DM129&gt;0,(DL238+Distances!DM129*1.84)*FX238*AZ213*2,"")</f>
        <v>156.19464727272728</v>
      </c>
      <c r="BA238" s="14">
        <f>IF(Distances!DN129&gt;0,(DM238+Distances!DN129*1.84)*FY238*BA213*2,"")</f>
        <v>44.097060571428564</v>
      </c>
      <c r="BB238" s="13">
        <f>IF(Distances!DO129&gt;0,(DN238+Distances!DO129*1.84)*FZ238*BB213*2,"")</f>
        <v>115.34384</v>
      </c>
      <c r="BC238" s="14">
        <f>IF(Distances!DP129&gt;0,(DO238+Distances!DP129*1.84)*GA238*BC213*2,"")</f>
        <v>427.48138057142853</v>
      </c>
      <c r="BD238" s="14">
        <f>IF(Distances!DQ129&gt;0,(DP238+Distances!DQ129*1.84)*GB238*BD213*2,"")</f>
        <v>535.57759999999996</v>
      </c>
      <c r="BE238" s="14">
        <f>IF(Distances!DR129&gt;0,(DQ238+Distances!DR129*1.84)*GC238*BE213*2,"")</f>
        <v>450.22646857142854</v>
      </c>
      <c r="BF238" s="13">
        <f>IF(Distances!DS129&gt;0,(DR238+Distances!DS129*1.84)*GD238*BF213*2,"")</f>
        <v>274.51476000000002</v>
      </c>
      <c r="BG238" s="13">
        <f>IF(Distances!DT129&gt;0,(DS238+Distances!DT129*1.84)*GE238*BG213*2,"")</f>
        <v>89.457360000000008</v>
      </c>
      <c r="BH238" s="14">
        <f>IF(Distances!DU129&gt;0,(DT238+Distances!DU129*1.84)*GF238*BH213*2,"")</f>
        <v>133.362768372093</v>
      </c>
      <c r="BI238" s="14">
        <f>IF(Distances!DV129&gt;0,(DU238+Distances!DV129*1.84)*GG238*BI213*2,"")</f>
        <v>80.382303255813966</v>
      </c>
      <c r="BJ238" s="15">
        <f>IF(Distances!DW129&gt;0,(DV238+Distances!DW129*1.84)*GH238*BJ213*2,"")</f>
        <v>151.10676837209303</v>
      </c>
      <c r="BM238" s="35" t="s">
        <v>25</v>
      </c>
      <c r="BN238" s="16">
        <v>1409.7803999999999</v>
      </c>
      <c r="BO238" s="14">
        <v>1696.1532</v>
      </c>
      <c r="BP238" s="14">
        <v>941.67359999999996</v>
      </c>
      <c r="BQ238" s="14">
        <v>941.67359999999996</v>
      </c>
      <c r="BR238" s="14">
        <v>997.55879999999991</v>
      </c>
      <c r="BS238" s="14">
        <v>2435.8488000000002</v>
      </c>
      <c r="BT238" s="14">
        <v>2539.3535999999999</v>
      </c>
      <c r="BU238" s="14">
        <v>2435.8488000000002</v>
      </c>
      <c r="BV238" s="14">
        <v>978.9276000000001</v>
      </c>
      <c r="BW238" s="14">
        <v>978.9276000000001</v>
      </c>
      <c r="BX238" s="14">
        <v>2565.9143999999997</v>
      </c>
      <c r="BY238" s="14">
        <v>2565.9143999999997</v>
      </c>
      <c r="BZ238" s="14">
        <v>1796.8524</v>
      </c>
      <c r="CA238" s="14">
        <v>1151.7323999999999</v>
      </c>
      <c r="CB238" s="14">
        <v>1719.4295999999999</v>
      </c>
      <c r="CC238" s="13">
        <v>837.50519999999995</v>
      </c>
      <c r="CD238" s="13">
        <v>829.61759999999992</v>
      </c>
      <c r="CE238" s="13">
        <v>853.28880000000004</v>
      </c>
      <c r="CF238" s="13">
        <v>813.83399999999995</v>
      </c>
      <c r="CG238" s="13">
        <v>706.70039999999995</v>
      </c>
      <c r="CH238" s="13">
        <v>755.6472</v>
      </c>
      <c r="CI238" s="13">
        <v>821.72159999999997</v>
      </c>
      <c r="CJ238" s="13">
        <v>1041.7007999999998</v>
      </c>
      <c r="CK238" s="13">
        <v>813.83399999999995</v>
      </c>
      <c r="CL238" s="12">
        <v>0</v>
      </c>
      <c r="CM238" s="13">
        <v>755.6472</v>
      </c>
      <c r="CN238" s="13">
        <v>727.69199999999989</v>
      </c>
      <c r="CO238" s="13">
        <v>720.70320000000004</v>
      </c>
      <c r="CP238" s="13">
        <v>1075.5107999999998</v>
      </c>
      <c r="CQ238" s="13">
        <v>934.81920000000002</v>
      </c>
      <c r="CR238" s="13">
        <v>934.81920000000002</v>
      </c>
      <c r="CS238" s="13">
        <v>934.81920000000002</v>
      </c>
      <c r="CT238" s="14">
        <v>833.72519999999997</v>
      </c>
      <c r="CU238" s="14">
        <v>1316.5319999999999</v>
      </c>
      <c r="CV238" s="14">
        <v>833.72519999999997</v>
      </c>
      <c r="CW238" s="14">
        <v>1354.8444</v>
      </c>
      <c r="CX238" s="14">
        <v>480.29519999999997</v>
      </c>
      <c r="CY238" s="14">
        <v>480.29519999999997</v>
      </c>
      <c r="CZ238" s="14">
        <v>480.29519999999997</v>
      </c>
      <c r="DA238" s="14">
        <v>1068.7992000000002</v>
      </c>
      <c r="DB238" s="14">
        <v>1089.5303999999999</v>
      </c>
      <c r="DC238" s="14">
        <v>1389.8724</v>
      </c>
      <c r="DD238" s="14">
        <v>1119.3335999999999</v>
      </c>
      <c r="DE238" s="14">
        <v>1119.3335999999999</v>
      </c>
      <c r="DF238" s="14">
        <v>1119.3335999999999</v>
      </c>
      <c r="DG238" s="14">
        <v>1089.5303999999999</v>
      </c>
      <c r="DH238" s="14">
        <v>1041.7007999999998</v>
      </c>
      <c r="DI238" s="14">
        <v>1041.7007999999998</v>
      </c>
      <c r="DJ238" s="14">
        <v>1110.27</v>
      </c>
      <c r="DK238" s="14">
        <v>0</v>
      </c>
      <c r="DL238" s="14">
        <v>3274.3368</v>
      </c>
      <c r="DM238" s="14">
        <v>833.43119999999988</v>
      </c>
      <c r="DN238" s="13">
        <v>1022.2464</v>
      </c>
      <c r="DO238" s="14">
        <v>1037.7023999999999</v>
      </c>
      <c r="DP238" s="14">
        <v>1110.27</v>
      </c>
      <c r="DQ238" s="14">
        <v>1099.896</v>
      </c>
      <c r="DR238" s="13">
        <v>1180.7796000000001</v>
      </c>
      <c r="DS238" s="13">
        <v>741.66960000000006</v>
      </c>
      <c r="DT238" s="14">
        <v>2526.3083999999999</v>
      </c>
      <c r="DU238" s="14">
        <v>1819.3224</v>
      </c>
      <c r="DV238" s="15">
        <v>1819.3224</v>
      </c>
      <c r="DY238" s="35" t="s">
        <v>25</v>
      </c>
      <c r="DZ238" s="16">
        <v>6.2500000000000003E-3</v>
      </c>
      <c r="EA238" s="14">
        <v>6.2500000000000003E-3</v>
      </c>
      <c r="EB238" s="14">
        <v>6.2500000000000003E-3</v>
      </c>
      <c r="EC238" s="14">
        <v>6.2500000000000003E-3</v>
      </c>
      <c r="ED238" s="14">
        <v>6.2500000000000003E-3</v>
      </c>
      <c r="EE238" s="14">
        <v>6.2500000000000003E-3</v>
      </c>
      <c r="EF238" s="14">
        <v>6.2500000000000003E-3</v>
      </c>
      <c r="EG238" s="14">
        <v>6.2500000000000003E-3</v>
      </c>
      <c r="EH238" s="14">
        <v>6.2500000000000003E-3</v>
      </c>
      <c r="EI238" s="14">
        <v>6.2500000000000003E-3</v>
      </c>
      <c r="EJ238" s="14">
        <v>6.2500000000000003E-3</v>
      </c>
      <c r="EK238" s="14">
        <v>6.2500000000000003E-3</v>
      </c>
      <c r="EL238" s="14">
        <v>6.2500000000000003E-3</v>
      </c>
      <c r="EM238" s="14">
        <v>4.6511627906976744E-3</v>
      </c>
      <c r="EN238" s="14">
        <v>4.6511627906976744E-3</v>
      </c>
      <c r="EO238" s="13">
        <f t="shared" si="87"/>
        <v>1.2500000000000001E-2</v>
      </c>
      <c r="EP238" s="13">
        <f t="shared" si="87"/>
        <v>1.2500000000000001E-2</v>
      </c>
      <c r="EQ238" s="13">
        <f t="shared" si="87"/>
        <v>1.2500000000000001E-2</v>
      </c>
      <c r="ER238" s="13">
        <f t="shared" si="87"/>
        <v>1.2500000000000001E-2</v>
      </c>
      <c r="ES238" s="13">
        <f t="shared" si="87"/>
        <v>1.2500000000000001E-2</v>
      </c>
      <c r="ET238" s="13">
        <f t="shared" si="87"/>
        <v>1.2500000000000001E-2</v>
      </c>
      <c r="EU238" s="13">
        <f t="shared" si="87"/>
        <v>1.2500000000000001E-2</v>
      </c>
      <c r="EV238" s="13">
        <f t="shared" si="87"/>
        <v>1.2500000000000001E-2</v>
      </c>
      <c r="EW238" s="13">
        <f t="shared" si="87"/>
        <v>1.2500000000000001E-2</v>
      </c>
      <c r="EX238" s="12">
        <v>0.6</v>
      </c>
      <c r="EY238" s="13">
        <f t="shared" si="84"/>
        <v>1.2500000000000001E-2</v>
      </c>
      <c r="EZ238" s="13">
        <f t="shared" si="84"/>
        <v>1.2500000000000001E-2</v>
      </c>
      <c r="FA238" s="13">
        <f t="shared" si="84"/>
        <v>1.2500000000000001E-2</v>
      </c>
      <c r="FB238" s="13">
        <f t="shared" si="84"/>
        <v>1.2500000000000001E-2</v>
      </c>
      <c r="FC238" s="13">
        <f t="shared" si="84"/>
        <v>1.2500000000000001E-2</v>
      </c>
      <c r="FD238" s="13">
        <f t="shared" si="84"/>
        <v>1.2500000000000001E-2</v>
      </c>
      <c r="FE238" s="13">
        <f t="shared" si="84"/>
        <v>1.2500000000000001E-2</v>
      </c>
      <c r="FF238" s="14">
        <v>5.7142857142857143E-3</v>
      </c>
      <c r="FG238" s="14">
        <v>5.7142857142857143E-3</v>
      </c>
      <c r="FH238" s="14">
        <v>5.7142857142857143E-3</v>
      </c>
      <c r="FI238" s="14">
        <v>5.7142857142857143E-3</v>
      </c>
      <c r="FJ238" s="14">
        <v>5.7142857142857143E-3</v>
      </c>
      <c r="FK238" s="14">
        <v>5.7142857142857143E-3</v>
      </c>
      <c r="FL238" s="14">
        <v>5.7142857142857143E-3</v>
      </c>
      <c r="FM238" s="14">
        <v>4.7619047619047623E-3</v>
      </c>
      <c r="FN238" s="14">
        <v>4.7619047619047623E-3</v>
      </c>
      <c r="FO238" s="14">
        <v>4.7619047619047623E-3</v>
      </c>
      <c r="FP238" s="14">
        <v>5.7142857142857143E-3</v>
      </c>
      <c r="FQ238" s="14">
        <v>5.7142857142857143E-3</v>
      </c>
      <c r="FR238" s="14">
        <v>5.7142857142857143E-3</v>
      </c>
      <c r="FS238" s="14">
        <v>5.7142857142857143E-3</v>
      </c>
      <c r="FT238" s="14">
        <v>5.8823529411764705E-3</v>
      </c>
      <c r="FU238" s="14">
        <v>5.7142857142857143E-3</v>
      </c>
      <c r="FV238" s="14">
        <v>5.7142857142857143E-3</v>
      </c>
      <c r="FW238" s="14">
        <v>4.5454545454545461E-3</v>
      </c>
      <c r="FX238" s="14">
        <v>4.5454545454545461E-3</v>
      </c>
      <c r="FY238" s="14">
        <v>5.7142857142857143E-3</v>
      </c>
      <c r="FZ238" s="13">
        <f t="shared" si="88"/>
        <v>1.2500000000000001E-2</v>
      </c>
      <c r="GA238" s="14">
        <v>5.7142857142857143E-3</v>
      </c>
      <c r="GB238" s="14">
        <v>5.7142857142857143E-3</v>
      </c>
      <c r="GC238" s="14">
        <v>5.7142857142857143E-3</v>
      </c>
      <c r="GD238" s="13">
        <f t="shared" si="86"/>
        <v>1.2500000000000001E-2</v>
      </c>
      <c r="GE238" s="13">
        <f t="shared" si="86"/>
        <v>1.2500000000000001E-2</v>
      </c>
      <c r="GF238" s="14">
        <v>4.6511627906976744E-3</v>
      </c>
      <c r="GG238" s="14">
        <v>4.6511627906976744E-3</v>
      </c>
      <c r="GH238" s="15">
        <v>4.6511627906976744E-3</v>
      </c>
    </row>
    <row r="239" spans="1:190" x14ac:dyDescent="0.3">
      <c r="A239" s="35" t="s">
        <v>26</v>
      </c>
      <c r="B239" s="16">
        <f>IF(Distances!BO130&gt;0,(BN239+Distances!BO130*1.84)*DZ239*B213*2,"")</f>
        <v>4173.3210100000006</v>
      </c>
      <c r="C239" s="14">
        <f>IF(Distances!BP130&gt;0,(BO239+Distances!BP130*1.84)*EA239*C213*2,"")</f>
        <v>4883.28334</v>
      </c>
      <c r="D239" s="14">
        <f>IF(Distances!BQ130&gt;0,(BP239+Distances!BQ130*1.84)*EB239*D213*2,"")</f>
        <v>11958.266680000001</v>
      </c>
      <c r="E239" s="14">
        <f>IF(Distances!BR130&gt;0,(BQ239+Distances!BR130*1.84)*EC239*E213*2,"")</f>
        <v>3012.8582800000004</v>
      </c>
      <c r="F239" s="14">
        <f>IF(Distances!BS130&gt;0,(BR239+Distances!BS130*1.84)*ED239*F213*2,"")</f>
        <v>3444.1000000000004</v>
      </c>
      <c r="G239" s="14">
        <f>IF(Distances!BT130&gt;0,(BS239+Distances!BT130*1.84)*EE239*G213*2,"")</f>
        <v>14321.630319999998</v>
      </c>
      <c r="H239" s="14">
        <f>IF(Distances!BU130&gt;0,(BT239+Distances!BU130*1.84)*EF239*H213*2,"")</f>
        <v>6973.6348900000003</v>
      </c>
      <c r="I239" s="14">
        <f>IF(Distances!BV130&gt;0,(BU239+Distances!BV130*1.84)*EG239*I213*2,"")</f>
        <v>6717.0575199999994</v>
      </c>
      <c r="J239" s="14">
        <f>IF(Distances!BW130&gt;0,(BV239+Distances!BW130*1.84)*EH239*J213*2,"")</f>
        <v>111.47325999999998</v>
      </c>
      <c r="K239" s="14">
        <f>IF(Distances!BX130&gt;0,(BW239+Distances!BX130*1.84)*EI239*K213*2,"")</f>
        <v>61.489660000000008</v>
      </c>
      <c r="L239" s="14">
        <f>IF(Distances!BY130&gt;0,(BX239+Distances!BY130*1.84)*EJ239*L213*2,"")</f>
        <v>228.63636000000002</v>
      </c>
      <c r="M239" s="14">
        <f>IF(Distances!BZ130&gt;0,(BY239+Distances!BZ130*1.84)*EK239*M213*2,"")</f>
        <v>139.31356</v>
      </c>
      <c r="N239" s="14">
        <f>IF(Distances!CA130&gt;0,(BZ239+Distances!CA130*1.84)*EL239*N213*2,"")</f>
        <v>143.85167999999999</v>
      </c>
      <c r="O239" s="14">
        <f>IF(Distances!CB130&gt;0,(CA239+Distances!CB130*1.84)*EM239*O213*2,"")</f>
        <v>144.0726325581395</v>
      </c>
      <c r="P239" s="14">
        <f>IF(Distances!CC130&gt;0,(CB239+Distances!CC130*1.84)*EN239*P213*2,"")</f>
        <v>133.61586976744184</v>
      </c>
      <c r="Q239" s="13">
        <f>IF(Distances!CD130&gt;0,(CC239+Distances!CD130*1.84)*EO239*Q213*2,"")</f>
        <v>1363.6764999999996</v>
      </c>
      <c r="R239" s="13">
        <f>IF(Distances!CE130&gt;0,(CD239+Distances!CE130*1.84)*EP239*R213*2,"")</f>
        <v>1353.9850000000001</v>
      </c>
      <c r="S239" s="13">
        <f>IF(Distances!CF130&gt;0,(CE239+Distances!CF130*1.84)*EQ239*S213*2,"")</f>
        <v>1383.0385000000001</v>
      </c>
      <c r="T239" s="13">
        <f>IF(Distances!CG130&gt;0,(CF239+Distances!CG130*1.84)*ER239*T213*2,"")</f>
        <v>248.05942000000002</v>
      </c>
      <c r="U239" s="13">
        <f>IF(Distances!CH130&gt;0,(CG239+Distances!CH130*1.84)*ES239*U213*2,"")</f>
        <v>268.87609000000003</v>
      </c>
      <c r="V239" s="13">
        <f>IF(Distances!CI130&gt;0,(CH239+Distances!CI130*1.84)*ET239*V213*2,"")</f>
        <v>2787.0415200000002</v>
      </c>
      <c r="W239" s="13">
        <f>IF(Distances!CJ130&gt;0,(CI239+Distances!CJ130*1.84)*EU239*W213*2,"")</f>
        <v>1559.39264</v>
      </c>
      <c r="X239" s="13">
        <f>IF(Distances!CK130&gt;0,(CJ239+Distances!CK130*1.84)*EV239*X213*2,"")</f>
        <v>2253.5430200000001</v>
      </c>
      <c r="Y239" s="13">
        <f>IF(Distances!CL130&gt;0,(CK239+Distances!CL130*1.84)*EW239*Y213*2,"")</f>
        <v>2221.8326800000004</v>
      </c>
      <c r="Z239" s="13">
        <f>IF(Distances!CM130&gt;0,(CL239+Distances!CM130*1.84)*EX239*Z213*2,"")</f>
        <v>57.773960000000002</v>
      </c>
      <c r="AA239" s="12" t="s">
        <v>62</v>
      </c>
      <c r="AB239" s="13">
        <f>IF(Distances!CO130&gt;0,(CN239+Distances!CO130*1.84)*EZ239*AB213*2,"")</f>
        <v>81.779140000000012</v>
      </c>
      <c r="AC239" s="13">
        <f>IF(Distances!CP130&gt;0,(CO239+Distances!CP130*1.84)*FA239*AC213*2,"")</f>
        <v>48.813220000000001</v>
      </c>
      <c r="AD239" s="13">
        <f>IF(Distances!CQ130&gt;0,(CP239+Distances!CQ130*1.84)*FB239*AD213*2,"")</f>
        <v>66.231039999999993</v>
      </c>
      <c r="AE239" s="13">
        <f>IF(Distances!CR130&gt;0,(CQ239+Distances!CR130*1.84)*FC239*AE213*2,"")</f>
        <v>144.99454</v>
      </c>
      <c r="AF239" s="13">
        <f>IF(Distances!CS130&gt;0,(CR239+Distances!CS130*1.84)*FD239*AF213*2,"")</f>
        <v>255.80187999999998</v>
      </c>
      <c r="AG239" s="13">
        <f>IF(Distances!CT130&gt;0,(CS239+Distances!CT130*1.84)*FE239*AG213*2,"")</f>
        <v>214.76988000000003</v>
      </c>
      <c r="AH239" s="14">
        <f>IF(Distances!CU130&gt;0,(CT239+Distances!CU130*1.84)*FF239*AH213*2,"")</f>
        <v>41.331245714285714</v>
      </c>
      <c r="AI239" s="14">
        <f>IF(Distances!CV130&gt;0,(CU239+Distances!CV130*1.84)*FG239*AI213*2,"")</f>
        <v>17.842843428571427</v>
      </c>
      <c r="AJ239" s="14">
        <f>IF(Distances!CW130&gt;0,(CV239+Distances!CW130*1.84)*FH239*AJ213*2,"")</f>
        <v>30.453165714285714</v>
      </c>
      <c r="AK239" s="14">
        <f>IF(Distances!CX130&gt;0,(CW239+Distances!CX130*1.84)*FI239*AK213*2,"")</f>
        <v>18.272827428571425</v>
      </c>
      <c r="AL239" s="14">
        <f>IF(Distances!CY130&gt;0,(CX239+Distances!CY130*1.84)*FJ239*AL213*2,"")</f>
        <v>456.82420114285708</v>
      </c>
      <c r="AM239" s="14">
        <f>IF(Distances!CZ130&gt;0,(CY239+Distances!CZ130*1.84)*FK239*AM213*2,"")</f>
        <v>456.82420114285708</v>
      </c>
      <c r="AN239" s="14">
        <f>IF(Distances!DA130&gt;0,(CZ239+Distances!DA130*1.84)*FL239*AN213*2,"")</f>
        <v>641.57702399999994</v>
      </c>
      <c r="AO239" s="14">
        <f>IF(Distances!DB130&gt;0,(DA239+Distances!DB130*1.84)*FM239*AO213*2,"")</f>
        <v>25.105272380952385</v>
      </c>
      <c r="AP239" s="14">
        <f>IF(Distances!DC130&gt;0,(DB239+Distances!DC130*1.84)*FN239*AP213*2,"")</f>
        <v>25.492952380952385</v>
      </c>
      <c r="AQ239" s="14">
        <f>IF(Distances!DD130&gt;0,(DC239+Distances!DD130*1.84)*FO239*AQ213*2,"")</f>
        <v>31.109752380952379</v>
      </c>
      <c r="AR239" s="14">
        <f>IF(Distances!DE130&gt;0,(DD239+Distances!DE130*1.84)*FP239*AR213*2,"")</f>
        <v>31.26027885714285</v>
      </c>
      <c r="AS239" s="14">
        <f>IF(Distances!DF130&gt;0,(DE239+Distances!DF130*1.84)*FQ239*AS213*2,"")</f>
        <v>109.29310171428573</v>
      </c>
      <c r="AT239" s="14">
        <f>IF(Distances!DG130&gt;0,(DF239+Distances!DG130*1.84)*FR239*AT213*2,"")</f>
        <v>73.170221714285717</v>
      </c>
      <c r="AU239" s="14">
        <f>IF(Distances!DH130&gt;0,(DG239+Distances!DH130*1.84)*FS239*AU213*2,"")</f>
        <v>224.09152000000003</v>
      </c>
      <c r="AV239" s="14">
        <f>IF(Distances!DI130&gt;0,(DH239+Distances!DI130*1.84)*FT239*AV213*2,"")</f>
        <v>151.93597647058823</v>
      </c>
      <c r="AW239" s="14">
        <f>IF(Distances!DJ130&gt;0,(DI239+Distances!DJ130*1.84)*FU239*AW213*2,"")</f>
        <v>552.73140571428587</v>
      </c>
      <c r="AX239" s="14">
        <f>IF(Distances!DK130&gt;0,(DJ239+Distances!DK130*1.84)*FV239*AX213*2,"")</f>
        <v>77.642377142857143</v>
      </c>
      <c r="AY239" s="14">
        <f>IF(Distances!DL130&gt;0,(DK239+Distances!DL130*1.84)*FW239*AY213*2,"")</f>
        <v>9.7687272727272738</v>
      </c>
      <c r="AZ239" s="14">
        <f>IF(Distances!DM130&gt;0,(DL239+Distances!DM130*1.84)*FX239*AZ213*2,"")</f>
        <v>159.02830545454549</v>
      </c>
      <c r="BA239" s="14">
        <f>IF(Distances!DN130&gt;0,(DM239+Distances!DN130*1.84)*FY239*BA213*2,"")</f>
        <v>49.688813714285708</v>
      </c>
      <c r="BB239" s="13">
        <f>IF(Distances!DO130&gt;0,(DN239+Distances!DO130*1.84)*FZ239*BB213*2,"")</f>
        <v>127.23224</v>
      </c>
      <c r="BC239" s="14">
        <f>IF(Distances!DP130&gt;0,(DO239+Distances!DP130*1.84)*GA239*BC213*2,"")</f>
        <v>470.85450971428571</v>
      </c>
      <c r="BD239" s="14">
        <f>IF(Distances!DQ130&gt;0,(DP239+Distances!DQ130*1.84)*GB239*BD213*2,"")</f>
        <v>578.4684251428572</v>
      </c>
      <c r="BE239" s="14">
        <f>IF(Distances!DR130&gt;0,(DQ239+Distances!DR130*1.84)*GC239*BE213*2,"")</f>
        <v>493.18794971428559</v>
      </c>
      <c r="BF239" s="13">
        <f>IF(Distances!DS130&gt;0,(DR239+Distances!DS130*1.84)*GD239*BF213*2,"")</f>
        <v>286.11419999999998</v>
      </c>
      <c r="BG239" s="13">
        <f>IF(Distances!DT130&gt;0,(DS239+Distances!DT130*1.84)*GE239*BG213*2,"")</f>
        <v>101.85563999999999</v>
      </c>
      <c r="BH239" s="14">
        <f>IF(Distances!DU130&gt;0,(DT239+Distances!DU130*1.84)*GF239*BH213*2,"")</f>
        <v>136.76866976744185</v>
      </c>
      <c r="BI239" s="14">
        <f>IF(Distances!DV130&gt;0,(DU239+Distances!DV130*1.84)*GG239*BI213*2,"")</f>
        <v>84.266731162790691</v>
      </c>
      <c r="BJ239" s="15">
        <f>IF(Distances!DW130&gt;0,(DV239+Distances!DW130*1.84)*GH239*BJ213*2,"")</f>
        <v>154.99119627906975</v>
      </c>
      <c r="BM239" s="35" t="s">
        <v>26</v>
      </c>
      <c r="BN239" s="16">
        <v>1384.1604</v>
      </c>
      <c r="BO239" s="14">
        <v>1665.3335999999999</v>
      </c>
      <c r="BP239" s="14">
        <v>924.57119999999998</v>
      </c>
      <c r="BQ239" s="14">
        <v>924.57119999999998</v>
      </c>
      <c r="BR239" s="14">
        <v>979.43999999999994</v>
      </c>
      <c r="BS239" s="14">
        <v>2391.5807999999997</v>
      </c>
      <c r="BT239" s="14">
        <v>2493.1956</v>
      </c>
      <c r="BU239" s="14">
        <v>2391.5807999999997</v>
      </c>
      <c r="BV239" s="14">
        <v>961.15319999999997</v>
      </c>
      <c r="BW239" s="14">
        <v>961.15319999999997</v>
      </c>
      <c r="BX239" s="14">
        <v>2517.6311999999998</v>
      </c>
      <c r="BY239" s="14">
        <v>2517.6311999999998</v>
      </c>
      <c r="BZ239" s="14">
        <v>1764.2015999999996</v>
      </c>
      <c r="CA239" s="14">
        <v>1130.808</v>
      </c>
      <c r="CB239" s="14">
        <v>1688.1899999999998</v>
      </c>
      <c r="CC239" s="13">
        <v>822.30119999999988</v>
      </c>
      <c r="CD239" s="13">
        <v>814.548</v>
      </c>
      <c r="CE239" s="13">
        <v>837.79079999999999</v>
      </c>
      <c r="CF239" s="13">
        <v>799.05840000000001</v>
      </c>
      <c r="CG239" s="13">
        <v>693.89880000000005</v>
      </c>
      <c r="CH239" s="13">
        <v>741.92160000000001</v>
      </c>
      <c r="CI239" s="13">
        <v>806.80319999999995</v>
      </c>
      <c r="CJ239" s="13">
        <v>1022.7755999999999</v>
      </c>
      <c r="CK239" s="13">
        <v>799.05840000000001</v>
      </c>
      <c r="CL239" s="13">
        <v>755.6472</v>
      </c>
      <c r="CM239" s="12">
        <v>0</v>
      </c>
      <c r="CN239" s="13">
        <v>714.47879999999998</v>
      </c>
      <c r="CO239" s="13">
        <v>707.62439999999992</v>
      </c>
      <c r="CP239" s="13">
        <v>1055.9807999999998</v>
      </c>
      <c r="CQ239" s="13">
        <v>917.84280000000001</v>
      </c>
      <c r="CR239" s="13">
        <v>917.84280000000001</v>
      </c>
      <c r="CS239" s="13">
        <v>917.84280000000001</v>
      </c>
      <c r="CT239" s="14">
        <v>818.57999999999993</v>
      </c>
      <c r="CU239" s="14">
        <v>1292.6088</v>
      </c>
      <c r="CV239" s="14">
        <v>818.57999999999993</v>
      </c>
      <c r="CW239" s="14">
        <v>1330.2323999999999</v>
      </c>
      <c r="CX239" s="14">
        <v>471.58439999999996</v>
      </c>
      <c r="CY239" s="14">
        <v>471.58439999999996</v>
      </c>
      <c r="CZ239" s="14">
        <v>471.58439999999996</v>
      </c>
      <c r="DA239" s="14">
        <v>1049.3868</v>
      </c>
      <c r="DB239" s="14">
        <v>1069.74</v>
      </c>
      <c r="DC239" s="14">
        <v>1364.6219999999998</v>
      </c>
      <c r="DD239" s="14">
        <v>1098.9971999999998</v>
      </c>
      <c r="DE239" s="14">
        <v>1098.9971999999998</v>
      </c>
      <c r="DF239" s="14">
        <v>1098.9971999999998</v>
      </c>
      <c r="DG239" s="14">
        <v>1069.74</v>
      </c>
      <c r="DH239" s="14">
        <v>1022.7755999999999</v>
      </c>
      <c r="DI239" s="14">
        <v>1022.7755999999999</v>
      </c>
      <c r="DJ239" s="14">
        <v>1090.1016</v>
      </c>
      <c r="DK239" s="14">
        <v>0</v>
      </c>
      <c r="DL239" s="14">
        <v>3214.8143999999998</v>
      </c>
      <c r="DM239" s="14">
        <v>818.30279999999993</v>
      </c>
      <c r="DN239" s="13">
        <v>1003.6823999999999</v>
      </c>
      <c r="DO239" s="14">
        <v>1018.8528</v>
      </c>
      <c r="DP239" s="14">
        <v>1090.1016</v>
      </c>
      <c r="DQ239" s="14">
        <v>1079.9207999999999</v>
      </c>
      <c r="DR239" s="13">
        <v>1159.326</v>
      </c>
      <c r="DS239" s="13">
        <v>728.20439999999996</v>
      </c>
      <c r="DT239" s="14">
        <v>2480.3939999999998</v>
      </c>
      <c r="DU239" s="14">
        <v>1786.2684000000002</v>
      </c>
      <c r="DV239" s="15">
        <v>1786.2684000000002</v>
      </c>
      <c r="DY239" s="35" t="s">
        <v>26</v>
      </c>
      <c r="DZ239" s="16">
        <v>6.2500000000000003E-3</v>
      </c>
      <c r="EA239" s="14">
        <v>6.2500000000000003E-3</v>
      </c>
      <c r="EB239" s="14">
        <v>6.2500000000000003E-3</v>
      </c>
      <c r="EC239" s="14">
        <v>6.2500000000000003E-3</v>
      </c>
      <c r="ED239" s="14">
        <v>6.2500000000000003E-3</v>
      </c>
      <c r="EE239" s="14">
        <v>6.2500000000000003E-3</v>
      </c>
      <c r="EF239" s="14">
        <v>6.2500000000000003E-3</v>
      </c>
      <c r="EG239" s="14">
        <v>6.2500000000000003E-3</v>
      </c>
      <c r="EH239" s="14">
        <v>6.2500000000000003E-3</v>
      </c>
      <c r="EI239" s="14">
        <v>6.2500000000000003E-3</v>
      </c>
      <c r="EJ239" s="14">
        <v>6.2500000000000003E-3</v>
      </c>
      <c r="EK239" s="14">
        <v>6.2500000000000003E-3</v>
      </c>
      <c r="EL239" s="14">
        <v>6.2500000000000003E-3</v>
      </c>
      <c r="EM239" s="14">
        <v>4.6511627906976744E-3</v>
      </c>
      <c r="EN239" s="14">
        <v>4.6511627906976744E-3</v>
      </c>
      <c r="EO239" s="13">
        <f t="shared" si="87"/>
        <v>1.2500000000000001E-2</v>
      </c>
      <c r="EP239" s="13">
        <f t="shared" si="87"/>
        <v>1.2500000000000001E-2</v>
      </c>
      <c r="EQ239" s="13">
        <f t="shared" si="87"/>
        <v>1.2500000000000001E-2</v>
      </c>
      <c r="ER239" s="13">
        <f t="shared" si="87"/>
        <v>1.2500000000000001E-2</v>
      </c>
      <c r="ES239" s="13">
        <f t="shared" si="87"/>
        <v>1.2500000000000001E-2</v>
      </c>
      <c r="ET239" s="13">
        <f t="shared" si="87"/>
        <v>1.2500000000000001E-2</v>
      </c>
      <c r="EU239" s="13">
        <f t="shared" si="87"/>
        <v>1.2500000000000001E-2</v>
      </c>
      <c r="EV239" s="13">
        <f t="shared" si="87"/>
        <v>1.2500000000000001E-2</v>
      </c>
      <c r="EW239" s="13">
        <f t="shared" si="87"/>
        <v>1.2500000000000001E-2</v>
      </c>
      <c r="EX239" s="13">
        <f t="shared" si="87"/>
        <v>1.2500000000000001E-2</v>
      </c>
      <c r="EY239" s="12">
        <v>0.6</v>
      </c>
      <c r="EZ239" s="13">
        <f t="shared" si="84"/>
        <v>1.2500000000000001E-2</v>
      </c>
      <c r="FA239" s="13">
        <f t="shared" si="84"/>
        <v>1.2500000000000001E-2</v>
      </c>
      <c r="FB239" s="13">
        <f t="shared" si="84"/>
        <v>1.2500000000000001E-2</v>
      </c>
      <c r="FC239" s="13">
        <f t="shared" si="84"/>
        <v>1.2500000000000001E-2</v>
      </c>
      <c r="FD239" s="13">
        <f t="shared" si="84"/>
        <v>1.2500000000000001E-2</v>
      </c>
      <c r="FE239" s="13">
        <f t="shared" si="84"/>
        <v>1.2500000000000001E-2</v>
      </c>
      <c r="FF239" s="14">
        <v>5.7142857142857143E-3</v>
      </c>
      <c r="FG239" s="14">
        <v>5.7142857142857143E-3</v>
      </c>
      <c r="FH239" s="14">
        <v>5.7142857142857143E-3</v>
      </c>
      <c r="FI239" s="14">
        <v>5.7142857142857143E-3</v>
      </c>
      <c r="FJ239" s="14">
        <v>5.7142857142857143E-3</v>
      </c>
      <c r="FK239" s="14">
        <v>5.7142857142857143E-3</v>
      </c>
      <c r="FL239" s="14">
        <v>5.7142857142857143E-3</v>
      </c>
      <c r="FM239" s="14">
        <v>4.7619047619047623E-3</v>
      </c>
      <c r="FN239" s="14">
        <v>4.7619047619047623E-3</v>
      </c>
      <c r="FO239" s="14">
        <v>4.7619047619047623E-3</v>
      </c>
      <c r="FP239" s="14">
        <v>5.7142857142857143E-3</v>
      </c>
      <c r="FQ239" s="14">
        <v>5.7142857142857143E-3</v>
      </c>
      <c r="FR239" s="14">
        <v>5.7142857142857143E-3</v>
      </c>
      <c r="FS239" s="14">
        <v>5.7142857142857143E-3</v>
      </c>
      <c r="FT239" s="14">
        <v>5.8823529411764705E-3</v>
      </c>
      <c r="FU239" s="14">
        <v>5.7142857142857143E-3</v>
      </c>
      <c r="FV239" s="14">
        <v>5.7142857142857143E-3</v>
      </c>
      <c r="FW239" s="14">
        <v>4.5454545454545461E-3</v>
      </c>
      <c r="FX239" s="14">
        <v>4.5454545454545461E-3</v>
      </c>
      <c r="FY239" s="14">
        <v>5.7142857142857143E-3</v>
      </c>
      <c r="FZ239" s="13">
        <f t="shared" si="88"/>
        <v>1.2500000000000001E-2</v>
      </c>
      <c r="GA239" s="14">
        <v>5.7142857142857143E-3</v>
      </c>
      <c r="GB239" s="14">
        <v>5.7142857142857143E-3</v>
      </c>
      <c r="GC239" s="14">
        <v>5.7142857142857143E-3</v>
      </c>
      <c r="GD239" s="13">
        <f t="shared" si="86"/>
        <v>1.2500000000000001E-2</v>
      </c>
      <c r="GE239" s="13">
        <f t="shared" si="86"/>
        <v>1.2500000000000001E-2</v>
      </c>
      <c r="GF239" s="14">
        <v>4.6511627906976744E-3</v>
      </c>
      <c r="GG239" s="14">
        <v>4.6511627906976744E-3</v>
      </c>
      <c r="GH239" s="15">
        <v>4.6511627906976744E-3</v>
      </c>
    </row>
    <row r="240" spans="1:190" x14ac:dyDescent="0.3">
      <c r="A240" s="35" t="s">
        <v>27</v>
      </c>
      <c r="B240" s="16">
        <f>IF(Distances!BO131&gt;0,(BN240+Distances!BO131*1.84)*DZ240*B213*2,"")</f>
        <v>5013.1380300000001</v>
      </c>
      <c r="C240" s="14">
        <f>IF(Distances!BP131&gt;0,(BO240+Distances!BP131*1.84)*EA240*C213*2,"")</f>
        <v>5696.7999600000012</v>
      </c>
      <c r="D240" s="14">
        <f>IF(Distances!BQ131&gt;0,(BP240+Distances!BQ131*1.84)*EB240*D213*2,"")</f>
        <v>12841.05516</v>
      </c>
      <c r="E240" s="14">
        <f>IF(Distances!BR131&gt;0,(BQ240+Distances!BR131*1.84)*EC240*E213*2,"")</f>
        <v>3895.6467600000005</v>
      </c>
      <c r="F240" s="14">
        <f>IF(Distances!BS131&gt;0,(BR240+Distances!BS131*1.84)*ED240*F213*2,"")</f>
        <v>4321.7556600000007</v>
      </c>
      <c r="G240" s="14">
        <f>IF(Distances!BT131&gt;0,(BS240+Distances!BT131*1.84)*EE240*G213*2,"")</f>
        <v>15067.211310000002</v>
      </c>
      <c r="H240" s="14">
        <f>IF(Distances!BU131&gt;0,(BT240+Distances!BU131*1.84)*EF240*H213*2,"")</f>
        <v>7709.7350100000003</v>
      </c>
      <c r="I240" s="14">
        <f>IF(Distances!BV131&gt;0,(BU240+Distances!BV131*1.84)*EG240*I213*2,"")</f>
        <v>7462.6385100000007</v>
      </c>
      <c r="J240" s="14">
        <f>IF(Distances!BW131&gt;0,(BV240+Distances!BW131*1.84)*EH240*J213*2,"")</f>
        <v>128.88618000000002</v>
      </c>
      <c r="K240" s="14">
        <f>IF(Distances!BX131&gt;0,(BW240+Distances!BX131*1.84)*EI240*K213*2,"")</f>
        <v>78.902580000000015</v>
      </c>
      <c r="L240" s="14">
        <f>IF(Distances!BY131&gt;0,(BX240+Distances!BY131*1.84)*EJ240*L213*2,"")</f>
        <v>243.16723999999999</v>
      </c>
      <c r="M240" s="14">
        <f>IF(Distances!BZ131&gt;0,(BY240+Distances!BZ131*1.84)*EK240*M213*2,"")</f>
        <v>153.84443999999999</v>
      </c>
      <c r="N240" s="14">
        <f>IF(Distances!CA131&gt;0,(BZ240+Distances!CA131*1.84)*EL240*N213*2,"")</f>
        <v>159.77780000000001</v>
      </c>
      <c r="O240" s="14">
        <f>IF(Distances!CB131&gt;0,(CA240+Distances!CB131*1.84)*EM240*O213*2,"")</f>
        <v>166.34133209302328</v>
      </c>
      <c r="P240" s="14">
        <f>IF(Distances!CC131&gt;0,(CB240+Distances!CC131*1.84)*EN240*P213*2,"")</f>
        <v>154.54010046511627</v>
      </c>
      <c r="Q240" s="13">
        <f>IF(Distances!CD131&gt;0,(CC240+Distances!CD131*1.84)*EO240*Q213*2,"")</f>
        <v>1805.4255000000001</v>
      </c>
      <c r="R240" s="13">
        <f>IF(Distances!CE131&gt;0,(CD240+Distances!CE131*1.84)*EP240*R213*2,"")</f>
        <v>1796.1015</v>
      </c>
      <c r="S240" s="13">
        <f>IF(Distances!CF131&gt;0,(CE240+Distances!CF131*1.84)*EQ240*S213*2,"")</f>
        <v>1824.0840000000003</v>
      </c>
      <c r="T240" s="13">
        <f>IF(Distances!CG131&gt;0,(CF240+Distances!CG131*1.84)*ER240*T213*2,"")</f>
        <v>310.05569000000003</v>
      </c>
      <c r="U240" s="13">
        <f>IF(Distances!CH131&gt;0,(CG240+Distances!CH131*1.84)*ES240*U213*2,"")</f>
        <v>331.55590999999998</v>
      </c>
      <c r="V240" s="13">
        <f>IF(Distances!CI131&gt;0,(CH240+Distances!CI131*1.84)*ET240*V213*2,"")</f>
        <v>3303.7942600000001</v>
      </c>
      <c r="W240" s="13">
        <f>IF(Distances!CJ131&gt;0,(CI240+Distances!CJ131*1.84)*EU240*W213*2,"")</f>
        <v>2072.6619000000001</v>
      </c>
      <c r="X240" s="13">
        <f>IF(Distances!CK131&gt;0,(CJ240+Distances!CK131*1.84)*EV240*X213*2,"")</f>
        <v>2755.2169200000003</v>
      </c>
      <c r="Y240" s="13">
        <f>IF(Distances!CL131&gt;0,(CK240+Distances!CL131*1.84)*EW240*Y213*2,"")</f>
        <v>2735.5160600000004</v>
      </c>
      <c r="Z240" s="13">
        <f>IF(Distances!CM131&gt;0,(CL240+Distances!CM131*1.84)*EX240*Z213*2,"")</f>
        <v>75.567400000000006</v>
      </c>
      <c r="AA240" s="13">
        <f>IF(Distances!CN131&gt;0,(CM240+Distances!CN131*1.84)*EY240*AA213*2,"")</f>
        <v>81.779140000000012</v>
      </c>
      <c r="AB240" s="12" t="s">
        <v>62</v>
      </c>
      <c r="AC240" s="13">
        <f>IF(Distances!CP131&gt;0,(CO240+Distances!CP131*1.84)*FA240*AC213*2,"")</f>
        <v>66.695700000000002</v>
      </c>
      <c r="AD240" s="13">
        <f>IF(Distances!CQ131&gt;0,(CP240+Distances!CQ131*1.84)*FB240*AD213*2,"")</f>
        <v>83.468400000000003</v>
      </c>
      <c r="AE240" s="13">
        <f>IF(Distances!CR131&gt;0,(CQ240+Distances!CR131*1.84)*FC240*AE213*2,"")</f>
        <v>162.48768000000001</v>
      </c>
      <c r="AF240" s="13">
        <f>IF(Distances!CS131&gt;0,(CR240+Distances!CS131*1.84)*FD240*AF213*2,"")</f>
        <v>290.78816</v>
      </c>
      <c r="AG240" s="13">
        <f>IF(Distances!CT131&gt;0,(CS240+Distances!CT131*1.84)*FE240*AG213*2,"")</f>
        <v>249.75616000000002</v>
      </c>
      <c r="AH240" s="14">
        <f>IF(Distances!CU131&gt;0,(CT240+Distances!CU131*1.84)*FF240*AH213*2,"")</f>
        <v>45.371821714285709</v>
      </c>
      <c r="AI240" s="14">
        <f>IF(Distances!CV131&gt;0,(CU240+Distances!CV131*1.84)*FG240*AI213*2,"")</f>
        <v>21.682779428571429</v>
      </c>
      <c r="AJ240" s="14">
        <f>IF(Distances!CW131&gt;0,(CV240+Distances!CW131*1.84)*FH240*AJ213*2,"")</f>
        <v>34.493741714285719</v>
      </c>
      <c r="AK240" s="14">
        <f>IF(Distances!CX131&gt;0,(CW240+Distances!CX131*1.84)*FI240*AK213*2,"")</f>
        <v>22.096731428571427</v>
      </c>
      <c r="AL240" s="14">
        <f>IF(Distances!CY131&gt;0,(CX240+Distances!CY131*1.84)*FJ240*AL213*2,"")</f>
        <v>682.94164114285718</v>
      </c>
      <c r="AM240" s="14">
        <f>IF(Distances!CZ131&gt;0,(CY240+Distances!CZ131*1.84)*FK240*AM213*2,"")</f>
        <v>682.94164114285718</v>
      </c>
      <c r="AN240" s="14">
        <f>IF(Distances!DA131&gt;0,(CZ240+Distances!DA131*1.84)*FL240*AN213*2,"")</f>
        <v>867.69446399999993</v>
      </c>
      <c r="AO240" s="14">
        <f>IF(Distances!DB131&gt;0,(DA240+Distances!DB131*1.84)*FM240*AO213*2,"")</f>
        <v>31.67652571428572</v>
      </c>
      <c r="AP240" s="14">
        <f>IF(Distances!DC131&gt;0,(DB240+Distances!DC131*1.84)*FN240*AP213*2,"")</f>
        <v>32.049965714285719</v>
      </c>
      <c r="AQ240" s="14">
        <f>IF(Distances!DD131&gt;0,(DC240+Distances!DD131*1.84)*FO240*AQ213*2,"")</f>
        <v>37.458605714285724</v>
      </c>
      <c r="AR240" s="14">
        <f>IF(Distances!DE131&gt;0,(DD240+Distances!DE131*1.84)*FP240*AR213*2,"")</f>
        <v>39.103926857142859</v>
      </c>
      <c r="AS240" s="14">
        <f>IF(Distances!DF131&gt;0,(DE240+Distances!DF131*1.84)*FQ240*AS213*2,"")</f>
        <v>117.13674971428571</v>
      </c>
      <c r="AT240" s="14">
        <f>IF(Distances!DG131&gt;0,(DF240+Distances!DG131*1.84)*FR240*AT213*2,"")</f>
        <v>81.013869714285718</v>
      </c>
      <c r="AU240" s="14">
        <f>IF(Distances!DH131&gt;0,(DG240+Distances!DH131*1.84)*FS240*AU213*2,"")</f>
        <v>279.17043200000001</v>
      </c>
      <c r="AV240" s="14">
        <f>IF(Distances!DI131&gt;0,(DH240+Distances!DI131*1.84)*FT240*AV213*2,"")</f>
        <v>172.2878588235294</v>
      </c>
      <c r="AW240" s="14">
        <f>IF(Distances!DJ131&gt;0,(DI240+Distances!DJ131*1.84)*FU240*AW213*2,"")</f>
        <v>587.85266285714295</v>
      </c>
      <c r="AX240" s="14">
        <f>IF(Distances!DK131&gt;0,(DJ240+Distances!DK131*1.84)*FV240*AX213*2,"")</f>
        <v>97.750217142857139</v>
      </c>
      <c r="AY240" s="14">
        <f>IF(Distances!DL131&gt;0,(DK240+Distances!DL131*1.84)*FW240*AY213*2,"")</f>
        <v>23.725963636363641</v>
      </c>
      <c r="AZ240" s="14">
        <f>IF(Distances!DM131&gt;0,(DL240+Distances!DM131*1.84)*FX240*AZ213*2,"")</f>
        <v>168.65725090909095</v>
      </c>
      <c r="BA240" s="14">
        <f>IF(Distances!DN131&gt;0,(DM240+Distances!DN131*1.84)*FY240*BA213*2,"")</f>
        <v>65.851117714285706</v>
      </c>
      <c r="BB240" s="13">
        <f>IF(Distances!DO131&gt;0,(DN240+Distances!DO131*1.84)*FZ240*BB213*2,"")</f>
        <v>161.90100000000004</v>
      </c>
      <c r="BC240" s="14">
        <f>IF(Distances!DP131&gt;0,(DO240+Distances!DP131*1.84)*GA240*BC213*2,"")</f>
        <v>597.43729371428572</v>
      </c>
      <c r="BD240" s="14">
        <f>IF(Distances!DQ131&gt;0,(DP240+Distances!DQ131*1.84)*GB240*BD213*2,"")</f>
        <v>704.08660114285715</v>
      </c>
      <c r="BE240" s="14">
        <f>IF(Distances!DR131&gt;0,(DQ240+Distances!DR131*1.84)*GC240*BE213*2,"")</f>
        <v>618.94436571428571</v>
      </c>
      <c r="BF240" s="13">
        <f>IF(Distances!DS131&gt;0,(DR240+Distances!DS131*1.84)*GD240*BF213*2,"")</f>
        <v>320.20671999999996</v>
      </c>
      <c r="BG240" s="13">
        <f>IF(Distances!DT131&gt;0,(DS240+Distances!DT131*1.84)*GE240*BG213*2,"")</f>
        <v>137.54416000000001</v>
      </c>
      <c r="BH240" s="14">
        <f>IF(Distances!DU131&gt;0,(DT240+Distances!DU131*1.84)*GF240*BH213*2,"")</f>
        <v>147.63360744186048</v>
      </c>
      <c r="BI240" s="14">
        <f>IF(Distances!DV131&gt;0,(DU240+Distances!DV131*1.84)*GG240*BI213*2,"")</f>
        <v>96.400654883720932</v>
      </c>
      <c r="BJ240" s="15">
        <f>IF(Distances!DW131&gt;0,(DV240+Distances!DW131*1.84)*GH240*BJ213*2,"")</f>
        <v>167.12512000000001</v>
      </c>
      <c r="BM240" s="35" t="s">
        <v>27</v>
      </c>
      <c r="BN240" s="16">
        <v>1332.9371999999998</v>
      </c>
      <c r="BO240" s="14">
        <v>1603.6944000000001</v>
      </c>
      <c r="BP240" s="14">
        <v>890.3664</v>
      </c>
      <c r="BQ240" s="14">
        <v>890.3664</v>
      </c>
      <c r="BR240" s="14">
        <v>943.2023999999999</v>
      </c>
      <c r="BS240" s="14">
        <v>2303.0364</v>
      </c>
      <c r="BT240" s="14">
        <v>2400.8964000000001</v>
      </c>
      <c r="BU240" s="14">
        <v>2303.0364</v>
      </c>
      <c r="BV240" s="14">
        <v>925.58760000000007</v>
      </c>
      <c r="BW240" s="14">
        <v>925.58760000000007</v>
      </c>
      <c r="BX240" s="14">
        <v>2424.4247999999998</v>
      </c>
      <c r="BY240" s="14">
        <v>2424.4247999999998</v>
      </c>
      <c r="BZ240" s="14">
        <v>1698.8999999999999</v>
      </c>
      <c r="CA240" s="14">
        <v>1088.9675999999999</v>
      </c>
      <c r="CB240" s="14">
        <v>1625.7023999999999</v>
      </c>
      <c r="CC240" s="13">
        <v>791.87639999999999</v>
      </c>
      <c r="CD240" s="13">
        <v>784.41719999999998</v>
      </c>
      <c r="CE240" s="13">
        <v>806.80319999999995</v>
      </c>
      <c r="CF240" s="13">
        <v>769.49879999999996</v>
      </c>
      <c r="CG240" s="13">
        <v>668.24519999999995</v>
      </c>
      <c r="CH240" s="13">
        <v>714.47879999999998</v>
      </c>
      <c r="CI240" s="13">
        <v>776.95799999999997</v>
      </c>
      <c r="CJ240" s="13">
        <v>984.93359999999996</v>
      </c>
      <c r="CK240" s="13">
        <v>769.49879999999996</v>
      </c>
      <c r="CL240" s="13">
        <v>727.69199999999989</v>
      </c>
      <c r="CM240" s="13">
        <v>714.47879999999998</v>
      </c>
      <c r="CN240" s="12">
        <v>0</v>
      </c>
      <c r="CO240" s="13">
        <v>681.44999999999993</v>
      </c>
      <c r="CP240" s="13">
        <v>1016.9039999999999</v>
      </c>
      <c r="CQ240" s="13">
        <v>883.88159999999993</v>
      </c>
      <c r="CR240" s="13">
        <v>883.88159999999993</v>
      </c>
      <c r="CS240" s="13">
        <v>883.88159999999993</v>
      </c>
      <c r="CT240" s="14">
        <v>788.30640000000005</v>
      </c>
      <c r="CU240" s="14">
        <v>1244.7791999999999</v>
      </c>
      <c r="CV240" s="14">
        <v>788.30640000000005</v>
      </c>
      <c r="CW240" s="14">
        <v>1281</v>
      </c>
      <c r="CX240" s="14">
        <v>454.15439999999995</v>
      </c>
      <c r="CY240" s="14">
        <v>454.15439999999995</v>
      </c>
      <c r="CZ240" s="14">
        <v>454.15439999999995</v>
      </c>
      <c r="DA240" s="14">
        <v>1010.5536</v>
      </c>
      <c r="DB240" s="14">
        <v>1030.1592000000001</v>
      </c>
      <c r="DC240" s="14">
        <v>1314.1128000000001</v>
      </c>
      <c r="DD240" s="14">
        <v>1058.3328000000001</v>
      </c>
      <c r="DE240" s="14">
        <v>1058.3328000000001</v>
      </c>
      <c r="DF240" s="14">
        <v>1058.3328000000001</v>
      </c>
      <c r="DG240" s="14">
        <v>1030.1592000000001</v>
      </c>
      <c r="DH240" s="14">
        <v>984.93359999999996</v>
      </c>
      <c r="DI240" s="14">
        <v>984.93359999999996</v>
      </c>
      <c r="DJ240" s="14">
        <v>1058.1648</v>
      </c>
      <c r="DK240" s="14">
        <v>0</v>
      </c>
      <c r="DL240" s="14">
        <v>3095.7864</v>
      </c>
      <c r="DM240" s="14">
        <v>788.02919999999995</v>
      </c>
      <c r="DN240" s="13">
        <v>966.54600000000005</v>
      </c>
      <c r="DO240" s="14">
        <v>981.15359999999998</v>
      </c>
      <c r="DP240" s="14">
        <v>1049.7647999999999</v>
      </c>
      <c r="DQ240" s="14">
        <v>1039.962</v>
      </c>
      <c r="DR240" s="13">
        <v>1116.4271999999999</v>
      </c>
      <c r="DS240" s="13">
        <v>701.26559999999995</v>
      </c>
      <c r="DT240" s="14">
        <v>2388.5652</v>
      </c>
      <c r="DU240" s="14">
        <v>1728.5436</v>
      </c>
      <c r="DV240" s="15">
        <v>1728.5436</v>
      </c>
      <c r="DY240" s="35" t="s">
        <v>27</v>
      </c>
      <c r="DZ240" s="16">
        <v>6.2500000000000003E-3</v>
      </c>
      <c r="EA240" s="14">
        <v>6.2500000000000003E-3</v>
      </c>
      <c r="EB240" s="14">
        <v>6.2500000000000003E-3</v>
      </c>
      <c r="EC240" s="14">
        <v>6.2500000000000003E-3</v>
      </c>
      <c r="ED240" s="14">
        <v>6.2500000000000003E-3</v>
      </c>
      <c r="EE240" s="14">
        <v>6.2500000000000003E-3</v>
      </c>
      <c r="EF240" s="14">
        <v>6.2500000000000003E-3</v>
      </c>
      <c r="EG240" s="14">
        <v>6.2500000000000003E-3</v>
      </c>
      <c r="EH240" s="14">
        <v>6.2500000000000003E-3</v>
      </c>
      <c r="EI240" s="14">
        <v>6.2500000000000003E-3</v>
      </c>
      <c r="EJ240" s="14">
        <v>6.2500000000000003E-3</v>
      </c>
      <c r="EK240" s="14">
        <v>6.2500000000000003E-3</v>
      </c>
      <c r="EL240" s="14">
        <v>6.2500000000000003E-3</v>
      </c>
      <c r="EM240" s="14">
        <v>4.6511627906976744E-3</v>
      </c>
      <c r="EN240" s="14">
        <v>4.6511627906976744E-3</v>
      </c>
      <c r="EO240" s="13">
        <f t="shared" si="87"/>
        <v>1.2500000000000001E-2</v>
      </c>
      <c r="EP240" s="13">
        <f t="shared" si="87"/>
        <v>1.2500000000000001E-2</v>
      </c>
      <c r="EQ240" s="13">
        <f t="shared" si="87"/>
        <v>1.2500000000000001E-2</v>
      </c>
      <c r="ER240" s="13">
        <f t="shared" si="87"/>
        <v>1.2500000000000001E-2</v>
      </c>
      <c r="ES240" s="13">
        <f t="shared" si="87"/>
        <v>1.2500000000000001E-2</v>
      </c>
      <c r="ET240" s="13">
        <f t="shared" si="87"/>
        <v>1.2500000000000001E-2</v>
      </c>
      <c r="EU240" s="13">
        <f t="shared" si="87"/>
        <v>1.2500000000000001E-2</v>
      </c>
      <c r="EV240" s="13">
        <f t="shared" si="87"/>
        <v>1.2500000000000001E-2</v>
      </c>
      <c r="EW240" s="13">
        <f t="shared" si="87"/>
        <v>1.2500000000000001E-2</v>
      </c>
      <c r="EX240" s="13">
        <f t="shared" si="87"/>
        <v>1.2500000000000001E-2</v>
      </c>
      <c r="EY240" s="13">
        <f t="shared" si="87"/>
        <v>1.2500000000000001E-2</v>
      </c>
      <c r="EZ240" s="12">
        <v>0.6</v>
      </c>
      <c r="FA240" s="13">
        <f t="shared" si="84"/>
        <v>1.2500000000000001E-2</v>
      </c>
      <c r="FB240" s="13">
        <f t="shared" si="84"/>
        <v>1.2500000000000001E-2</v>
      </c>
      <c r="FC240" s="13">
        <f t="shared" si="84"/>
        <v>1.2500000000000001E-2</v>
      </c>
      <c r="FD240" s="13">
        <f t="shared" si="84"/>
        <v>1.2500000000000001E-2</v>
      </c>
      <c r="FE240" s="13">
        <f t="shared" si="84"/>
        <v>1.2500000000000001E-2</v>
      </c>
      <c r="FF240" s="14">
        <v>5.7142857142857143E-3</v>
      </c>
      <c r="FG240" s="14">
        <v>5.7142857142857143E-3</v>
      </c>
      <c r="FH240" s="14">
        <v>5.7142857142857143E-3</v>
      </c>
      <c r="FI240" s="14">
        <v>5.7142857142857143E-3</v>
      </c>
      <c r="FJ240" s="14">
        <v>5.7142857142857143E-3</v>
      </c>
      <c r="FK240" s="14">
        <v>5.7142857142857143E-3</v>
      </c>
      <c r="FL240" s="14">
        <v>5.7142857142857143E-3</v>
      </c>
      <c r="FM240" s="14">
        <v>4.7619047619047623E-3</v>
      </c>
      <c r="FN240" s="14">
        <v>4.7619047619047623E-3</v>
      </c>
      <c r="FO240" s="14">
        <v>4.7619047619047623E-3</v>
      </c>
      <c r="FP240" s="14">
        <v>5.7142857142857143E-3</v>
      </c>
      <c r="FQ240" s="14">
        <v>5.7142857142857143E-3</v>
      </c>
      <c r="FR240" s="14">
        <v>5.7142857142857143E-3</v>
      </c>
      <c r="FS240" s="14">
        <v>5.7142857142857143E-3</v>
      </c>
      <c r="FT240" s="14">
        <v>5.8823529411764705E-3</v>
      </c>
      <c r="FU240" s="14">
        <v>5.7142857142857143E-3</v>
      </c>
      <c r="FV240" s="14">
        <v>5.7142857142857143E-3</v>
      </c>
      <c r="FW240" s="14">
        <v>4.5454545454545461E-3</v>
      </c>
      <c r="FX240" s="14">
        <v>4.5454545454545461E-3</v>
      </c>
      <c r="FY240" s="14">
        <v>5.7142857142857143E-3</v>
      </c>
      <c r="FZ240" s="13">
        <f t="shared" si="88"/>
        <v>1.2500000000000001E-2</v>
      </c>
      <c r="GA240" s="14">
        <v>5.7142857142857143E-3</v>
      </c>
      <c r="GB240" s="14">
        <v>5.7142857142857143E-3</v>
      </c>
      <c r="GC240" s="14">
        <v>5.7142857142857143E-3</v>
      </c>
      <c r="GD240" s="13">
        <f t="shared" si="86"/>
        <v>1.2500000000000001E-2</v>
      </c>
      <c r="GE240" s="13">
        <f t="shared" si="86"/>
        <v>1.2500000000000001E-2</v>
      </c>
      <c r="GF240" s="14">
        <v>4.6511627906976744E-3</v>
      </c>
      <c r="GG240" s="14">
        <v>4.6511627906976744E-3</v>
      </c>
      <c r="GH240" s="15">
        <v>4.6511627906976744E-3</v>
      </c>
    </row>
    <row r="241" spans="1:190" x14ac:dyDescent="0.3">
      <c r="A241" s="35" t="s">
        <v>65</v>
      </c>
      <c r="B241" s="16" t="s">
        <v>62</v>
      </c>
      <c r="C241" s="14" t="s">
        <v>62</v>
      </c>
      <c r="D241" s="14">
        <f>IF(Distances!BQ132&gt;0,(BP241+Distances!BQ132*1.84)*EB241*D213*2,"")</f>
        <v>11171.99178</v>
      </c>
      <c r="E241" s="14" t="s">
        <v>62</v>
      </c>
      <c r="F241" s="14">
        <f>IF(Distances!BS132&gt;0,(BR241+Distances!BS132*1.84)*ED241*F213*2,"")</f>
        <v>2651.3984700000001</v>
      </c>
      <c r="G241" s="14">
        <f>IF(Distances!BT132&gt;0,(BS241+Distances!BT132*1.84)*EE241*G213*2,"")</f>
        <v>13363.851360000002</v>
      </c>
      <c r="H241" s="14" t="s">
        <v>62</v>
      </c>
      <c r="I241" s="14" t="s">
        <v>62</v>
      </c>
      <c r="J241" s="14">
        <f>IF(Distances!BW132&gt;0,(BV241+Distances!BW132*1.84)*EH241*J213*2,"")</f>
        <v>95.818619999999996</v>
      </c>
      <c r="K241" s="14" t="s">
        <v>62</v>
      </c>
      <c r="L241" s="14">
        <f>IF(Distances!BY132&gt;0,(BX241+Distances!BY132*1.84)*EJ241*L213*2,"")</f>
        <v>209.37896000000001</v>
      </c>
      <c r="M241" s="14" t="s">
        <v>62</v>
      </c>
      <c r="N241" s="14">
        <f>IF(Distances!CA132&gt;0,(BZ241+Distances!CA132*1.84)*EL241*N213*2,"")</f>
        <v>126.33811999999999</v>
      </c>
      <c r="O241" s="14">
        <f>IF(Distances!CB132&gt;0,(CA241+Distances!CB132*1.84)*EM241*O213*2,"")</f>
        <v>123.17431813953488</v>
      </c>
      <c r="P241" s="14">
        <f>IF(Distances!CC132&gt;0,(CB241+Distances!CC132*1.84)*EN241*P213*2,"")</f>
        <v>111.03669581395347</v>
      </c>
      <c r="Q241" s="13" t="s">
        <v>62</v>
      </c>
      <c r="R241" s="13" t="s">
        <v>62</v>
      </c>
      <c r="S241" s="13" t="s">
        <v>62</v>
      </c>
      <c r="T241" s="13">
        <f>IF(Distances!CG132&gt;0,(CF241+Distances!CG132*1.84)*ER241*T213*2,"")</f>
        <v>194.58088999999998</v>
      </c>
      <c r="U241" s="13">
        <f>IF(Distances!CH132&gt;0,(CG241+Distances!CH132*1.84)*ES241*U213*2,"")</f>
        <v>216.25016000000005</v>
      </c>
      <c r="V241" s="13">
        <f>IF(Distances!CI132&gt;0,(CH241+Distances!CI132*1.84)*ET241*V213*2,"")</f>
        <v>2347.7825799999996</v>
      </c>
      <c r="W241" s="13" t="s">
        <v>62</v>
      </c>
      <c r="X241" s="13">
        <f>IF(Distances!CK132&gt;0,(CJ241+Distances!CK132*1.84)*EV241*X213*2,"")</f>
        <v>1795.4294400000001</v>
      </c>
      <c r="Y241" s="13">
        <f>IF(Distances!CL132&gt;0,(CK241+Distances!CL132*1.84)*EW241*Y213*2,"")</f>
        <v>1778.72486</v>
      </c>
      <c r="Z241" s="13">
        <f>IF(Distances!CM132&gt;0,(CL241+Distances!CM132*1.84)*EX241*Z213*2,"")</f>
        <v>42.594760000000008</v>
      </c>
      <c r="AA241" s="13">
        <f>IF(Distances!CN132&gt;0,(CM241+Distances!CN132*1.84)*EY241*AA213*2,"")</f>
        <v>48.813220000000001</v>
      </c>
      <c r="AB241" s="13">
        <f>IF(Distances!CO132&gt;0,(CN241+Distances!CO132*1.84)*EZ241*AB213*2,"")</f>
        <v>66.695700000000002</v>
      </c>
      <c r="AC241" s="12" t="s">
        <v>62</v>
      </c>
      <c r="AD241" s="13" t="s">
        <v>62</v>
      </c>
      <c r="AE241" s="13">
        <f>IF(Distances!CR132&gt;0,(CQ241+Distances!CR132*1.84)*FC241*AE213*2,"")</f>
        <v>129.44028</v>
      </c>
      <c r="AF241" s="13">
        <f>IF(Distances!CS132&gt;0,(CR241+Distances!CS132*1.84)*FD241*AF213*2,"")</f>
        <v>224.69336000000004</v>
      </c>
      <c r="AG241" s="13">
        <f>IF(Distances!CT132&gt;0,(CS241+Distances!CT132*1.84)*FE241*AG213*2,"")</f>
        <v>183.66136000000003</v>
      </c>
      <c r="AH241" s="14">
        <f>IF(Distances!CU132&gt;0,(CT241+Distances!CU132*1.84)*FF241*AH213*2,"")</f>
        <v>37.828498285714289</v>
      </c>
      <c r="AI241" s="14" t="s">
        <v>62</v>
      </c>
      <c r="AJ241" s="14">
        <f>IF(Distances!CW132&gt;0,(CV241+Distances!CW132*1.84)*FH241*AJ213*2,"")</f>
        <v>26.950418285714285</v>
      </c>
      <c r="AK241" s="14" t="s">
        <v>62</v>
      </c>
      <c r="AL241" s="14" t="s">
        <v>62</v>
      </c>
      <c r="AM241" s="14" t="s">
        <v>62</v>
      </c>
      <c r="AN241" s="14">
        <f>IF(Distances!DA132&gt;0,(CZ241+Distances!DA132*1.84)*FL241*AN213*2,"")</f>
        <v>462.34047085714286</v>
      </c>
      <c r="AO241" s="14" t="s">
        <v>62</v>
      </c>
      <c r="AP241" s="14" t="s">
        <v>62</v>
      </c>
      <c r="AQ241" s="14" t="s">
        <v>62</v>
      </c>
      <c r="AR241" s="14" t="s">
        <v>62</v>
      </c>
      <c r="AS241" s="14">
        <f>IF(Distances!DF132&gt;0,(DE241+Distances!DF132*1.84)*FQ241*AS213*2,"")</f>
        <v>101.99096685714287</v>
      </c>
      <c r="AT241" s="14">
        <f>IF(Distances!DG132&gt;0,(DF241+Distances!DG132*1.84)*FR241*AT213*2,"")</f>
        <v>65.868086857142856</v>
      </c>
      <c r="AU241" s="14">
        <f>IF(Distances!DH132&gt;0,(DG241+Distances!DH132*1.84)*FS241*AU213*2,"")</f>
        <v>173.32735999999997</v>
      </c>
      <c r="AV241" s="14">
        <f>IF(Distances!DI132&gt;0,(DH241+Distances!DI132*1.84)*FT241*AV213*2,"")</f>
        <v>133.35124705882353</v>
      </c>
      <c r="AW241" s="14">
        <f>IF(Distances!DJ132&gt;0,(DI241+Distances!DJ132*1.84)*FU241*AW213*2,"")</f>
        <v>550.02852571428582</v>
      </c>
      <c r="AX241" s="14" t="s">
        <v>62</v>
      </c>
      <c r="AY241" s="14" t="s">
        <v>62</v>
      </c>
      <c r="AZ241" s="14">
        <f>IF(Distances!DM132&gt;0,(DL241+Distances!DM132*1.84)*FX241*AZ213*2,"")</f>
        <v>143.84936727272728</v>
      </c>
      <c r="BA241" s="14" t="s">
        <v>62</v>
      </c>
      <c r="BB241" s="13" t="s">
        <v>62</v>
      </c>
      <c r="BC241" s="14" t="s">
        <v>62</v>
      </c>
      <c r="BD241" s="14">
        <f>IF(Distances!DQ132&gt;0,(DP241+Distances!DQ132*1.84)*GB241*BD213*2,"")</f>
        <v>461.78172342857147</v>
      </c>
      <c r="BE241" s="14" t="s">
        <v>62</v>
      </c>
      <c r="BF241" s="13">
        <f>IF(Distances!DS132&gt;0,(DR241+Distances!DS132*1.84)*GD241*BF213*2,"")</f>
        <v>253.88764000000003</v>
      </c>
      <c r="BG241" s="13">
        <f>IF(Distances!DT132&gt;0,(DS241+Distances!DT132*1.84)*GE241*BG213*2,"")</f>
        <v>71.624920000000003</v>
      </c>
      <c r="BH241" s="14">
        <f>IF(Distances!DU132&gt;0,(DT241+Distances!DU132*1.84)*GF241*BH213*2,"")</f>
        <v>122.50165581395349</v>
      </c>
      <c r="BI241" s="14">
        <f>IF(Distances!DV132&gt;0,(DU241+Distances!DV132*1.84)*GG241*BI213*2,"")</f>
        <v>71.195252093023242</v>
      </c>
      <c r="BJ241" s="15">
        <f>IF(Distances!DW132&gt;0,(DV241+Distances!DW132*1.84)*GH241*BJ213*2,"")</f>
        <v>141.91971720930232</v>
      </c>
      <c r="BM241" s="35" t="s">
        <v>65</v>
      </c>
      <c r="BN241" s="16">
        <v>132.37559999999999</v>
      </c>
      <c r="BO241" s="14">
        <v>1588.2803999999999</v>
      </c>
      <c r="BP241" s="14">
        <v>881.81519999999989</v>
      </c>
      <c r="BQ241" s="14">
        <v>881.81519999999989</v>
      </c>
      <c r="BR241" s="14">
        <v>934.13879999999995</v>
      </c>
      <c r="BS241" s="14">
        <v>2280.9023999999999</v>
      </c>
      <c r="BT241" s="14">
        <v>2377.8215999999998</v>
      </c>
      <c r="BU241" s="14">
        <v>2280.9023999999999</v>
      </c>
      <c r="BV241" s="14">
        <v>916.70039999999995</v>
      </c>
      <c r="BW241" s="14">
        <v>916.70039999999995</v>
      </c>
      <c r="BX241" s="14">
        <v>2401.1232</v>
      </c>
      <c r="BY241" s="14">
        <v>2401.1232</v>
      </c>
      <c r="BZ241" s="14">
        <v>1682.5703999999998</v>
      </c>
      <c r="CA241" s="14">
        <v>1078.5096000000001</v>
      </c>
      <c r="CB241" s="14">
        <v>1610.0783999999999</v>
      </c>
      <c r="CC241" s="13">
        <v>784.2743999999999</v>
      </c>
      <c r="CD241" s="13">
        <v>776.89080000000001</v>
      </c>
      <c r="CE241" s="13">
        <v>799.05840000000001</v>
      </c>
      <c r="CF241" s="13">
        <v>762.10679999999991</v>
      </c>
      <c r="CG241" s="13">
        <v>661.81920000000002</v>
      </c>
      <c r="CH241" s="13">
        <v>707.62439999999992</v>
      </c>
      <c r="CI241" s="13">
        <v>769.49879999999996</v>
      </c>
      <c r="CJ241" s="13">
        <v>975.47519999999997</v>
      </c>
      <c r="CK241" s="13">
        <v>762.10679999999991</v>
      </c>
      <c r="CL241" s="13">
        <v>720.70320000000004</v>
      </c>
      <c r="CM241" s="13">
        <v>707.62439999999992</v>
      </c>
      <c r="CN241" s="13">
        <v>681.44999999999993</v>
      </c>
      <c r="CO241" s="12">
        <v>0</v>
      </c>
      <c r="CP241" s="13">
        <v>1007.1348</v>
      </c>
      <c r="CQ241" s="13">
        <v>875.39760000000001</v>
      </c>
      <c r="CR241" s="13">
        <v>875.39760000000001</v>
      </c>
      <c r="CS241" s="13">
        <v>875.39760000000001</v>
      </c>
      <c r="CT241" s="14">
        <v>780.7296</v>
      </c>
      <c r="CU241" s="14">
        <v>1232.8176000000001</v>
      </c>
      <c r="CV241" s="14">
        <v>780.7296</v>
      </c>
      <c r="CW241" s="14">
        <v>1268.694</v>
      </c>
      <c r="CX241" s="14">
        <v>449.79480000000001</v>
      </c>
      <c r="CY241" s="14">
        <v>449.79480000000001</v>
      </c>
      <c r="CZ241" s="14">
        <v>449.79480000000001</v>
      </c>
      <c r="DA241" s="14">
        <v>1000.8516</v>
      </c>
      <c r="DB241" s="14">
        <v>1020.2639999999999</v>
      </c>
      <c r="DC241" s="14">
        <v>1301.4875999999999</v>
      </c>
      <c r="DD241" s="14">
        <v>1048.1687999999999</v>
      </c>
      <c r="DE241" s="14">
        <v>1048.1687999999999</v>
      </c>
      <c r="DF241" s="14">
        <v>1048.1687999999999</v>
      </c>
      <c r="DG241" s="14">
        <v>1021.1039999999999</v>
      </c>
      <c r="DH241" s="14">
        <v>975.47519999999997</v>
      </c>
      <c r="DI241" s="14">
        <v>975.47519999999997</v>
      </c>
      <c r="DJ241" s="14">
        <v>1039.6764000000001</v>
      </c>
      <c r="DK241" s="14">
        <v>0</v>
      </c>
      <c r="DL241" s="14">
        <v>3066.0335999999998</v>
      </c>
      <c r="DM241" s="14">
        <v>780.46079999999995</v>
      </c>
      <c r="DN241" s="13">
        <v>957.2639999999999</v>
      </c>
      <c r="DO241" s="14">
        <v>971.72879999999986</v>
      </c>
      <c r="DP241" s="14">
        <v>1039.6764000000001</v>
      </c>
      <c r="DQ241" s="14">
        <v>1029.9744000000001</v>
      </c>
      <c r="DR241" s="13">
        <v>1105.7003999999999</v>
      </c>
      <c r="DS241" s="13">
        <v>694.53719999999998</v>
      </c>
      <c r="DT241" s="14">
        <v>2365.6079999999997</v>
      </c>
      <c r="DU241" s="14">
        <v>1703.6123999999998</v>
      </c>
      <c r="DV241" s="15">
        <v>1703.6123999999998</v>
      </c>
      <c r="DY241" s="35" t="s">
        <v>65</v>
      </c>
      <c r="DZ241" s="16">
        <v>6.2500000000000003E-3</v>
      </c>
      <c r="EA241" s="14">
        <v>6.2500000000000003E-3</v>
      </c>
      <c r="EB241" s="14">
        <v>6.2500000000000003E-3</v>
      </c>
      <c r="EC241" s="14">
        <v>6.2500000000000003E-3</v>
      </c>
      <c r="ED241" s="14">
        <v>6.2500000000000003E-3</v>
      </c>
      <c r="EE241" s="14">
        <v>6.2500000000000003E-3</v>
      </c>
      <c r="EF241" s="14">
        <v>6.2500000000000003E-3</v>
      </c>
      <c r="EG241" s="14">
        <v>6.2500000000000003E-3</v>
      </c>
      <c r="EH241" s="14">
        <v>6.2500000000000003E-3</v>
      </c>
      <c r="EI241" s="14">
        <v>6.2500000000000003E-3</v>
      </c>
      <c r="EJ241" s="14">
        <v>6.2500000000000003E-3</v>
      </c>
      <c r="EK241" s="14">
        <v>6.2500000000000003E-3</v>
      </c>
      <c r="EL241" s="14">
        <v>6.2500000000000003E-3</v>
      </c>
      <c r="EM241" s="14">
        <v>4.6511627906976744E-3</v>
      </c>
      <c r="EN241" s="14">
        <v>4.6511627906976744E-3</v>
      </c>
      <c r="EO241" s="13">
        <f t="shared" si="87"/>
        <v>1.2500000000000001E-2</v>
      </c>
      <c r="EP241" s="13">
        <f t="shared" si="87"/>
        <v>1.2500000000000001E-2</v>
      </c>
      <c r="EQ241" s="13">
        <f t="shared" si="87"/>
        <v>1.2500000000000001E-2</v>
      </c>
      <c r="ER241" s="13">
        <f t="shared" si="87"/>
        <v>1.2500000000000001E-2</v>
      </c>
      <c r="ES241" s="13">
        <f t="shared" si="87"/>
        <v>1.2500000000000001E-2</v>
      </c>
      <c r="ET241" s="13">
        <f t="shared" si="87"/>
        <v>1.2500000000000001E-2</v>
      </c>
      <c r="EU241" s="13">
        <f t="shared" si="87"/>
        <v>1.2500000000000001E-2</v>
      </c>
      <c r="EV241" s="13">
        <f t="shared" si="87"/>
        <v>1.2500000000000001E-2</v>
      </c>
      <c r="EW241" s="13">
        <f t="shared" si="87"/>
        <v>1.2500000000000001E-2</v>
      </c>
      <c r="EX241" s="13">
        <f t="shared" si="87"/>
        <v>1.2500000000000001E-2</v>
      </c>
      <c r="EY241" s="13">
        <f t="shared" si="87"/>
        <v>1.2500000000000001E-2</v>
      </c>
      <c r="EZ241" s="13">
        <f t="shared" si="87"/>
        <v>1.2500000000000001E-2</v>
      </c>
      <c r="FA241" s="12">
        <v>0.6</v>
      </c>
      <c r="FB241" s="13">
        <f t="shared" si="84"/>
        <v>1.2500000000000001E-2</v>
      </c>
      <c r="FC241" s="13">
        <f t="shared" si="84"/>
        <v>1.2500000000000001E-2</v>
      </c>
      <c r="FD241" s="13">
        <f t="shared" si="84"/>
        <v>1.2500000000000001E-2</v>
      </c>
      <c r="FE241" s="13">
        <f t="shared" si="84"/>
        <v>1.2500000000000001E-2</v>
      </c>
      <c r="FF241" s="14">
        <v>5.7142857142857143E-3</v>
      </c>
      <c r="FG241" s="14">
        <v>5.7142857142857143E-3</v>
      </c>
      <c r="FH241" s="14">
        <v>5.7142857142857143E-3</v>
      </c>
      <c r="FI241" s="14">
        <v>5.7142857142857143E-3</v>
      </c>
      <c r="FJ241" s="14">
        <v>5.7142857142857143E-3</v>
      </c>
      <c r="FK241" s="14">
        <v>5.7142857142857143E-3</v>
      </c>
      <c r="FL241" s="14">
        <v>5.7142857142857143E-3</v>
      </c>
      <c r="FM241" s="14">
        <v>4.7619047619047623E-3</v>
      </c>
      <c r="FN241" s="14">
        <v>4.7619047619047623E-3</v>
      </c>
      <c r="FO241" s="14">
        <v>4.7619047619047623E-3</v>
      </c>
      <c r="FP241" s="14">
        <v>5.7142857142857143E-3</v>
      </c>
      <c r="FQ241" s="14">
        <v>5.7142857142857143E-3</v>
      </c>
      <c r="FR241" s="14">
        <v>5.7142857142857143E-3</v>
      </c>
      <c r="FS241" s="14">
        <v>5.7142857142857143E-3</v>
      </c>
      <c r="FT241" s="14">
        <v>5.8823529411764705E-3</v>
      </c>
      <c r="FU241" s="14">
        <v>5.7142857142857143E-3</v>
      </c>
      <c r="FV241" s="14">
        <v>5.7142857142857143E-3</v>
      </c>
      <c r="FW241" s="14">
        <v>4.5454545454545461E-3</v>
      </c>
      <c r="FX241" s="14">
        <v>4.5454545454545461E-3</v>
      </c>
      <c r="FY241" s="14">
        <v>5.7142857142857143E-3</v>
      </c>
      <c r="FZ241" s="13">
        <f t="shared" si="88"/>
        <v>1.2500000000000001E-2</v>
      </c>
      <c r="GA241" s="14">
        <v>5.7142857142857143E-3</v>
      </c>
      <c r="GB241" s="14">
        <v>5.7142857142857143E-3</v>
      </c>
      <c r="GC241" s="14">
        <v>5.7142857142857143E-3</v>
      </c>
      <c r="GD241" s="13">
        <f t="shared" si="86"/>
        <v>1.2500000000000001E-2</v>
      </c>
      <c r="GE241" s="13">
        <f t="shared" si="86"/>
        <v>1.2500000000000001E-2</v>
      </c>
      <c r="GF241" s="14">
        <v>4.6511627906976744E-3</v>
      </c>
      <c r="GG241" s="14">
        <v>4.6511627906976744E-3</v>
      </c>
      <c r="GH241" s="15">
        <v>4.6511627906976744E-3</v>
      </c>
    </row>
    <row r="242" spans="1:190" x14ac:dyDescent="0.3">
      <c r="A242" s="35" t="s">
        <v>29</v>
      </c>
      <c r="B242" s="16" t="s">
        <v>62</v>
      </c>
      <c r="C242" s="14" t="s">
        <v>62</v>
      </c>
      <c r="D242" s="14">
        <f>IF(Distances!BQ133&gt;0,(BP242+Distances!BQ133*1.84)*EB242*D213*2,"")</f>
        <v>11227.88013</v>
      </c>
      <c r="E242" s="14" t="s">
        <v>62</v>
      </c>
      <c r="F242" s="14">
        <f>IF(Distances!BS133&gt;0,(BR242+Distances!BS133*1.84)*ED242*F213*2,"")</f>
        <v>2710.5955800000002</v>
      </c>
      <c r="G242" s="14">
        <f>IF(Distances!BT133&gt;0,(BS242+Distances!BT133*1.84)*EE242*G213*2,"")</f>
        <v>13274.302740000001</v>
      </c>
      <c r="H242" s="14" t="s">
        <v>62</v>
      </c>
      <c r="I242" s="14" t="s">
        <v>62</v>
      </c>
      <c r="J242" s="14">
        <f>IF(Distances!BW133&gt;0,(BV242+Distances!BW133*1.84)*EH242*J213*2,"")</f>
        <v>96.968999999999994</v>
      </c>
      <c r="K242" s="14" t="s">
        <v>62</v>
      </c>
      <c r="L242" s="14">
        <f>IF(Distances!BY133&gt;0,(BX242+Distances!BY133*1.84)*EJ242*L213*2,"")</f>
        <v>207.79514</v>
      </c>
      <c r="M242" s="14" t="s">
        <v>62</v>
      </c>
      <c r="N242" s="14">
        <f>IF(Distances!CA133&gt;0,(BZ242+Distances!CA133*1.84)*EL242*N213*2,"")</f>
        <v>119.87348000000003</v>
      </c>
      <c r="O242" s="14">
        <f>IF(Distances!CB133&gt;0,(CA242+Distances!CB133*1.84)*EM242*O213*2,"")</f>
        <v>166.75469023255818</v>
      </c>
      <c r="P242" s="14">
        <f>IF(Distances!CC133&gt;0,(CB242+Distances!CC133*1.84)*EN242*P213*2,"")</f>
        <v>166.68009302325581</v>
      </c>
      <c r="Q242" s="13" t="s">
        <v>62</v>
      </c>
      <c r="R242" s="13" t="s">
        <v>62</v>
      </c>
      <c r="S242" s="13" t="s">
        <v>62</v>
      </c>
      <c r="T242" s="13">
        <f>IF(Distances!CG133&gt;0,(CF242+Distances!CG133*1.84)*ER242*T213*2,"")</f>
        <v>144.96250999999998</v>
      </c>
      <c r="U242" s="13">
        <f>IF(Distances!CH133&gt;0,(CG242+Distances!CH133*1.84)*ES242*U213*2,"")</f>
        <v>273.26117000000005</v>
      </c>
      <c r="V242" s="13">
        <f>IF(Distances!CI133&gt;0,(CH242+Distances!CI133*1.84)*ET242*V213*2,"")</f>
        <v>2461.1053000000002</v>
      </c>
      <c r="W242" s="13" t="s">
        <v>62</v>
      </c>
      <c r="X242" s="13">
        <f>IF(Distances!CK133&gt;0,(CJ242+Distances!CK133*1.84)*EV242*X213*2,"")</f>
        <v>380.99040000000002</v>
      </c>
      <c r="Y242" s="13">
        <f>IF(Distances!CL133&gt;0,(CK242+Distances!CL133*1.84)*EW242*Y213*2,"")</f>
        <v>1367.60114</v>
      </c>
      <c r="Z242" s="13">
        <f>IF(Distances!CM133&gt;0,(CL242+Distances!CM133*1.84)*EX242*Z213*2,"")</f>
        <v>60.335139999999996</v>
      </c>
      <c r="AA242" s="13">
        <f>IF(Distances!CN133&gt;0,(CM242+Distances!CN133*1.84)*EY242*AA213*2,"")</f>
        <v>66.231039999999993</v>
      </c>
      <c r="AB242" s="13">
        <f>IF(Distances!CO133&gt;0,(CN242+Distances!CO133*1.84)*EZ242*AB213*2,"")</f>
        <v>83.468400000000003</v>
      </c>
      <c r="AC242" s="13" t="s">
        <v>62</v>
      </c>
      <c r="AD242" s="12" t="s">
        <v>62</v>
      </c>
      <c r="AE242" s="13">
        <f>IF(Distances!CR133&gt;0,(CQ242+Distances!CR133*1.84)*FC242*AE213*2,"")</f>
        <v>144.64764</v>
      </c>
      <c r="AF242" s="13">
        <f>IF(Distances!CS133&gt;0,(CR242+Distances!CS133*1.84)*FD242*AF213*2,"")</f>
        <v>255.10807999999997</v>
      </c>
      <c r="AG242" s="13">
        <f>IF(Distances!CT133&gt;0,(CS242+Distances!CT133*1.84)*FE242*AG213*2,"")</f>
        <v>214.07608000000002</v>
      </c>
      <c r="AH242" s="14">
        <f>IF(Distances!CU133&gt;0,(CT242+Distances!CU133*1.84)*FF242*AH213*2,"")</f>
        <v>45.753202285714288</v>
      </c>
      <c r="AI242" s="14" t="s">
        <v>62</v>
      </c>
      <c r="AJ242" s="14">
        <f>IF(Distances!CW133&gt;0,(CV242+Distances!CW133*1.84)*FH242*AJ213*2,"")</f>
        <v>34.875122285714284</v>
      </c>
      <c r="AK242" s="14" t="s">
        <v>62</v>
      </c>
      <c r="AL242" s="14" t="s">
        <v>62</v>
      </c>
      <c r="AM242" s="14" t="s">
        <v>62</v>
      </c>
      <c r="AN242" s="14">
        <f>IF(Distances!DA133&gt;0,(CZ242+Distances!DA133*1.84)*FL242*AN213*2,"")</f>
        <v>1248.2711588571426</v>
      </c>
      <c r="AO242" s="14" t="s">
        <v>62</v>
      </c>
      <c r="AP242" s="14" t="s">
        <v>62</v>
      </c>
      <c r="AQ242" s="14" t="s">
        <v>62</v>
      </c>
      <c r="AR242" s="14" t="s">
        <v>62</v>
      </c>
      <c r="AS242" s="14">
        <f>IF(Distances!DF133&gt;0,(DE242+Distances!DF133*1.84)*FQ242*AS213*2,"")</f>
        <v>111.20178285714285</v>
      </c>
      <c r="AT242" s="14">
        <f>IF(Distances!DG133&gt;0,(DF242+Distances!DG133*1.84)*FR242*AT213*2,"")</f>
        <v>75.078902857142864</v>
      </c>
      <c r="AU242" s="14">
        <f>IF(Distances!DH133&gt;0,(DG242+Distances!DH133*1.84)*FS242*AU213*2,"")</f>
        <v>159.30003199999999</v>
      </c>
      <c r="AV242" s="14">
        <f>IF(Distances!DI133&gt;0,(DH242+Distances!DI133*1.84)*FT242*AV213*2,"")</f>
        <v>116.49837647058824</v>
      </c>
      <c r="AW242" s="14">
        <f>IF(Distances!DJ133&gt;0,(DI242+Distances!DJ133*1.84)*FU242*AW213*2,"")</f>
        <v>533.65716571428584</v>
      </c>
      <c r="AX242" s="14" t="s">
        <v>62</v>
      </c>
      <c r="AY242" s="14" t="s">
        <v>62</v>
      </c>
      <c r="AZ242" s="14">
        <f>IF(Distances!DM133&gt;0,(DL242+Distances!DM133*1.84)*FX242*AZ213*2,"")</f>
        <v>165.19422545454546</v>
      </c>
      <c r="BA242" s="14" t="s">
        <v>62</v>
      </c>
      <c r="BB242" s="13" t="s">
        <v>62</v>
      </c>
      <c r="BC242" s="14" t="s">
        <v>62</v>
      </c>
      <c r="BD242" s="14">
        <f>IF(Distances!DQ133&gt;0,(DP242+Distances!DQ133*1.84)*GB242*BD213*2,"")</f>
        <v>429.42127542857139</v>
      </c>
      <c r="BE242" s="14" t="s">
        <v>62</v>
      </c>
      <c r="BF242" s="13">
        <f>IF(Distances!DS133&gt;0,(DR242+Distances!DS133*1.84)*GD242*BF213*2,"")</f>
        <v>263.81392</v>
      </c>
      <c r="BG242" s="13">
        <f>IF(Distances!DT133&gt;0,(DS242+Distances!DT133*1.84)*GE242*BG213*2,"")</f>
        <v>79.2958</v>
      </c>
      <c r="BH242" s="14">
        <f>IF(Distances!DU133&gt;0,(DT242+Distances!DU133*1.84)*GF242*BH213*2,"")</f>
        <v>150.73722046511628</v>
      </c>
      <c r="BI242" s="14">
        <f>IF(Distances!DV133&gt;0,(DU242+Distances!DV133*1.84)*GG242*BI213*2,"")</f>
        <v>96.371185116279079</v>
      </c>
      <c r="BJ242" s="15">
        <f>IF(Distances!DW133&gt;0,(DV242+Distances!DW133*1.84)*GH242*BJ213*2,"")</f>
        <v>167.09565023255814</v>
      </c>
      <c r="BM242" s="35" t="s">
        <v>29</v>
      </c>
      <c r="BN242" s="16">
        <v>1175.8571999999999</v>
      </c>
      <c r="BO242" s="14">
        <v>1466.2284</v>
      </c>
      <c r="BP242" s="14">
        <v>903.94920000000002</v>
      </c>
      <c r="BQ242" s="14">
        <v>903.94920000000002</v>
      </c>
      <c r="BR242" s="14">
        <v>957.58320000000003</v>
      </c>
      <c r="BS242" s="14">
        <v>2245.4375999999997</v>
      </c>
      <c r="BT242" s="14">
        <v>2346.4476</v>
      </c>
      <c r="BU242" s="14">
        <v>2245.4375999999997</v>
      </c>
      <c r="BV242" s="14">
        <v>939.70799999999997</v>
      </c>
      <c r="BW242" s="14">
        <v>939.70799999999997</v>
      </c>
      <c r="BX242" s="14">
        <v>2369.4467999999997</v>
      </c>
      <c r="BY242" s="14">
        <v>2369.4467999999997</v>
      </c>
      <c r="BZ242" s="14">
        <v>1553.2776000000001</v>
      </c>
      <c r="CA242" s="14">
        <v>1747.7796000000001</v>
      </c>
      <c r="CB242" s="14">
        <v>2464.6019999999999</v>
      </c>
      <c r="CC242" s="13">
        <v>492.48359999999997</v>
      </c>
      <c r="CD242" s="13">
        <v>487.84679999999997</v>
      </c>
      <c r="CE242" s="13">
        <v>501.75720000000001</v>
      </c>
      <c r="CF242" s="13">
        <v>478.57319999999999</v>
      </c>
      <c r="CG242" s="13">
        <v>987.59640000000002</v>
      </c>
      <c r="CH242" s="13">
        <v>785.77800000000002</v>
      </c>
      <c r="CI242" s="13">
        <v>483.21</v>
      </c>
      <c r="CJ242" s="13">
        <v>0</v>
      </c>
      <c r="CK242" s="13">
        <v>478.57319999999999</v>
      </c>
      <c r="CL242" s="13">
        <v>1075.5107999999998</v>
      </c>
      <c r="CM242" s="13">
        <v>1055.9807999999998</v>
      </c>
      <c r="CN242" s="13">
        <v>1016.9039999999999</v>
      </c>
      <c r="CO242" s="13">
        <v>1007.1348</v>
      </c>
      <c r="CP242" s="12">
        <v>0</v>
      </c>
      <c r="CQ242" s="13">
        <v>1179.5447999999999</v>
      </c>
      <c r="CR242" s="13">
        <v>1179.5447999999999</v>
      </c>
      <c r="CS242" s="13">
        <v>1179.5447999999999</v>
      </c>
      <c r="CT242" s="14">
        <v>1474.1412</v>
      </c>
      <c r="CU242" s="14">
        <v>1640.3688</v>
      </c>
      <c r="CV242" s="14">
        <v>1474.1412</v>
      </c>
      <c r="CW242" s="14">
        <v>1688.106</v>
      </c>
      <c r="CX242" s="14">
        <v>1723.2936</v>
      </c>
      <c r="CY242" s="14">
        <v>1723.2936</v>
      </c>
      <c r="CZ242" s="14">
        <v>1723.2936</v>
      </c>
      <c r="DA242" s="14">
        <v>1474.1412</v>
      </c>
      <c r="DB242" s="14">
        <v>1502.7431999999999</v>
      </c>
      <c r="DC242" s="14">
        <v>1719.942</v>
      </c>
      <c r="DD242" s="14">
        <v>1451.1419999999998</v>
      </c>
      <c r="DE242" s="14">
        <v>1451.1419999999998</v>
      </c>
      <c r="DF242" s="14">
        <v>1451.1419999999998</v>
      </c>
      <c r="DG242" s="14">
        <v>933.43319999999994</v>
      </c>
      <c r="DH242" s="14">
        <v>688.97640000000001</v>
      </c>
      <c r="DI242" s="14">
        <v>688.97640000000001</v>
      </c>
      <c r="DJ242" s="14">
        <v>951.19079999999985</v>
      </c>
      <c r="DK242" s="14">
        <v>0</v>
      </c>
      <c r="DL242" s="14">
        <v>3653.0171999999998</v>
      </c>
      <c r="DM242" s="14">
        <v>1182.0816</v>
      </c>
      <c r="DN242" s="13">
        <v>676.12439999999992</v>
      </c>
      <c r="DO242" s="14">
        <v>889.03079999999989</v>
      </c>
      <c r="DP242" s="14">
        <v>951.19079999999985</v>
      </c>
      <c r="DQ242" s="14">
        <v>942.3119999999999</v>
      </c>
      <c r="DR242" s="13">
        <v>1204.9631999999999</v>
      </c>
      <c r="DS242" s="13">
        <v>771.24599999999998</v>
      </c>
      <c r="DT242" s="14">
        <v>3124.4387999999999</v>
      </c>
      <c r="DU242" s="14">
        <v>2380.2156</v>
      </c>
      <c r="DV242" s="15">
        <v>2380.2156</v>
      </c>
      <c r="DY242" s="35" t="s">
        <v>29</v>
      </c>
      <c r="DZ242" s="16">
        <v>6.2500000000000003E-3</v>
      </c>
      <c r="EA242" s="14">
        <v>6.2500000000000003E-3</v>
      </c>
      <c r="EB242" s="14">
        <v>6.2500000000000003E-3</v>
      </c>
      <c r="EC242" s="14">
        <v>6.2500000000000003E-3</v>
      </c>
      <c r="ED242" s="14">
        <v>6.2500000000000003E-3</v>
      </c>
      <c r="EE242" s="14">
        <v>6.2500000000000003E-3</v>
      </c>
      <c r="EF242" s="14">
        <v>6.2500000000000003E-3</v>
      </c>
      <c r="EG242" s="14">
        <v>6.2500000000000003E-3</v>
      </c>
      <c r="EH242" s="14">
        <v>6.2500000000000003E-3</v>
      </c>
      <c r="EI242" s="14">
        <v>6.2500000000000003E-3</v>
      </c>
      <c r="EJ242" s="14">
        <v>6.2500000000000003E-3</v>
      </c>
      <c r="EK242" s="14">
        <v>6.2500000000000003E-3</v>
      </c>
      <c r="EL242" s="14">
        <v>6.2500000000000003E-3</v>
      </c>
      <c r="EM242" s="14">
        <v>4.6511627906976744E-3</v>
      </c>
      <c r="EN242" s="14">
        <v>4.6511627906976744E-3</v>
      </c>
      <c r="EO242" s="13">
        <f t="shared" si="87"/>
        <v>1.2500000000000001E-2</v>
      </c>
      <c r="EP242" s="13">
        <f t="shared" si="87"/>
        <v>1.2500000000000001E-2</v>
      </c>
      <c r="EQ242" s="13">
        <f t="shared" si="87"/>
        <v>1.2500000000000001E-2</v>
      </c>
      <c r="ER242" s="13">
        <f t="shared" si="87"/>
        <v>1.2500000000000001E-2</v>
      </c>
      <c r="ES242" s="13">
        <f t="shared" si="87"/>
        <v>1.2500000000000001E-2</v>
      </c>
      <c r="ET242" s="13">
        <f t="shared" si="87"/>
        <v>1.2500000000000001E-2</v>
      </c>
      <c r="EU242" s="13">
        <f t="shared" si="87"/>
        <v>1.2500000000000001E-2</v>
      </c>
      <c r="EV242" s="13">
        <f t="shared" si="87"/>
        <v>1.2500000000000001E-2</v>
      </c>
      <c r="EW242" s="13">
        <f t="shared" si="87"/>
        <v>1.2500000000000001E-2</v>
      </c>
      <c r="EX242" s="13">
        <f t="shared" si="87"/>
        <v>1.2500000000000001E-2</v>
      </c>
      <c r="EY242" s="13">
        <f t="shared" si="87"/>
        <v>1.2500000000000001E-2</v>
      </c>
      <c r="EZ242" s="13">
        <f t="shared" si="87"/>
        <v>1.2500000000000001E-2</v>
      </c>
      <c r="FA242" s="13">
        <f t="shared" si="87"/>
        <v>1.2500000000000001E-2</v>
      </c>
      <c r="FB242" s="12">
        <v>0.6</v>
      </c>
      <c r="FC242" s="13">
        <f t="shared" si="84"/>
        <v>1.2500000000000001E-2</v>
      </c>
      <c r="FD242" s="13">
        <f t="shared" si="84"/>
        <v>1.2500000000000001E-2</v>
      </c>
      <c r="FE242" s="13">
        <f t="shared" si="84"/>
        <v>1.2500000000000001E-2</v>
      </c>
      <c r="FF242" s="14">
        <v>5.7142857142857143E-3</v>
      </c>
      <c r="FG242" s="14">
        <v>5.7142857142857143E-3</v>
      </c>
      <c r="FH242" s="14">
        <v>5.7142857142857143E-3</v>
      </c>
      <c r="FI242" s="14">
        <v>5.7142857142857143E-3</v>
      </c>
      <c r="FJ242" s="14">
        <v>5.7142857142857143E-3</v>
      </c>
      <c r="FK242" s="14">
        <v>5.7142857142857143E-3</v>
      </c>
      <c r="FL242" s="14">
        <v>5.7142857142857143E-3</v>
      </c>
      <c r="FM242" s="14">
        <v>4.7619047619047623E-3</v>
      </c>
      <c r="FN242" s="14">
        <v>4.7619047619047623E-3</v>
      </c>
      <c r="FO242" s="14">
        <v>4.7619047619047623E-3</v>
      </c>
      <c r="FP242" s="14">
        <v>5.7142857142857143E-3</v>
      </c>
      <c r="FQ242" s="14">
        <v>5.7142857142857143E-3</v>
      </c>
      <c r="FR242" s="14">
        <v>5.7142857142857143E-3</v>
      </c>
      <c r="FS242" s="14">
        <v>5.7142857142857143E-3</v>
      </c>
      <c r="FT242" s="14">
        <v>5.8823529411764705E-3</v>
      </c>
      <c r="FU242" s="14">
        <v>5.7142857142857143E-3</v>
      </c>
      <c r="FV242" s="14">
        <v>5.7142857142857143E-3</v>
      </c>
      <c r="FW242" s="14">
        <v>4.5454545454545461E-3</v>
      </c>
      <c r="FX242" s="14">
        <v>4.5454545454545461E-3</v>
      </c>
      <c r="FY242" s="14">
        <v>5.7142857142857143E-3</v>
      </c>
      <c r="FZ242" s="13">
        <f t="shared" si="88"/>
        <v>1.2500000000000001E-2</v>
      </c>
      <c r="GA242" s="14">
        <v>5.7142857142857143E-3</v>
      </c>
      <c r="GB242" s="14">
        <v>5.7142857142857143E-3</v>
      </c>
      <c r="GC242" s="14">
        <v>5.7142857142857143E-3</v>
      </c>
      <c r="GD242" s="13">
        <f t="shared" si="86"/>
        <v>1.2500000000000001E-2</v>
      </c>
      <c r="GE242" s="13">
        <f t="shared" si="86"/>
        <v>1.2500000000000001E-2</v>
      </c>
      <c r="GF242" s="14">
        <v>4.6511627906976744E-3</v>
      </c>
      <c r="GG242" s="14">
        <v>4.6511627906976744E-3</v>
      </c>
      <c r="GH242" s="15">
        <v>4.6511627906976744E-3</v>
      </c>
    </row>
    <row r="243" spans="1:190" x14ac:dyDescent="0.3">
      <c r="A243" s="35" t="s">
        <v>30</v>
      </c>
      <c r="B243" s="16">
        <f>IF(Distances!BO134&gt;0,(BN243+Distances!BO134*1.84)*DZ243*B213*2,"")</f>
        <v>8364.2725800000007</v>
      </c>
      <c r="C243" s="14">
        <f>IF(Distances!BP134&gt;0,(BO243+Distances!BP134*1.84)*EA243*C213*2,"")</f>
        <v>9036.8416799999995</v>
      </c>
      <c r="D243" s="14">
        <f>IF(Distances!BQ134&gt;0,(BP243+Distances!BQ134*1.84)*EB243*D213*2,"")</f>
        <v>16114.030860000003</v>
      </c>
      <c r="E243" s="14">
        <f>IF(Distances!BR134&gt;0,(BQ243+Distances!BR134*1.84)*EC243*E213*2,"")</f>
        <v>7168.6224600000005</v>
      </c>
      <c r="F243" s="14">
        <f>IF(Distances!BS134&gt;0,(BR243+Distances!BS134*1.84)*ED243*F213*2,"")</f>
        <v>7630.0035900000003</v>
      </c>
      <c r="G243" s="14">
        <f>IF(Distances!BT134&gt;0,(BS243+Distances!BT134*1.84)*EE243*G213*2,"")</f>
        <v>19348.149839999998</v>
      </c>
      <c r="H243" s="14">
        <f>IF(Distances!BU134&gt;0,(BT243+Distances!BU134*1.84)*EF243*H213*2,"")</f>
        <v>11984.565060000001</v>
      </c>
      <c r="I243" s="14">
        <f>IF(Distances!BV134&gt;0,(BU243+Distances!BV134*1.84)*EG243*I213*2,"")</f>
        <v>11743.57704</v>
      </c>
      <c r="J243" s="14">
        <f>IF(Distances!BW134&gt;0,(BV243+Distances!BW134*1.84)*EH243*J213*2,"")</f>
        <v>194.16336000000001</v>
      </c>
      <c r="K243" s="14">
        <f>IF(Distances!BX134&gt;0,(BW243+Distances!BX134*1.84)*EI243*K213*2,"")</f>
        <v>144.17975999999999</v>
      </c>
      <c r="L243" s="14">
        <f>IF(Distances!BY134&gt;0,(BX243+Distances!BY134*1.84)*EJ243*L213*2,"")</f>
        <v>328.12688000000003</v>
      </c>
      <c r="M243" s="14">
        <f>IF(Distances!BZ134&gt;0,(BY243+Distances!BZ134*1.84)*EK243*M213*2,"")</f>
        <v>238.80408000000003</v>
      </c>
      <c r="N243" s="14">
        <f>IF(Distances!CA134&gt;0,(BZ243+Distances!CA134*1.84)*EL243*N213*2,"")</f>
        <v>226.69507999999996</v>
      </c>
      <c r="O243" s="14">
        <f>IF(Distances!CB134&gt;0,(CA243+Distances!CB134*1.84)*EM243*O213*2,"")</f>
        <v>282.12911999999994</v>
      </c>
      <c r="P243" s="14">
        <f>IF(Distances!CC134&gt;0,(CB243+Distances!CC134*1.84)*EN243*P213*2,"")</f>
        <v>243.65949023255814</v>
      </c>
      <c r="Q243" s="13">
        <f>IF(Distances!CD134&gt;0,(CC243+Distances!CD134*1.84)*EO243*Q213*2,"")</f>
        <v>3362.6160000000004</v>
      </c>
      <c r="R243" s="13">
        <f>IF(Distances!CE134&gt;0,(CD243+Distances!CE134*1.84)*EP243*R213*2,"")</f>
        <v>3351.1185000000005</v>
      </c>
      <c r="S243" s="13">
        <f>IF(Distances!CF134&gt;0,(CE243+Distances!CF134*1.84)*EQ243*S213*2,"")</f>
        <v>3385.6320000000005</v>
      </c>
      <c r="T243" s="13">
        <f>IF(Distances!CG134&gt;0,(CF243+Distances!CG134*1.84)*ER243*T213*2,"")</f>
        <v>527.14654999999993</v>
      </c>
      <c r="U243" s="13">
        <f>IF(Distances!CH134&gt;0,(CG243+Distances!CH134*1.84)*ES243*U213*2,"")</f>
        <v>550.50190999999995</v>
      </c>
      <c r="V243" s="13">
        <f>IF(Distances!CI134&gt;0,(CH243+Distances!CI134*1.84)*ET243*V213*2,"")</f>
        <v>3806.1687999999999</v>
      </c>
      <c r="W243" s="13">
        <f>IF(Distances!CJ134&gt;0,(CI243+Distances!CJ134*1.84)*EU243*W213*2,"")</f>
        <v>3873.9481799999999</v>
      </c>
      <c r="X243" s="13">
        <f>IF(Distances!CK134&gt;0,(CJ243+Distances!CK134*1.84)*EV243*X213*2,"")</f>
        <v>4575.77196</v>
      </c>
      <c r="Y243" s="13">
        <f>IF(Distances!CL134&gt;0,(CK243+Distances!CL134*1.84)*EW243*Y213*2,"")</f>
        <v>4534.2689000000009</v>
      </c>
      <c r="Z243" s="13">
        <f>IF(Distances!CM134&gt;0,(CL243+Distances!CM134*1.84)*EX243*Z213*2,"")</f>
        <v>138.97096000000002</v>
      </c>
      <c r="AA243" s="13">
        <f>IF(Distances!CN134&gt;0,(CM243+Distances!CN134*1.84)*EY243*AA213*2,"")</f>
        <v>144.99454</v>
      </c>
      <c r="AB243" s="13">
        <f>IF(Distances!CO134&gt;0,(CN243+Distances!CO134*1.84)*EZ243*AB213*2,"")</f>
        <v>162.48768000000001</v>
      </c>
      <c r="AC243" s="13">
        <f>IF(Distances!CP134&gt;0,(CO243+Distances!CP134*1.84)*FA243*AC213*2,"")</f>
        <v>129.44028</v>
      </c>
      <c r="AD243" s="13">
        <f>IF(Distances!CQ134&gt;0,(CP243+Distances!CQ134*1.84)*FB243*AD213*2,"")</f>
        <v>144.64764</v>
      </c>
      <c r="AE243" s="12" t="s">
        <v>62</v>
      </c>
      <c r="AF243" s="13">
        <f>IF(Distances!CS134&gt;0,(CR243+Distances!CS134*1.84)*FD243*AF213*2,"")</f>
        <v>308.49440000000004</v>
      </c>
      <c r="AG243" s="13">
        <f>IF(Distances!CT134&gt;0,(CS243+Distances!CT134*1.84)*FE243*AG213*2,"")</f>
        <v>267.4624</v>
      </c>
      <c r="AH243" s="14">
        <f>IF(Distances!CU134&gt;0,(CT243+Distances!CU134*1.84)*FF243*AH213*2,"")</f>
        <v>51.948672000000009</v>
      </c>
      <c r="AI243" s="14">
        <f>IF(Distances!CV134&gt;0,(CU243+Distances!CV134*1.84)*FG243*AI213*2,"")</f>
        <v>32.477677714285718</v>
      </c>
      <c r="AJ243" s="14">
        <f>IF(Distances!CW134&gt;0,(CV243+Distances!CW134*1.84)*FH243*AJ213*2,"")</f>
        <v>41.070592000000005</v>
      </c>
      <c r="AK243" s="14">
        <f>IF(Distances!CX134&gt;0,(CW243+Distances!CX134*1.84)*FI243*AK213*2,"")</f>
        <v>32.85294171428572</v>
      </c>
      <c r="AL243" s="14">
        <f>IF(Distances!CY134&gt;0,(CX243+Distances!CY134*1.84)*FJ243*AL213*2,"")</f>
        <v>1342.8641005714287</v>
      </c>
      <c r="AM243" s="14">
        <f>IF(Distances!CZ134&gt;0,(CY243+Distances!CZ134*1.84)*FK243*AM213*2,"")</f>
        <v>1342.8641005714287</v>
      </c>
      <c r="AN243" s="14">
        <f>IF(Distances!DA134&gt;0,(CZ243+Distances!DA134*1.84)*FL243*AN213*2,"")</f>
        <v>1527.6169234285717</v>
      </c>
      <c r="AO243" s="14">
        <f>IF(Distances!DB134&gt;0,(DA243+Distances!DB134*1.84)*FM243*AO213*2,"")</f>
        <v>51.035222857142863</v>
      </c>
      <c r="AP243" s="14">
        <f>IF(Distances!DC134&gt;0,(DB243+Distances!DC134*1.84)*FN243*AP213*2,"")</f>
        <v>51.392182857142863</v>
      </c>
      <c r="AQ243" s="14">
        <f>IF(Distances!DD134&gt;0,(DC243+Distances!DD134*1.84)*FO243*AQ213*2,"")</f>
        <v>58.62914285714286</v>
      </c>
      <c r="AR243" s="14">
        <f>IF(Distances!DE134&gt;0,(DD243+Distances!DE134*1.84)*FP243*AR213*2,"")</f>
        <v>73.953627428571423</v>
      </c>
      <c r="AS243" s="14">
        <f>IF(Distances!DF134&gt;0,(DE243+Distances!DF134*1.84)*FQ243*AS213*2,"")</f>
        <v>151.98645028571431</v>
      </c>
      <c r="AT243" s="14">
        <f>IF(Distances!DG134&gt;0,(DF243+Distances!DG134*1.84)*FR243*AT213*2,"")</f>
        <v>115.86357028571429</v>
      </c>
      <c r="AU243" s="14">
        <f>IF(Distances!DH134&gt;0,(DG243+Distances!DH134*1.84)*FS243*AU213*2,"")</f>
        <v>544.29977599999995</v>
      </c>
      <c r="AV243" s="12">
        <f>IF(Distances!DI134&gt;0,(DH243+Distances!DI134*1.84)*FT243*AV213*2,"")</f>
        <v>25106.692800000001</v>
      </c>
      <c r="AW243" s="14">
        <f>IF(Distances!DJ134&gt;0,(DI243+Distances!DJ134*1.84)*FU243*AW213*2,"")</f>
        <v>659.59867428571431</v>
      </c>
      <c r="AX243" s="14">
        <f>IF(Distances!DK134&gt;0,(DJ243+Distances!DK134*1.84)*FV243*AX213*2,"")</f>
        <v>192.60774857142854</v>
      </c>
      <c r="AY243" s="14">
        <f>IF(Distances!DL134&gt;0,(DK243+Distances!DL134*1.84)*FW243*AY213*2,"")</f>
        <v>62.305745454545466</v>
      </c>
      <c r="AZ243" s="14">
        <f>IF(Distances!DM134&gt;0,(DL243+Distances!DM134*1.84)*FX243*AZ213*2,"")</f>
        <v>228.38701090909092</v>
      </c>
      <c r="BA243" s="14">
        <f>IF(Distances!DN134&gt;0,(DM243+Distances!DN134*1.84)*FY243*BA213*2,"")</f>
        <v>125.05426285714286</v>
      </c>
      <c r="BB243" s="13">
        <f>IF(Distances!DO134&gt;0,(DN243+Distances!DO134*1.84)*FZ243*BB213*2,"")</f>
        <v>287.09280000000001</v>
      </c>
      <c r="BC243" s="14">
        <f>IF(Distances!DP134&gt;0,(DO243+Distances!DP134*1.84)*GA243*BC213*2,"")</f>
        <v>1193.066934857143</v>
      </c>
      <c r="BD243" s="14">
        <f>IF(Distances!DQ134&gt;0,(DP243+Distances!DQ134*1.84)*GB243*BD213*2,"")</f>
        <v>1314.2468022857145</v>
      </c>
      <c r="BE243" s="14">
        <f>IF(Distances!DR134&gt;0,(DQ243+Distances!DR134*1.84)*GC243*BE213*2,"")</f>
        <v>1227.0309668571429</v>
      </c>
      <c r="BF243" s="12">
        <f>IF(Distances!DS134&gt;0,(DR243+Distances!DS134*1.84)*GD243*BF213*2,"")</f>
        <v>19784.755199999996</v>
      </c>
      <c r="BG243" s="13">
        <f>IF(Distances!DT134&gt;0,(DS243+Distances!DT134*1.84)*GE243*BG213*2,"")</f>
        <v>230.07088000000005</v>
      </c>
      <c r="BH243" s="14">
        <f>IF(Distances!DU134&gt;0,(DT243+Distances!DU134*1.84)*GF243*BH213*2,"")</f>
        <v>217.24307348837212</v>
      </c>
      <c r="BI243" s="14">
        <f>IF(Distances!DV134&gt;0,(DU243+Distances!DV134*1.84)*GG243*BI213*2,"")</f>
        <v>162.47696372093023</v>
      </c>
      <c r="BJ243" s="15">
        <f>IF(Distances!DW134&gt;0,(DV243+Distances!DW134*1.84)*GH243*BJ213*2,"")</f>
        <v>233.20142883720928</v>
      </c>
      <c r="BM243" s="35" t="s">
        <v>30</v>
      </c>
      <c r="BN243" s="16">
        <v>1599.1751999999999</v>
      </c>
      <c r="BO243" s="14">
        <v>1865.5391999999999</v>
      </c>
      <c r="BP243" s="14">
        <v>1125.6504</v>
      </c>
      <c r="BQ243" s="14">
        <v>1125.6504</v>
      </c>
      <c r="BR243" s="14">
        <v>1192.4555999999998</v>
      </c>
      <c r="BS243" s="14">
        <v>2937.5135999999998</v>
      </c>
      <c r="BT243" s="14">
        <v>3032.9543999999996</v>
      </c>
      <c r="BU243" s="14">
        <v>2937.5135999999998</v>
      </c>
      <c r="BV243" s="14">
        <v>1170.1871999999998</v>
      </c>
      <c r="BW243" s="14">
        <v>1170.1871999999998</v>
      </c>
      <c r="BX243" s="14">
        <v>3062.6736000000001</v>
      </c>
      <c r="BY243" s="14">
        <v>3062.6736000000001</v>
      </c>
      <c r="BZ243" s="14">
        <v>1976.3015999999998</v>
      </c>
      <c r="CA243" s="14">
        <v>1806.1931999999999</v>
      </c>
      <c r="CB243" s="14">
        <v>1933.3775999999998</v>
      </c>
      <c r="CC243" s="13">
        <v>976.6848</v>
      </c>
      <c r="CD243" s="13">
        <v>967.4867999999999</v>
      </c>
      <c r="CE243" s="13">
        <v>995.09760000000006</v>
      </c>
      <c r="CF243" s="13">
        <v>949.07399999999984</v>
      </c>
      <c r="CG243" s="13">
        <v>858.42119999999989</v>
      </c>
      <c r="CH243" s="13">
        <v>0</v>
      </c>
      <c r="CI243" s="13">
        <v>958.28039999999987</v>
      </c>
      <c r="CJ243" s="13">
        <v>1179.5447999999999</v>
      </c>
      <c r="CK243" s="13">
        <v>949.07399999999984</v>
      </c>
      <c r="CL243" s="13">
        <v>934.81920000000002</v>
      </c>
      <c r="CM243" s="13">
        <v>917.84280000000001</v>
      </c>
      <c r="CN243" s="13">
        <v>883.88159999999993</v>
      </c>
      <c r="CO243" s="13">
        <v>875.39760000000001</v>
      </c>
      <c r="CP243" s="13">
        <v>1179.5447999999999</v>
      </c>
      <c r="CQ243" s="12">
        <v>0</v>
      </c>
      <c r="CR243" s="13">
        <v>0</v>
      </c>
      <c r="CS243" s="13">
        <v>0</v>
      </c>
      <c r="CT243" s="14">
        <v>302.83679999999998</v>
      </c>
      <c r="CU243" s="14">
        <v>1128.3887999999999</v>
      </c>
      <c r="CV243" s="14">
        <v>302.83679999999998</v>
      </c>
      <c r="CW243" s="14">
        <v>1161.2244000000001</v>
      </c>
      <c r="CX243" s="14">
        <v>462.5292</v>
      </c>
      <c r="CY243" s="14">
        <v>462.5292</v>
      </c>
      <c r="CZ243" s="14">
        <v>462.5292</v>
      </c>
      <c r="DA243" s="14">
        <v>965.94119999999998</v>
      </c>
      <c r="DB243" s="14">
        <v>984.6816</v>
      </c>
      <c r="DC243" s="14">
        <v>1364.6219999999998</v>
      </c>
      <c r="DD243" s="14">
        <v>1522.0632000000001</v>
      </c>
      <c r="DE243" s="14">
        <v>1522.0632000000001</v>
      </c>
      <c r="DF243" s="14">
        <v>1522.0632000000001</v>
      </c>
      <c r="DG243" s="14">
        <v>1626.2736</v>
      </c>
      <c r="DH243" s="12">
        <v>1179.5447999999999</v>
      </c>
      <c r="DI243" s="14">
        <v>1179.5447999999999</v>
      </c>
      <c r="DJ243" s="14">
        <v>1657.2275999999999</v>
      </c>
      <c r="DK243" s="14">
        <v>0</v>
      </c>
      <c r="DL243" s="14">
        <v>3677.4107999999997</v>
      </c>
      <c r="DM243" s="14">
        <v>1022.1539999999999</v>
      </c>
      <c r="DN243" s="13">
        <v>1157.52</v>
      </c>
      <c r="DO243" s="14">
        <v>1548.8843999999999</v>
      </c>
      <c r="DP243" s="14">
        <v>1657.2275999999999</v>
      </c>
      <c r="DQ243" s="14">
        <v>1641.7547999999999</v>
      </c>
      <c r="DR243" s="12">
        <v>975.24</v>
      </c>
      <c r="DS243" s="13">
        <v>565.58879999999999</v>
      </c>
      <c r="DT243" s="14">
        <v>3198.3755999999998</v>
      </c>
      <c r="DU243" s="14">
        <v>2443.4004</v>
      </c>
      <c r="DV243" s="15">
        <v>2443.4004</v>
      </c>
      <c r="DY243" s="35" t="s">
        <v>30</v>
      </c>
      <c r="DZ243" s="16">
        <v>6.2500000000000003E-3</v>
      </c>
      <c r="EA243" s="14">
        <v>6.2500000000000003E-3</v>
      </c>
      <c r="EB243" s="14">
        <v>6.2500000000000003E-3</v>
      </c>
      <c r="EC243" s="14">
        <v>6.2500000000000003E-3</v>
      </c>
      <c r="ED243" s="14">
        <v>6.2500000000000003E-3</v>
      </c>
      <c r="EE243" s="14">
        <v>6.2500000000000003E-3</v>
      </c>
      <c r="EF243" s="14">
        <v>6.2500000000000003E-3</v>
      </c>
      <c r="EG243" s="14">
        <v>6.2500000000000003E-3</v>
      </c>
      <c r="EH243" s="14">
        <v>6.2500000000000003E-3</v>
      </c>
      <c r="EI243" s="14">
        <v>6.2500000000000003E-3</v>
      </c>
      <c r="EJ243" s="14">
        <v>6.2500000000000003E-3</v>
      </c>
      <c r="EK243" s="14">
        <v>6.2500000000000003E-3</v>
      </c>
      <c r="EL243" s="14">
        <v>6.2500000000000003E-3</v>
      </c>
      <c r="EM243" s="14">
        <v>4.6511627906976744E-3</v>
      </c>
      <c r="EN243" s="14">
        <v>4.6511627906976744E-3</v>
      </c>
      <c r="EO243" s="13">
        <f t="shared" si="87"/>
        <v>1.2500000000000001E-2</v>
      </c>
      <c r="EP243" s="13">
        <f t="shared" si="87"/>
        <v>1.2500000000000001E-2</v>
      </c>
      <c r="EQ243" s="13">
        <f t="shared" si="87"/>
        <v>1.2500000000000001E-2</v>
      </c>
      <c r="ER243" s="13">
        <f t="shared" si="87"/>
        <v>1.2500000000000001E-2</v>
      </c>
      <c r="ES243" s="13">
        <f t="shared" si="87"/>
        <v>1.2500000000000001E-2</v>
      </c>
      <c r="ET243" s="13">
        <f t="shared" si="87"/>
        <v>1.2500000000000001E-2</v>
      </c>
      <c r="EU243" s="13">
        <f t="shared" si="87"/>
        <v>1.2500000000000001E-2</v>
      </c>
      <c r="EV243" s="13">
        <f t="shared" si="87"/>
        <v>1.2500000000000001E-2</v>
      </c>
      <c r="EW243" s="13">
        <f t="shared" si="87"/>
        <v>1.2500000000000001E-2</v>
      </c>
      <c r="EX243" s="13">
        <f t="shared" si="87"/>
        <v>1.2500000000000001E-2</v>
      </c>
      <c r="EY243" s="13">
        <f t="shared" si="87"/>
        <v>1.2500000000000001E-2</v>
      </c>
      <c r="EZ243" s="13">
        <f t="shared" si="87"/>
        <v>1.2500000000000001E-2</v>
      </c>
      <c r="FA243" s="13">
        <f t="shared" si="87"/>
        <v>1.2500000000000001E-2</v>
      </c>
      <c r="FB243" s="13">
        <f t="shared" si="87"/>
        <v>1.2500000000000001E-2</v>
      </c>
      <c r="FC243" s="12">
        <v>0.6</v>
      </c>
      <c r="FD243" s="13">
        <f t="shared" si="84"/>
        <v>1.2500000000000001E-2</v>
      </c>
      <c r="FE243" s="13">
        <f t="shared" si="84"/>
        <v>1.2500000000000001E-2</v>
      </c>
      <c r="FF243" s="14">
        <v>5.7142857142857143E-3</v>
      </c>
      <c r="FG243" s="14">
        <v>5.7142857142857143E-3</v>
      </c>
      <c r="FH243" s="14">
        <v>5.7142857142857143E-3</v>
      </c>
      <c r="FI243" s="14">
        <v>5.7142857142857143E-3</v>
      </c>
      <c r="FJ243" s="14">
        <v>5.7142857142857143E-3</v>
      </c>
      <c r="FK243" s="14">
        <v>5.7142857142857143E-3</v>
      </c>
      <c r="FL243" s="14">
        <v>5.7142857142857143E-3</v>
      </c>
      <c r="FM243" s="14">
        <v>4.7619047619047623E-3</v>
      </c>
      <c r="FN243" s="14">
        <v>4.7619047619047623E-3</v>
      </c>
      <c r="FO243" s="14">
        <v>4.7619047619047623E-3</v>
      </c>
      <c r="FP243" s="14">
        <v>5.7142857142857143E-3</v>
      </c>
      <c r="FQ243" s="14">
        <v>5.7142857142857143E-3</v>
      </c>
      <c r="FR243" s="14">
        <v>5.7142857142857143E-3</v>
      </c>
      <c r="FS243" s="14">
        <v>5.7142857142857143E-3</v>
      </c>
      <c r="FT243" s="12">
        <v>0.6</v>
      </c>
      <c r="FU243" s="14">
        <v>5.7142857142857143E-3</v>
      </c>
      <c r="FV243" s="14">
        <v>5.7142857142857143E-3</v>
      </c>
      <c r="FW243" s="14">
        <v>4.5454545454545461E-3</v>
      </c>
      <c r="FX243" s="14">
        <v>4.5454545454545461E-3</v>
      </c>
      <c r="FY243" s="14">
        <v>5.7142857142857143E-3</v>
      </c>
      <c r="FZ243" s="13">
        <f t="shared" si="88"/>
        <v>1.2500000000000001E-2</v>
      </c>
      <c r="GA243" s="14">
        <v>5.7142857142857143E-3</v>
      </c>
      <c r="GB243" s="14">
        <v>5.7142857142857143E-3</v>
      </c>
      <c r="GC243" s="14">
        <v>5.7142857142857143E-3</v>
      </c>
      <c r="GD243" s="12">
        <v>0.6</v>
      </c>
      <c r="GE243" s="13">
        <f t="shared" si="86"/>
        <v>1.2500000000000001E-2</v>
      </c>
      <c r="GF243" s="14">
        <v>4.6511627906976744E-3</v>
      </c>
      <c r="GG243" s="14">
        <v>4.6511627906976744E-3</v>
      </c>
      <c r="GH243" s="15">
        <v>4.6511627906976744E-3</v>
      </c>
    </row>
    <row r="244" spans="1:190" x14ac:dyDescent="0.3">
      <c r="A244" s="35" t="s">
        <v>31</v>
      </c>
      <c r="B244" s="16">
        <f>IF(Distances!BO135&gt;0,(BN244+Distances!BO135*1.84)*DZ244*B213*2,"")</f>
        <v>7501.0457800000004</v>
      </c>
      <c r="C244" s="14">
        <f>IF(Distances!BP135&gt;0,(BO244+Distances!BP135*1.84)*EA244*C213*2,"")</f>
        <v>8173.614880000001</v>
      </c>
      <c r="D244" s="14">
        <f>IF(Distances!BQ135&gt;0,(BP244+Distances!BQ135*1.84)*EB244*D213*2,"")</f>
        <v>15250.804060000004</v>
      </c>
      <c r="E244" s="14">
        <f>IF(Distances!BR135&gt;0,(BQ244+Distances!BR135*1.84)*EC244*E213*2,"")</f>
        <v>6305.3956600000001</v>
      </c>
      <c r="F244" s="14">
        <f>IF(Distances!BS135&gt;0,(BR244+Distances!BS135*1.84)*ED244*F213*2,"")</f>
        <v>6766.7767899999999</v>
      </c>
      <c r="G244" s="14">
        <f>IF(Distances!BT135&gt;0,(BS244+Distances!BT135*1.84)*EE244*G213*2,"")</f>
        <v>18484.923040000001</v>
      </c>
      <c r="H244" s="14">
        <f>IF(Distances!BU135&gt;0,(BT244+Distances!BU135*1.84)*EF244*H213*2,"")</f>
        <v>11121.338259999999</v>
      </c>
      <c r="I244" s="14">
        <f>IF(Distances!BV135&gt;0,(BU244+Distances!BV135*1.84)*EG244*I213*2,"")</f>
        <v>10880.350240000002</v>
      </c>
      <c r="J244" s="14">
        <f>IF(Distances!BW135&gt;0,(BV244+Distances!BW135*1.84)*EH244*J213*2,"")</f>
        <v>177.06975999999997</v>
      </c>
      <c r="K244" s="14">
        <f>IF(Distances!BX135&gt;0,(BW244+Distances!BX135*1.84)*EI244*K213*2,"")</f>
        <v>127.08616000000001</v>
      </c>
      <c r="L244" s="14">
        <f>IF(Distances!BY135&gt;0,(BX244+Distances!BY135*1.84)*EJ244*L213*2,"")</f>
        <v>311.03328000000005</v>
      </c>
      <c r="M244" s="14">
        <f>IF(Distances!BZ135&gt;0,(BY244+Distances!BZ135*1.84)*EK244*M213*2,"")</f>
        <v>221.71048000000002</v>
      </c>
      <c r="N244" s="14">
        <f>IF(Distances!CA135&gt;0,(BZ244+Distances!CA135*1.84)*EL244*N213*2,"")</f>
        <v>209.60148000000001</v>
      </c>
      <c r="O244" s="14">
        <f>IF(Distances!CB135&gt;0,(CA244+Distances!CB135*1.84)*EM244*O213*2,"")</f>
        <v>259.86768744186048</v>
      </c>
      <c r="P244" s="14">
        <f>IF(Distances!CC135&gt;0,(CB244+Distances!CC135*1.84)*EN244*P213*2,"")</f>
        <v>221.3980576744186</v>
      </c>
      <c r="Q244" s="13">
        <f>IF(Distances!CD135&gt;0,(CC244+Distances!CD135*1.84)*EO244*Q213*2,"")</f>
        <v>2935.2760000000003</v>
      </c>
      <c r="R244" s="13">
        <f>IF(Distances!CE135&gt;0,(CD244+Distances!CE135*1.84)*EP244*R213*2,"")</f>
        <v>2923.7784999999999</v>
      </c>
      <c r="S244" s="13">
        <f>IF(Distances!CF135&gt;0,(CE244+Distances!CF135*1.84)*EQ244*S213*2,"")</f>
        <v>2958.2920000000004</v>
      </c>
      <c r="T244" s="13">
        <f>IF(Distances!CG135&gt;0,(CF244+Distances!CG135*1.84)*ER244*T213*2,"")</f>
        <v>467.31895000000009</v>
      </c>
      <c r="U244" s="13">
        <f>IF(Distances!CH135&gt;0,(CG244+Distances!CH135*1.84)*ES244*U213*2,"")</f>
        <v>490.67431000000005</v>
      </c>
      <c r="V244" s="13">
        <f>IF(Distances!CI135&gt;0,(CH244+Distances!CI135*1.84)*ET244*V213*2,"")</f>
        <v>3310.4544000000005</v>
      </c>
      <c r="W244" s="13">
        <f>IF(Distances!CJ135&gt;0,(CI244+Distances!CJ135*1.84)*EU244*W213*2,"")</f>
        <v>3378.2337799999996</v>
      </c>
      <c r="X244" s="13">
        <f>IF(Distances!CK135&gt;0,(CJ244+Distances!CK135*1.84)*EV244*X213*2,"")</f>
        <v>4080.0575600000002</v>
      </c>
      <c r="Y244" s="13">
        <f>IF(Distances!CL135&gt;0,(CK244+Distances!CL135*1.84)*EW244*Y213*2,"")</f>
        <v>4038.5545000000002</v>
      </c>
      <c r="Z244" s="13">
        <f>IF(Distances!CM135&gt;0,(CL244+Distances!CM135*1.84)*EX244*Z213*2,"")</f>
        <v>121.87736000000001</v>
      </c>
      <c r="AA244" s="13">
        <f>IF(Distances!CN135&gt;0,(CM244+Distances!CN135*1.84)*EY244*AA213*2,"")</f>
        <v>127.90093999999999</v>
      </c>
      <c r="AB244" s="13">
        <f>IF(Distances!CO135&gt;0,(CN244+Distances!CO135*1.84)*EZ244*AB213*2,"")</f>
        <v>145.39408</v>
      </c>
      <c r="AC244" s="13">
        <f>IF(Distances!CP135&gt;0,(CO244+Distances!CP135*1.84)*FA244*AC213*2,"")</f>
        <v>112.34668000000002</v>
      </c>
      <c r="AD244" s="13">
        <f>IF(Distances!CQ135&gt;0,(CP244+Distances!CQ135*1.84)*FB244*AD213*2,"")</f>
        <v>127.55403999999999</v>
      </c>
      <c r="AE244" s="13">
        <f>IF(Distances!CR135&gt;0,(CQ244+Distances!CR135*1.84)*FC244*AE213*2,"")</f>
        <v>154.24720000000002</v>
      </c>
      <c r="AF244" s="12" t="s">
        <v>62</v>
      </c>
      <c r="AG244" s="13">
        <f>IF(Distances!CT135&gt;0,(CS244+Distances!CT135*1.84)*FE244*AG213*2,"")</f>
        <v>233.27520000000001</v>
      </c>
      <c r="AH244" s="14">
        <f>IF(Distances!CU135&gt;0,(CT244+Distances!CU135*1.84)*FF244*AH213*2,"")</f>
        <v>48.041563428571429</v>
      </c>
      <c r="AI244" s="14">
        <f>IF(Distances!CV135&gt;0,(CU244+Distances!CV135*1.84)*FG244*AI213*2,"")</f>
        <v>28.570569142857142</v>
      </c>
      <c r="AJ244" s="14">
        <f>IF(Distances!CW135&gt;0,(CV244+Distances!CW135*1.84)*FH244*AJ213*2,"")</f>
        <v>37.163483428571425</v>
      </c>
      <c r="AK244" s="14">
        <f>IF(Distances!CX135&gt;0,(CW244+Distances!CX135*1.84)*FI244*AK213*2,"")</f>
        <v>28.945833142857143</v>
      </c>
      <c r="AL244" s="14">
        <f>IF(Distances!CY135&gt;0,(CX244+Distances!CY135*1.84)*FJ244*AL213*2,"")</f>
        <v>1131.8802377142856</v>
      </c>
      <c r="AM244" s="14">
        <f>IF(Distances!CZ135&gt;0,(CY244+Distances!CZ135*1.84)*FK244*AM213*2,"")</f>
        <v>1131.8802377142856</v>
      </c>
      <c r="AN244" s="14">
        <f>IF(Distances!DA135&gt;0,(CZ244+Distances!DA135*1.84)*FL244*AN213*2,"")</f>
        <v>1316.6330605714286</v>
      </c>
      <c r="AO244" s="14">
        <f>IF(Distances!DB135&gt;0,(DA244+Distances!DB135*1.84)*FM244*AO213*2,"")</f>
        <v>44.523375238095248</v>
      </c>
      <c r="AP244" s="14">
        <f>IF(Distances!DC135&gt;0,(DB244+Distances!DC135*1.84)*FN244*AP213*2,"")</f>
        <v>44.880335238095242</v>
      </c>
      <c r="AQ244" s="14">
        <f>IF(Distances!DD135&gt;0,(DC244+Distances!DD135*1.84)*FO244*AQ213*2,"")</f>
        <v>52.117295238095238</v>
      </c>
      <c r="AR244" s="14">
        <f>IF(Distances!DE135&gt;0,(DD244+Distances!DE135*1.84)*FP244*AR213*2,"")</f>
        <v>66.139410285714291</v>
      </c>
      <c r="AS244" s="14">
        <f>IF(Distances!DF135&gt;0,(DE244+Distances!DF135*1.84)*FQ244*AS213*2,"")</f>
        <v>144.17223314285715</v>
      </c>
      <c r="AT244" s="14">
        <f>IF(Distances!DG135&gt;0,(DF244+Distances!DG135*1.84)*FR244*AT213*2,"")</f>
        <v>108.04935314285714</v>
      </c>
      <c r="AU244" s="14">
        <f>IF(Distances!DH135&gt;0,(DG244+Distances!DH135*1.84)*FS244*AU213*2,"")</f>
        <v>489.60025599999994</v>
      </c>
      <c r="AV244" s="14">
        <f>IF(Distances!DI135&gt;0,(DH244+Distances!DI135*1.84)*FT244*AV213*2,"")</f>
        <v>226.03392941176469</v>
      </c>
      <c r="AW244" s="14">
        <f>IF(Distances!DJ135&gt;0,(DI244+Distances!DJ135*1.84)*FU244*AW213*2,"")</f>
        <v>640.06313142857152</v>
      </c>
      <c r="AX244" s="14">
        <f>IF(Distances!DK135&gt;0,(DJ244+Distances!DK135*1.84)*FV244*AX213*2,"")</f>
        <v>173.07220571428573</v>
      </c>
      <c r="AY244" s="14">
        <f>IF(Distances!DL135&gt;0,(DK244+Distances!DL135*1.84)*FW244*AY213*2,"")</f>
        <v>49.874036363636371</v>
      </c>
      <c r="AZ244" s="14">
        <f>IF(Distances!DM135&gt;0,(DL244+Distances!DM135*1.84)*FX244*AZ213*2,"")</f>
        <v>215.95530181818185</v>
      </c>
      <c r="BA244" s="14">
        <f>IF(Distances!DN135&gt;0,(DM244+Distances!DN135*1.84)*FY244*BA213*2,"")</f>
        <v>109.42582857142857</v>
      </c>
      <c r="BB244" s="13">
        <f>IF(Distances!DO135&gt;0,(DN244+Distances!DO135*1.84)*FZ244*BB213*2,"")</f>
        <v>252.90560000000002</v>
      </c>
      <c r="BC244" s="14">
        <f>IF(Distances!DP135&gt;0,(DO244+Distances!DP135*1.84)*GA244*BC213*2,"")</f>
        <v>1068.0394605714287</v>
      </c>
      <c r="BD244" s="14">
        <f>IF(Distances!DQ135&gt;0,(DP244+Distances!DQ135*1.84)*GB244*BD213*2,"")</f>
        <v>1189.2193279999999</v>
      </c>
      <c r="BE244" s="14">
        <f>IF(Distances!DR135&gt;0,(DQ244+Distances!DR135*1.84)*GC244*BE213*2,"")</f>
        <v>1102.0034925714285</v>
      </c>
      <c r="BF244" s="13">
        <f>IF(Distances!DS135&gt;0,(DR244+Distances!DS135*1.84)*GD244*BF213*2,"")</f>
        <v>377.99520000000007</v>
      </c>
      <c r="BG244" s="13">
        <f>IF(Distances!DT135&gt;0,(DS244+Distances!DT135*1.84)*GE244*BG213*2,"")</f>
        <v>195.88368000000003</v>
      </c>
      <c r="BH244" s="14">
        <f>IF(Distances!DU135&gt;0,(DT244+Distances!DU135*1.84)*GF244*BH213*2,"")</f>
        <v>204.52225488372093</v>
      </c>
      <c r="BI244" s="14">
        <f>IF(Distances!DV135&gt;0,(DU244+Distances!DV135*1.84)*GG244*BI213*2,"")</f>
        <v>149.75614511627907</v>
      </c>
      <c r="BJ244" s="15">
        <f>IF(Distances!DW135&gt;0,(DV244+Distances!DW135*1.84)*GH244*BJ213*2,"")</f>
        <v>220.48061023255815</v>
      </c>
      <c r="BM244" s="35" t="s">
        <v>31</v>
      </c>
      <c r="BN244" s="16">
        <v>1599.1751999999999</v>
      </c>
      <c r="BO244" s="14">
        <v>1865.5391999999999</v>
      </c>
      <c r="BP244" s="14">
        <v>1125.6504</v>
      </c>
      <c r="BQ244" s="14">
        <v>1125.6504</v>
      </c>
      <c r="BR244" s="14">
        <v>1192.4555999999998</v>
      </c>
      <c r="BS244" s="14">
        <v>2937.5135999999998</v>
      </c>
      <c r="BT244" s="14">
        <v>3032.9543999999996</v>
      </c>
      <c r="BU244" s="14">
        <v>2937.5135999999998</v>
      </c>
      <c r="BV244" s="14">
        <v>1170.1871999999998</v>
      </c>
      <c r="BW244" s="14">
        <v>1170.1871999999998</v>
      </c>
      <c r="BX244" s="14">
        <v>3062.6736000000001</v>
      </c>
      <c r="BY244" s="14">
        <v>3062.6736000000001</v>
      </c>
      <c r="BZ244" s="14">
        <v>1976.3015999999998</v>
      </c>
      <c r="CA244" s="14">
        <v>1806.1931999999999</v>
      </c>
      <c r="CB244" s="14">
        <v>1933.3775999999998</v>
      </c>
      <c r="CC244" s="13">
        <v>976.6848</v>
      </c>
      <c r="CD244" s="13">
        <v>967.4867999999999</v>
      </c>
      <c r="CE244" s="13">
        <v>995.09760000000006</v>
      </c>
      <c r="CF244" s="13">
        <v>949.07399999999984</v>
      </c>
      <c r="CG244" s="13">
        <v>858.42119999999989</v>
      </c>
      <c r="CH244" s="13">
        <v>0</v>
      </c>
      <c r="CI244" s="13">
        <v>958.28039999999987</v>
      </c>
      <c r="CJ244" s="13">
        <v>1179.5447999999999</v>
      </c>
      <c r="CK244" s="13">
        <v>949.07399999999984</v>
      </c>
      <c r="CL244" s="13">
        <v>934.81920000000002</v>
      </c>
      <c r="CM244" s="13">
        <v>917.84280000000001</v>
      </c>
      <c r="CN244" s="13">
        <v>883.88159999999993</v>
      </c>
      <c r="CO244" s="13">
        <v>875.39760000000001</v>
      </c>
      <c r="CP244" s="13">
        <v>1179.5447999999999</v>
      </c>
      <c r="CQ244" s="13">
        <v>0</v>
      </c>
      <c r="CR244" s="12">
        <v>0</v>
      </c>
      <c r="CS244" s="13">
        <v>0</v>
      </c>
      <c r="CT244" s="14">
        <v>302.83679999999998</v>
      </c>
      <c r="CU244" s="14">
        <v>1128.3887999999999</v>
      </c>
      <c r="CV244" s="14">
        <v>302.83679999999998</v>
      </c>
      <c r="CW244" s="14">
        <v>1161.2244000000001</v>
      </c>
      <c r="CX244" s="14">
        <v>462.5292</v>
      </c>
      <c r="CY244" s="14">
        <v>462.5292</v>
      </c>
      <c r="CZ244" s="14">
        <v>462.5292</v>
      </c>
      <c r="DA244" s="14">
        <v>965.94119999999998</v>
      </c>
      <c r="DB244" s="14">
        <v>984.6816</v>
      </c>
      <c r="DC244" s="14">
        <v>1364.6219999999998</v>
      </c>
      <c r="DD244" s="14">
        <v>1522.0632000000001</v>
      </c>
      <c r="DE244" s="14">
        <v>1522.0632000000001</v>
      </c>
      <c r="DF244" s="14">
        <v>1522.0632000000001</v>
      </c>
      <c r="DG244" s="14">
        <v>1626.2736</v>
      </c>
      <c r="DH244" s="14">
        <v>1179.5447999999999</v>
      </c>
      <c r="DI244" s="14">
        <v>1179.5447999999999</v>
      </c>
      <c r="DJ244" s="14">
        <v>1657.2275999999999</v>
      </c>
      <c r="DK244" s="14">
        <v>0</v>
      </c>
      <c r="DL244" s="14">
        <v>3677.4107999999997</v>
      </c>
      <c r="DM244" s="14">
        <v>1022.1539999999999</v>
      </c>
      <c r="DN244" s="13">
        <v>1157.52</v>
      </c>
      <c r="DO244" s="14">
        <v>1548.8843999999999</v>
      </c>
      <c r="DP244" s="14">
        <v>1657.2275999999999</v>
      </c>
      <c r="DQ244" s="14">
        <v>1641.7547999999999</v>
      </c>
      <c r="DR244" s="13">
        <v>975.24</v>
      </c>
      <c r="DS244" s="13">
        <v>565.58879999999999</v>
      </c>
      <c r="DT244" s="14">
        <v>3198.3755999999998</v>
      </c>
      <c r="DU244" s="14">
        <v>2443.4004</v>
      </c>
      <c r="DV244" s="15">
        <v>2443.4004</v>
      </c>
      <c r="DY244" s="35" t="s">
        <v>31</v>
      </c>
      <c r="DZ244" s="16">
        <v>6.2500000000000003E-3</v>
      </c>
      <c r="EA244" s="14">
        <v>6.2500000000000003E-3</v>
      </c>
      <c r="EB244" s="14">
        <v>6.2500000000000003E-3</v>
      </c>
      <c r="EC244" s="14">
        <v>6.2500000000000003E-3</v>
      </c>
      <c r="ED244" s="14">
        <v>6.2500000000000003E-3</v>
      </c>
      <c r="EE244" s="14">
        <v>6.2500000000000003E-3</v>
      </c>
      <c r="EF244" s="14">
        <v>6.2500000000000003E-3</v>
      </c>
      <c r="EG244" s="14">
        <v>6.2500000000000003E-3</v>
      </c>
      <c r="EH244" s="14">
        <v>6.2500000000000003E-3</v>
      </c>
      <c r="EI244" s="14">
        <v>6.2500000000000003E-3</v>
      </c>
      <c r="EJ244" s="14">
        <v>6.2500000000000003E-3</v>
      </c>
      <c r="EK244" s="14">
        <v>6.2500000000000003E-3</v>
      </c>
      <c r="EL244" s="14">
        <v>6.2500000000000003E-3</v>
      </c>
      <c r="EM244" s="14">
        <v>4.6511627906976744E-3</v>
      </c>
      <c r="EN244" s="14">
        <v>4.6511627906976744E-3</v>
      </c>
      <c r="EO244" s="13">
        <f t="shared" si="87"/>
        <v>1.2500000000000001E-2</v>
      </c>
      <c r="EP244" s="13">
        <f t="shared" si="87"/>
        <v>1.2500000000000001E-2</v>
      </c>
      <c r="EQ244" s="13">
        <f t="shared" si="87"/>
        <v>1.2500000000000001E-2</v>
      </c>
      <c r="ER244" s="13">
        <f t="shared" si="87"/>
        <v>1.2500000000000001E-2</v>
      </c>
      <c r="ES244" s="13">
        <f t="shared" si="87"/>
        <v>1.2500000000000001E-2</v>
      </c>
      <c r="ET244" s="13">
        <f t="shared" si="87"/>
        <v>1.2500000000000001E-2</v>
      </c>
      <c r="EU244" s="13">
        <f t="shared" si="87"/>
        <v>1.2500000000000001E-2</v>
      </c>
      <c r="EV244" s="13">
        <f t="shared" si="87"/>
        <v>1.2500000000000001E-2</v>
      </c>
      <c r="EW244" s="13">
        <f t="shared" si="87"/>
        <v>1.2500000000000001E-2</v>
      </c>
      <c r="EX244" s="13">
        <f t="shared" si="87"/>
        <v>1.2500000000000001E-2</v>
      </c>
      <c r="EY244" s="13">
        <f t="shared" si="87"/>
        <v>1.2500000000000001E-2</v>
      </c>
      <c r="EZ244" s="13">
        <f t="shared" si="87"/>
        <v>1.2500000000000001E-2</v>
      </c>
      <c r="FA244" s="13">
        <f t="shared" si="87"/>
        <v>1.2500000000000001E-2</v>
      </c>
      <c r="FB244" s="13">
        <f t="shared" si="87"/>
        <v>1.2500000000000001E-2</v>
      </c>
      <c r="FC244" s="13">
        <f t="shared" si="87"/>
        <v>1.2500000000000001E-2</v>
      </c>
      <c r="FD244" s="12">
        <v>0.6</v>
      </c>
      <c r="FE244" s="13">
        <f t="shared" si="84"/>
        <v>1.2500000000000001E-2</v>
      </c>
      <c r="FF244" s="14">
        <v>5.7142857142857143E-3</v>
      </c>
      <c r="FG244" s="14">
        <v>5.7142857142857143E-3</v>
      </c>
      <c r="FH244" s="14">
        <v>5.7142857142857143E-3</v>
      </c>
      <c r="FI244" s="14">
        <v>5.7142857142857143E-3</v>
      </c>
      <c r="FJ244" s="14">
        <v>5.7142857142857143E-3</v>
      </c>
      <c r="FK244" s="14">
        <v>5.7142857142857143E-3</v>
      </c>
      <c r="FL244" s="14">
        <v>5.7142857142857143E-3</v>
      </c>
      <c r="FM244" s="14">
        <v>4.7619047619047623E-3</v>
      </c>
      <c r="FN244" s="14">
        <v>4.7619047619047623E-3</v>
      </c>
      <c r="FO244" s="14">
        <v>4.7619047619047623E-3</v>
      </c>
      <c r="FP244" s="14">
        <v>5.7142857142857143E-3</v>
      </c>
      <c r="FQ244" s="14">
        <v>5.7142857142857143E-3</v>
      </c>
      <c r="FR244" s="14">
        <v>5.7142857142857143E-3</v>
      </c>
      <c r="FS244" s="14">
        <v>5.7142857142857143E-3</v>
      </c>
      <c r="FT244" s="14">
        <v>5.8823529411764705E-3</v>
      </c>
      <c r="FU244" s="14">
        <v>5.7142857142857143E-3</v>
      </c>
      <c r="FV244" s="14">
        <v>5.7142857142857143E-3</v>
      </c>
      <c r="FW244" s="14">
        <v>4.5454545454545461E-3</v>
      </c>
      <c r="FX244" s="14">
        <v>4.5454545454545461E-3</v>
      </c>
      <c r="FY244" s="14">
        <v>5.7142857142857143E-3</v>
      </c>
      <c r="FZ244" s="13">
        <f t="shared" si="88"/>
        <v>1.2500000000000001E-2</v>
      </c>
      <c r="GA244" s="14">
        <v>5.7142857142857143E-3</v>
      </c>
      <c r="GB244" s="14">
        <v>5.7142857142857143E-3</v>
      </c>
      <c r="GC244" s="14">
        <v>5.7142857142857143E-3</v>
      </c>
      <c r="GD244" s="13">
        <f>0.2/16</f>
        <v>1.2500000000000001E-2</v>
      </c>
      <c r="GE244" s="13">
        <f t="shared" si="86"/>
        <v>1.2500000000000001E-2</v>
      </c>
      <c r="GF244" s="14">
        <v>4.6511627906976744E-3</v>
      </c>
      <c r="GG244" s="14">
        <v>4.6511627906976744E-3</v>
      </c>
      <c r="GH244" s="15">
        <v>4.6511627906976744E-3</v>
      </c>
    </row>
    <row r="245" spans="1:190" x14ac:dyDescent="0.3">
      <c r="A245" s="35" t="s">
        <v>32</v>
      </c>
      <c r="B245" s="16">
        <f>IF(Distances!BO136&gt;0,(BN245+Distances!BO136*1.84)*DZ245*B213*2,"")</f>
        <v>6464.9877800000004</v>
      </c>
      <c r="C245" s="14">
        <f>IF(Distances!BP136&gt;0,(BO245+Distances!BP136*1.84)*EA245*C213*2,"")</f>
        <v>7137.5568800000001</v>
      </c>
      <c r="D245" s="14">
        <f>IF(Distances!BQ136&gt;0,(BP245+Distances!BQ136*1.84)*EB245*D213*2,"")</f>
        <v>14214.746059999999</v>
      </c>
      <c r="E245" s="14">
        <f>IF(Distances!BR136&gt;0,(BQ245+Distances!BR136*1.84)*EC245*E213*2,"")</f>
        <v>5269.3376600000001</v>
      </c>
      <c r="F245" s="14">
        <f>IF(Distances!BS136&gt;0,(BR245+Distances!BS136*1.84)*ED245*F213*2,"")</f>
        <v>5730.7187899999999</v>
      </c>
      <c r="G245" s="14">
        <f>IF(Distances!BT136&gt;0,(BS245+Distances!BT136*1.84)*EE245*G213*2,"")</f>
        <v>17448.865040000001</v>
      </c>
      <c r="H245" s="14">
        <f>IF(Distances!BU136&gt;0,(BT245+Distances!BU136*1.84)*EF245*H213*2,"")</f>
        <v>10085.28026</v>
      </c>
      <c r="I245" s="14">
        <f>IF(Distances!BV136&gt;0,(BU245+Distances!BV136*1.84)*EG245*I213*2,"")</f>
        <v>9844.2922399999989</v>
      </c>
      <c r="J245" s="14">
        <f>IF(Distances!BW136&gt;0,(BV245+Distances!BW136*1.84)*EH245*J213*2,"")</f>
        <v>156.55375999999998</v>
      </c>
      <c r="K245" s="14">
        <f>IF(Distances!BX136&gt;0,(BW245+Distances!BX136*1.84)*EI245*K213*2,"")</f>
        <v>106.57015999999999</v>
      </c>
      <c r="L245" s="14">
        <f>IF(Distances!BY136&gt;0,(BX245+Distances!BY136*1.84)*EJ245*L213*2,"")</f>
        <v>290.51728000000003</v>
      </c>
      <c r="M245" s="14">
        <f>IF(Distances!BZ136&gt;0,(BY245+Distances!BZ136*1.84)*EK245*M213*2,"")</f>
        <v>201.19448</v>
      </c>
      <c r="N245" s="14">
        <f>IF(Distances!CA136&gt;0,(BZ245+Distances!CA136*1.84)*EL245*N213*2,"")</f>
        <v>189.08548000000002</v>
      </c>
      <c r="O245" s="14">
        <f>IF(Distances!CB136&gt;0,(CA245+Distances!CB136*1.84)*EM245*O213*2,"")</f>
        <v>233.14917581395343</v>
      </c>
      <c r="P245" s="14">
        <f>IF(Distances!CC136&gt;0,(CB245+Distances!CC136*1.84)*EN245*P213*2,"")</f>
        <v>194.67954604651163</v>
      </c>
      <c r="Q245" s="13">
        <f>IF(Distances!CD136&gt;0,(CC245+Distances!CD136*1.84)*EO245*Q213*2,"")</f>
        <v>2422.3759999999997</v>
      </c>
      <c r="R245" s="13">
        <f>IF(Distances!CE136&gt;0,(CD245+Distances!CE136*1.84)*EP245*R213*2,"")</f>
        <v>2410.8785000000003</v>
      </c>
      <c r="S245" s="13">
        <f>IF(Distances!CF136&gt;0,(CE245+Distances!CF136*1.84)*EQ245*S213*2,"")</f>
        <v>2445.3919999999998</v>
      </c>
      <c r="T245" s="13">
        <f>IF(Distances!CG136&gt;0,(CF245+Distances!CG136*1.84)*ER245*T213*2,"")</f>
        <v>395.51294999999993</v>
      </c>
      <c r="U245" s="13">
        <f>IF(Distances!CH136&gt;0,(CG245+Distances!CH136*1.84)*ES245*U213*2,"")</f>
        <v>418.86831000000001</v>
      </c>
      <c r="V245" s="13">
        <f>IF(Distances!CI136&gt;0,(CH245+Distances!CI136*1.84)*ET245*V213*2,"")</f>
        <v>2715.4904000000001</v>
      </c>
      <c r="W245" s="13">
        <f>IF(Distances!CJ136&gt;0,(CI245+Distances!CJ136*1.84)*EU245*W213*2,"")</f>
        <v>2783.2697800000001</v>
      </c>
      <c r="X245" s="13">
        <f>IF(Distances!CK136&gt;0,(CJ245+Distances!CK136*1.84)*EV245*X213*2,"")</f>
        <v>3485.0935600000003</v>
      </c>
      <c r="Y245" s="13">
        <f>IF(Distances!CL136&gt;0,(CK245+Distances!CL136*1.84)*EW245*Y213*2,"")</f>
        <v>3443.5905000000002</v>
      </c>
      <c r="Z245" s="13">
        <f>IF(Distances!CM136&gt;0,(CL245+Distances!CM136*1.84)*EX245*Z213*2,"")</f>
        <v>101.36135999999999</v>
      </c>
      <c r="AA245" s="13">
        <f>IF(Distances!CN136&gt;0,(CM245+Distances!CN136*1.84)*EY245*AA213*2,"")</f>
        <v>107.38494000000001</v>
      </c>
      <c r="AB245" s="13">
        <f>IF(Distances!CO136&gt;0,(CN245+Distances!CO136*1.84)*EZ245*AB213*2,"")</f>
        <v>124.87808000000001</v>
      </c>
      <c r="AC245" s="13">
        <f>IF(Distances!CP136&gt;0,(CO245+Distances!CP136*1.84)*FA245*AC213*2,"")</f>
        <v>91.830680000000015</v>
      </c>
      <c r="AD245" s="13">
        <f>IF(Distances!CQ136&gt;0,(CP245+Distances!CQ136*1.84)*FB245*AD213*2,"")</f>
        <v>107.03804000000001</v>
      </c>
      <c r="AE245" s="13">
        <f>IF(Distances!CR136&gt;0,(CQ245+Distances!CR136*1.84)*FC245*AE213*2,"")</f>
        <v>133.7312</v>
      </c>
      <c r="AF245" s="13">
        <f>IF(Distances!CS136&gt;0,(CR245+Distances!CS136*1.84)*FD245*AF213*2,"")</f>
        <v>233.27520000000001</v>
      </c>
      <c r="AG245" s="12" t="s">
        <v>62</v>
      </c>
      <c r="AH245" s="14">
        <f>IF(Distances!CU136&gt;0,(CT245+Distances!CU136*1.84)*FF245*AH213*2,"")</f>
        <v>43.352192000000002</v>
      </c>
      <c r="AI245" s="14">
        <f>IF(Distances!CV136&gt;0,(CU245+Distances!CV136*1.84)*FG245*AI213*2,"")</f>
        <v>23.881197714285715</v>
      </c>
      <c r="AJ245" s="14">
        <f>IF(Distances!CW136&gt;0,(CV245+Distances!CW136*1.84)*FH245*AJ213*2,"")</f>
        <v>32.474111999999998</v>
      </c>
      <c r="AK245" s="14">
        <f>IF(Distances!CX136&gt;0,(CW245+Distances!CX136*1.84)*FI245*AK213*2,"")</f>
        <v>24.256461714285713</v>
      </c>
      <c r="AL245" s="14">
        <f>IF(Distances!CY136&gt;0,(CX245+Distances!CY136*1.84)*FJ245*AL213*2,"")</f>
        <v>878.6541805714287</v>
      </c>
      <c r="AM245" s="14">
        <f>IF(Distances!CZ136&gt;0,(CY245+Distances!CZ136*1.84)*FK245*AM213*2,"")</f>
        <v>878.6541805714287</v>
      </c>
      <c r="AN245" s="14">
        <f>IF(Distances!DA136&gt;0,(CZ245+Distances!DA136*1.84)*FL245*AN213*2,"")</f>
        <v>1063.4070034285712</v>
      </c>
      <c r="AO245" s="14">
        <f>IF(Distances!DB136&gt;0,(DA245+Distances!DB136*1.84)*FM245*AO213*2,"")</f>
        <v>36.707756190476196</v>
      </c>
      <c r="AP245" s="14">
        <f>IF(Distances!DC136&gt;0,(DB245+Distances!DC136*1.84)*FN245*AP213*2,"")</f>
        <v>37.064716190476197</v>
      </c>
      <c r="AQ245" s="14">
        <f>IF(Distances!DD136&gt;0,(DC245+Distances!DD136*1.84)*FO245*AQ213*2,"")</f>
        <v>44.301676190476186</v>
      </c>
      <c r="AR245" s="14">
        <f>IF(Distances!DE136&gt;0,(DD245+Distances!DE136*1.84)*FP245*AR213*2,"")</f>
        <v>56.760667428571431</v>
      </c>
      <c r="AS245" s="14">
        <f>IF(Distances!DF136&gt;0,(DE245+Distances!DF136*1.84)*FQ245*AS213*2,"")</f>
        <v>134.79349028571428</v>
      </c>
      <c r="AT245" s="14">
        <f>IF(Distances!DG136&gt;0,(DF245+Distances!DG136*1.84)*FR245*AT213*2,"")</f>
        <v>98.670610285714289</v>
      </c>
      <c r="AU245" s="14">
        <f>IF(Distances!DH136&gt;0,(DG245+Distances!DH136*1.84)*FS245*AU213*2,"")</f>
        <v>423.94905599999998</v>
      </c>
      <c r="AV245" s="14">
        <f>IF(Distances!DI136&gt;0,(DH245+Distances!DI136*1.84)*FT245*AV213*2,"")</f>
        <v>201.8974588235294</v>
      </c>
      <c r="AW245" s="14">
        <f>IF(Distances!DJ136&gt;0,(DI245+Distances!DJ136*1.84)*FU245*AW213*2,"")</f>
        <v>616.61627428571433</v>
      </c>
      <c r="AX245" s="14">
        <f>IF(Distances!DK136&gt;0,(DJ245+Distances!DK136*1.84)*FV245*AX213*2,"")</f>
        <v>149.62534857142859</v>
      </c>
      <c r="AY245" s="14">
        <f>IF(Distances!DL136&gt;0,(DK245+Distances!DL136*1.84)*FW245*AY213*2,"")</f>
        <v>34.953309090909094</v>
      </c>
      <c r="AZ245" s="14">
        <f>IF(Distances!DM136&gt;0,(DL245+Distances!DM136*1.84)*FX245*AZ213*2,"")</f>
        <v>201.03457454545455</v>
      </c>
      <c r="BA245" s="14">
        <f>IF(Distances!DN136&gt;0,(DM245+Distances!DN136*1.84)*FY245*BA213*2,"")</f>
        <v>90.668342857142846</v>
      </c>
      <c r="BB245" s="13">
        <f>IF(Distances!DO136&gt;0,(DN245+Distances!DO136*1.84)*FZ245*BB213*2,"")</f>
        <v>211.87360000000001</v>
      </c>
      <c r="BC245" s="14">
        <f>IF(Distances!DP136&gt;0,(DO245+Distances!DP136*1.84)*GA245*BC213*2,"")</f>
        <v>917.97957485714278</v>
      </c>
      <c r="BD245" s="14">
        <f>IF(Distances!DQ136&gt;0,(DP245+Distances!DQ136*1.84)*GB245*BD213*2,"")</f>
        <v>1039.1594422857145</v>
      </c>
      <c r="BE245" s="14">
        <f>IF(Distances!DR136&gt;0,(DQ245+Distances!DR136*1.84)*GC245*BE213*2,"")</f>
        <v>951.94360685714287</v>
      </c>
      <c r="BF245" s="13">
        <f>IF(Distances!DS136&gt;0,(DR245+Distances!DS136*1.84)*GD245*BF213*2,"")</f>
        <v>336.96319999999997</v>
      </c>
      <c r="BG245" s="12">
        <f>IF(Distances!DT136&gt;0,(DS245+Distances!DT136*1.84)*GE245*BG213*2,"")</f>
        <v>7432.8806399999994</v>
      </c>
      <c r="BH245" s="14">
        <f>IF(Distances!DU136&gt;0,(DT245+Distances!DU136*1.84)*GF245*BH213*2,"")</f>
        <v>189.25453395348836</v>
      </c>
      <c r="BI245" s="14">
        <f>IF(Distances!DV136&gt;0,(DU245+Distances!DV136*1.84)*GG245*BI213*2,"")</f>
        <v>134.4884241860465</v>
      </c>
      <c r="BJ245" s="15">
        <f>IF(Distances!DW136&gt;0,(DV245+Distances!DW136*1.84)*GH245*BJ213*2,"")</f>
        <v>205.21288930232558</v>
      </c>
      <c r="BM245" s="35" t="s">
        <v>32</v>
      </c>
      <c r="BN245" s="16">
        <v>1599.1751999999999</v>
      </c>
      <c r="BO245" s="14">
        <v>1865.5391999999999</v>
      </c>
      <c r="BP245" s="14">
        <v>1125.6504</v>
      </c>
      <c r="BQ245" s="14">
        <v>1125.6504</v>
      </c>
      <c r="BR245" s="14">
        <v>1192.4555999999998</v>
      </c>
      <c r="BS245" s="14">
        <v>2937.5135999999998</v>
      </c>
      <c r="BT245" s="14">
        <v>3032.9543999999996</v>
      </c>
      <c r="BU245" s="14">
        <v>2937.5135999999998</v>
      </c>
      <c r="BV245" s="14">
        <v>1170.1871999999998</v>
      </c>
      <c r="BW245" s="14">
        <v>1170.1871999999998</v>
      </c>
      <c r="BX245" s="14">
        <v>3062.6736000000001</v>
      </c>
      <c r="BY245" s="14">
        <v>3062.6736000000001</v>
      </c>
      <c r="BZ245" s="14">
        <v>1976.3015999999998</v>
      </c>
      <c r="CA245" s="14">
        <v>1806.1931999999999</v>
      </c>
      <c r="CB245" s="14">
        <v>1933.3775999999998</v>
      </c>
      <c r="CC245" s="13">
        <v>976.6848</v>
      </c>
      <c r="CD245" s="13">
        <v>967.4867999999999</v>
      </c>
      <c r="CE245" s="13">
        <v>995.09760000000006</v>
      </c>
      <c r="CF245" s="13">
        <v>949.07399999999984</v>
      </c>
      <c r="CG245" s="13">
        <v>858.42119999999989</v>
      </c>
      <c r="CH245" s="13">
        <v>0</v>
      </c>
      <c r="CI245" s="13">
        <v>958.28039999999987</v>
      </c>
      <c r="CJ245" s="13">
        <v>1179.5447999999999</v>
      </c>
      <c r="CK245" s="13">
        <v>949.07399999999984</v>
      </c>
      <c r="CL245" s="13">
        <v>934.81920000000002</v>
      </c>
      <c r="CM245" s="13">
        <v>917.84280000000001</v>
      </c>
      <c r="CN245" s="13">
        <v>883.88159999999993</v>
      </c>
      <c r="CO245" s="13">
        <v>875.39760000000001</v>
      </c>
      <c r="CP245" s="13">
        <v>1179.5447999999999</v>
      </c>
      <c r="CQ245" s="13">
        <v>0</v>
      </c>
      <c r="CR245" s="13">
        <v>0</v>
      </c>
      <c r="CS245" s="12">
        <v>0</v>
      </c>
      <c r="CT245" s="14">
        <v>302.83679999999998</v>
      </c>
      <c r="CU245" s="14">
        <v>1128.3887999999999</v>
      </c>
      <c r="CV245" s="14">
        <v>302.83679999999998</v>
      </c>
      <c r="CW245" s="14">
        <v>1161.2244000000001</v>
      </c>
      <c r="CX245" s="14">
        <v>462.5292</v>
      </c>
      <c r="CY245" s="14">
        <v>462.5292</v>
      </c>
      <c r="CZ245" s="14">
        <v>462.5292</v>
      </c>
      <c r="DA245" s="14">
        <v>965.94119999999998</v>
      </c>
      <c r="DB245" s="14">
        <v>984.6816</v>
      </c>
      <c r="DC245" s="14">
        <v>1364.6219999999998</v>
      </c>
      <c r="DD245" s="14">
        <v>1522.0632000000001</v>
      </c>
      <c r="DE245" s="14">
        <v>1522.0632000000001</v>
      </c>
      <c r="DF245" s="14">
        <v>1522.0632000000001</v>
      </c>
      <c r="DG245" s="14">
        <v>1626.2736</v>
      </c>
      <c r="DH245" s="14">
        <v>1179.5447999999999</v>
      </c>
      <c r="DI245" s="14">
        <v>1179.5447999999999</v>
      </c>
      <c r="DJ245" s="14">
        <v>1657.2275999999999</v>
      </c>
      <c r="DK245" s="14">
        <v>0</v>
      </c>
      <c r="DL245" s="14">
        <v>3677.4107999999997</v>
      </c>
      <c r="DM245" s="14">
        <v>1022.1539999999999</v>
      </c>
      <c r="DN245" s="13">
        <v>1157.52</v>
      </c>
      <c r="DO245" s="14">
        <v>1548.8843999999999</v>
      </c>
      <c r="DP245" s="14">
        <v>1657.2275999999999</v>
      </c>
      <c r="DQ245" s="14">
        <v>1641.7547999999999</v>
      </c>
      <c r="DR245" s="13">
        <v>975.24</v>
      </c>
      <c r="DS245" s="12">
        <v>565.58879999999999</v>
      </c>
      <c r="DT245" s="14">
        <v>3198.3755999999998</v>
      </c>
      <c r="DU245" s="14">
        <v>2443.4004</v>
      </c>
      <c r="DV245" s="15">
        <v>2443.4004</v>
      </c>
      <c r="DY245" s="35" t="s">
        <v>32</v>
      </c>
      <c r="DZ245" s="16">
        <v>6.2500000000000003E-3</v>
      </c>
      <c r="EA245" s="14">
        <v>6.2500000000000003E-3</v>
      </c>
      <c r="EB245" s="14">
        <v>6.2500000000000003E-3</v>
      </c>
      <c r="EC245" s="14">
        <v>6.2500000000000003E-3</v>
      </c>
      <c r="ED245" s="14">
        <v>6.2500000000000003E-3</v>
      </c>
      <c r="EE245" s="14">
        <v>6.2500000000000003E-3</v>
      </c>
      <c r="EF245" s="14">
        <v>6.2500000000000003E-3</v>
      </c>
      <c r="EG245" s="14">
        <v>6.2500000000000003E-3</v>
      </c>
      <c r="EH245" s="14">
        <v>6.2500000000000003E-3</v>
      </c>
      <c r="EI245" s="14">
        <v>6.2500000000000003E-3</v>
      </c>
      <c r="EJ245" s="14">
        <v>6.2500000000000003E-3</v>
      </c>
      <c r="EK245" s="14">
        <v>6.2500000000000003E-3</v>
      </c>
      <c r="EL245" s="14">
        <v>6.2500000000000003E-3</v>
      </c>
      <c r="EM245" s="14">
        <v>4.6511627906976744E-3</v>
      </c>
      <c r="EN245" s="14">
        <v>4.6511627906976744E-3</v>
      </c>
      <c r="EO245" s="13">
        <f t="shared" si="87"/>
        <v>1.2500000000000001E-2</v>
      </c>
      <c r="EP245" s="13">
        <f t="shared" si="87"/>
        <v>1.2500000000000001E-2</v>
      </c>
      <c r="EQ245" s="13">
        <f t="shared" si="87"/>
        <v>1.2500000000000001E-2</v>
      </c>
      <c r="ER245" s="13">
        <f t="shared" si="87"/>
        <v>1.2500000000000001E-2</v>
      </c>
      <c r="ES245" s="13">
        <f t="shared" si="87"/>
        <v>1.2500000000000001E-2</v>
      </c>
      <c r="ET245" s="13">
        <f t="shared" si="87"/>
        <v>1.2500000000000001E-2</v>
      </c>
      <c r="EU245" s="13">
        <f t="shared" si="87"/>
        <v>1.2500000000000001E-2</v>
      </c>
      <c r="EV245" s="13">
        <f t="shared" si="87"/>
        <v>1.2500000000000001E-2</v>
      </c>
      <c r="EW245" s="13">
        <f t="shared" si="87"/>
        <v>1.2500000000000001E-2</v>
      </c>
      <c r="EX245" s="13">
        <f t="shared" si="87"/>
        <v>1.2500000000000001E-2</v>
      </c>
      <c r="EY245" s="13">
        <f t="shared" si="87"/>
        <v>1.2500000000000001E-2</v>
      </c>
      <c r="EZ245" s="13">
        <f t="shared" si="87"/>
        <v>1.2500000000000001E-2</v>
      </c>
      <c r="FA245" s="13">
        <f t="shared" si="87"/>
        <v>1.2500000000000001E-2</v>
      </c>
      <c r="FB245" s="13">
        <f t="shared" si="87"/>
        <v>1.2500000000000001E-2</v>
      </c>
      <c r="FC245" s="13">
        <f t="shared" si="87"/>
        <v>1.2500000000000001E-2</v>
      </c>
      <c r="FD245" s="13">
        <f>0.2/16</f>
        <v>1.2500000000000001E-2</v>
      </c>
      <c r="FE245" s="12">
        <v>0.6</v>
      </c>
      <c r="FF245" s="14">
        <v>5.7142857142857143E-3</v>
      </c>
      <c r="FG245" s="14">
        <v>5.7142857142857143E-3</v>
      </c>
      <c r="FH245" s="14">
        <v>5.7142857142857143E-3</v>
      </c>
      <c r="FI245" s="14">
        <v>5.7142857142857143E-3</v>
      </c>
      <c r="FJ245" s="14">
        <v>5.7142857142857143E-3</v>
      </c>
      <c r="FK245" s="14">
        <v>5.7142857142857143E-3</v>
      </c>
      <c r="FL245" s="14">
        <v>5.7142857142857143E-3</v>
      </c>
      <c r="FM245" s="14">
        <v>4.7619047619047623E-3</v>
      </c>
      <c r="FN245" s="14">
        <v>4.7619047619047623E-3</v>
      </c>
      <c r="FO245" s="14">
        <v>4.7619047619047623E-3</v>
      </c>
      <c r="FP245" s="14">
        <v>5.7142857142857143E-3</v>
      </c>
      <c r="FQ245" s="14">
        <v>5.7142857142857143E-3</v>
      </c>
      <c r="FR245" s="14">
        <v>5.7142857142857143E-3</v>
      </c>
      <c r="FS245" s="14">
        <v>5.7142857142857143E-3</v>
      </c>
      <c r="FT245" s="14">
        <v>5.8823529411764705E-3</v>
      </c>
      <c r="FU245" s="14">
        <v>5.7142857142857143E-3</v>
      </c>
      <c r="FV245" s="14">
        <v>5.7142857142857143E-3</v>
      </c>
      <c r="FW245" s="14">
        <v>4.5454545454545461E-3</v>
      </c>
      <c r="FX245" s="14">
        <v>4.5454545454545461E-3</v>
      </c>
      <c r="FY245" s="14">
        <v>5.7142857142857143E-3</v>
      </c>
      <c r="FZ245" s="13">
        <f t="shared" si="88"/>
        <v>1.2500000000000001E-2</v>
      </c>
      <c r="GA245" s="14">
        <v>5.7142857142857143E-3</v>
      </c>
      <c r="GB245" s="14">
        <v>5.7142857142857143E-3</v>
      </c>
      <c r="GC245" s="14">
        <v>5.7142857142857143E-3</v>
      </c>
      <c r="GD245" s="13">
        <f>0.2/16</f>
        <v>1.2500000000000001E-2</v>
      </c>
      <c r="GE245" s="12">
        <v>0.6</v>
      </c>
      <c r="GF245" s="14">
        <v>4.6511627906976744E-3</v>
      </c>
      <c r="GG245" s="14">
        <v>4.6511627906976744E-3</v>
      </c>
      <c r="GH245" s="15">
        <v>4.6511627906976744E-3</v>
      </c>
    </row>
    <row r="246" spans="1:190" x14ac:dyDescent="0.3">
      <c r="A246" s="35" t="s">
        <v>33</v>
      </c>
      <c r="B246" s="16">
        <f>IF(Distances!BO137&gt;0,(BN246+Distances!BO137*1.84)*DZ246*B213*2,"")</f>
        <v>10374.21096</v>
      </c>
      <c r="C246" s="14">
        <f>IF(Distances!BP137&gt;0,(BO246+Distances!BP137*1.84)*EA246*C213*2,"")</f>
        <v>13517.978370000001</v>
      </c>
      <c r="D246" s="14">
        <f>IF(Distances!BQ137&gt;0,(BP246+Distances!BQ137*1.84)*EB246*D213*2,"")</f>
        <v>20111.494710000003</v>
      </c>
      <c r="E246" s="14">
        <f>IF(Distances!BR137&gt;0,(BQ246+Distances!BR137*1.84)*EC246*E213*2,"")</f>
        <v>11166.086310000002</v>
      </c>
      <c r="F246" s="14">
        <f>IF(Distances!BS137&gt;0,(BR246+Distances!BS137*1.84)*ED246*F213*2,"")</f>
        <v>11742.574109999998</v>
      </c>
      <c r="G246" s="14">
        <f>IF(Distances!BT137&gt;0,(BS246+Distances!BT137*1.84)*EE246*G213*2,"")</f>
        <v>17174.373300000003</v>
      </c>
      <c r="H246" s="14">
        <f>IF(Distances!BU137&gt;0,(BT246+Distances!BU137*1.84)*EF246*H213*2,"")</f>
        <v>10938.184860000001</v>
      </c>
      <c r="I246" s="14">
        <f>IF(Distances!BV137&gt;0,(BU246+Distances!BV137*1.84)*EG246*I213*2,"")</f>
        <v>9569.8005000000012</v>
      </c>
      <c r="J246" s="14">
        <f>IF(Distances!BW137&gt;0,(BV246+Distances!BW137*1.84)*EH246*J213*2,"")</f>
        <v>274.84062</v>
      </c>
      <c r="K246" s="14">
        <f>IF(Distances!BX137&gt;0,(BW246+Distances!BX137*1.84)*EI246*K213*2,"")</f>
        <v>224.85702000000003</v>
      </c>
      <c r="L246" s="14">
        <f>IF(Distances!BY137&gt;0,(BX246+Distances!BY137*1.84)*EJ246*L213*2,"")</f>
        <v>306.80378000000002</v>
      </c>
      <c r="M246" s="14">
        <f>IF(Distances!BZ137&gt;0,(BY246+Distances!BZ137*1.84)*EK246*M213*2,"")</f>
        <v>217.48098000000002</v>
      </c>
      <c r="N246" s="14">
        <f>IF(Distances!CA137&gt;0,(BZ246+Distances!CA137*1.84)*EL246*N213*2,"")</f>
        <v>318.27847999999994</v>
      </c>
      <c r="O246" s="14">
        <f>IF(Distances!CB137&gt;0,(CA246+Distances!CB137*1.84)*EM246*O213*2,"")</f>
        <v>320.72364279069768</v>
      </c>
      <c r="P246" s="14">
        <f>IF(Distances!CC137&gt;0,(CB246+Distances!CC137*1.84)*EN246*P213*2,"")</f>
        <v>276.95818418604654</v>
      </c>
      <c r="Q246" s="14">
        <f>IF(Distances!CD137&gt;0,(CC246+Distances!CD137*1.84)*EO246*Q213*2,"")</f>
        <v>2962.3791428571431</v>
      </c>
      <c r="R246" s="14">
        <f>IF(Distances!CE137&gt;0,(CD246+Distances!CE137*1.84)*EP246*R213*2,"")</f>
        <v>2951.4831428571429</v>
      </c>
      <c r="S246" s="14">
        <f>IF(Distances!CF137&gt;0,(CE246+Distances!CF137*1.84)*EQ246*S213*2,"")</f>
        <v>2984.1711428571434</v>
      </c>
      <c r="T246" s="14">
        <f>IF(Distances!CG137&gt;0,(CF246+Distances!CG137*1.84)*ER246*T213*2,"")</f>
        <v>445.13516000000004</v>
      </c>
      <c r="U246" s="14">
        <f>IF(Distances!CH137&gt;0,(CG246+Distances!CH137*1.84)*ES246*U213*2,"")</f>
        <v>386.87528000000009</v>
      </c>
      <c r="V246" s="14">
        <f>IF(Distances!CI137&gt;0,(CH246+Distances!CI137*1.84)*ET246*V213*2,"")</f>
        <v>3101.8704914285722</v>
      </c>
      <c r="W246" s="14">
        <f>IF(Distances!CJ137&gt;0,(CI246+Distances!CJ137*1.84)*EU246*W213*2,"")</f>
        <v>3411.0810857142865</v>
      </c>
      <c r="X246" s="14">
        <f>IF(Distances!CK137&gt;0,(CJ246+Distances!CK137*1.84)*EV246*X213*2,"")</f>
        <v>3534.8159657142855</v>
      </c>
      <c r="Y246" s="14">
        <f>IF(Distances!CL137&gt;0,(CK246+Distances!CL137*1.84)*EW246*Y213*2,"")</f>
        <v>3783.3960114285715</v>
      </c>
      <c r="Z246" s="14">
        <f>IF(Distances!CM137&gt;0,(CL246+Distances!CM137*1.84)*EX246*Z213*2,"")</f>
        <v>99.833748571428572</v>
      </c>
      <c r="AA246" s="14">
        <f>IF(Distances!CN137&gt;0,(CM246+Distances!CN137*1.84)*EY246*AA213*2,"")</f>
        <v>103.32811428571429</v>
      </c>
      <c r="AB246" s="14">
        <f>IF(Distances!CO137&gt;0,(CN246+Distances!CO137*1.84)*EZ246*AB213*2,"")</f>
        <v>113.42955428571429</v>
      </c>
      <c r="AC246" s="14">
        <f>IF(Distances!CP137&gt;0,(CO246+Distances!CP137*1.84)*FA246*AC213*2,"")</f>
        <v>94.571245714285723</v>
      </c>
      <c r="AD246" s="14">
        <f>IF(Distances!CQ137&gt;0,(CP246+Distances!CQ137*1.84)*FB246*AD213*2,"")</f>
        <v>114.38300571428573</v>
      </c>
      <c r="AE246" s="14">
        <f>IF(Distances!CR137&gt;0,(CQ246+Distances!CR137*1.84)*FC246*AE213*2,"")</f>
        <v>129.87168000000003</v>
      </c>
      <c r="AF246" s="14">
        <f>IF(Distances!CS137&gt;0,(CR246+Distances!CS137*1.84)*FD246*AF213*2,"")</f>
        <v>240.20781714285718</v>
      </c>
      <c r="AG246" s="14">
        <f>IF(Distances!CT137&gt;0,(CS246+Distances!CT137*1.84)*FE246*AG213*2,"")</f>
        <v>216.76096000000001</v>
      </c>
      <c r="AH246" s="12" t="s">
        <v>62</v>
      </c>
      <c r="AI246" s="13">
        <f>IF(Distances!CV137&gt;0,(CU246+Distances!CV137*1.84)*FG246*AI213*2,"")</f>
        <v>127.99653333333335</v>
      </c>
      <c r="AJ246" s="13">
        <f>IF(Distances!CW137&gt;0,(CV246+Distances!CW137*1.84)*FH246*AJ213*2,"")</f>
        <v>182.51982222222222</v>
      </c>
      <c r="AK246" s="13">
        <f>IF(Distances!CX137&gt;0,(CW246+Distances!CX137*1.84)*FI246*AK213*2,"")</f>
        <v>128.4493866666667</v>
      </c>
      <c r="AL246" s="13">
        <f>IF(Distances!CY137&gt;0,(CX246+Distances!CY137*1.84)*FJ246*AL213*2,"")</f>
        <v>7050.3120000000008</v>
      </c>
      <c r="AM246" s="13">
        <f>IF(Distances!CZ137&gt;0,(CY246+Distances!CZ137*1.84)*FK246*AM213*2,"")</f>
        <v>7050.3120000000008</v>
      </c>
      <c r="AN246" s="13">
        <f>IF(Distances!DA137&gt;0,(CZ246+Distances!DA137*1.84)*FL246*AN213*2,"")</f>
        <v>7768.7952000000005</v>
      </c>
      <c r="AO246" s="14">
        <f>IF(Distances!DB137&gt;0,(DA246+Distances!DB137*1.84)*FM246*AO213*2,"")</f>
        <v>57.403657142857149</v>
      </c>
      <c r="AP246" s="14">
        <f>IF(Distances!DC137&gt;0,(DB246+Distances!DC137*1.84)*FN246*AP213*2,"")</f>
        <v>57.582377142857155</v>
      </c>
      <c r="AQ246" s="14">
        <f>IF(Distances!DD137&gt;0,(DC246+Distances!DD137*1.84)*FO246*AQ213*2,"")</f>
        <v>56.24429714285715</v>
      </c>
      <c r="AR246" s="13">
        <f>IF(Distances!DE137&gt;0,(DD246+Distances!DE137*1.84)*FP246*AR213*2,"")</f>
        <v>280.98997333333335</v>
      </c>
      <c r="AS246" s="13">
        <f>IF(Distances!DF137&gt;0,(DE246+Distances!DF137*1.84)*FQ246*AS213*2,"")</f>
        <v>584.45095111111107</v>
      </c>
      <c r="AT246" s="13">
        <f>IF(Distances!DG137&gt;0,(DF246+Distances!DG137*1.84)*FR246*AT213*2,"")</f>
        <v>443.97308444444445</v>
      </c>
      <c r="AU246" s="13">
        <f>IF(Distances!DH137&gt;0,(DG246+Distances!DH137*1.84)*FS246*AU213*2,"")</f>
        <v>1867.0942577777778</v>
      </c>
      <c r="AV246" s="13">
        <f>IF(Distances!DI137&gt;0,(DH246+Distances!DI137*1.84)*FT246*AV213*2,"")</f>
        <v>1058.9802400000001</v>
      </c>
      <c r="AW246" s="12">
        <f>IF(Distances!DJ137&gt;0,(DI246+Distances!DJ137*1.84)*FU246*AW213*2,"")</f>
        <v>75920.575200000007</v>
      </c>
      <c r="AX246" s="13">
        <f>IF(Distances!DK137&gt;0,(DJ246+Distances!DK137*1.84)*FV246*AX213*2,"")</f>
        <v>654.72746666666671</v>
      </c>
      <c r="AY246" s="14">
        <f>IF(Distances!DL137&gt;0,(DK246+Distances!DL137*1.84)*FW246*AY213*2,"")</f>
        <v>91.973236363636374</v>
      </c>
      <c r="AZ246" s="14">
        <f>IF(Distances!DM137&gt;0,(DL246+Distances!DM137*1.84)*FX246*AZ213*2,"")</f>
        <v>214.64605090909095</v>
      </c>
      <c r="BA246" s="13">
        <f>IF(Distances!DN137&gt;0,(DM246+Distances!DN137*1.84)*FY246*BA213*2,"")</f>
        <v>536.47232000000008</v>
      </c>
      <c r="BB246" s="14">
        <f>IF(Distances!DO137&gt;0,(DN246+Distances!DO137*1.84)*FZ246*BB213*2,"")</f>
        <v>227.19257142857145</v>
      </c>
      <c r="BC246" s="13">
        <f>IF(Distances!DP137&gt;0,(DO246+Distances!DP137*1.84)*GA246*BC213*2,"")</f>
        <v>4758.2481066666669</v>
      </c>
      <c r="BD246" s="13">
        <f>IF(Distances!DQ137&gt;0,(DP246+Distances!DQ137*1.84)*GB246*BD213*2,"")</f>
        <v>4507.4227199999996</v>
      </c>
      <c r="BE246" s="13">
        <f>IF(Distances!DR137&gt;0,(DQ246+Distances!DR137*1.84)*GC246*BE213*2,"")</f>
        <v>4184.7244799999999</v>
      </c>
      <c r="BF246" s="14">
        <f>IF(Distances!DS137&gt;0,(DR246+Distances!DS137*1.84)*GD246*BF213*2,"")</f>
        <v>263.90738285714292</v>
      </c>
      <c r="BG246" s="14">
        <f>IF(Distances!DT137&gt;0,(DS246+Distances!DT137*1.84)*GE246*BG213*2,"")</f>
        <v>162.75533714285714</v>
      </c>
      <c r="BH246" s="14">
        <f>IF(Distances!DU137&gt;0,(DT246+Distances!DU137*1.84)*GF246*BH213*2,"")</f>
        <v>227.36830511627906</v>
      </c>
      <c r="BI246" s="14">
        <f>IF(Distances!DV137&gt;0,(DU246+Distances!DV137*1.84)*GG246*BI213*2,"")</f>
        <v>183.57329860465117</v>
      </c>
      <c r="BJ246" s="15">
        <f>IF(Distances!DW137&gt;0,(DV246+Distances!DW137*1.84)*GH246*BJ213*2,"")</f>
        <v>254.29776372093022</v>
      </c>
      <c r="BM246" s="35" t="s">
        <v>33</v>
      </c>
      <c r="BN246" s="16">
        <v>1579.3344</v>
      </c>
      <c r="BO246" s="14">
        <v>2824.3907999999997</v>
      </c>
      <c r="BP246" s="14">
        <v>1892.9484000000002</v>
      </c>
      <c r="BQ246" s="14">
        <v>1892.9484000000002</v>
      </c>
      <c r="BR246" s="14">
        <v>2005.3403999999998</v>
      </c>
      <c r="BS246" s="14">
        <v>1260.7560000000001</v>
      </c>
      <c r="BT246" s="14">
        <v>1802.6904</v>
      </c>
      <c r="BU246" s="14">
        <v>1260.7560000000001</v>
      </c>
      <c r="BV246" s="14">
        <v>1967.8763999999999</v>
      </c>
      <c r="BW246" s="14">
        <v>1967.8763999999999</v>
      </c>
      <c r="BX246" s="14">
        <v>1820.3556000000001</v>
      </c>
      <c r="BY246" s="14">
        <v>1820.3556000000001</v>
      </c>
      <c r="BZ246" s="14">
        <v>2992.1135999999997</v>
      </c>
      <c r="CA246" s="14">
        <v>1583.0387999999998</v>
      </c>
      <c r="CB246" s="14">
        <v>1628.8943999999999</v>
      </c>
      <c r="CC246" s="14">
        <v>1618.0667999999998</v>
      </c>
      <c r="CD246" s="14">
        <v>1602.8123999999998</v>
      </c>
      <c r="CE246" s="14">
        <v>1648.5755999999999</v>
      </c>
      <c r="CF246" s="14">
        <v>1572.3036</v>
      </c>
      <c r="CG246" s="14">
        <v>765.5927999999999</v>
      </c>
      <c r="CH246" s="14">
        <v>302.83679999999998</v>
      </c>
      <c r="CI246" s="14">
        <v>1587.558</v>
      </c>
      <c r="CJ246" s="14">
        <v>1474.1412</v>
      </c>
      <c r="CK246" s="14">
        <v>1572.3036</v>
      </c>
      <c r="CL246" s="14">
        <v>833.72519999999997</v>
      </c>
      <c r="CM246" s="14">
        <v>818.57999999999993</v>
      </c>
      <c r="CN246" s="14">
        <v>788.30640000000005</v>
      </c>
      <c r="CO246" s="14">
        <v>780.7296</v>
      </c>
      <c r="CP246" s="14">
        <v>1474.1412</v>
      </c>
      <c r="CQ246" s="14">
        <v>302.83679999999998</v>
      </c>
      <c r="CR246" s="14">
        <v>302.83679999999998</v>
      </c>
      <c r="CS246" s="14">
        <v>302.83679999999998</v>
      </c>
      <c r="CT246" s="12">
        <v>0</v>
      </c>
      <c r="CU246" s="13">
        <v>350.65799999999996</v>
      </c>
      <c r="CV246" s="13">
        <v>0</v>
      </c>
      <c r="CW246" s="13">
        <v>360.84719999999999</v>
      </c>
      <c r="CX246" s="13">
        <v>408.36599999999999</v>
      </c>
      <c r="CY246" s="13">
        <v>408.36599999999999</v>
      </c>
      <c r="CZ246" s="13">
        <v>408.36599999999999</v>
      </c>
      <c r="DA246" s="14">
        <v>484.428</v>
      </c>
      <c r="DB246" s="14">
        <v>493.81079999999997</v>
      </c>
      <c r="DC246" s="14">
        <v>423.5616</v>
      </c>
      <c r="DD246" s="13">
        <v>631.8732</v>
      </c>
      <c r="DE246" s="13">
        <v>631.8732</v>
      </c>
      <c r="DF246" s="13">
        <v>631.8732</v>
      </c>
      <c r="DG246" s="13">
        <v>409.2312</v>
      </c>
      <c r="DH246" s="13">
        <v>1474.1412</v>
      </c>
      <c r="DI246" s="12">
        <v>1474.1412</v>
      </c>
      <c r="DJ246" s="13">
        <v>417.00959999999998</v>
      </c>
      <c r="DK246" s="14">
        <v>0</v>
      </c>
      <c r="DL246" s="14">
        <v>2483.6784000000002</v>
      </c>
      <c r="DM246" s="13">
        <v>488.39279999999997</v>
      </c>
      <c r="DN246" s="14">
        <v>1446.606</v>
      </c>
      <c r="DO246" s="13">
        <v>816.37919999999997</v>
      </c>
      <c r="DP246" s="13">
        <v>417.00959999999998</v>
      </c>
      <c r="DQ246" s="13">
        <v>413.12039999999996</v>
      </c>
      <c r="DR246" s="14">
        <v>655.93920000000003</v>
      </c>
      <c r="DS246" s="14">
        <v>297.24239999999998</v>
      </c>
      <c r="DT246" s="14">
        <v>2654.6352000000002</v>
      </c>
      <c r="DU246" s="14">
        <v>2194.5084000000002</v>
      </c>
      <c r="DV246" s="15">
        <v>2194.5084000000002</v>
      </c>
      <c r="DY246" s="35" t="s">
        <v>33</v>
      </c>
      <c r="DZ246" s="16">
        <v>6.2500000000000003E-3</v>
      </c>
      <c r="EA246" s="14">
        <v>6.2500000000000003E-3</v>
      </c>
      <c r="EB246" s="14">
        <v>6.2500000000000003E-3</v>
      </c>
      <c r="EC246" s="14">
        <v>6.2500000000000003E-3</v>
      </c>
      <c r="ED246" s="14">
        <v>6.2500000000000003E-3</v>
      </c>
      <c r="EE246" s="14">
        <v>6.2500000000000003E-3</v>
      </c>
      <c r="EF246" s="14">
        <v>6.2500000000000003E-3</v>
      </c>
      <c r="EG246" s="14">
        <v>6.2500000000000003E-3</v>
      </c>
      <c r="EH246" s="14">
        <v>6.2500000000000003E-3</v>
      </c>
      <c r="EI246" s="14">
        <v>6.2500000000000003E-3</v>
      </c>
      <c r="EJ246" s="14">
        <v>6.2500000000000003E-3</v>
      </c>
      <c r="EK246" s="14">
        <v>6.2500000000000003E-3</v>
      </c>
      <c r="EL246" s="14">
        <v>6.2500000000000003E-3</v>
      </c>
      <c r="EM246" s="14">
        <v>4.6511627906976744E-3</v>
      </c>
      <c r="EN246" s="14">
        <v>4.6511627906976744E-3</v>
      </c>
      <c r="EO246" s="14">
        <v>7.1428571428571435E-3</v>
      </c>
      <c r="EP246" s="14">
        <v>7.1428571428571435E-3</v>
      </c>
      <c r="EQ246" s="14">
        <v>7.1428571428571435E-3</v>
      </c>
      <c r="ER246" s="14">
        <v>7.1428571428571435E-3</v>
      </c>
      <c r="ES246" s="14">
        <v>7.1428571428571435E-3</v>
      </c>
      <c r="ET246" s="14">
        <v>7.1428571428571435E-3</v>
      </c>
      <c r="EU246" s="14">
        <v>7.1428571428571435E-3</v>
      </c>
      <c r="EV246" s="14">
        <v>7.1428571428571435E-3</v>
      </c>
      <c r="EW246" s="14">
        <v>7.1428571428571435E-3</v>
      </c>
      <c r="EX246" s="14">
        <v>7.1428571428571435E-3</v>
      </c>
      <c r="EY246" s="14">
        <v>7.1428571428571435E-3</v>
      </c>
      <c r="EZ246" s="14">
        <v>7.1428571428571435E-3</v>
      </c>
      <c r="FA246" s="14">
        <v>7.1428571428571435E-3</v>
      </c>
      <c r="FB246" s="14">
        <v>7.1428571428571435E-3</v>
      </c>
      <c r="FC246" s="14">
        <v>7.1428571428571435E-3</v>
      </c>
      <c r="FD246" s="14">
        <v>7.1428571428571435E-3</v>
      </c>
      <c r="FE246" s="14">
        <v>7.1428571428571435E-3</v>
      </c>
      <c r="FF246" s="12">
        <v>0.6</v>
      </c>
      <c r="FG246" s="13">
        <f>0.2/9</f>
        <v>2.2222222222222223E-2</v>
      </c>
      <c r="FH246" s="13">
        <f t="shared" ref="FH246:FL251" si="89">0.2/9</f>
        <v>2.2222222222222223E-2</v>
      </c>
      <c r="FI246" s="13">
        <f t="shared" si="89"/>
        <v>2.2222222222222223E-2</v>
      </c>
      <c r="FJ246" s="13">
        <f t="shared" si="89"/>
        <v>2.2222222222222223E-2</v>
      </c>
      <c r="FK246" s="13">
        <f t="shared" si="89"/>
        <v>2.2222222222222223E-2</v>
      </c>
      <c r="FL246" s="13">
        <f t="shared" si="89"/>
        <v>2.2222222222222223E-2</v>
      </c>
      <c r="FM246" s="14">
        <v>4.7619047619047623E-3</v>
      </c>
      <c r="FN246" s="14">
        <v>4.7619047619047623E-3</v>
      </c>
      <c r="FO246" s="14">
        <v>4.7619047619047623E-3</v>
      </c>
      <c r="FP246" s="13">
        <f>0.2/9</f>
        <v>2.2222222222222223E-2</v>
      </c>
      <c r="FQ246" s="13">
        <f t="shared" ref="FQ246:FS252" si="90">0.2/9</f>
        <v>2.2222222222222223E-2</v>
      </c>
      <c r="FR246" s="13">
        <f t="shared" si="90"/>
        <v>2.2222222222222223E-2</v>
      </c>
      <c r="FS246" s="13">
        <f>0.2/9</f>
        <v>2.2222222222222223E-2</v>
      </c>
      <c r="FT246" s="13">
        <f>0.2/10</f>
        <v>0.02</v>
      </c>
      <c r="FU246" s="12">
        <v>0.6</v>
      </c>
      <c r="FV246" s="13">
        <f>0.2/9</f>
        <v>2.2222222222222223E-2</v>
      </c>
      <c r="FW246" s="14">
        <v>4.5454545454545461E-3</v>
      </c>
      <c r="FX246" s="14">
        <v>4.5454545454545461E-3</v>
      </c>
      <c r="FY246" s="13">
        <f>0.2/9</f>
        <v>2.2222222222222223E-2</v>
      </c>
      <c r="FZ246" s="14">
        <v>7.1428571428571435E-3</v>
      </c>
      <c r="GA246" s="13">
        <f>0.2/9</f>
        <v>2.2222222222222223E-2</v>
      </c>
      <c r="GB246" s="13">
        <f>0.2/9</f>
        <v>2.2222222222222223E-2</v>
      </c>
      <c r="GC246" s="13">
        <f>0.2/9</f>
        <v>2.2222222222222223E-2</v>
      </c>
      <c r="GD246" s="14">
        <v>7.1428571428571435E-3</v>
      </c>
      <c r="GE246" s="14">
        <v>7.1428571428571435E-3</v>
      </c>
      <c r="GF246" s="14">
        <v>4.6511627906976744E-3</v>
      </c>
      <c r="GG246" s="14">
        <v>4.6511627906976744E-3</v>
      </c>
      <c r="GH246" s="15">
        <v>4.6511627906976744E-3</v>
      </c>
    </row>
    <row r="247" spans="1:190" x14ac:dyDescent="0.3">
      <c r="A247" s="35" t="s">
        <v>34</v>
      </c>
      <c r="B247" s="16" t="s">
        <v>62</v>
      </c>
      <c r="C247" s="14" t="s">
        <v>62</v>
      </c>
      <c r="D247" s="14">
        <f>IF(Distances!BQ138&gt;0,(BP247+Distances!BQ138*1.84)*EB247*D213*2,"")</f>
        <v>13276.532819999999</v>
      </c>
      <c r="E247" s="14" t="s">
        <v>62</v>
      </c>
      <c r="F247" s="14">
        <f>IF(Distances!BS138&gt;0,(BR247+Distances!BS138*1.84)*ED247*F213*2,"")</f>
        <v>4880.9512500000001</v>
      </c>
      <c r="G247" s="14">
        <f>IF(Distances!BT138&gt;0,(BS247+Distances!BT138*1.84)*EE247*G213*2,"")</f>
        <v>11747.797830000001</v>
      </c>
      <c r="H247" s="14" t="s">
        <v>62</v>
      </c>
      <c r="I247" s="14" t="s">
        <v>62</v>
      </c>
      <c r="J247" s="14">
        <f>IF(Distances!BW138&gt;0,(BV247+Distances!BW138*1.84)*EH247*J213*2,"")</f>
        <v>139.14287999999999</v>
      </c>
      <c r="K247" s="14" t="s">
        <v>62</v>
      </c>
      <c r="L247" s="14">
        <f>IF(Distances!BY138&gt;0,(BX247+Distances!BY138*1.84)*EJ247*L213*2,"")</f>
        <v>197.39972</v>
      </c>
      <c r="M247" s="14" t="s">
        <v>62</v>
      </c>
      <c r="N247" s="14">
        <f>IF(Distances!CA138&gt;0,(BZ247+Distances!CA138*1.84)*EL247*N213*2,"")</f>
        <v>212.65904</v>
      </c>
      <c r="O247" s="14">
        <f>IF(Distances!CB138&gt;0,(CA247+Distances!CB138*1.84)*EM247*O213*2,"")</f>
        <v>137.25404651162791</v>
      </c>
      <c r="P247" s="14">
        <f>IF(Distances!CC138&gt;0,(CB247+Distances!CC138*1.84)*EN247*P213*2,"")</f>
        <v>92.776424186046512</v>
      </c>
      <c r="Q247" s="14" t="s">
        <v>62</v>
      </c>
      <c r="R247" s="14" t="s">
        <v>62</v>
      </c>
      <c r="S247" s="14" t="s">
        <v>62</v>
      </c>
      <c r="T247" s="14">
        <f>IF(Distances!CG138&gt;0,(CF247+Distances!CG138*1.84)*ER247*T213*2,"")</f>
        <v>212.78120000000001</v>
      </c>
      <c r="U247" s="14">
        <f>IF(Distances!CH138&gt;0,(CG247+Distances!CH138*1.84)*ES247*U213*2,"")</f>
        <v>178.27904000000001</v>
      </c>
      <c r="V247" s="14">
        <f>IF(Distances!CI138&gt;0,(CH247+Distances!CI138*1.84)*ET247*V213*2,"")</f>
        <v>1690.2234057142857</v>
      </c>
      <c r="W247" s="14" t="s">
        <v>62</v>
      </c>
      <c r="X247" s="14">
        <f>IF(Distances!CK138&gt;0,(CJ247+Distances!CK138*1.84)*EV247*X213*2,"")</f>
        <v>1576.8715200000001</v>
      </c>
      <c r="Y247" s="14">
        <f>IF(Distances!CL138&gt;0,(CK247+Distances!CL138*1.84)*EW247*Y213*2,"")</f>
        <v>1858.1774857142855</v>
      </c>
      <c r="Z247" s="14">
        <f>IF(Distances!CM138&gt;0,(CL247+Distances!CM138*1.84)*EX247*Z213*2,"")</f>
        <v>41.36354285714286</v>
      </c>
      <c r="AA247" s="14">
        <f>IF(Distances!CN138&gt;0,(CM247+Distances!CN138*1.84)*EY247*AA213*2,"")</f>
        <v>44.607108571428569</v>
      </c>
      <c r="AB247" s="14">
        <f>IF(Distances!CO138&gt;0,(CN247+Distances!CO138*1.84)*EZ247*AB213*2,"")</f>
        <v>54.206948571428576</v>
      </c>
      <c r="AC247" s="14" t="s">
        <v>62</v>
      </c>
      <c r="AD247" s="14" t="s">
        <v>62</v>
      </c>
      <c r="AE247" s="14">
        <f>IF(Distances!CR138&gt;0,(CQ247+Distances!CR138*1.84)*FC247*AE213*2,"")</f>
        <v>81.194194285714289</v>
      </c>
      <c r="AF247" s="14">
        <f>IF(Distances!CS138&gt;0,(CR247+Distances!CS138*1.84)*FD247*AF213*2,"")</f>
        <v>142.85284571428571</v>
      </c>
      <c r="AG247" s="14">
        <f>IF(Distances!CT138&gt;0,(CS247+Distances!CT138*1.84)*FE247*AG213*2,"")</f>
        <v>119.40598857142858</v>
      </c>
      <c r="AH247" s="13">
        <f>IF(Distances!CU138&gt;0,(CT247+Distances!CU138*1.84)*FF247*AH213*2,"")</f>
        <v>127.99653333333335</v>
      </c>
      <c r="AI247" s="12" t="s">
        <v>62</v>
      </c>
      <c r="AJ247" s="13">
        <f>IF(Distances!CW138&gt;0,(CV247+Distances!CW138*1.84)*FH247*AJ213*2,"")</f>
        <v>85.692888888888888</v>
      </c>
      <c r="AK247" s="13" t="s">
        <v>62</v>
      </c>
      <c r="AL247" s="13" t="s">
        <v>62</v>
      </c>
      <c r="AM247" s="13" t="s">
        <v>62</v>
      </c>
      <c r="AN247" s="13">
        <f>IF(Distances!DA138&gt;0,(CZ247+Distances!DA138*1.84)*FL247*AN213*2,"")</f>
        <v>1671.6479999999999</v>
      </c>
      <c r="AO247" s="14" t="s">
        <v>62</v>
      </c>
      <c r="AP247" s="14" t="s">
        <v>62</v>
      </c>
      <c r="AQ247" s="14" t="s">
        <v>62</v>
      </c>
      <c r="AR247" s="13" t="s">
        <v>62</v>
      </c>
      <c r="AS247" s="13">
        <f>IF(Distances!DF138&gt;0,(DE247+Distances!DF138*1.84)*FQ247*AS213*2,"")</f>
        <v>358.10801777777777</v>
      </c>
      <c r="AT247" s="13">
        <f>IF(Distances!DG138&gt;0,(DF247+Distances!DG138*1.84)*FR247*AT213*2,"")</f>
        <v>217.63015111111116</v>
      </c>
      <c r="AU247" s="12">
        <f>IF(Distances!DH138&gt;0,(DG247+Distances!DH138*1.84)*FS247*AU213*2,"")</f>
        <v>22331.93088</v>
      </c>
      <c r="AV247" s="13">
        <f>IF(Distances!DI138&gt;0,(DH247+Distances!DI138*1.84)*FT247*AV213*2,"")</f>
        <v>586.37127999999996</v>
      </c>
      <c r="AW247" s="13">
        <f>IF(Distances!DJ138&gt;0,(DI247+Distances!DJ138*1.84)*FU247*AW213*2,"")</f>
        <v>2286.7520888888889</v>
      </c>
      <c r="AX247" s="12" t="s">
        <v>62</v>
      </c>
      <c r="AY247" s="14" t="s">
        <v>62</v>
      </c>
      <c r="AZ247" s="14">
        <f>IF(Distances!DM138&gt;0,(DL247+Distances!DM138*1.84)*FX247*AZ213*2,"")</f>
        <v>123.51709090909094</v>
      </c>
      <c r="BA247" s="13" t="s">
        <v>62</v>
      </c>
      <c r="BB247" s="14" t="s">
        <v>62</v>
      </c>
      <c r="BC247" s="12" t="s">
        <v>62</v>
      </c>
      <c r="BD247" s="12">
        <f>IF(Distances!DQ138&gt;0,(DP247+Distances!DQ138*1.84)*GB247*BD213*2,"")</f>
        <v>58145.817600000002</v>
      </c>
      <c r="BE247" s="12" t="s">
        <v>62</v>
      </c>
      <c r="BF247" s="14">
        <f>IF(Distances!DS138&gt;0,(DR247+Distances!DS138*1.84)*GD247*BF213*2,"")</f>
        <v>160.23993142857145</v>
      </c>
      <c r="BG247" s="14">
        <f>IF(Distances!DT138&gt;0,(DS247+Distances!DT138*1.84)*GE247*BG213*2,"")</f>
        <v>64.527245714285712</v>
      </c>
      <c r="BH247" s="14">
        <f>IF(Distances!DU138&gt;0,(DT247+Distances!DU138*1.84)*GF247*BH213*2,"")</f>
        <v>149.46010790697676</v>
      </c>
      <c r="BI247" s="14">
        <f>IF(Distances!DV138&gt;0,(DU247+Distances!DV138*1.84)*GG247*BI213*2,"")</f>
        <v>79.023583255813961</v>
      </c>
      <c r="BJ247" s="15">
        <f>IF(Distances!DW138&gt;0,(DV247+Distances!DW138*1.84)*GH247*BJ213*2,"")</f>
        <v>149.74804837209302</v>
      </c>
      <c r="BM247" s="35" t="s">
        <v>34</v>
      </c>
      <c r="BN247" s="16">
        <v>1834.1063999999999</v>
      </c>
      <c r="BO247" s="14">
        <v>3217.8804</v>
      </c>
      <c r="BP247" s="14">
        <v>1715.2967999999998</v>
      </c>
      <c r="BQ247" s="14">
        <v>1715.2967999999998</v>
      </c>
      <c r="BR247" s="14">
        <v>1817.1299999999999</v>
      </c>
      <c r="BS247" s="14">
        <v>1640.8812</v>
      </c>
      <c r="BT247" s="14">
        <v>2140.5552000000002</v>
      </c>
      <c r="BU247" s="14">
        <v>1640.8812</v>
      </c>
      <c r="BV247" s="14">
        <v>1783.1856</v>
      </c>
      <c r="BW247" s="14">
        <v>1783.1856</v>
      </c>
      <c r="BX247" s="14">
        <v>2161.5383999999999</v>
      </c>
      <c r="BY247" s="14">
        <v>2161.5383999999999</v>
      </c>
      <c r="BZ247" s="14">
        <v>3408.9888000000001</v>
      </c>
      <c r="CA247" s="14">
        <v>1294.7339999999999</v>
      </c>
      <c r="CB247" s="14">
        <v>1329.6528000000001</v>
      </c>
      <c r="CC247" s="14">
        <v>1829.7803999999999</v>
      </c>
      <c r="CD247" s="14">
        <v>1812.5352</v>
      </c>
      <c r="CE247" s="14">
        <v>1864.2875999999999</v>
      </c>
      <c r="CF247" s="14">
        <v>1778.0279999999998</v>
      </c>
      <c r="CG247" s="14">
        <v>1208.8944000000001</v>
      </c>
      <c r="CH247" s="14">
        <v>1128.3887999999999</v>
      </c>
      <c r="CI247" s="14">
        <v>1795.2815999999998</v>
      </c>
      <c r="CJ247" s="14">
        <v>1640.3688</v>
      </c>
      <c r="CK247" s="14">
        <v>1778.0279999999998</v>
      </c>
      <c r="CL247" s="14">
        <v>1316.5319999999999</v>
      </c>
      <c r="CM247" s="14">
        <v>1292.6088</v>
      </c>
      <c r="CN247" s="14">
        <v>1244.7791999999999</v>
      </c>
      <c r="CO247" s="14">
        <v>1232.8176000000001</v>
      </c>
      <c r="CP247" s="14">
        <v>1640.3688</v>
      </c>
      <c r="CQ247" s="14">
        <v>1128.3887999999999</v>
      </c>
      <c r="CR247" s="14">
        <v>1128.3887999999999</v>
      </c>
      <c r="CS247" s="14">
        <v>1128.3887999999999</v>
      </c>
      <c r="CT247" s="13">
        <v>350.65799999999996</v>
      </c>
      <c r="CU247" s="12">
        <v>0</v>
      </c>
      <c r="CV247" s="13">
        <v>350.65799999999996</v>
      </c>
      <c r="CW247" s="13">
        <v>351.26280000000003</v>
      </c>
      <c r="CX247" s="13">
        <v>397.15199999999999</v>
      </c>
      <c r="CY247" s="13">
        <v>397.15199999999999</v>
      </c>
      <c r="CZ247" s="13">
        <v>397.15199999999999</v>
      </c>
      <c r="DA247" s="14">
        <v>471.72720000000004</v>
      </c>
      <c r="DB247" s="14">
        <v>480.8664</v>
      </c>
      <c r="DC247" s="14">
        <v>412.02</v>
      </c>
      <c r="DD247" s="13">
        <v>614.77919999999995</v>
      </c>
      <c r="DE247" s="13">
        <v>614.77919999999995</v>
      </c>
      <c r="DF247" s="13">
        <v>614.77919999999995</v>
      </c>
      <c r="DG247" s="12">
        <v>1267.0896</v>
      </c>
      <c r="DH247" s="13">
        <v>1640.3603999999998</v>
      </c>
      <c r="DI247" s="13">
        <v>1640.3603999999998</v>
      </c>
      <c r="DJ247" s="12">
        <v>1291.2060000000001</v>
      </c>
      <c r="DK247" s="14">
        <v>0</v>
      </c>
      <c r="DL247" s="14">
        <v>2506.8960000000002</v>
      </c>
      <c r="DM247" s="13">
        <v>847.65239999999994</v>
      </c>
      <c r="DN247" s="14">
        <v>1609.7171999999998</v>
      </c>
      <c r="DO247" s="12">
        <v>1207.626</v>
      </c>
      <c r="DP247" s="12">
        <v>1291.2060000000001</v>
      </c>
      <c r="DQ247" s="12">
        <v>1279.1519999999998</v>
      </c>
      <c r="DR247" s="14">
        <v>1371.0228</v>
      </c>
      <c r="DS247" s="14">
        <v>1107.5147999999999</v>
      </c>
      <c r="DT247" s="14">
        <v>3090.1163999999999</v>
      </c>
      <c r="DU247" s="14">
        <v>1913.9988000000001</v>
      </c>
      <c r="DV247" s="15">
        <v>1913.9988000000001</v>
      </c>
      <c r="DY247" s="35" t="s">
        <v>34</v>
      </c>
      <c r="DZ247" s="16">
        <v>6.2500000000000003E-3</v>
      </c>
      <c r="EA247" s="14">
        <v>6.2500000000000003E-3</v>
      </c>
      <c r="EB247" s="14">
        <v>6.2500000000000003E-3</v>
      </c>
      <c r="EC247" s="14">
        <v>6.2500000000000003E-3</v>
      </c>
      <c r="ED247" s="14">
        <v>6.2500000000000003E-3</v>
      </c>
      <c r="EE247" s="14">
        <v>6.2500000000000003E-3</v>
      </c>
      <c r="EF247" s="14">
        <v>6.2500000000000003E-3</v>
      </c>
      <c r="EG247" s="14">
        <v>6.2500000000000003E-3</v>
      </c>
      <c r="EH247" s="14">
        <v>6.2500000000000003E-3</v>
      </c>
      <c r="EI247" s="14">
        <v>6.2500000000000003E-3</v>
      </c>
      <c r="EJ247" s="14">
        <v>6.2500000000000003E-3</v>
      </c>
      <c r="EK247" s="14">
        <v>6.2500000000000003E-3</v>
      </c>
      <c r="EL247" s="14">
        <v>6.2500000000000003E-3</v>
      </c>
      <c r="EM247" s="14">
        <v>4.6511627906976744E-3</v>
      </c>
      <c r="EN247" s="14">
        <v>4.6511627906976744E-3</v>
      </c>
      <c r="EO247" s="14">
        <v>7.1428571428571435E-3</v>
      </c>
      <c r="EP247" s="14">
        <v>7.1428571428571435E-3</v>
      </c>
      <c r="EQ247" s="14">
        <v>7.1428571428571435E-3</v>
      </c>
      <c r="ER247" s="14">
        <v>7.1428571428571435E-3</v>
      </c>
      <c r="ES247" s="14">
        <v>7.1428571428571435E-3</v>
      </c>
      <c r="ET247" s="14">
        <v>7.1428571428571435E-3</v>
      </c>
      <c r="EU247" s="14">
        <v>7.1428571428571435E-3</v>
      </c>
      <c r="EV247" s="14">
        <v>7.1428571428571435E-3</v>
      </c>
      <c r="EW247" s="14">
        <v>7.1428571428571435E-3</v>
      </c>
      <c r="EX247" s="14">
        <v>7.1428571428571435E-3</v>
      </c>
      <c r="EY247" s="14">
        <v>7.1428571428571435E-3</v>
      </c>
      <c r="EZ247" s="14">
        <v>7.1428571428571435E-3</v>
      </c>
      <c r="FA247" s="14">
        <v>7.1428571428571435E-3</v>
      </c>
      <c r="FB247" s="14">
        <v>7.1428571428571435E-3</v>
      </c>
      <c r="FC247" s="14">
        <v>7.1428571428571435E-3</v>
      </c>
      <c r="FD247" s="14">
        <v>7.1428571428571435E-3</v>
      </c>
      <c r="FE247" s="14">
        <v>7.1428571428571435E-3</v>
      </c>
      <c r="FF247" s="13">
        <f>0.2/9</f>
        <v>2.2222222222222223E-2</v>
      </c>
      <c r="FG247" s="12">
        <v>0.6</v>
      </c>
      <c r="FH247" s="13">
        <f t="shared" si="89"/>
        <v>2.2222222222222223E-2</v>
      </c>
      <c r="FI247" s="13">
        <f t="shared" si="89"/>
        <v>2.2222222222222223E-2</v>
      </c>
      <c r="FJ247" s="13">
        <f t="shared" si="89"/>
        <v>2.2222222222222223E-2</v>
      </c>
      <c r="FK247" s="13">
        <f t="shared" si="89"/>
        <v>2.2222222222222223E-2</v>
      </c>
      <c r="FL247" s="13">
        <f t="shared" si="89"/>
        <v>2.2222222222222223E-2</v>
      </c>
      <c r="FM247" s="14">
        <v>4.7619047619047623E-3</v>
      </c>
      <c r="FN247" s="14">
        <v>4.7619047619047623E-3</v>
      </c>
      <c r="FO247" s="14">
        <v>4.7619047619047623E-3</v>
      </c>
      <c r="FP247" s="13">
        <f t="shared" ref="FP247:FP252" si="91">0.2/9</f>
        <v>2.2222222222222223E-2</v>
      </c>
      <c r="FQ247" s="13">
        <f t="shared" si="90"/>
        <v>2.2222222222222223E-2</v>
      </c>
      <c r="FR247" s="13">
        <f t="shared" si="90"/>
        <v>2.2222222222222223E-2</v>
      </c>
      <c r="FS247" s="12">
        <v>0.6</v>
      </c>
      <c r="FT247" s="13">
        <f t="shared" ref="FT247:FT252" si="92">0.2/10</f>
        <v>0.02</v>
      </c>
      <c r="FU247" s="13">
        <f t="shared" ref="FU247:FV252" si="93">0.2/9</f>
        <v>2.2222222222222223E-2</v>
      </c>
      <c r="FV247" s="12">
        <v>0.6</v>
      </c>
      <c r="FW247" s="14">
        <v>4.5454545454545461E-3</v>
      </c>
      <c r="FX247" s="14">
        <v>4.5454545454545461E-3</v>
      </c>
      <c r="FY247" s="13">
        <f t="shared" ref="FY247:FY252" si="94">0.2/9</f>
        <v>2.2222222222222223E-2</v>
      </c>
      <c r="FZ247" s="14">
        <v>7.1428571428571435E-3</v>
      </c>
      <c r="GA247" s="12">
        <v>0.6</v>
      </c>
      <c r="GB247" s="12">
        <v>0.6</v>
      </c>
      <c r="GC247" s="12">
        <v>0.6</v>
      </c>
      <c r="GD247" s="14">
        <v>7.1428571428571435E-3</v>
      </c>
      <c r="GE247" s="14">
        <v>7.1428571428571435E-3</v>
      </c>
      <c r="GF247" s="14">
        <v>4.6511627906976744E-3</v>
      </c>
      <c r="GG247" s="14">
        <v>4.6511627906976744E-3</v>
      </c>
      <c r="GH247" s="15">
        <v>4.6511627906976744E-3</v>
      </c>
    </row>
    <row r="248" spans="1:190" x14ac:dyDescent="0.3">
      <c r="A248" s="35" t="s">
        <v>35</v>
      </c>
      <c r="B248" s="16">
        <f>IF(Distances!BO139&gt;0,(BN248+Distances!BO139*1.84)*DZ248*B213*2,"")</f>
        <v>7970.8351600000005</v>
      </c>
      <c r="C248" s="14">
        <f>IF(Distances!BP139&gt;0,(BO248+Distances!BP139*1.84)*EA248*C213*2,"")</f>
        <v>11114.602569999999</v>
      </c>
      <c r="D248" s="14">
        <f>IF(Distances!BQ139&gt;0,(BP248+Distances!BQ139*1.84)*EB248*D213*2,"")</f>
        <v>17708.118910000001</v>
      </c>
      <c r="E248" s="14">
        <f>IF(Distances!BR139&gt;0,(BQ248+Distances!BR139*1.84)*EC248*E213*2,"")</f>
        <v>8762.7105100000008</v>
      </c>
      <c r="F248" s="14">
        <f>IF(Distances!BS139&gt;0,(BR248+Distances!BS139*1.84)*ED248*F213*2,"")</f>
        <v>9339.1983099999998</v>
      </c>
      <c r="G248" s="14">
        <f>IF(Distances!BT139&gt;0,(BS248+Distances!BT139*1.84)*EE248*G213*2,"")</f>
        <v>14770.997500000003</v>
      </c>
      <c r="H248" s="14">
        <f>IF(Distances!BU139&gt;0,(BT248+Distances!BU139*1.84)*EF248*H213*2,"")</f>
        <v>8534.8090599999996</v>
      </c>
      <c r="I248" s="14">
        <f>IF(Distances!BV139&gt;0,(BU248+Distances!BV139*1.84)*EG248*I213*2,"")</f>
        <v>7166.4247000000005</v>
      </c>
      <c r="J248" s="14">
        <f>IF(Distances!BW139&gt;0,(BV248+Distances!BW139*1.84)*EH248*J213*2,"")</f>
        <v>227.24901999999997</v>
      </c>
      <c r="K248" s="14">
        <f>IF(Distances!BX139&gt;0,(BW248+Distances!BX139*1.84)*EI248*K213*2,"")</f>
        <v>177.26542000000001</v>
      </c>
      <c r="L248" s="14">
        <f>IF(Distances!BY139&gt;0,(BX248+Distances!BY139*1.84)*EJ248*L213*2,"")</f>
        <v>259.21217999999999</v>
      </c>
      <c r="M248" s="14">
        <f>IF(Distances!BZ139&gt;0,(BY248+Distances!BZ139*1.84)*EK248*M213*2,"")</f>
        <v>169.88938000000002</v>
      </c>
      <c r="N248" s="14">
        <f>IF(Distances!CA139&gt;0,(BZ248+Distances!CA139*1.84)*EL248*N213*2,"")</f>
        <v>270.68687999999997</v>
      </c>
      <c r="O248" s="14">
        <f>IF(Distances!CB139&gt;0,(CA248+Distances!CB139*1.84)*EM248*O213*2,"")</f>
        <v>258.74388465116277</v>
      </c>
      <c r="P248" s="14">
        <f>IF(Distances!CC139&gt;0,(CB248+Distances!CC139*1.84)*EN248*P213*2,"")</f>
        <v>214.97842604651163</v>
      </c>
      <c r="Q248" s="14">
        <f>IF(Distances!CD139&gt;0,(CC248+Distances!CD139*1.84)*EO248*Q213*2,"")</f>
        <v>2282.4991428571429</v>
      </c>
      <c r="R248" s="14">
        <f>IF(Distances!CE139&gt;0,(CD248+Distances!CE139*1.84)*EP248*R213*2,"")</f>
        <v>2271.6031428571428</v>
      </c>
      <c r="S248" s="14">
        <f>IF(Distances!CF139&gt;0,(CE248+Distances!CF139*1.84)*EQ248*S213*2,"")</f>
        <v>2304.2911428571429</v>
      </c>
      <c r="T248" s="14">
        <f>IF(Distances!CG139&gt;0,(CF248+Distances!CG139*1.84)*ER248*T213*2,"")</f>
        <v>349.95195999999999</v>
      </c>
      <c r="U248" s="14">
        <f>IF(Distances!CH139&gt;0,(CG248+Distances!CH139*1.84)*ES248*U213*2,"")</f>
        <v>291.69208000000003</v>
      </c>
      <c r="V248" s="14">
        <f>IF(Distances!CI139&gt;0,(CH248+Distances!CI139*1.84)*ET248*V213*2,"")</f>
        <v>2313.2096914285717</v>
      </c>
      <c r="W248" s="14">
        <f>IF(Distances!CJ139&gt;0,(CI248+Distances!CJ139*1.84)*EU248*W213*2,"")</f>
        <v>2622.4202857142859</v>
      </c>
      <c r="X248" s="14">
        <f>IF(Distances!CK139&gt;0,(CJ248+Distances!CK139*1.84)*EV248*X213*2,"")</f>
        <v>2746.1551657142859</v>
      </c>
      <c r="Y248" s="14">
        <f>IF(Distances!CL139&gt;0,(CK248+Distances!CL139*1.84)*EW248*Y213*2,"")</f>
        <v>2994.7352114285713</v>
      </c>
      <c r="Z248" s="14">
        <f>IF(Distances!CM139&gt;0,(CL248+Distances!CM139*1.84)*EX248*Z213*2,"")</f>
        <v>72.638548571428572</v>
      </c>
      <c r="AA248" s="14">
        <f>IF(Distances!CN139&gt;0,(CM248+Distances!CN139*1.84)*EY248*AA213*2,"")</f>
        <v>76.132914285714293</v>
      </c>
      <c r="AB248" s="14">
        <f>IF(Distances!CO139&gt;0,(CN248+Distances!CO139*1.84)*EZ248*AB213*2,"")</f>
        <v>86.234354285714304</v>
      </c>
      <c r="AC248" s="14">
        <f>IF(Distances!CP139&gt;0,(CO248+Distances!CP139*1.84)*FA248*AC213*2,"")</f>
        <v>67.376045714285723</v>
      </c>
      <c r="AD248" s="14">
        <f>IF(Distances!CQ139&gt;0,(CP248+Distances!CQ139*1.84)*FB248*AD213*2,"")</f>
        <v>87.187805714285716</v>
      </c>
      <c r="AE248" s="14">
        <f>IF(Distances!CR139&gt;0,(CQ248+Distances!CR139*1.84)*FC248*AE213*2,"")</f>
        <v>102.67648000000001</v>
      </c>
      <c r="AF248" s="14">
        <f>IF(Distances!CS139&gt;0,(CR248+Distances!CS139*1.84)*FD248*AF213*2,"")</f>
        <v>185.81741714285715</v>
      </c>
      <c r="AG248" s="14">
        <f>IF(Distances!CT139&gt;0,(CS248+Distances!CT139*1.84)*FE248*AG213*2,"")</f>
        <v>162.37056000000001</v>
      </c>
      <c r="AH248" s="13">
        <f>IF(Distances!CU139&gt;0,(CT248+Distances!CU139*1.84)*FF248*AH213*2,"")</f>
        <v>182.51982222222222</v>
      </c>
      <c r="AI248" s="13">
        <f>IF(Distances!CV139&gt;0,(CU248+Distances!CV139*1.84)*FG248*AI213*2,"")</f>
        <v>85.692888888888888</v>
      </c>
      <c r="AJ248" s="12" t="s">
        <v>62</v>
      </c>
      <c r="AK248" s="13">
        <f>IF(Distances!CX139&gt;0,(CW248+Distances!CX139*1.84)*FI248*AK213*2,"")</f>
        <v>86.145742222222225</v>
      </c>
      <c r="AL248" s="13">
        <f>IF(Distances!CY139&gt;0,(CX248+Distances!CY139*1.84)*FJ248*AL213*2,"")</f>
        <v>4765.9152000000004</v>
      </c>
      <c r="AM248" s="13">
        <f>IF(Distances!CZ139&gt;0,(CY248+Distances!CZ139*1.84)*FK248*AM213*2,"")</f>
        <v>4765.9152000000004</v>
      </c>
      <c r="AN248" s="13">
        <f>IF(Distances!DA139&gt;0,(CZ248+Distances!DA139*1.84)*FL248*AN213*2,"")</f>
        <v>5484.3984000000009</v>
      </c>
      <c r="AO248" s="14">
        <f>IF(Distances!DB139&gt;0,(DA248+Distances!DB139*1.84)*FM248*AO213*2,"")</f>
        <v>39.273523809523816</v>
      </c>
      <c r="AP248" s="14">
        <f>IF(Distances!DC139&gt;0,(DB248+Distances!DC139*1.84)*FN248*AP213*2,"")</f>
        <v>39.452243809523814</v>
      </c>
      <c r="AQ248" s="14">
        <f>IF(Distances!DD139&gt;0,(DC248+Distances!DD139*1.84)*FO248*AQ213*2,"")</f>
        <v>38.114163809523816</v>
      </c>
      <c r="AR248" s="13">
        <f>IF(Distances!DE139&gt;0,(DD248+Distances!DE139*1.84)*FP248*AR213*2,"")</f>
        <v>196.38268444444444</v>
      </c>
      <c r="AS248" s="13">
        <f>IF(Distances!DF139&gt;0,(DE248+Distances!DF139*1.84)*FQ248*AS213*2,"")</f>
        <v>499.84366222222218</v>
      </c>
      <c r="AT248" s="13">
        <f>IF(Distances!DG139&gt;0,(DF248+Distances!DG139*1.84)*FR248*AT213*2,"")</f>
        <v>359.36579555555556</v>
      </c>
      <c r="AU248" s="13">
        <f>IF(Distances!DH139&gt;0,(DG248+Distances!DH139*1.84)*FS248*AU213*2,"")</f>
        <v>1274.8432355555556</v>
      </c>
      <c r="AV248" s="13">
        <f>IF(Distances!DI139&gt;0,(DH248+Distances!DI139*1.84)*FT248*AV213*2,"")</f>
        <v>868.61383999999998</v>
      </c>
      <c r="AW248" s="13">
        <f>IF(Distances!DJ139&gt;0,(DI248+Distances!DJ139*1.84)*FU248*AW213*2,"")</f>
        <v>2600.3549333333335</v>
      </c>
      <c r="AX248" s="13">
        <f>IF(Distances!DK139&gt;0,(DJ248+Distances!DK139*1.84)*FV248*AX213*2,"")</f>
        <v>443.20924444444449</v>
      </c>
      <c r="AY248" s="14">
        <f>IF(Distances!DL139&gt;0,(DK248+Distances!DL139*1.84)*FW248*AY213*2,"")</f>
        <v>57.361163636363642</v>
      </c>
      <c r="AZ248" s="14">
        <f>IF(Distances!DM139&gt;0,(DL248+Distances!DM139*1.84)*FX248*AZ213*2,"")</f>
        <v>180.03397818181821</v>
      </c>
      <c r="BA248" s="13">
        <f>IF(Distances!DN139&gt;0,(DM248+Distances!DN139*1.84)*FY248*BA213*2,"")</f>
        <v>367.25774222222219</v>
      </c>
      <c r="BB248" s="14">
        <f>IF(Distances!DO139&gt;0,(DN248+Distances!DO139*1.84)*FZ248*BB213*2,"")</f>
        <v>172.80217142857146</v>
      </c>
      <c r="BC248" s="13">
        <f>IF(Distances!DP139&gt;0,(DO248+Distances!DP139*1.84)*GA248*BC213*2,"")</f>
        <v>3404.5314844444447</v>
      </c>
      <c r="BD248" s="13">
        <f>IF(Distances!DQ139&gt;0,(DP248+Distances!DQ139*1.84)*GB248*BD213*2,"")</f>
        <v>3153.7060977777778</v>
      </c>
      <c r="BE248" s="13">
        <f>IF(Distances!DR139&gt;0,(DQ248+Distances!DR139*1.84)*GC248*BE213*2,"")</f>
        <v>2831.0078577777781</v>
      </c>
      <c r="BF248" s="14">
        <f>IF(Distances!DS139&gt;0,(DR248+Distances!DS139*1.84)*GD248*BF213*2,"")</f>
        <v>209.51698285714286</v>
      </c>
      <c r="BG248" s="14">
        <f>IF(Distances!DT139&gt;0,(DS248+Distances!DT139*1.84)*GE248*BG213*2,"")</f>
        <v>108.36493714285714</v>
      </c>
      <c r="BH248" s="14">
        <f>IF(Distances!DU139&gt;0,(DT248+Distances!DU139*1.84)*GF248*BH213*2,"")</f>
        <v>191.9513004651163</v>
      </c>
      <c r="BI248" s="14">
        <f>IF(Distances!DV139&gt;0,(DU248+Distances!DV139*1.84)*GG248*BI213*2,"")</f>
        <v>148.15629395348839</v>
      </c>
      <c r="BJ248" s="15">
        <f>IF(Distances!DW139&gt;0,(DV248+Distances!DW139*1.84)*GH248*BJ213*2,"")</f>
        <v>218.88075906976746</v>
      </c>
      <c r="BM248" s="35" t="s">
        <v>35</v>
      </c>
      <c r="BN248" s="16">
        <v>1579.3344</v>
      </c>
      <c r="BO248" s="14">
        <v>2824.3907999999997</v>
      </c>
      <c r="BP248" s="14">
        <v>1892.9484000000002</v>
      </c>
      <c r="BQ248" s="14">
        <v>1892.9484000000002</v>
      </c>
      <c r="BR248" s="14">
        <v>2005.3403999999998</v>
      </c>
      <c r="BS248" s="14">
        <v>1260.7560000000001</v>
      </c>
      <c r="BT248" s="14">
        <v>1802.6904</v>
      </c>
      <c r="BU248" s="14">
        <v>1260.7560000000001</v>
      </c>
      <c r="BV248" s="14">
        <v>1967.8763999999999</v>
      </c>
      <c r="BW248" s="14">
        <v>1967.8763999999999</v>
      </c>
      <c r="BX248" s="14">
        <v>1820.3556000000001</v>
      </c>
      <c r="BY248" s="14">
        <v>1820.3556000000001</v>
      </c>
      <c r="BZ248" s="14">
        <v>2992.1135999999997</v>
      </c>
      <c r="CA248" s="14">
        <v>1583.0387999999998</v>
      </c>
      <c r="CB248" s="14">
        <v>1628.8943999999999</v>
      </c>
      <c r="CC248" s="14">
        <v>1618.0667999999998</v>
      </c>
      <c r="CD248" s="14">
        <v>1602.8123999999998</v>
      </c>
      <c r="CE248" s="14">
        <v>1648.5755999999999</v>
      </c>
      <c r="CF248" s="14">
        <v>1572.3036</v>
      </c>
      <c r="CG248" s="14">
        <v>765.5927999999999</v>
      </c>
      <c r="CH248" s="14">
        <v>302.83679999999998</v>
      </c>
      <c r="CI248" s="14">
        <v>1587.558</v>
      </c>
      <c r="CJ248" s="14">
        <v>1474.1412</v>
      </c>
      <c r="CK248" s="14">
        <v>1572.3036</v>
      </c>
      <c r="CL248" s="14">
        <v>833.72519999999997</v>
      </c>
      <c r="CM248" s="14">
        <v>818.57999999999993</v>
      </c>
      <c r="CN248" s="14">
        <v>788.30640000000005</v>
      </c>
      <c r="CO248" s="14">
        <v>780.7296</v>
      </c>
      <c r="CP248" s="14">
        <v>1474.1412</v>
      </c>
      <c r="CQ248" s="14">
        <v>302.83679999999998</v>
      </c>
      <c r="CR248" s="14">
        <v>302.83679999999998</v>
      </c>
      <c r="CS248" s="14">
        <v>302.83679999999998</v>
      </c>
      <c r="CT248" s="13">
        <v>0</v>
      </c>
      <c r="CU248" s="13">
        <v>350.65799999999996</v>
      </c>
      <c r="CV248" s="12">
        <v>0</v>
      </c>
      <c r="CW248" s="13">
        <v>360.84719999999999</v>
      </c>
      <c r="CX248" s="13">
        <v>408.36599999999999</v>
      </c>
      <c r="CY248" s="13">
        <v>408.36599999999999</v>
      </c>
      <c r="CZ248" s="13">
        <v>408.36599999999999</v>
      </c>
      <c r="DA248" s="14">
        <v>484.428</v>
      </c>
      <c r="DB248" s="14">
        <v>493.81079999999997</v>
      </c>
      <c r="DC248" s="14">
        <v>423.5616</v>
      </c>
      <c r="DD248" s="13">
        <v>631.8732</v>
      </c>
      <c r="DE248" s="13">
        <v>631.8732</v>
      </c>
      <c r="DF248" s="13">
        <v>631.8732</v>
      </c>
      <c r="DG248" s="13">
        <v>409.2312</v>
      </c>
      <c r="DH248" s="13">
        <v>1474.1412</v>
      </c>
      <c r="DI248" s="13">
        <v>1474.1412</v>
      </c>
      <c r="DJ248" s="13">
        <v>417.00959999999998</v>
      </c>
      <c r="DK248" s="14">
        <v>0</v>
      </c>
      <c r="DL248" s="14">
        <v>2483.6784000000002</v>
      </c>
      <c r="DM248" s="13">
        <v>488.39279999999997</v>
      </c>
      <c r="DN248" s="14">
        <v>1446.606</v>
      </c>
      <c r="DO248" s="13">
        <v>816.37919999999997</v>
      </c>
      <c r="DP248" s="13">
        <v>417.00959999999998</v>
      </c>
      <c r="DQ248" s="13">
        <v>413.12039999999996</v>
      </c>
      <c r="DR248" s="14">
        <v>655.93920000000003</v>
      </c>
      <c r="DS248" s="14">
        <v>297.24239999999998</v>
      </c>
      <c r="DT248" s="14">
        <v>2654.6352000000002</v>
      </c>
      <c r="DU248" s="14">
        <v>2194.5084000000002</v>
      </c>
      <c r="DV248" s="15">
        <v>2194.5084000000002</v>
      </c>
      <c r="DY248" s="35" t="s">
        <v>35</v>
      </c>
      <c r="DZ248" s="16">
        <v>6.2500000000000003E-3</v>
      </c>
      <c r="EA248" s="14">
        <v>6.2500000000000003E-3</v>
      </c>
      <c r="EB248" s="14">
        <v>6.2500000000000003E-3</v>
      </c>
      <c r="EC248" s="14">
        <v>6.2500000000000003E-3</v>
      </c>
      <c r="ED248" s="14">
        <v>6.2500000000000003E-3</v>
      </c>
      <c r="EE248" s="14">
        <v>6.2500000000000003E-3</v>
      </c>
      <c r="EF248" s="14">
        <v>6.2500000000000003E-3</v>
      </c>
      <c r="EG248" s="14">
        <v>6.2500000000000003E-3</v>
      </c>
      <c r="EH248" s="14">
        <v>6.2500000000000003E-3</v>
      </c>
      <c r="EI248" s="14">
        <v>6.2500000000000003E-3</v>
      </c>
      <c r="EJ248" s="14">
        <v>6.2500000000000003E-3</v>
      </c>
      <c r="EK248" s="14">
        <v>6.2500000000000003E-3</v>
      </c>
      <c r="EL248" s="14">
        <v>6.2500000000000003E-3</v>
      </c>
      <c r="EM248" s="14">
        <v>4.6511627906976744E-3</v>
      </c>
      <c r="EN248" s="14">
        <v>4.6511627906976744E-3</v>
      </c>
      <c r="EO248" s="14">
        <v>7.1428571428571435E-3</v>
      </c>
      <c r="EP248" s="14">
        <v>7.1428571428571435E-3</v>
      </c>
      <c r="EQ248" s="14">
        <v>7.1428571428571435E-3</v>
      </c>
      <c r="ER248" s="14">
        <v>7.1428571428571435E-3</v>
      </c>
      <c r="ES248" s="14">
        <v>7.1428571428571435E-3</v>
      </c>
      <c r="ET248" s="14">
        <v>7.1428571428571435E-3</v>
      </c>
      <c r="EU248" s="14">
        <v>7.1428571428571435E-3</v>
      </c>
      <c r="EV248" s="14">
        <v>7.1428571428571435E-3</v>
      </c>
      <c r="EW248" s="14">
        <v>7.1428571428571435E-3</v>
      </c>
      <c r="EX248" s="14">
        <v>7.1428571428571435E-3</v>
      </c>
      <c r="EY248" s="14">
        <v>7.1428571428571435E-3</v>
      </c>
      <c r="EZ248" s="14">
        <v>7.1428571428571435E-3</v>
      </c>
      <c r="FA248" s="14">
        <v>7.1428571428571435E-3</v>
      </c>
      <c r="FB248" s="14">
        <v>7.1428571428571435E-3</v>
      </c>
      <c r="FC248" s="14">
        <v>7.1428571428571435E-3</v>
      </c>
      <c r="FD248" s="14">
        <v>7.1428571428571435E-3</v>
      </c>
      <c r="FE248" s="14">
        <v>7.1428571428571435E-3</v>
      </c>
      <c r="FF248" s="13">
        <f t="shared" ref="FF248:FJ252" si="95">0.2/9</f>
        <v>2.2222222222222223E-2</v>
      </c>
      <c r="FG248" s="13">
        <f t="shared" si="95"/>
        <v>2.2222222222222223E-2</v>
      </c>
      <c r="FH248" s="12">
        <v>0.6</v>
      </c>
      <c r="FI248" s="13">
        <f t="shared" si="89"/>
        <v>2.2222222222222223E-2</v>
      </c>
      <c r="FJ248" s="13">
        <f t="shared" si="89"/>
        <v>2.2222222222222223E-2</v>
      </c>
      <c r="FK248" s="13">
        <f t="shared" si="89"/>
        <v>2.2222222222222223E-2</v>
      </c>
      <c r="FL248" s="13">
        <f t="shared" si="89"/>
        <v>2.2222222222222223E-2</v>
      </c>
      <c r="FM248" s="14">
        <v>4.7619047619047623E-3</v>
      </c>
      <c r="FN248" s="14">
        <v>4.7619047619047623E-3</v>
      </c>
      <c r="FO248" s="14">
        <v>4.7619047619047623E-3</v>
      </c>
      <c r="FP248" s="13">
        <f t="shared" si="91"/>
        <v>2.2222222222222223E-2</v>
      </c>
      <c r="FQ248" s="13">
        <f t="shared" si="90"/>
        <v>2.2222222222222223E-2</v>
      </c>
      <c r="FR248" s="13">
        <f t="shared" si="90"/>
        <v>2.2222222222222223E-2</v>
      </c>
      <c r="FS248" s="13">
        <f t="shared" si="90"/>
        <v>2.2222222222222223E-2</v>
      </c>
      <c r="FT248" s="13">
        <f t="shared" si="92"/>
        <v>0.02</v>
      </c>
      <c r="FU248" s="13">
        <f t="shared" si="93"/>
        <v>2.2222222222222223E-2</v>
      </c>
      <c r="FV248" s="13">
        <f t="shared" si="93"/>
        <v>2.2222222222222223E-2</v>
      </c>
      <c r="FW248" s="14">
        <v>4.5454545454545461E-3</v>
      </c>
      <c r="FX248" s="14">
        <v>4.5454545454545461E-3</v>
      </c>
      <c r="FY248" s="13">
        <f t="shared" si="94"/>
        <v>2.2222222222222223E-2</v>
      </c>
      <c r="FZ248" s="14">
        <v>7.1428571428571435E-3</v>
      </c>
      <c r="GA248" s="13">
        <f t="shared" ref="GA248:GC252" si="96">0.2/9</f>
        <v>2.2222222222222223E-2</v>
      </c>
      <c r="GB248" s="13">
        <f t="shared" si="96"/>
        <v>2.2222222222222223E-2</v>
      </c>
      <c r="GC248" s="13">
        <f t="shared" si="96"/>
        <v>2.2222222222222223E-2</v>
      </c>
      <c r="GD248" s="14">
        <v>7.1428571428571435E-3</v>
      </c>
      <c r="GE248" s="14">
        <v>7.1428571428571435E-3</v>
      </c>
      <c r="GF248" s="14">
        <v>4.6511627906976744E-3</v>
      </c>
      <c r="GG248" s="14">
        <v>4.6511627906976744E-3</v>
      </c>
      <c r="GH248" s="15">
        <v>4.6511627906976744E-3</v>
      </c>
    </row>
    <row r="249" spans="1:190" x14ac:dyDescent="0.3">
      <c r="A249" s="35" t="s">
        <v>36</v>
      </c>
      <c r="B249" s="16" t="s">
        <v>62</v>
      </c>
      <c r="C249" s="14" t="s">
        <v>62</v>
      </c>
      <c r="D249" s="14">
        <f>IF(Distances!BQ140&gt;0,(BP249+Distances!BQ140*1.84)*EB249*D213*2,"")</f>
        <v>13402.60506</v>
      </c>
      <c r="E249" s="14" t="s">
        <v>62</v>
      </c>
      <c r="F249" s="14">
        <f>IF(Distances!BS140&gt;0,(BR249+Distances!BS140*1.84)*ED249*F213*2,"")</f>
        <v>5014.5318300000008</v>
      </c>
      <c r="G249" s="14">
        <f>IF(Distances!BT140&gt;0,(BS249+Distances!BT140*1.84)*EE249*G213*2,"")</f>
        <v>11868.39789</v>
      </c>
      <c r="H249" s="14" t="s">
        <v>62</v>
      </c>
      <c r="I249" s="14" t="s">
        <v>62</v>
      </c>
      <c r="J249" s="14">
        <f>IF(Distances!BW140&gt;0,(BV249+Distances!BW140*1.84)*EH249*J213*2,"")</f>
        <v>141.73847999999998</v>
      </c>
      <c r="K249" s="14" t="s">
        <v>62</v>
      </c>
      <c r="L249" s="14">
        <f>IF(Distances!BY140&gt;0,(BX249+Distances!BY140*1.84)*EJ249*L213*2,"")</f>
        <v>200.54594</v>
      </c>
      <c r="M249" s="14" t="s">
        <v>62</v>
      </c>
      <c r="N249" s="14">
        <f>IF(Distances!CA140&gt;0,(BZ249+Distances!CA140*1.84)*EL249*N213*2,"")</f>
        <v>217.62175999999999</v>
      </c>
      <c r="O249" s="14">
        <f>IF(Distances!CB140&gt;0,(CA249+Distances!CB140*1.84)*EM249*O213*2,"")</f>
        <v>139.7077841860465</v>
      </c>
      <c r="P249" s="14">
        <f>IF(Distances!CC140&gt;0,(CB249+Distances!CC140*1.84)*EN249*P213*2,"")</f>
        <v>95.296893023255805</v>
      </c>
      <c r="Q249" s="14" t="s">
        <v>62</v>
      </c>
      <c r="R249" s="14" t="s">
        <v>62</v>
      </c>
      <c r="S249" s="14" t="s">
        <v>62</v>
      </c>
      <c r="T249" s="14">
        <f>IF(Distances!CG140&gt;0,(CF249+Distances!CG140*1.84)*ER249*T213*2,"")</f>
        <v>217.95643999999999</v>
      </c>
      <c r="U249" s="14">
        <f>IF(Distances!CH140&gt;0,(CG249+Distances!CH140*1.84)*ES249*U213*2,"")</f>
        <v>181.7978</v>
      </c>
      <c r="V249" s="14">
        <f>IF(Distances!CI140&gt;0,(CH249+Distances!CI140*1.84)*ET249*V213*2,"")</f>
        <v>1717.4300457142861</v>
      </c>
      <c r="W249" s="14" t="s">
        <v>62</v>
      </c>
      <c r="X249" s="14">
        <f>IF(Distances!CK140&gt;0,(CJ249+Distances!CK140*1.84)*EV249*X213*2,"")</f>
        <v>1616.4252000000001</v>
      </c>
      <c r="Y249" s="14">
        <f>IF(Distances!CL140&gt;0,(CK249+Distances!CL140*1.84)*EW249*Y213*2,"")</f>
        <v>1901.0580457142858</v>
      </c>
      <c r="Z249" s="14">
        <f>IF(Distances!CM140&gt;0,(CL249+Distances!CM140*1.84)*EX249*Z213*2,"")</f>
        <v>42.458182857142859</v>
      </c>
      <c r="AA249" s="14">
        <f>IF(Distances!CN140&gt;0,(CM249+Distances!CN140*1.84)*EY249*AA213*2,"")</f>
        <v>45.682068571428566</v>
      </c>
      <c r="AB249" s="14">
        <f>IF(Distances!CO140&gt;0,(CN249+Distances!CO140*1.84)*EZ249*AB213*2,"")</f>
        <v>55.241828571428577</v>
      </c>
      <c r="AC249" s="14" t="s">
        <v>62</v>
      </c>
      <c r="AD249" s="14" t="s">
        <v>62</v>
      </c>
      <c r="AE249" s="14">
        <f>IF(Distances!CR140&gt;0,(CQ249+Distances!CR140*1.84)*FC249*AE213*2,"")</f>
        <v>82.1323542857143</v>
      </c>
      <c r="AF249" s="14">
        <f>IF(Distances!CS140&gt;0,(CR249+Distances!CS140*1.84)*FD249*AF213*2,"")</f>
        <v>144.72916571428573</v>
      </c>
      <c r="AG249" s="14">
        <f>IF(Distances!CT140&gt;0,(CS249+Distances!CT140*1.84)*FE249*AG213*2,"")</f>
        <v>121.28230857142859</v>
      </c>
      <c r="AH249" s="13">
        <f>IF(Distances!CU140&gt;0,(CT249+Distances!CU140*1.84)*FF249*AH213*2,"")</f>
        <v>128.4493866666667</v>
      </c>
      <c r="AI249" s="13" t="s">
        <v>62</v>
      </c>
      <c r="AJ249" s="13">
        <f>IF(Distances!CW140&gt;0,(CV249+Distances!CW140*1.84)*FH249*AJ213*2,"")</f>
        <v>86.145742222222225</v>
      </c>
      <c r="AK249" s="12" t="s">
        <v>62</v>
      </c>
      <c r="AL249" s="13" t="s">
        <v>62</v>
      </c>
      <c r="AM249" s="13" t="s">
        <v>62</v>
      </c>
      <c r="AN249" s="13">
        <f>IF(Distances!DA140&gt;0,(CZ249+Distances!DA140*1.84)*FL249*AN213*2,"")</f>
        <v>1699.3276799999999</v>
      </c>
      <c r="AO249" s="14" t="s">
        <v>62</v>
      </c>
      <c r="AP249" s="14" t="s">
        <v>62</v>
      </c>
      <c r="AQ249" s="14" t="s">
        <v>62</v>
      </c>
      <c r="AR249" s="13" t="s">
        <v>62</v>
      </c>
      <c r="AS249" s="13">
        <f>IF(Distances!DF140&gt;0,(DE249+Distances!DF140*1.84)*FQ249*AS213*2,"")</f>
        <v>359.69692444444445</v>
      </c>
      <c r="AT249" s="13">
        <f>IF(Distances!DG140&gt;0,(DF249+Distances!DG140*1.84)*FR249*AT213*2,"")</f>
        <v>219.21905777777778</v>
      </c>
      <c r="AU249" s="13">
        <f>IF(Distances!DH140&gt;0,(DG249+Distances!DH140*1.84)*FS249*AU213*2,"")</f>
        <v>850.05361777777784</v>
      </c>
      <c r="AV249" s="13">
        <f>IF(Distances!DI140&gt;0,(DH249+Distances!DI140*1.84)*FT249*AV213*2,"")</f>
        <v>595.92039999999997</v>
      </c>
      <c r="AW249" s="13">
        <f>IF(Distances!DJ140&gt;0,(DI249+Distances!DJ140*1.84)*FU249*AW213*2,"")</f>
        <v>2297.3622222222225</v>
      </c>
      <c r="AX249" s="13" t="s">
        <v>62</v>
      </c>
      <c r="AY249" s="14" t="s">
        <v>62</v>
      </c>
      <c r="AZ249" s="14">
        <f>IF(Distances!DM140&gt;0,(DL249+Distances!DM140*1.84)*FX249*AZ213*2,"")</f>
        <v>126.17118545454547</v>
      </c>
      <c r="BA249" s="13" t="s">
        <v>62</v>
      </c>
      <c r="BB249" s="14" t="s">
        <v>62</v>
      </c>
      <c r="BC249" s="13" t="s">
        <v>62</v>
      </c>
      <c r="BD249" s="13">
        <f>IF(Distances!DQ140&gt;0,(DP249+Distances!DQ140*1.84)*GB249*BD213*2,"")</f>
        <v>2206.9981866666672</v>
      </c>
      <c r="BE249" s="13" t="s">
        <v>62</v>
      </c>
      <c r="BF249" s="14">
        <f>IF(Distances!DS140&gt;0,(DR249+Distances!DS140*1.84)*GD249*BF213*2,"")</f>
        <v>162.52041142857144</v>
      </c>
      <c r="BG249" s="14">
        <f>IF(Distances!DT140&gt;0,(DS249+Distances!DT140*1.84)*GE249*BG213*2,"")</f>
        <v>66.36852571428571</v>
      </c>
      <c r="BH249" s="14">
        <f>IF(Distances!DU140&gt;0,(DT249+Distances!DU140*1.84)*GF249*BH213*2,"")</f>
        <v>152.80791813953488</v>
      </c>
      <c r="BI249" s="14">
        <f>IF(Distances!DV140&gt;0,(DU249+Distances!DV140*1.84)*GG249*BI213*2,"")</f>
        <v>81.096781395348842</v>
      </c>
      <c r="BJ249" s="15">
        <f>IF(Distances!DW140&gt;0,(DV249+Distances!DW140*1.84)*GH249*BJ213*2,"")</f>
        <v>151.82124651162789</v>
      </c>
      <c r="BM249" s="35" t="s">
        <v>36</v>
      </c>
      <c r="BN249" s="16">
        <v>1887.4967999999999</v>
      </c>
      <c r="BO249" s="14">
        <v>3311.5823999999998</v>
      </c>
      <c r="BP249" s="14">
        <v>1765.2264</v>
      </c>
      <c r="BQ249" s="14">
        <v>1765.2264</v>
      </c>
      <c r="BR249" s="14">
        <v>1870.0331999999999</v>
      </c>
      <c r="BS249" s="14">
        <v>1688.6435999999999</v>
      </c>
      <c r="BT249" s="14">
        <v>2202.8747999999996</v>
      </c>
      <c r="BU249" s="14">
        <v>1688.6435999999999</v>
      </c>
      <c r="BV249" s="14">
        <v>1835.0975999999998</v>
      </c>
      <c r="BW249" s="14">
        <v>1835.0975999999998</v>
      </c>
      <c r="BX249" s="14">
        <v>2224.4627999999998</v>
      </c>
      <c r="BY249" s="14">
        <v>2224.4627999999998</v>
      </c>
      <c r="BZ249" s="14">
        <v>3508.2431999999994</v>
      </c>
      <c r="CA249" s="14">
        <v>1332.4164000000001</v>
      </c>
      <c r="CB249" s="14">
        <v>1368.36</v>
      </c>
      <c r="CC249" s="14">
        <v>1883.0447999999997</v>
      </c>
      <c r="CD249" s="14">
        <v>1865.2956000000001</v>
      </c>
      <c r="CE249" s="14">
        <v>1918.56</v>
      </c>
      <c r="CF249" s="14">
        <v>1829.7803999999999</v>
      </c>
      <c r="CG249" s="14">
        <v>1244.0819999999999</v>
      </c>
      <c r="CH249" s="14">
        <v>1161.2244000000001</v>
      </c>
      <c r="CI249" s="14">
        <v>1847.5379999999998</v>
      </c>
      <c r="CJ249" s="14">
        <v>1688.106</v>
      </c>
      <c r="CK249" s="14">
        <v>1829.7803999999999</v>
      </c>
      <c r="CL249" s="14">
        <v>1354.8444</v>
      </c>
      <c r="CM249" s="14">
        <v>1330.2323999999999</v>
      </c>
      <c r="CN249" s="14">
        <v>1281</v>
      </c>
      <c r="CO249" s="14">
        <v>1268.694</v>
      </c>
      <c r="CP249" s="14">
        <v>1688.106</v>
      </c>
      <c r="CQ249" s="14">
        <v>1161.2244000000001</v>
      </c>
      <c r="CR249" s="14">
        <v>1161.2244000000001</v>
      </c>
      <c r="CS249" s="14">
        <v>1161.2244000000001</v>
      </c>
      <c r="CT249" s="13">
        <v>360.84719999999999</v>
      </c>
      <c r="CU249" s="13">
        <v>351.26280000000003</v>
      </c>
      <c r="CV249" s="13">
        <v>360.84719999999999</v>
      </c>
      <c r="CW249" s="12">
        <v>0</v>
      </c>
      <c r="CX249" s="13">
        <v>408.68519999999995</v>
      </c>
      <c r="CY249" s="13">
        <v>408.68519999999995</v>
      </c>
      <c r="CZ249" s="13">
        <v>408.68519999999995</v>
      </c>
      <c r="DA249" s="14">
        <v>485.43599999999998</v>
      </c>
      <c r="DB249" s="14">
        <v>494.84399999999999</v>
      </c>
      <c r="DC249" s="14">
        <v>423.99</v>
      </c>
      <c r="DD249" s="13">
        <v>632.6543999999999</v>
      </c>
      <c r="DE249" s="13">
        <v>632.6543999999999</v>
      </c>
      <c r="DF249" s="13">
        <v>632.6543999999999</v>
      </c>
      <c r="DG249" s="13">
        <v>1303.9656</v>
      </c>
      <c r="DH249" s="13">
        <v>1688.106</v>
      </c>
      <c r="DI249" s="13">
        <v>1688.106</v>
      </c>
      <c r="DJ249" s="13">
        <v>1328.7876000000001</v>
      </c>
      <c r="DK249" s="14">
        <v>0</v>
      </c>
      <c r="DL249" s="14">
        <v>2579.8835999999997</v>
      </c>
      <c r="DM249" s="13">
        <v>872.31479999999999</v>
      </c>
      <c r="DN249" s="14">
        <v>1656.5723999999998</v>
      </c>
      <c r="DO249" s="13">
        <v>1242.7716</v>
      </c>
      <c r="DP249" s="13">
        <v>1328.7876000000001</v>
      </c>
      <c r="DQ249" s="13">
        <v>1316.3807999999999</v>
      </c>
      <c r="DR249" s="14">
        <v>1410.9312</v>
      </c>
      <c r="DS249" s="14">
        <v>1139.7371999999998</v>
      </c>
      <c r="DT249" s="14">
        <v>3180.0888</v>
      </c>
      <c r="DU249" s="14">
        <v>1969.7159999999999</v>
      </c>
      <c r="DV249" s="15">
        <v>1969.7159999999999</v>
      </c>
      <c r="DY249" s="35" t="s">
        <v>36</v>
      </c>
      <c r="DZ249" s="16">
        <v>6.2500000000000003E-3</v>
      </c>
      <c r="EA249" s="14">
        <v>6.2500000000000003E-3</v>
      </c>
      <c r="EB249" s="14">
        <v>6.2500000000000003E-3</v>
      </c>
      <c r="EC249" s="14">
        <v>6.2500000000000003E-3</v>
      </c>
      <c r="ED249" s="14">
        <v>6.2500000000000003E-3</v>
      </c>
      <c r="EE249" s="14">
        <v>6.2500000000000003E-3</v>
      </c>
      <c r="EF249" s="14">
        <v>6.2500000000000003E-3</v>
      </c>
      <c r="EG249" s="14">
        <v>6.2500000000000003E-3</v>
      </c>
      <c r="EH249" s="14">
        <v>6.2500000000000003E-3</v>
      </c>
      <c r="EI249" s="14">
        <v>6.2500000000000003E-3</v>
      </c>
      <c r="EJ249" s="14">
        <v>6.2500000000000003E-3</v>
      </c>
      <c r="EK249" s="14">
        <v>6.2500000000000003E-3</v>
      </c>
      <c r="EL249" s="14">
        <v>6.2500000000000003E-3</v>
      </c>
      <c r="EM249" s="14">
        <v>4.6511627906976744E-3</v>
      </c>
      <c r="EN249" s="14">
        <v>4.6511627906976744E-3</v>
      </c>
      <c r="EO249" s="14">
        <v>7.1428571428571435E-3</v>
      </c>
      <c r="EP249" s="14">
        <v>7.1428571428571435E-3</v>
      </c>
      <c r="EQ249" s="14">
        <v>7.1428571428571435E-3</v>
      </c>
      <c r="ER249" s="14">
        <v>7.1428571428571435E-3</v>
      </c>
      <c r="ES249" s="14">
        <v>7.1428571428571435E-3</v>
      </c>
      <c r="ET249" s="14">
        <v>7.1428571428571435E-3</v>
      </c>
      <c r="EU249" s="14">
        <v>7.1428571428571435E-3</v>
      </c>
      <c r="EV249" s="14">
        <v>7.1428571428571435E-3</v>
      </c>
      <c r="EW249" s="14">
        <v>7.1428571428571435E-3</v>
      </c>
      <c r="EX249" s="14">
        <v>7.1428571428571435E-3</v>
      </c>
      <c r="EY249" s="14">
        <v>7.1428571428571435E-3</v>
      </c>
      <c r="EZ249" s="14">
        <v>7.1428571428571435E-3</v>
      </c>
      <c r="FA249" s="14">
        <v>7.1428571428571435E-3</v>
      </c>
      <c r="FB249" s="14">
        <v>7.1428571428571435E-3</v>
      </c>
      <c r="FC249" s="14">
        <v>7.1428571428571435E-3</v>
      </c>
      <c r="FD249" s="14">
        <v>7.1428571428571435E-3</v>
      </c>
      <c r="FE249" s="14">
        <v>7.1428571428571435E-3</v>
      </c>
      <c r="FF249" s="13">
        <f t="shared" si="95"/>
        <v>2.2222222222222223E-2</v>
      </c>
      <c r="FG249" s="13">
        <f t="shared" si="95"/>
        <v>2.2222222222222223E-2</v>
      </c>
      <c r="FH249" s="13">
        <f t="shared" si="95"/>
        <v>2.2222222222222223E-2</v>
      </c>
      <c r="FI249" s="12">
        <v>0.6</v>
      </c>
      <c r="FJ249" s="13">
        <f t="shared" si="89"/>
        <v>2.2222222222222223E-2</v>
      </c>
      <c r="FK249" s="13">
        <f t="shared" si="89"/>
        <v>2.2222222222222223E-2</v>
      </c>
      <c r="FL249" s="13">
        <f t="shared" si="89"/>
        <v>2.2222222222222223E-2</v>
      </c>
      <c r="FM249" s="14">
        <v>4.7619047619047623E-3</v>
      </c>
      <c r="FN249" s="14">
        <v>4.7619047619047623E-3</v>
      </c>
      <c r="FO249" s="14">
        <v>4.7619047619047623E-3</v>
      </c>
      <c r="FP249" s="13">
        <f t="shared" si="91"/>
        <v>2.2222222222222223E-2</v>
      </c>
      <c r="FQ249" s="13">
        <f t="shared" si="90"/>
        <v>2.2222222222222223E-2</v>
      </c>
      <c r="FR249" s="13">
        <f t="shared" si="90"/>
        <v>2.2222222222222223E-2</v>
      </c>
      <c r="FS249" s="13">
        <f t="shared" si="90"/>
        <v>2.2222222222222223E-2</v>
      </c>
      <c r="FT249" s="13">
        <f t="shared" si="92"/>
        <v>0.02</v>
      </c>
      <c r="FU249" s="13">
        <f t="shared" si="93"/>
        <v>2.2222222222222223E-2</v>
      </c>
      <c r="FV249" s="13">
        <f t="shared" si="93"/>
        <v>2.2222222222222223E-2</v>
      </c>
      <c r="FW249" s="14">
        <v>4.5454545454545461E-3</v>
      </c>
      <c r="FX249" s="14">
        <v>4.5454545454545461E-3</v>
      </c>
      <c r="FY249" s="13">
        <f t="shared" si="94"/>
        <v>2.2222222222222223E-2</v>
      </c>
      <c r="FZ249" s="14">
        <v>7.1428571428571435E-3</v>
      </c>
      <c r="GA249" s="13">
        <f t="shared" si="96"/>
        <v>2.2222222222222223E-2</v>
      </c>
      <c r="GB249" s="13">
        <f t="shared" si="96"/>
        <v>2.2222222222222223E-2</v>
      </c>
      <c r="GC249" s="13">
        <f t="shared" si="96"/>
        <v>2.2222222222222223E-2</v>
      </c>
      <c r="GD249" s="14">
        <v>7.1428571428571435E-3</v>
      </c>
      <c r="GE249" s="14">
        <v>7.1428571428571435E-3</v>
      </c>
      <c r="GF249" s="14">
        <v>4.6511627906976744E-3</v>
      </c>
      <c r="GG249" s="14">
        <v>4.6511627906976744E-3</v>
      </c>
      <c r="GH249" s="15">
        <v>4.6511627906976744E-3</v>
      </c>
    </row>
    <row r="250" spans="1:190" x14ac:dyDescent="0.3">
      <c r="A250" s="35" t="s">
        <v>37</v>
      </c>
      <c r="B250" s="16" t="s">
        <v>62</v>
      </c>
      <c r="C250" s="14" t="s">
        <v>62</v>
      </c>
      <c r="D250" s="14">
        <f>IF(Distances!BQ141&gt;0,(BP250+Distances!BQ141*1.84)*EB250*D213*2,"")</f>
        <v>12975.944700000002</v>
      </c>
      <c r="E250" s="14" t="s">
        <v>62</v>
      </c>
      <c r="F250" s="14">
        <f>IF(Distances!BS141&gt;0,(BR250+Distances!BS141*1.84)*ED250*F213*2,"")</f>
        <v>4562.5255199999992</v>
      </c>
      <c r="G250" s="14">
        <f>IF(Distances!BT141&gt;0,(BS250+Distances!BT141*1.84)*EE250*G213*2,"")</f>
        <v>8637.8815800000011</v>
      </c>
      <c r="H250" s="14" t="s">
        <v>62</v>
      </c>
      <c r="I250" s="14" t="s">
        <v>62</v>
      </c>
      <c r="J250" s="14">
        <f>IF(Distances!BW141&gt;0,(BV250+Distances!BW141*1.84)*EH250*J213*2,"")</f>
        <v>132.95501999999999</v>
      </c>
      <c r="K250" s="14" t="s">
        <v>62</v>
      </c>
      <c r="L250" s="14">
        <f>IF(Distances!BY141&gt;0,(BX250+Distances!BY141*1.84)*EJ250*L213*2,"")</f>
        <v>111.81254000000001</v>
      </c>
      <c r="M250" s="14" t="s">
        <v>62</v>
      </c>
      <c r="N250" s="14">
        <f>IF(Distances!CA141&gt;0,(BZ250+Distances!CA141*1.84)*EL250*N213*2,"")</f>
        <v>150.25039999999998</v>
      </c>
      <c r="O250" s="14">
        <f>IF(Distances!CB141&gt;0,(CA250+Distances!CB141*1.84)*EM250*O213*2,"")</f>
        <v>187.52175627906976</v>
      </c>
      <c r="P250" s="14">
        <f>IF(Distances!CC141&gt;0,(CB250+Distances!CC141*1.84)*EN250*P213*2,"")</f>
        <v>145.06685395348836</v>
      </c>
      <c r="Q250" s="14" t="s">
        <v>62</v>
      </c>
      <c r="R250" s="14" t="s">
        <v>62</v>
      </c>
      <c r="S250" s="14" t="s">
        <v>62</v>
      </c>
      <c r="T250" s="14">
        <f>IF(Distances!CG141&gt;0,(CF250+Distances!CG141*1.84)*ER250*T213*2,"")</f>
        <v>182.74532000000002</v>
      </c>
      <c r="U250" s="14">
        <f>IF(Distances!CH141&gt;0,(CG250+Distances!CH141*1.84)*ES250*U213*2,"")</f>
        <v>101.498</v>
      </c>
      <c r="V250" s="14">
        <f>IF(Distances!CI141&gt;0,(CH250+Distances!CI141*1.84)*ET250*V213*2,"")</f>
        <v>1138.5111657142859</v>
      </c>
      <c r="W250" s="14" t="s">
        <v>62</v>
      </c>
      <c r="X250" s="14">
        <f>IF(Distances!CK141&gt;0,(CJ250+Distances!CK141*1.84)*EV250*X213*2,"")</f>
        <v>1645.5806400000001</v>
      </c>
      <c r="Y250" s="14">
        <f>IF(Distances!CL141&gt;0,(CK250+Distances!CL141*1.84)*EW250*Y213*2,"")</f>
        <v>1609.308765714286</v>
      </c>
      <c r="Z250" s="14">
        <f>IF(Distances!CM141&gt;0,(CL250+Distances!CM141*1.84)*EX250*Z213*2,"")</f>
        <v>17.471062857142858</v>
      </c>
      <c r="AA250" s="14">
        <f>IF(Distances!CN141&gt;0,(CM250+Distances!CN141*1.84)*EY250*AA213*2,"")</f>
        <v>21.149268571428571</v>
      </c>
      <c r="AB250" s="14">
        <f>IF(Distances!CO141&gt;0,(CN250+Distances!CO141*1.84)*EZ250*AB213*2,"")</f>
        <v>31.617668571428577</v>
      </c>
      <c r="AC250" s="14" t="s">
        <v>62</v>
      </c>
      <c r="AD250" s="14" t="s">
        <v>62</v>
      </c>
      <c r="AE250" s="14">
        <f>IF(Distances!CR141&gt;0,(CQ250+Distances!CR141*1.84)*FC250*AE213*2,"")</f>
        <v>62.169634285714302</v>
      </c>
      <c r="AF250" s="14">
        <f>IF(Distances!CS141&gt;0,(CR250+Distances!CS141*1.84)*FD250*AF213*2,"")</f>
        <v>104.80372571428572</v>
      </c>
      <c r="AG250" s="14">
        <f>IF(Distances!CT141&gt;0,(CS250+Distances!CT141*1.84)*FE250*AG213*2,"")</f>
        <v>81.356868571428578</v>
      </c>
      <c r="AH250" s="13">
        <f>IF(Distances!CU141&gt;0,(CT250+Distances!CU141*1.84)*FF250*AH213*2,"")</f>
        <v>130.56133333333335</v>
      </c>
      <c r="AI250" s="13" t="s">
        <v>62</v>
      </c>
      <c r="AJ250" s="13">
        <f>IF(Distances!CW141&gt;0,(CV250+Distances!CW141*1.84)*FH250*AJ213*2,"")</f>
        <v>88.257688888888893</v>
      </c>
      <c r="AK250" s="13" t="s">
        <v>62</v>
      </c>
      <c r="AL250" s="12" t="s">
        <v>62</v>
      </c>
      <c r="AM250" s="13" t="s">
        <v>62</v>
      </c>
      <c r="AN250" s="13">
        <f>IF(Distances!DA141&gt;0,(CZ250+Distances!DA141*1.84)*FL250*AN213*2,"")</f>
        <v>1219.2374399999999</v>
      </c>
      <c r="AO250" s="14" t="s">
        <v>62</v>
      </c>
      <c r="AP250" s="14" t="s">
        <v>62</v>
      </c>
      <c r="AQ250" s="14" t="s">
        <v>62</v>
      </c>
      <c r="AR250" s="13" t="s">
        <v>62</v>
      </c>
      <c r="AS250" s="13">
        <f>IF(Distances!DF141&gt;0,(DE250+Distances!DF141*1.84)*FQ250*AS213*2,"")</f>
        <v>340.18951111111113</v>
      </c>
      <c r="AT250" s="13">
        <f>IF(Distances!DG141&gt;0,(DF250+Distances!DG141*1.84)*FR250*AT213*2,"")</f>
        <v>199.71164444444449</v>
      </c>
      <c r="AU250" s="13">
        <f>IF(Distances!DH141&gt;0,(DG250+Distances!DH141*1.84)*FS250*AU213*2,"")</f>
        <v>168.52241777777778</v>
      </c>
      <c r="AV250" s="13">
        <f>IF(Distances!DI141&gt;0,(DH250+Distances!DI141*1.84)*FT250*AV213*2,"")</f>
        <v>602.95792000000006</v>
      </c>
      <c r="AW250" s="13">
        <f>IF(Distances!DJ141&gt;0,(DI250+Distances!DJ141*1.84)*FU250*AW213*2,"")</f>
        <v>2305.1816888888893</v>
      </c>
      <c r="AX250" s="13" t="s">
        <v>62</v>
      </c>
      <c r="AY250" s="14" t="s">
        <v>62</v>
      </c>
      <c r="AZ250" s="14">
        <f>IF(Distances!DM141&gt;0,(DL250+Distances!DM141*1.84)*FX250*AZ213*2,"")</f>
        <v>127.42110545454547</v>
      </c>
      <c r="BA250" s="13" t="s">
        <v>62</v>
      </c>
      <c r="BB250" s="14" t="s">
        <v>62</v>
      </c>
      <c r="BC250" s="13" t="s">
        <v>62</v>
      </c>
      <c r="BD250" s="13">
        <f>IF(Distances!DQ141&gt;0,(DP250+Distances!DQ141*1.84)*GB250*BD213*2,"")</f>
        <v>619.53706666666665</v>
      </c>
      <c r="BE250" s="13" t="s">
        <v>62</v>
      </c>
      <c r="BF250" s="14">
        <f>IF(Distances!DS141&gt;0,(DR250+Distances!DS141*1.84)*GD250*BF213*2,"")</f>
        <v>129.87225142857145</v>
      </c>
      <c r="BG250" s="14">
        <f>IF(Distances!DT141&gt;0,(DS250+Distances!DT141*1.84)*GE250*BG213*2,"")</f>
        <v>27.182765714285715</v>
      </c>
      <c r="BH250" s="14">
        <f>IF(Distances!DU141&gt;0,(DT250+Distances!DU141*1.84)*GF250*BH213*2,"")</f>
        <v>97.795185116279072</v>
      </c>
      <c r="BI250" s="14">
        <f>IF(Distances!DV141&gt;0,(DU250+Distances!DV141*1.84)*GG250*BI213*2,"")</f>
        <v>96.296483720930226</v>
      </c>
      <c r="BJ250" s="15">
        <f>IF(Distances!DW141&gt;0,(DV250+Distances!DW141*1.84)*GH250*BJ213*2,"")</f>
        <v>167.02094883720932</v>
      </c>
      <c r="BM250" s="35" t="s">
        <v>37</v>
      </c>
      <c r="BN250" s="16">
        <v>1706.8127999999999</v>
      </c>
      <c r="BO250" s="14">
        <v>2039.7047999999998</v>
      </c>
      <c r="BP250" s="14">
        <v>1596.252</v>
      </c>
      <c r="BQ250" s="14">
        <v>1596.252</v>
      </c>
      <c r="BR250" s="14">
        <v>1691.0207999999998</v>
      </c>
      <c r="BS250" s="14">
        <v>409.2312</v>
      </c>
      <c r="BT250" s="14">
        <v>445.43519999999995</v>
      </c>
      <c r="BU250" s="14">
        <v>409.2312</v>
      </c>
      <c r="BV250" s="14">
        <v>1659.4284</v>
      </c>
      <c r="BW250" s="14">
        <v>1659.4284</v>
      </c>
      <c r="BX250" s="14">
        <v>449.79480000000001</v>
      </c>
      <c r="BY250" s="14">
        <v>449.79480000000001</v>
      </c>
      <c r="BZ250" s="14">
        <v>2160.8159999999998</v>
      </c>
      <c r="CA250" s="14">
        <v>2066.7024000000001</v>
      </c>
      <c r="CB250" s="14">
        <v>2132.6843999999996</v>
      </c>
      <c r="CC250" s="14">
        <v>1520.6855999999998</v>
      </c>
      <c r="CD250" s="14">
        <v>1506.3468</v>
      </c>
      <c r="CE250" s="14">
        <v>1549.3548000000001</v>
      </c>
      <c r="CF250" s="14">
        <v>1477.6692</v>
      </c>
      <c r="CG250" s="14">
        <v>441.084</v>
      </c>
      <c r="CH250" s="14">
        <v>462.5292</v>
      </c>
      <c r="CI250" s="14">
        <v>1492.008</v>
      </c>
      <c r="CJ250" s="14">
        <v>1723.2936</v>
      </c>
      <c r="CK250" s="14">
        <v>1477.6692</v>
      </c>
      <c r="CL250" s="14">
        <v>480.29519999999997</v>
      </c>
      <c r="CM250" s="14">
        <v>471.58439999999996</v>
      </c>
      <c r="CN250" s="14">
        <v>454.15439999999995</v>
      </c>
      <c r="CO250" s="14">
        <v>449.79480000000001</v>
      </c>
      <c r="CP250" s="14">
        <v>1723.2936</v>
      </c>
      <c r="CQ250" s="14">
        <v>462.5292</v>
      </c>
      <c r="CR250" s="14">
        <v>462.5292</v>
      </c>
      <c r="CS250" s="14">
        <v>462.5292</v>
      </c>
      <c r="CT250" s="13">
        <v>408.36599999999999</v>
      </c>
      <c r="CU250" s="13">
        <v>397.15199999999999</v>
      </c>
      <c r="CV250" s="13">
        <v>408.36599999999999</v>
      </c>
      <c r="CW250" s="13">
        <v>408.68519999999995</v>
      </c>
      <c r="CX250" s="12">
        <v>0</v>
      </c>
      <c r="CY250" s="13">
        <v>208.64759999999998</v>
      </c>
      <c r="CZ250" s="13">
        <v>208.64759999999998</v>
      </c>
      <c r="DA250" s="14">
        <v>573.20759999999996</v>
      </c>
      <c r="DB250" s="14">
        <v>584.32079999999996</v>
      </c>
      <c r="DC250" s="14">
        <v>667.95119999999997</v>
      </c>
      <c r="DD250" s="13">
        <v>413.19599999999997</v>
      </c>
      <c r="DE250" s="13">
        <v>413.19599999999997</v>
      </c>
      <c r="DF250" s="13">
        <v>413.19599999999997</v>
      </c>
      <c r="DG250" s="13">
        <v>208.64759999999998</v>
      </c>
      <c r="DH250" s="13">
        <v>1723.2936</v>
      </c>
      <c r="DI250" s="13">
        <v>1723.2936</v>
      </c>
      <c r="DJ250" s="13">
        <v>212.60399999999998</v>
      </c>
      <c r="DK250" s="14">
        <v>0</v>
      </c>
      <c r="DL250" s="14">
        <v>2614.2563999999998</v>
      </c>
      <c r="DM250" s="13">
        <v>770.02800000000002</v>
      </c>
      <c r="DN250" s="14">
        <v>1691.1048000000001</v>
      </c>
      <c r="DO250" s="13">
        <v>200.5164</v>
      </c>
      <c r="DP250" s="13">
        <v>212.60399999999998</v>
      </c>
      <c r="DQ250" s="13">
        <v>210.6216</v>
      </c>
      <c r="DR250" s="14">
        <v>839.58839999999998</v>
      </c>
      <c r="DS250" s="14">
        <v>453.9864</v>
      </c>
      <c r="DT250" s="14">
        <v>1701.6215999999999</v>
      </c>
      <c r="DU250" s="14">
        <v>2378.2079999999996</v>
      </c>
      <c r="DV250" s="15">
        <v>2378.2079999999996</v>
      </c>
      <c r="DY250" s="35" t="s">
        <v>37</v>
      </c>
      <c r="DZ250" s="16">
        <v>6.2500000000000003E-3</v>
      </c>
      <c r="EA250" s="14">
        <v>6.2500000000000003E-3</v>
      </c>
      <c r="EB250" s="14">
        <v>6.2500000000000003E-3</v>
      </c>
      <c r="EC250" s="14">
        <v>6.2500000000000003E-3</v>
      </c>
      <c r="ED250" s="14">
        <v>6.2500000000000003E-3</v>
      </c>
      <c r="EE250" s="14">
        <v>6.2500000000000003E-3</v>
      </c>
      <c r="EF250" s="14">
        <v>6.2500000000000003E-3</v>
      </c>
      <c r="EG250" s="14">
        <v>6.2500000000000003E-3</v>
      </c>
      <c r="EH250" s="14">
        <v>6.2500000000000003E-3</v>
      </c>
      <c r="EI250" s="14">
        <v>6.2500000000000003E-3</v>
      </c>
      <c r="EJ250" s="14">
        <v>6.2500000000000003E-3</v>
      </c>
      <c r="EK250" s="14">
        <v>6.2500000000000003E-3</v>
      </c>
      <c r="EL250" s="14">
        <v>6.2500000000000003E-3</v>
      </c>
      <c r="EM250" s="14">
        <v>4.6511627906976744E-3</v>
      </c>
      <c r="EN250" s="14">
        <v>4.6511627906976744E-3</v>
      </c>
      <c r="EO250" s="14">
        <v>7.1428571428571435E-3</v>
      </c>
      <c r="EP250" s="14">
        <v>7.1428571428571435E-3</v>
      </c>
      <c r="EQ250" s="14">
        <v>7.1428571428571435E-3</v>
      </c>
      <c r="ER250" s="14">
        <v>7.1428571428571435E-3</v>
      </c>
      <c r="ES250" s="14">
        <v>7.1428571428571435E-3</v>
      </c>
      <c r="ET250" s="14">
        <v>7.1428571428571435E-3</v>
      </c>
      <c r="EU250" s="14">
        <v>7.1428571428571435E-3</v>
      </c>
      <c r="EV250" s="14">
        <v>7.1428571428571435E-3</v>
      </c>
      <c r="EW250" s="14">
        <v>7.1428571428571435E-3</v>
      </c>
      <c r="EX250" s="14">
        <v>7.1428571428571435E-3</v>
      </c>
      <c r="EY250" s="14">
        <v>7.1428571428571435E-3</v>
      </c>
      <c r="EZ250" s="14">
        <v>7.1428571428571435E-3</v>
      </c>
      <c r="FA250" s="14">
        <v>7.1428571428571435E-3</v>
      </c>
      <c r="FB250" s="14">
        <v>7.1428571428571435E-3</v>
      </c>
      <c r="FC250" s="14">
        <v>7.1428571428571435E-3</v>
      </c>
      <c r="FD250" s="14">
        <v>7.1428571428571435E-3</v>
      </c>
      <c r="FE250" s="14">
        <v>7.1428571428571435E-3</v>
      </c>
      <c r="FF250" s="13">
        <f t="shared" si="95"/>
        <v>2.2222222222222223E-2</v>
      </c>
      <c r="FG250" s="13">
        <f t="shared" si="95"/>
        <v>2.2222222222222223E-2</v>
      </c>
      <c r="FH250" s="13">
        <f t="shared" si="95"/>
        <v>2.2222222222222223E-2</v>
      </c>
      <c r="FI250" s="13">
        <f t="shared" si="95"/>
        <v>2.2222222222222223E-2</v>
      </c>
      <c r="FJ250" s="12">
        <v>0.6</v>
      </c>
      <c r="FK250" s="13">
        <f t="shared" si="89"/>
        <v>2.2222222222222223E-2</v>
      </c>
      <c r="FL250" s="13">
        <f t="shared" si="89"/>
        <v>2.2222222222222223E-2</v>
      </c>
      <c r="FM250" s="14">
        <v>4.7619047619047623E-3</v>
      </c>
      <c r="FN250" s="14">
        <v>4.7619047619047623E-3</v>
      </c>
      <c r="FO250" s="14">
        <v>4.7619047619047623E-3</v>
      </c>
      <c r="FP250" s="13">
        <f t="shared" si="91"/>
        <v>2.2222222222222223E-2</v>
      </c>
      <c r="FQ250" s="13">
        <f t="shared" si="90"/>
        <v>2.2222222222222223E-2</v>
      </c>
      <c r="FR250" s="13">
        <f t="shared" si="90"/>
        <v>2.2222222222222223E-2</v>
      </c>
      <c r="FS250" s="13">
        <f t="shared" si="90"/>
        <v>2.2222222222222223E-2</v>
      </c>
      <c r="FT250" s="13">
        <f t="shared" si="92"/>
        <v>0.02</v>
      </c>
      <c r="FU250" s="13">
        <f t="shared" si="93"/>
        <v>2.2222222222222223E-2</v>
      </c>
      <c r="FV250" s="13">
        <f t="shared" si="93"/>
        <v>2.2222222222222223E-2</v>
      </c>
      <c r="FW250" s="14">
        <v>4.5454545454545461E-3</v>
      </c>
      <c r="FX250" s="14">
        <v>4.5454545454545461E-3</v>
      </c>
      <c r="FY250" s="13">
        <f t="shared" si="94"/>
        <v>2.2222222222222223E-2</v>
      </c>
      <c r="FZ250" s="14">
        <v>7.1428571428571435E-3</v>
      </c>
      <c r="GA250" s="13">
        <f t="shared" si="96"/>
        <v>2.2222222222222223E-2</v>
      </c>
      <c r="GB250" s="13">
        <f t="shared" si="96"/>
        <v>2.2222222222222223E-2</v>
      </c>
      <c r="GC250" s="13">
        <f t="shared" si="96"/>
        <v>2.2222222222222223E-2</v>
      </c>
      <c r="GD250" s="14">
        <v>7.1428571428571435E-3</v>
      </c>
      <c r="GE250" s="14">
        <v>7.1428571428571435E-3</v>
      </c>
      <c r="GF250" s="14">
        <v>4.6511627906976744E-3</v>
      </c>
      <c r="GG250" s="14">
        <v>4.6511627906976744E-3</v>
      </c>
      <c r="GH250" s="15">
        <v>4.6511627906976744E-3</v>
      </c>
    </row>
    <row r="251" spans="1:190" x14ac:dyDescent="0.3">
      <c r="A251" s="35" t="s">
        <v>38</v>
      </c>
      <c r="B251" s="16" t="s">
        <v>62</v>
      </c>
      <c r="C251" s="14" t="s">
        <v>62</v>
      </c>
      <c r="D251" s="14">
        <f>IF(Distances!BQ142&gt;0,(BP251+Distances!BQ142*1.84)*EB251*D213*2,"")</f>
        <v>12975.944700000002</v>
      </c>
      <c r="E251" s="14" t="s">
        <v>62</v>
      </c>
      <c r="F251" s="14">
        <f>IF(Distances!BS142&gt;0,(BR251+Distances!BS142*1.84)*ED251*F213*2,"")</f>
        <v>4562.5255199999992</v>
      </c>
      <c r="G251" s="14">
        <f>IF(Distances!BT142&gt;0,(BS251+Distances!BT142*1.84)*EE251*G213*2,"")</f>
        <v>8637.8815800000011</v>
      </c>
      <c r="H251" s="14" t="s">
        <v>62</v>
      </c>
      <c r="I251" s="14" t="s">
        <v>62</v>
      </c>
      <c r="J251" s="14">
        <f>IF(Distances!BW142&gt;0,(BV251+Distances!BW142*1.84)*EH251*J213*2,"")</f>
        <v>132.95501999999999</v>
      </c>
      <c r="K251" s="14" t="s">
        <v>62</v>
      </c>
      <c r="L251" s="14">
        <f>IF(Distances!BY142&gt;0,(BX251+Distances!BY142*1.84)*EJ251*L213*2,"")</f>
        <v>111.81254000000001</v>
      </c>
      <c r="M251" s="14" t="s">
        <v>62</v>
      </c>
      <c r="N251" s="14">
        <f>IF(Distances!CA142&gt;0,(BZ251+Distances!CA142*1.84)*EL251*N213*2,"")</f>
        <v>150.25039999999998</v>
      </c>
      <c r="O251" s="14">
        <f>IF(Distances!CB142&gt;0,(CA251+Distances!CB142*1.84)*EM251*O213*2,"")</f>
        <v>187.52175627906976</v>
      </c>
      <c r="P251" s="14">
        <f>IF(Distances!CC142&gt;0,(CB251+Distances!CC142*1.84)*EN251*P213*2,"")</f>
        <v>145.06685395348836</v>
      </c>
      <c r="Q251" s="14" t="s">
        <v>62</v>
      </c>
      <c r="R251" s="14" t="s">
        <v>62</v>
      </c>
      <c r="S251" s="14" t="s">
        <v>62</v>
      </c>
      <c r="T251" s="14">
        <f>IF(Distances!CG142&gt;0,(CF251+Distances!CG142*1.84)*ER251*T213*2,"")</f>
        <v>182.74532000000002</v>
      </c>
      <c r="U251" s="14">
        <f>IF(Distances!CH142&gt;0,(CG251+Distances!CH142*1.84)*ES251*U213*2,"")</f>
        <v>101.498</v>
      </c>
      <c r="V251" s="14">
        <f>IF(Distances!CI142&gt;0,(CH251+Distances!CI142*1.84)*ET251*V213*2,"")</f>
        <v>1138.5111657142859</v>
      </c>
      <c r="W251" s="14" t="s">
        <v>62</v>
      </c>
      <c r="X251" s="14">
        <f>IF(Distances!CK142&gt;0,(CJ251+Distances!CK142*1.84)*EV251*X213*2,"")</f>
        <v>1645.5806400000001</v>
      </c>
      <c r="Y251" s="14">
        <f>IF(Distances!CL142&gt;0,(CK251+Distances!CL142*1.84)*EW251*Y213*2,"")</f>
        <v>1609.308765714286</v>
      </c>
      <c r="Z251" s="14">
        <f>IF(Distances!CM142&gt;0,(CL251+Distances!CM142*1.84)*EX251*Z213*2,"")</f>
        <v>17.471062857142858</v>
      </c>
      <c r="AA251" s="14">
        <f>IF(Distances!CN142&gt;0,(CM251+Distances!CN142*1.84)*EY251*AA213*2,"")</f>
        <v>21.149268571428571</v>
      </c>
      <c r="AB251" s="14">
        <f>IF(Distances!CO142&gt;0,(CN251+Distances!CO142*1.84)*EZ251*AB213*2,"")</f>
        <v>31.617668571428577</v>
      </c>
      <c r="AC251" s="14" t="s">
        <v>62</v>
      </c>
      <c r="AD251" s="14" t="s">
        <v>62</v>
      </c>
      <c r="AE251" s="14">
        <f>IF(Distances!CR142&gt;0,(CQ251+Distances!CR142*1.84)*FC251*AE213*2,"")</f>
        <v>62.169634285714302</v>
      </c>
      <c r="AF251" s="14">
        <f>IF(Distances!CS142&gt;0,(CR251+Distances!CS142*1.84)*FD251*AF213*2,"")</f>
        <v>104.80372571428572</v>
      </c>
      <c r="AG251" s="14">
        <f>IF(Distances!CT142&gt;0,(CS251+Distances!CT142*1.84)*FE251*AG213*2,"")</f>
        <v>81.356868571428578</v>
      </c>
      <c r="AH251" s="13">
        <f>IF(Distances!CU142&gt;0,(CT251+Distances!CU142*1.84)*FF251*AH213*2,"")</f>
        <v>130.56133333333335</v>
      </c>
      <c r="AI251" s="13" t="s">
        <v>62</v>
      </c>
      <c r="AJ251" s="13">
        <f>IF(Distances!CW142&gt;0,(CV251+Distances!CW142*1.84)*FH251*AJ213*2,"")</f>
        <v>88.257688888888893</v>
      </c>
      <c r="AK251" s="13" t="s">
        <v>62</v>
      </c>
      <c r="AL251" s="13" t="s">
        <v>62</v>
      </c>
      <c r="AM251" s="12" t="s">
        <v>62</v>
      </c>
      <c r="AN251" s="13">
        <f>IF(Distances!DA142&gt;0,(CZ251+Distances!DA142*1.84)*FL251*AN213*2,"")</f>
        <v>1219.2374399999999</v>
      </c>
      <c r="AO251" s="14" t="s">
        <v>62</v>
      </c>
      <c r="AP251" s="14" t="s">
        <v>62</v>
      </c>
      <c r="AQ251" s="14" t="s">
        <v>62</v>
      </c>
      <c r="AR251" s="13" t="s">
        <v>62</v>
      </c>
      <c r="AS251" s="13">
        <f>IF(Distances!DF142&gt;0,(DE251+Distances!DF142*1.84)*FQ251*AS213*2,"")</f>
        <v>340.18951111111113</v>
      </c>
      <c r="AT251" s="13">
        <f>IF(Distances!DG142&gt;0,(DF251+Distances!DG142*1.84)*FR251*AT213*2,"")</f>
        <v>199.71164444444449</v>
      </c>
      <c r="AU251" s="13">
        <f>IF(Distances!DH142&gt;0,(DG251+Distances!DH142*1.84)*FS251*AU213*2,"")</f>
        <v>168.52241777777778</v>
      </c>
      <c r="AV251" s="13">
        <f>IF(Distances!DI142&gt;0,(DH251+Distances!DI142*1.84)*FT251*AV213*2,"")</f>
        <v>602.95792000000006</v>
      </c>
      <c r="AW251" s="13">
        <f>IF(Distances!DJ142&gt;0,(DI251+Distances!DJ142*1.84)*FU251*AW213*2,"")</f>
        <v>2305.1816888888893</v>
      </c>
      <c r="AX251" s="13" t="s">
        <v>62</v>
      </c>
      <c r="AY251" s="14" t="s">
        <v>62</v>
      </c>
      <c r="AZ251" s="14">
        <f>IF(Distances!DM142&gt;0,(DL251+Distances!DM142*1.84)*FX251*AZ213*2,"")</f>
        <v>127.42110545454547</v>
      </c>
      <c r="BA251" s="13" t="s">
        <v>62</v>
      </c>
      <c r="BB251" s="14" t="s">
        <v>62</v>
      </c>
      <c r="BC251" s="13" t="s">
        <v>62</v>
      </c>
      <c r="BD251" s="13">
        <f>IF(Distances!DQ142&gt;0,(DP251+Distances!DQ142*1.84)*GB251*BD213*2,"")</f>
        <v>619.53706666666665</v>
      </c>
      <c r="BE251" s="13" t="s">
        <v>62</v>
      </c>
      <c r="BF251" s="14">
        <f>IF(Distances!DS142&gt;0,(DR251+Distances!DS142*1.84)*GD251*BF213*2,"")</f>
        <v>129.87225142857145</v>
      </c>
      <c r="BG251" s="14">
        <f>IF(Distances!DT142&gt;0,(DS251+Distances!DT142*1.84)*GE251*BG213*2,"")</f>
        <v>27.182765714285715</v>
      </c>
      <c r="BH251" s="14">
        <f>IF(Distances!DU142&gt;0,(DT251+Distances!DU142*1.84)*GF251*BH213*2,"")</f>
        <v>97.795185116279072</v>
      </c>
      <c r="BI251" s="14">
        <f>IF(Distances!DV142&gt;0,(DU251+Distances!DV142*1.84)*GG251*BI213*2,"")</f>
        <v>96.296483720930226</v>
      </c>
      <c r="BJ251" s="15">
        <f>IF(Distances!DW142&gt;0,(DV251+Distances!DW142*1.84)*GH251*BJ213*2,"")</f>
        <v>167.02094883720932</v>
      </c>
      <c r="BM251" s="35" t="s">
        <v>38</v>
      </c>
      <c r="BN251" s="16">
        <v>1706.8127999999999</v>
      </c>
      <c r="BO251" s="14">
        <v>2039.7047999999998</v>
      </c>
      <c r="BP251" s="14">
        <v>1596.252</v>
      </c>
      <c r="BQ251" s="14">
        <v>1596.252</v>
      </c>
      <c r="BR251" s="14">
        <v>1691.0207999999998</v>
      </c>
      <c r="BS251" s="14">
        <v>409.2312</v>
      </c>
      <c r="BT251" s="14">
        <v>445.43519999999995</v>
      </c>
      <c r="BU251" s="14">
        <v>409.2312</v>
      </c>
      <c r="BV251" s="14">
        <v>1659.4284</v>
      </c>
      <c r="BW251" s="14">
        <v>1659.4284</v>
      </c>
      <c r="BX251" s="14">
        <v>449.79480000000001</v>
      </c>
      <c r="BY251" s="14">
        <v>449.79480000000001</v>
      </c>
      <c r="BZ251" s="14">
        <v>2160.8159999999998</v>
      </c>
      <c r="CA251" s="14">
        <v>2066.7024000000001</v>
      </c>
      <c r="CB251" s="14">
        <v>2132.6843999999996</v>
      </c>
      <c r="CC251" s="14">
        <v>1520.6855999999998</v>
      </c>
      <c r="CD251" s="14">
        <v>1506.3468</v>
      </c>
      <c r="CE251" s="14">
        <v>1549.3548000000001</v>
      </c>
      <c r="CF251" s="14">
        <v>1477.6692</v>
      </c>
      <c r="CG251" s="14">
        <v>441.084</v>
      </c>
      <c r="CH251" s="14">
        <v>462.5292</v>
      </c>
      <c r="CI251" s="14">
        <v>1492.008</v>
      </c>
      <c r="CJ251" s="14">
        <v>1723.2936</v>
      </c>
      <c r="CK251" s="14">
        <v>1477.6692</v>
      </c>
      <c r="CL251" s="14">
        <v>480.29519999999997</v>
      </c>
      <c r="CM251" s="14">
        <v>471.58439999999996</v>
      </c>
      <c r="CN251" s="14">
        <v>454.15439999999995</v>
      </c>
      <c r="CO251" s="14">
        <v>449.79480000000001</v>
      </c>
      <c r="CP251" s="14">
        <v>1723.2936</v>
      </c>
      <c r="CQ251" s="14">
        <v>462.5292</v>
      </c>
      <c r="CR251" s="14">
        <v>462.5292</v>
      </c>
      <c r="CS251" s="14">
        <v>462.5292</v>
      </c>
      <c r="CT251" s="13">
        <v>408.36599999999999</v>
      </c>
      <c r="CU251" s="13">
        <v>397.15199999999999</v>
      </c>
      <c r="CV251" s="13">
        <v>408.36599999999999</v>
      </c>
      <c r="CW251" s="13">
        <v>408.68519999999995</v>
      </c>
      <c r="CX251" s="13">
        <v>208.64759999999998</v>
      </c>
      <c r="CY251" s="12">
        <v>0</v>
      </c>
      <c r="CZ251" s="13">
        <v>208.64759999999998</v>
      </c>
      <c r="DA251" s="14">
        <v>573.20759999999996</v>
      </c>
      <c r="DB251" s="14">
        <v>584.32079999999996</v>
      </c>
      <c r="DC251" s="14">
        <v>667.95119999999997</v>
      </c>
      <c r="DD251" s="13">
        <v>413.19599999999997</v>
      </c>
      <c r="DE251" s="13">
        <v>413.19599999999997</v>
      </c>
      <c r="DF251" s="13">
        <v>413.19599999999997</v>
      </c>
      <c r="DG251" s="13">
        <v>208.64759999999998</v>
      </c>
      <c r="DH251" s="13">
        <v>1723.2936</v>
      </c>
      <c r="DI251" s="13">
        <v>1723.2936</v>
      </c>
      <c r="DJ251" s="13">
        <v>212.60399999999998</v>
      </c>
      <c r="DK251" s="14">
        <v>0</v>
      </c>
      <c r="DL251" s="14">
        <v>2614.2563999999998</v>
      </c>
      <c r="DM251" s="13">
        <v>770.02800000000002</v>
      </c>
      <c r="DN251" s="14">
        <v>1691.1048000000001</v>
      </c>
      <c r="DO251" s="13">
        <v>200.5164</v>
      </c>
      <c r="DP251" s="13">
        <v>212.60399999999998</v>
      </c>
      <c r="DQ251" s="13">
        <v>210.6216</v>
      </c>
      <c r="DR251" s="14">
        <v>839.58839999999998</v>
      </c>
      <c r="DS251" s="14">
        <v>453.9864</v>
      </c>
      <c r="DT251" s="14">
        <v>1701.6215999999999</v>
      </c>
      <c r="DU251" s="14">
        <v>2378.2079999999996</v>
      </c>
      <c r="DV251" s="15">
        <v>2378.2079999999996</v>
      </c>
      <c r="DY251" s="35" t="s">
        <v>38</v>
      </c>
      <c r="DZ251" s="16">
        <v>6.2500000000000003E-3</v>
      </c>
      <c r="EA251" s="14">
        <v>6.2500000000000003E-3</v>
      </c>
      <c r="EB251" s="14">
        <v>6.2500000000000003E-3</v>
      </c>
      <c r="EC251" s="14">
        <v>6.2500000000000003E-3</v>
      </c>
      <c r="ED251" s="14">
        <v>6.2500000000000003E-3</v>
      </c>
      <c r="EE251" s="14">
        <v>6.2500000000000003E-3</v>
      </c>
      <c r="EF251" s="14">
        <v>6.2500000000000003E-3</v>
      </c>
      <c r="EG251" s="14">
        <v>6.2500000000000003E-3</v>
      </c>
      <c r="EH251" s="14">
        <v>6.2500000000000003E-3</v>
      </c>
      <c r="EI251" s="14">
        <v>6.2500000000000003E-3</v>
      </c>
      <c r="EJ251" s="14">
        <v>6.2500000000000003E-3</v>
      </c>
      <c r="EK251" s="14">
        <v>6.2500000000000003E-3</v>
      </c>
      <c r="EL251" s="14">
        <v>6.2500000000000003E-3</v>
      </c>
      <c r="EM251" s="14">
        <v>4.6511627906976744E-3</v>
      </c>
      <c r="EN251" s="14">
        <v>4.6511627906976744E-3</v>
      </c>
      <c r="EO251" s="14">
        <v>7.1428571428571435E-3</v>
      </c>
      <c r="EP251" s="14">
        <v>7.1428571428571435E-3</v>
      </c>
      <c r="EQ251" s="14">
        <v>7.1428571428571435E-3</v>
      </c>
      <c r="ER251" s="14">
        <v>7.1428571428571435E-3</v>
      </c>
      <c r="ES251" s="14">
        <v>7.1428571428571435E-3</v>
      </c>
      <c r="ET251" s="14">
        <v>7.1428571428571435E-3</v>
      </c>
      <c r="EU251" s="14">
        <v>7.1428571428571435E-3</v>
      </c>
      <c r="EV251" s="14">
        <v>7.1428571428571435E-3</v>
      </c>
      <c r="EW251" s="14">
        <v>7.1428571428571435E-3</v>
      </c>
      <c r="EX251" s="14">
        <v>7.1428571428571435E-3</v>
      </c>
      <c r="EY251" s="14">
        <v>7.1428571428571435E-3</v>
      </c>
      <c r="EZ251" s="14">
        <v>7.1428571428571435E-3</v>
      </c>
      <c r="FA251" s="14">
        <v>7.1428571428571435E-3</v>
      </c>
      <c r="FB251" s="14">
        <v>7.1428571428571435E-3</v>
      </c>
      <c r="FC251" s="14">
        <v>7.1428571428571435E-3</v>
      </c>
      <c r="FD251" s="14">
        <v>7.1428571428571435E-3</v>
      </c>
      <c r="FE251" s="14">
        <v>7.1428571428571435E-3</v>
      </c>
      <c r="FF251" s="13">
        <f t="shared" si="95"/>
        <v>2.2222222222222223E-2</v>
      </c>
      <c r="FG251" s="13">
        <f t="shared" si="95"/>
        <v>2.2222222222222223E-2</v>
      </c>
      <c r="FH251" s="13">
        <f t="shared" si="95"/>
        <v>2.2222222222222223E-2</v>
      </c>
      <c r="FI251" s="13">
        <f t="shared" si="95"/>
        <v>2.2222222222222223E-2</v>
      </c>
      <c r="FJ251" s="13">
        <f t="shared" si="95"/>
        <v>2.2222222222222223E-2</v>
      </c>
      <c r="FK251" s="12">
        <v>0.6</v>
      </c>
      <c r="FL251" s="13">
        <f t="shared" si="89"/>
        <v>2.2222222222222223E-2</v>
      </c>
      <c r="FM251" s="14">
        <v>4.7619047619047623E-3</v>
      </c>
      <c r="FN251" s="14">
        <v>4.7619047619047623E-3</v>
      </c>
      <c r="FO251" s="14">
        <v>4.7619047619047623E-3</v>
      </c>
      <c r="FP251" s="13">
        <f t="shared" si="91"/>
        <v>2.2222222222222223E-2</v>
      </c>
      <c r="FQ251" s="13">
        <f t="shared" si="90"/>
        <v>2.2222222222222223E-2</v>
      </c>
      <c r="FR251" s="13">
        <f t="shared" si="90"/>
        <v>2.2222222222222223E-2</v>
      </c>
      <c r="FS251" s="13">
        <f t="shared" si="90"/>
        <v>2.2222222222222223E-2</v>
      </c>
      <c r="FT251" s="13">
        <f t="shared" si="92"/>
        <v>0.02</v>
      </c>
      <c r="FU251" s="13">
        <f t="shared" si="93"/>
        <v>2.2222222222222223E-2</v>
      </c>
      <c r="FV251" s="13">
        <f t="shared" si="93"/>
        <v>2.2222222222222223E-2</v>
      </c>
      <c r="FW251" s="14">
        <v>4.5454545454545461E-3</v>
      </c>
      <c r="FX251" s="14">
        <v>4.5454545454545461E-3</v>
      </c>
      <c r="FY251" s="13">
        <f t="shared" si="94"/>
        <v>2.2222222222222223E-2</v>
      </c>
      <c r="FZ251" s="14">
        <v>7.1428571428571435E-3</v>
      </c>
      <c r="GA251" s="13">
        <f t="shared" si="96"/>
        <v>2.2222222222222223E-2</v>
      </c>
      <c r="GB251" s="13">
        <f t="shared" si="96"/>
        <v>2.2222222222222223E-2</v>
      </c>
      <c r="GC251" s="13">
        <f t="shared" si="96"/>
        <v>2.2222222222222223E-2</v>
      </c>
      <c r="GD251" s="14">
        <v>7.1428571428571435E-3</v>
      </c>
      <c r="GE251" s="14">
        <v>7.1428571428571435E-3</v>
      </c>
      <c r="GF251" s="14">
        <v>4.6511627906976744E-3</v>
      </c>
      <c r="GG251" s="14">
        <v>4.6511627906976744E-3</v>
      </c>
      <c r="GH251" s="15">
        <v>4.6511627906976744E-3</v>
      </c>
    </row>
    <row r="252" spans="1:190" x14ac:dyDescent="0.3">
      <c r="A252" s="35" t="s">
        <v>39</v>
      </c>
      <c r="B252" s="16">
        <f>IF(Distances!BO143&gt;0,(BN252+Distances!BO143*1.84)*DZ252*B213*2,"")</f>
        <v>5065.6065199999994</v>
      </c>
      <c r="C252" s="14">
        <f>IF(Distances!BP143&gt;0,(BO252+Distances!BP143*1.84)*EA252*C213*2,"")</f>
        <v>5906.1588200000006</v>
      </c>
      <c r="D252" s="14">
        <f>IF(Distances!BQ143&gt;0,(BP252+Distances!BQ143*1.84)*EB252*D213*2,"")</f>
        <v>13731.848900000001</v>
      </c>
      <c r="E252" s="14">
        <f>IF(Distances!BR143&gt;0,(BQ252+Distances!BR143*1.84)*EC252*E213*2,"")</f>
        <v>4786.4405000000006</v>
      </c>
      <c r="F252" s="14">
        <f>IF(Distances!BS143&gt;0,(BR252+Distances!BS143*1.84)*ED252*F213*2,"")</f>
        <v>5318.4297200000001</v>
      </c>
      <c r="G252" s="14">
        <f>IF(Distances!BT143&gt;0,(BS252+Distances!BT143*1.84)*EE252*G213*2,"")</f>
        <v>9393.785780000002</v>
      </c>
      <c r="H252" s="14">
        <f>IF(Distances!BU143&gt;0,(BT252+Distances!BU143*1.84)*EF252*H213*2,"")</f>
        <v>1880.6280799999997</v>
      </c>
      <c r="I252" s="14">
        <f>IF(Distances!BV143&gt;0,(BU252+Distances!BV143*1.84)*EG252*I213*2,"")</f>
        <v>1789.21298</v>
      </c>
      <c r="J252" s="14">
        <f>IF(Distances!BW143&gt;0,(BV252+Distances!BW143*1.84)*EH252*J213*2,"")</f>
        <v>147.92341999999999</v>
      </c>
      <c r="K252" s="14">
        <f>IF(Distances!BX143&gt;0,(BW252+Distances!BX143*1.84)*EI252*K213*2,"")</f>
        <v>97.939819999999997</v>
      </c>
      <c r="L252" s="14">
        <f>IF(Distances!BY143&gt;0,(BX252+Distances!BY143*1.84)*EJ252*L213*2,"")</f>
        <v>126.78094000000002</v>
      </c>
      <c r="M252" s="14">
        <f>IF(Distances!BZ143&gt;0,(BY252+Distances!BZ143*1.84)*EK252*M213*2,"")</f>
        <v>37.458140000000007</v>
      </c>
      <c r="N252" s="14">
        <f>IF(Distances!CA143&gt;0,(BZ252+Distances!CA143*1.84)*EL252*N213*2,"")</f>
        <v>165.21879999999999</v>
      </c>
      <c r="O252" s="14">
        <f>IF(Distances!CB143&gt;0,(CA252+Distances!CB143*1.84)*EM252*O213*2,"")</f>
        <v>207.0154865116279</v>
      </c>
      <c r="P252" s="14">
        <f>IF(Distances!CC143&gt;0,(CB252+Distances!CC143*1.84)*EN252*P213*2,"")</f>
        <v>164.56058418604647</v>
      </c>
      <c r="Q252" s="14">
        <f>IF(Distances!CD143&gt;0,(CC252+Distances!CD143*1.84)*EO252*Q213*2,"")</f>
        <v>1300.0382857142856</v>
      </c>
      <c r="R252" s="14">
        <f>IF(Distances!CE143&gt;0,(CD252+Distances!CE143*1.84)*EP252*R213*2,"")</f>
        <v>1289.7962857142857</v>
      </c>
      <c r="S252" s="14">
        <f>IF(Distances!CF143&gt;0,(CE252+Distances!CF143*1.84)*EQ252*S213*2,"")</f>
        <v>1320.5162857142857</v>
      </c>
      <c r="T252" s="14">
        <f>IF(Distances!CG143&gt;0,(CF252+Distances!CG143*1.84)*ER252*T213*2,"")</f>
        <v>212.68212</v>
      </c>
      <c r="U252" s="14">
        <f>IF(Distances!CH143&gt;0,(CG252+Distances!CH143*1.84)*ES252*U213*2,"")</f>
        <v>131.43480000000002</v>
      </c>
      <c r="V252" s="14">
        <f>IF(Distances!CI143&gt;0,(CH252+Distances!CI143*1.84)*ET252*V213*2,"")</f>
        <v>1386.5589371428573</v>
      </c>
      <c r="W252" s="14">
        <f>IF(Distances!CJ143&gt;0,(CI252+Distances!CJ143*1.84)*EU252*W213*2,"")</f>
        <v>1484.2829714285715</v>
      </c>
      <c r="X252" s="14">
        <f>IF(Distances!CK143&gt;0,(CJ252+Distances!CK143*1.84)*EV252*X213*2,"")</f>
        <v>1893.6284114285716</v>
      </c>
      <c r="Y252" s="14">
        <f>IF(Distances!CL143&gt;0,(CK252+Distances!CL143*1.84)*EW252*Y213*2,"")</f>
        <v>1857.3565371428574</v>
      </c>
      <c r="Z252" s="14">
        <f>IF(Distances!CM143&gt;0,(CL252+Distances!CM143*1.84)*EX252*Z213*2,"")</f>
        <v>26.024434285714285</v>
      </c>
      <c r="AA252" s="14">
        <f>IF(Distances!CN143&gt;0,(CM252+Distances!CN143*1.84)*EY252*AA213*2,"")</f>
        <v>29.702640000000002</v>
      </c>
      <c r="AB252" s="14">
        <f>IF(Distances!CO143&gt;0,(CN252+Distances!CO143*1.84)*EZ252*AB213*2,"")</f>
        <v>40.171040000000005</v>
      </c>
      <c r="AC252" s="14">
        <f>IF(Distances!CP143&gt;0,(CO252+Distances!CP143*1.84)*FA252*AC213*2,"")</f>
        <v>21.404651428571434</v>
      </c>
      <c r="AD252" s="14">
        <f>IF(Distances!CQ143&gt;0,(CP252+Distances!CQ143*1.84)*FB252*AD213*2,"")</f>
        <v>57.790331428571434</v>
      </c>
      <c r="AE252" s="14">
        <f>IF(Distances!CR143&gt;0,(CQ252+Distances!CR143*1.84)*FC252*AE213*2,"")</f>
        <v>70.723005714285733</v>
      </c>
      <c r="AF252" s="14">
        <f>IF(Distances!CS143&gt;0,(CR252+Distances!CS143*1.84)*FD252*AF213*2,"")</f>
        <v>121.91046857142858</v>
      </c>
      <c r="AG252" s="14">
        <f>IF(Distances!CT143&gt;0,(CS252+Distances!CT143*1.84)*FE252*AG213*2,"")</f>
        <v>98.463611428571426</v>
      </c>
      <c r="AH252" s="13">
        <f>IF(Distances!CU143&gt;0,(CT252+Distances!CU143*1.84)*FF252*AH213*2,"")</f>
        <v>143.86657777777779</v>
      </c>
      <c r="AI252" s="13">
        <f>IF(Distances!CV143&gt;0,(CU252+Distances!CV143*1.84)*FG252*AI213*2,"")</f>
        <v>30.956444444444443</v>
      </c>
      <c r="AJ252" s="13">
        <f>IF(Distances!CW143&gt;0,(CV252+Distances!CW143*1.84)*FH252*AJ213*2,"")</f>
        <v>101.56293333333335</v>
      </c>
      <c r="AK252" s="13">
        <f>IF(Distances!CX143&gt;0,(CW252+Distances!CX143*1.84)*FI252*AK213*2,"")</f>
        <v>31.469031111111111</v>
      </c>
      <c r="AL252" s="13">
        <f>IF(Distances!CY143&gt;0,(CX252+Distances!CY143*1.84)*FJ252*AL213*2,"")</f>
        <v>1219.2374399999999</v>
      </c>
      <c r="AM252" s="13">
        <f>IF(Distances!CZ143&gt;0,(CY252+Distances!CZ143*1.84)*FK252*AM213*2,"")</f>
        <v>1219.2374399999999</v>
      </c>
      <c r="AN252" s="12" t="s">
        <v>62</v>
      </c>
      <c r="AO252" s="14">
        <f>IF(Distances!DB143&gt;0,(DA252+Distances!DB143*1.84)*FM252*AO213*2,"")</f>
        <v>16.620487619047619</v>
      </c>
      <c r="AP252" s="14">
        <f>IF(Distances!DC143&gt;0,(DB252+Distances!DC143*1.84)*FN252*AP213*2,"")</f>
        <v>16.83216761904762</v>
      </c>
      <c r="AQ252" s="14">
        <f>IF(Distances!DD143&gt;0,(DC252+Distances!DD143*1.84)*FO252*AQ213*2,"")</f>
        <v>18.425127619047618</v>
      </c>
      <c r="AR252" s="13">
        <f>IF(Distances!DE143&gt;0,(DD252+Distances!DE143*1.84)*FP252*AR213*2,"")</f>
        <v>63.339022222222219</v>
      </c>
      <c r="AS252" s="13">
        <f>IF(Distances!DF143&gt;0,(DE252+Distances!DF143*1.84)*FQ252*AS213*2,"")</f>
        <v>366.80000000000007</v>
      </c>
      <c r="AT252" s="13">
        <f>IF(Distances!DG143&gt;0,(DF252+Distances!DG143*1.84)*FR252*AT213*2,"")</f>
        <v>226.32213333333337</v>
      </c>
      <c r="AU252" s="13">
        <f>IF(Distances!DH143&gt;0,(DG252+Distances!DH143*1.84)*FS252*AU213*2,"")</f>
        <v>354.79584</v>
      </c>
      <c r="AV252" s="13">
        <f>IF(Distances!DI143&gt;0,(DH252+Distances!DI143*1.84)*FT252*AV213*2,"")</f>
        <v>662.83151999999984</v>
      </c>
      <c r="AW252" s="13">
        <f>IF(Distances!DJ143&gt;0,(DI252+Distances!DJ143*1.84)*FU252*AW213*2,"")</f>
        <v>2371.7079111111111</v>
      </c>
      <c r="AX252" s="13">
        <f>IF(Distances!DK143&gt;0,(DJ252+Distances!DK143*1.84)*FV252*AX213*2,"")</f>
        <v>113.77155555555555</v>
      </c>
      <c r="AY252" s="14">
        <f>IF(Distances!DL143&gt;0,(DK252+Distances!DL143*1.84)*FW252*AY213*2,"")</f>
        <v>10.886109090909093</v>
      </c>
      <c r="AZ252" s="14">
        <f>IF(Distances!DM143&gt;0,(DL252+Distances!DM143*1.84)*FX252*AZ213*2,"")</f>
        <v>138.30721454545457</v>
      </c>
      <c r="BA252" s="13">
        <f>IF(Distances!DN143&gt;0,(DM252+Distances!DN143*1.84)*FY252*BA213*2,"")</f>
        <v>190.11484444444446</v>
      </c>
      <c r="BB252" s="14">
        <f>IF(Distances!DO143&gt;0,(DN252+Distances!DO143*1.84)*FZ252*BB213*2,"")</f>
        <v>113.74130285714287</v>
      </c>
      <c r="BC252" s="13">
        <f>IF(Distances!DP143&gt;0,(DO252+Distances!DP143*1.84)*GA252*BC213*2,"")</f>
        <v>710.94670222222226</v>
      </c>
      <c r="BD252" s="13">
        <f>IF(Distances!DQ143&gt;0,(DP252+Distances!DQ143*1.84)*GB252*BD213*2,"")</f>
        <v>1045.3048888888889</v>
      </c>
      <c r="BE252" s="13">
        <f>IF(Distances!DR143&gt;0,(DQ252+Distances!DR143*1.84)*GC252*BE213*2,"")</f>
        <v>725.31854222222228</v>
      </c>
      <c r="BF252" s="14">
        <f>IF(Distances!DS143&gt;0,(DR252+Distances!DS143*1.84)*GD252*BF213*2,"")</f>
        <v>146.97899428571429</v>
      </c>
      <c r="BG252" s="14">
        <f>IF(Distances!DT143&gt;0,(DS252+Distances!DT143*1.84)*GE252*BG213*2,"")</f>
        <v>44.289508571428577</v>
      </c>
      <c r="BH252" s="14">
        <f>IF(Distances!DU143&gt;0,(DT252+Distances!DU143*1.84)*GF252*BH213*2,"")</f>
        <v>108.9344595348837</v>
      </c>
      <c r="BI252" s="14">
        <f>IF(Distances!DV143&gt;0,(DU252+Distances!DV143*1.84)*GG252*BI213*2,"")</f>
        <v>107.43575813953487</v>
      </c>
      <c r="BJ252" s="15">
        <f>IF(Distances!DW143&gt;0,(DV252+Distances!DW143*1.84)*GH252*BJ213*2,"")</f>
        <v>178.16022325581397</v>
      </c>
      <c r="BM252" s="35" t="s">
        <v>39</v>
      </c>
      <c r="BN252" s="16">
        <v>1706.8127999999999</v>
      </c>
      <c r="BO252" s="14">
        <v>2039.7047999999998</v>
      </c>
      <c r="BP252" s="14">
        <v>1596.252</v>
      </c>
      <c r="BQ252" s="14">
        <v>1596.252</v>
      </c>
      <c r="BR252" s="14">
        <v>1691.0207999999998</v>
      </c>
      <c r="BS252" s="14">
        <v>409.2312</v>
      </c>
      <c r="BT252" s="14">
        <v>445.43519999999995</v>
      </c>
      <c r="BU252" s="14">
        <v>409.2312</v>
      </c>
      <c r="BV252" s="14">
        <v>1659.4284</v>
      </c>
      <c r="BW252" s="14">
        <v>1659.4284</v>
      </c>
      <c r="BX252" s="14">
        <v>449.79480000000001</v>
      </c>
      <c r="BY252" s="14">
        <v>449.79480000000001</v>
      </c>
      <c r="BZ252" s="14">
        <v>2160.8159999999998</v>
      </c>
      <c r="CA252" s="14">
        <v>2066.7024000000001</v>
      </c>
      <c r="CB252" s="14">
        <v>2132.6843999999996</v>
      </c>
      <c r="CC252" s="14">
        <v>1520.6855999999998</v>
      </c>
      <c r="CD252" s="14">
        <v>1506.3468</v>
      </c>
      <c r="CE252" s="14">
        <v>1549.3548000000001</v>
      </c>
      <c r="CF252" s="14">
        <v>1477.6692</v>
      </c>
      <c r="CG252" s="14">
        <v>441.084</v>
      </c>
      <c r="CH252" s="14">
        <v>462.5292</v>
      </c>
      <c r="CI252" s="14">
        <v>1492.008</v>
      </c>
      <c r="CJ252" s="14">
        <v>1723.2936</v>
      </c>
      <c r="CK252" s="14">
        <v>1477.6692</v>
      </c>
      <c r="CL252" s="14">
        <v>480.29519999999997</v>
      </c>
      <c r="CM252" s="14">
        <v>471.58439999999996</v>
      </c>
      <c r="CN252" s="14">
        <v>454.15439999999995</v>
      </c>
      <c r="CO252" s="14">
        <v>449.79480000000001</v>
      </c>
      <c r="CP252" s="14">
        <v>1723.2936</v>
      </c>
      <c r="CQ252" s="14">
        <v>462.5292</v>
      </c>
      <c r="CR252" s="14">
        <v>462.5292</v>
      </c>
      <c r="CS252" s="14">
        <v>462.5292</v>
      </c>
      <c r="CT252" s="13">
        <v>408.36599999999999</v>
      </c>
      <c r="CU252" s="13">
        <v>397.15199999999999</v>
      </c>
      <c r="CV252" s="13">
        <v>408.36599999999999</v>
      </c>
      <c r="CW252" s="13">
        <v>408.68519999999995</v>
      </c>
      <c r="CX252" s="13">
        <v>208.64759999999998</v>
      </c>
      <c r="CY252" s="13">
        <v>208.64759999999998</v>
      </c>
      <c r="CZ252" s="12">
        <v>0</v>
      </c>
      <c r="DA252" s="14">
        <v>573.20759999999996</v>
      </c>
      <c r="DB252" s="14">
        <v>584.32079999999996</v>
      </c>
      <c r="DC252" s="14">
        <v>667.95119999999997</v>
      </c>
      <c r="DD252" s="13">
        <v>413.19599999999997</v>
      </c>
      <c r="DE252" s="13">
        <v>413.19599999999997</v>
      </c>
      <c r="DF252" s="13">
        <v>413.19599999999997</v>
      </c>
      <c r="DG252" s="13">
        <v>208.64759999999998</v>
      </c>
      <c r="DH252" s="13">
        <v>1723.2936</v>
      </c>
      <c r="DI252" s="13">
        <v>1723.2936</v>
      </c>
      <c r="DJ252" s="13">
        <v>212.60399999999998</v>
      </c>
      <c r="DK252" s="14">
        <v>0</v>
      </c>
      <c r="DL252" s="14">
        <v>2614.2563999999998</v>
      </c>
      <c r="DM252" s="13">
        <v>770.02800000000002</v>
      </c>
      <c r="DN252" s="14">
        <v>1691.1048000000001</v>
      </c>
      <c r="DO252" s="13">
        <v>200.5164</v>
      </c>
      <c r="DP252" s="13">
        <v>212.60399999999998</v>
      </c>
      <c r="DQ252" s="13">
        <v>210.6216</v>
      </c>
      <c r="DR252" s="14">
        <v>839.58839999999998</v>
      </c>
      <c r="DS252" s="14">
        <v>453.9864</v>
      </c>
      <c r="DT252" s="14">
        <v>1701.6215999999999</v>
      </c>
      <c r="DU252" s="14">
        <v>2378.2079999999996</v>
      </c>
      <c r="DV252" s="15">
        <v>2378.2079999999996</v>
      </c>
      <c r="DY252" s="35" t="s">
        <v>39</v>
      </c>
      <c r="DZ252" s="16">
        <v>6.2500000000000003E-3</v>
      </c>
      <c r="EA252" s="14">
        <v>6.2500000000000003E-3</v>
      </c>
      <c r="EB252" s="14">
        <v>6.2500000000000003E-3</v>
      </c>
      <c r="EC252" s="14">
        <v>6.2500000000000003E-3</v>
      </c>
      <c r="ED252" s="14">
        <v>6.2500000000000003E-3</v>
      </c>
      <c r="EE252" s="14">
        <v>6.2500000000000003E-3</v>
      </c>
      <c r="EF252" s="14">
        <v>6.2500000000000003E-3</v>
      </c>
      <c r="EG252" s="14">
        <v>6.2500000000000003E-3</v>
      </c>
      <c r="EH252" s="14">
        <v>6.2500000000000003E-3</v>
      </c>
      <c r="EI252" s="14">
        <v>6.2500000000000003E-3</v>
      </c>
      <c r="EJ252" s="14">
        <v>6.2500000000000003E-3</v>
      </c>
      <c r="EK252" s="14">
        <v>6.2500000000000003E-3</v>
      </c>
      <c r="EL252" s="14">
        <v>6.2500000000000003E-3</v>
      </c>
      <c r="EM252" s="14">
        <v>4.6511627906976744E-3</v>
      </c>
      <c r="EN252" s="14">
        <v>4.6511627906976744E-3</v>
      </c>
      <c r="EO252" s="14">
        <v>7.1428571428571435E-3</v>
      </c>
      <c r="EP252" s="14">
        <v>7.1428571428571435E-3</v>
      </c>
      <c r="EQ252" s="14">
        <v>7.1428571428571435E-3</v>
      </c>
      <c r="ER252" s="14">
        <v>7.1428571428571435E-3</v>
      </c>
      <c r="ES252" s="14">
        <v>7.1428571428571435E-3</v>
      </c>
      <c r="ET252" s="14">
        <v>7.1428571428571435E-3</v>
      </c>
      <c r="EU252" s="14">
        <v>7.1428571428571435E-3</v>
      </c>
      <c r="EV252" s="14">
        <v>7.1428571428571435E-3</v>
      </c>
      <c r="EW252" s="14">
        <v>7.1428571428571435E-3</v>
      </c>
      <c r="EX252" s="14">
        <v>7.1428571428571435E-3</v>
      </c>
      <c r="EY252" s="14">
        <v>7.1428571428571435E-3</v>
      </c>
      <c r="EZ252" s="14">
        <v>7.1428571428571435E-3</v>
      </c>
      <c r="FA252" s="14">
        <v>7.1428571428571435E-3</v>
      </c>
      <c r="FB252" s="14">
        <v>7.1428571428571435E-3</v>
      </c>
      <c r="FC252" s="14">
        <v>7.1428571428571435E-3</v>
      </c>
      <c r="FD252" s="14">
        <v>7.1428571428571435E-3</v>
      </c>
      <c r="FE252" s="14">
        <v>7.1428571428571435E-3</v>
      </c>
      <c r="FF252" s="13">
        <f t="shared" si="95"/>
        <v>2.2222222222222223E-2</v>
      </c>
      <c r="FG252" s="13">
        <f t="shared" si="95"/>
        <v>2.2222222222222223E-2</v>
      </c>
      <c r="FH252" s="13">
        <f t="shared" si="95"/>
        <v>2.2222222222222223E-2</v>
      </c>
      <c r="FI252" s="13">
        <f t="shared" si="95"/>
        <v>2.2222222222222223E-2</v>
      </c>
      <c r="FJ252" s="13">
        <f t="shared" si="95"/>
        <v>2.2222222222222223E-2</v>
      </c>
      <c r="FK252" s="13">
        <f>0.2/9</f>
        <v>2.2222222222222223E-2</v>
      </c>
      <c r="FL252" s="12">
        <v>0.6</v>
      </c>
      <c r="FM252" s="14">
        <v>4.7619047619047623E-3</v>
      </c>
      <c r="FN252" s="14">
        <v>4.7619047619047623E-3</v>
      </c>
      <c r="FO252" s="14">
        <v>4.7619047619047623E-3</v>
      </c>
      <c r="FP252" s="13">
        <f t="shared" si="91"/>
        <v>2.2222222222222223E-2</v>
      </c>
      <c r="FQ252" s="13">
        <f t="shared" si="90"/>
        <v>2.2222222222222223E-2</v>
      </c>
      <c r="FR252" s="13">
        <f t="shared" si="90"/>
        <v>2.2222222222222223E-2</v>
      </c>
      <c r="FS252" s="13">
        <f t="shared" si="90"/>
        <v>2.2222222222222223E-2</v>
      </c>
      <c r="FT252" s="13">
        <f t="shared" si="92"/>
        <v>0.02</v>
      </c>
      <c r="FU252" s="13">
        <f t="shared" si="93"/>
        <v>2.2222222222222223E-2</v>
      </c>
      <c r="FV252" s="13">
        <f t="shared" si="93"/>
        <v>2.2222222222222223E-2</v>
      </c>
      <c r="FW252" s="14">
        <v>4.5454545454545461E-3</v>
      </c>
      <c r="FX252" s="14">
        <v>4.5454545454545461E-3</v>
      </c>
      <c r="FY252" s="13">
        <f t="shared" si="94"/>
        <v>2.2222222222222223E-2</v>
      </c>
      <c r="FZ252" s="14">
        <v>7.1428571428571435E-3</v>
      </c>
      <c r="GA252" s="13">
        <f t="shared" si="96"/>
        <v>2.2222222222222223E-2</v>
      </c>
      <c r="GB252" s="13">
        <f t="shared" si="96"/>
        <v>2.2222222222222223E-2</v>
      </c>
      <c r="GC252" s="13">
        <f t="shared" si="96"/>
        <v>2.2222222222222223E-2</v>
      </c>
      <c r="GD252" s="14">
        <v>7.1428571428571435E-3</v>
      </c>
      <c r="GE252" s="14">
        <v>7.1428571428571435E-3</v>
      </c>
      <c r="GF252" s="14">
        <v>4.6511627906976744E-3</v>
      </c>
      <c r="GG252" s="14">
        <v>4.6511627906976744E-3</v>
      </c>
      <c r="GH252" s="15">
        <v>4.6511627906976744E-3</v>
      </c>
    </row>
    <row r="253" spans="1:190" x14ac:dyDescent="0.3">
      <c r="A253" s="35" t="s">
        <v>40</v>
      </c>
      <c r="B253" s="16" t="s">
        <v>62</v>
      </c>
      <c r="C253" s="14" t="s">
        <v>62</v>
      </c>
      <c r="D253" s="14">
        <f>IF(Distances!BQ144&gt;0,(BP253+Distances!BQ144*1.84)*EB253*D213*2,"")</f>
        <v>14980.69269</v>
      </c>
      <c r="E253" s="14" t="s">
        <v>62</v>
      </c>
      <c r="F253" s="14">
        <f>IF(Distances!BS144&gt;0,(BR253+Distances!BS144*1.84)*ED253*F213*2,"")</f>
        <v>6686.3676600000008</v>
      </c>
      <c r="G253" s="14">
        <f>IF(Distances!BT144&gt;0,(BS253+Distances!BT144*1.84)*EE253*G213*2,"")</f>
        <v>10135.9863</v>
      </c>
      <c r="H253" s="14" t="s">
        <v>62</v>
      </c>
      <c r="I253" s="14" t="s">
        <v>62</v>
      </c>
      <c r="J253" s="14">
        <f>IF(Distances!BW144&gt;0,(BV253+Distances!BW144*1.84)*EH253*J213*2,"")</f>
        <v>174.22548</v>
      </c>
      <c r="K253" s="14" t="s">
        <v>62</v>
      </c>
      <c r="L253" s="14">
        <f>IF(Distances!BY144&gt;0,(BX253+Distances!BY144*1.84)*EJ253*L213*2,"")</f>
        <v>145.46084000000002</v>
      </c>
      <c r="M253" s="14" t="s">
        <v>62</v>
      </c>
      <c r="N253" s="14">
        <f>IF(Distances!CA144&gt;0,(BZ253+Distances!CA144*1.84)*EL253*N213*2,"")</f>
        <v>178.09556000000001</v>
      </c>
      <c r="O253" s="14">
        <f>IF(Distances!CB144&gt;0,(CA253+Distances!CB144*1.84)*EM253*O213*2,"")</f>
        <v>159.71072372093019</v>
      </c>
      <c r="P253" s="14">
        <f>IF(Distances!CC144&gt;0,(CB253+Distances!CC144*1.84)*EN253*P213*2,"")</f>
        <v>164.00811162790697</v>
      </c>
      <c r="Q253" s="14" t="s">
        <v>62</v>
      </c>
      <c r="R253" s="14" t="s">
        <v>62</v>
      </c>
      <c r="S253" s="14" t="s">
        <v>62</v>
      </c>
      <c r="T253" s="14">
        <f>IF(Distances!CG144&gt;0,(CF253+Distances!CG144*1.84)*ER253*T213*2,"")</f>
        <v>159.19172</v>
      </c>
      <c r="U253" s="14">
        <f>IF(Distances!CH144&gt;0,(CG253+Distances!CH144*1.84)*ES253*U213*2,"")</f>
        <v>155.53268</v>
      </c>
      <c r="V253" s="14">
        <f>IF(Distances!CI144&gt;0,(CH253+Distances!CI144*1.84)*ET253*V213*2,"")</f>
        <v>1555.6239657142858</v>
      </c>
      <c r="W253" s="14" t="s">
        <v>62</v>
      </c>
      <c r="X253" s="14">
        <f>IF(Distances!CK144&gt;0,(CJ253+Distances!CK144*1.84)*EV253*X213*2,"")</f>
        <v>1439.1400800000001</v>
      </c>
      <c r="Y253" s="14">
        <f>IF(Distances!CL144&gt;0,(CK253+Distances!CL144*1.84)*EW253*Y213*2,"")</f>
        <v>1414.150365714286</v>
      </c>
      <c r="Z253" s="14">
        <f>IF(Distances!CM144&gt;0,(CL253+Distances!CM144*1.84)*EX253*Z213*2,"")</f>
        <v>34.285462857142868</v>
      </c>
      <c r="AA253" s="14">
        <f>IF(Distances!CN144&gt;0,(CM253+Distances!CN144*1.84)*EY253*AA213*2,"")</f>
        <v>37.657908571428578</v>
      </c>
      <c r="AB253" s="14">
        <f>IF(Distances!CO144&gt;0,(CN253+Distances!CO144*1.84)*EZ253*AB213*2,"")</f>
        <v>47.514788571428582</v>
      </c>
      <c r="AC253" s="14" t="s">
        <v>62</v>
      </c>
      <c r="AD253" s="14" t="s">
        <v>62</v>
      </c>
      <c r="AE253" s="14">
        <f>IF(Distances!CR144&gt;0,(CQ253+Distances!CR144*1.84)*FC253*AE213*2,"")</f>
        <v>76.552834285714297</v>
      </c>
      <c r="AF253" s="14">
        <f>IF(Distances!CS144&gt;0,(CR253+Distances!CS144*1.84)*FD253*AF213*2,"")</f>
        <v>133.57012571428575</v>
      </c>
      <c r="AG253" s="14">
        <f>IF(Distances!CT144&gt;0,(CS253+Distances!CT144*1.84)*FE253*AG213*2,"")</f>
        <v>110.12326857142858</v>
      </c>
      <c r="AH253" s="14">
        <f>IF(Distances!CU144&gt;0,(CT253+Distances!CU144*1.84)*FF253*AH213*2,"")</f>
        <v>34.442194285714287</v>
      </c>
      <c r="AI253" s="14" t="s">
        <v>62</v>
      </c>
      <c r="AJ253" s="14">
        <f>IF(Distances!CW144&gt;0,(CV253+Distances!CW144*1.84)*FH253*AJ213*2,"")</f>
        <v>23.564114285714286</v>
      </c>
      <c r="AK253" s="14" t="s">
        <v>62</v>
      </c>
      <c r="AL253" s="14" t="s">
        <v>62</v>
      </c>
      <c r="AM253" s="14" t="s">
        <v>62</v>
      </c>
      <c r="AN253" s="14">
        <f>IF(Distances!DA144&gt;0,(CZ253+Distances!DA144*1.84)*FL253*AN213*2,"")</f>
        <v>538.50379885714278</v>
      </c>
      <c r="AO253" s="12" t="s">
        <v>62</v>
      </c>
      <c r="AP253" s="19" t="s">
        <v>62</v>
      </c>
      <c r="AQ253" s="19" t="s">
        <v>62</v>
      </c>
      <c r="AR253" s="14" t="s">
        <v>62</v>
      </c>
      <c r="AS253" s="14">
        <f>IF(Distances!DF144&gt;0,(DE253+Distances!DF144*1.84)*FQ253*AS213*2,"")</f>
        <v>99.587702857142872</v>
      </c>
      <c r="AT253" s="14">
        <f>IF(Distances!DG144&gt;0,(DF253+Distances!DG144*1.84)*FR253*AT213*2,"")</f>
        <v>63.464822857142863</v>
      </c>
      <c r="AU253" s="14">
        <f>IF(Distances!DH144&gt;0,(DG253+Distances!DH144*1.84)*FS253*AU213*2,"")</f>
        <v>101.66393599999999</v>
      </c>
      <c r="AV253" s="14">
        <f>IF(Distances!DI144&gt;0,(DH253+Distances!DI144*1.84)*FT253*AV213*2,"")</f>
        <v>162.68454117647059</v>
      </c>
      <c r="AW253" s="14">
        <f>IF(Distances!DJ144&gt;0,(DI253+Distances!DJ144*1.84)*FU253*AW213*2,"")</f>
        <v>578.52372571428577</v>
      </c>
      <c r="AX253" s="14" t="s">
        <v>62</v>
      </c>
      <c r="AY253" s="14" t="s">
        <v>62</v>
      </c>
      <c r="AZ253" s="14">
        <f>IF(Distances!DM144&gt;0,(DL253+Distances!DM144*1.84)*FX253*AZ213*2,"")</f>
        <v>129.08980363636365</v>
      </c>
      <c r="BA253" s="14" t="s">
        <v>62</v>
      </c>
      <c r="BB253" s="14" t="s">
        <v>62</v>
      </c>
      <c r="BC253" s="14" t="s">
        <v>62</v>
      </c>
      <c r="BD253" s="14">
        <f>IF(Distances!DQ144&gt;0,(DP253+Distances!DQ144*1.84)*GB253*BD213*2,"")</f>
        <v>295.1748754285714</v>
      </c>
      <c r="BE253" s="14" t="s">
        <v>62</v>
      </c>
      <c r="BF253" s="14">
        <f>IF(Distances!DS144&gt;0,(DR253+Distances!DS144*1.84)*GD253*BF213*2,"")</f>
        <v>161.48025142857145</v>
      </c>
      <c r="BG253" s="14">
        <f>IF(Distances!DT144&gt;0,(DS253+Distances!DT144*1.84)*GE253*BG213*2,"")</f>
        <v>55.416365714285725</v>
      </c>
      <c r="BH253" s="14">
        <f>IF(Distances!DU144&gt;0,(DT253+Distances!DU144*1.84)*GF253*BH213*2,"")</f>
        <v>122.24910883720931</v>
      </c>
      <c r="BI253" s="14">
        <f>IF(Distances!DV144&gt;0,(DU253+Distances!DV144*1.84)*GG253*BI213*2,"")</f>
        <v>91.509030697674433</v>
      </c>
      <c r="BJ253" s="15">
        <f>IF(Distances!DW144&gt;0,(DV253+Distances!DW144*1.84)*GH253*BJ213*2,"")</f>
        <v>162.23349581395348</v>
      </c>
      <c r="BM253" s="35" t="s">
        <v>40</v>
      </c>
      <c r="BN253" s="16">
        <v>2276.1815999999999</v>
      </c>
      <c r="BO253" s="14">
        <v>2565.3768</v>
      </c>
      <c r="BP253" s="14">
        <v>2390.2115999999996</v>
      </c>
      <c r="BQ253" s="14">
        <v>2390.2115999999996</v>
      </c>
      <c r="BR253" s="14">
        <v>2532.1464000000001</v>
      </c>
      <c r="BS253" s="14">
        <v>1002.54</v>
      </c>
      <c r="BT253" s="14">
        <v>1111.866</v>
      </c>
      <c r="BU253" s="14">
        <v>1002.54</v>
      </c>
      <c r="BV253" s="14">
        <v>2484.8375999999998</v>
      </c>
      <c r="BW253" s="14">
        <v>2484.8375999999998</v>
      </c>
      <c r="BX253" s="14">
        <v>1122.7607999999998</v>
      </c>
      <c r="BY253" s="14">
        <v>1122.7607999999998</v>
      </c>
      <c r="BZ253" s="14">
        <v>2717.7192</v>
      </c>
      <c r="CA253" s="14">
        <v>1639.6043999999999</v>
      </c>
      <c r="CB253" s="14">
        <v>2423.5679999999998</v>
      </c>
      <c r="CC253" s="14">
        <v>1278.2783999999999</v>
      </c>
      <c r="CD253" s="14">
        <v>1266.2328</v>
      </c>
      <c r="CE253" s="14">
        <v>1302.3779999999999</v>
      </c>
      <c r="CF253" s="14">
        <v>1242.1332</v>
      </c>
      <c r="CG253" s="14">
        <v>981.43079999999986</v>
      </c>
      <c r="CH253" s="14">
        <v>965.94119999999998</v>
      </c>
      <c r="CI253" s="14">
        <v>1254.1787999999999</v>
      </c>
      <c r="CJ253" s="14">
        <v>1474.1412</v>
      </c>
      <c r="CK253" s="14">
        <v>1242.1332</v>
      </c>
      <c r="CL253" s="14">
        <v>1068.7992000000002</v>
      </c>
      <c r="CM253" s="14">
        <v>1049.3868</v>
      </c>
      <c r="CN253" s="14">
        <v>1010.5536</v>
      </c>
      <c r="CO253" s="14">
        <v>1000.8516</v>
      </c>
      <c r="CP253" s="14">
        <v>1474.1412</v>
      </c>
      <c r="CQ253" s="14">
        <v>965.94119999999998</v>
      </c>
      <c r="CR253" s="14">
        <v>965.94119999999998</v>
      </c>
      <c r="CS253" s="14">
        <v>965.94119999999998</v>
      </c>
      <c r="CT253" s="14">
        <v>484.428</v>
      </c>
      <c r="CU253" s="14">
        <v>471.72720000000004</v>
      </c>
      <c r="CV253" s="14">
        <v>484.428</v>
      </c>
      <c r="CW253" s="14">
        <v>485.43599999999998</v>
      </c>
      <c r="CX253" s="14">
        <v>573.20759999999996</v>
      </c>
      <c r="CY253" s="14">
        <v>573.20759999999996</v>
      </c>
      <c r="CZ253" s="14">
        <v>573.20759999999996</v>
      </c>
      <c r="DA253" s="12">
        <v>0</v>
      </c>
      <c r="DB253" s="19">
        <v>334.15199999999999</v>
      </c>
      <c r="DC253" s="19">
        <v>343.66919999999999</v>
      </c>
      <c r="DD253" s="14">
        <v>943.02600000000007</v>
      </c>
      <c r="DE253" s="14">
        <v>943.02600000000007</v>
      </c>
      <c r="DF253" s="14">
        <v>943.02600000000007</v>
      </c>
      <c r="DG253" s="14">
        <v>573.20759999999996</v>
      </c>
      <c r="DH253" s="14">
        <v>1474.1412</v>
      </c>
      <c r="DI253" s="14">
        <v>1474.1412</v>
      </c>
      <c r="DJ253" s="14">
        <v>584.11079999999993</v>
      </c>
      <c r="DK253" s="14">
        <v>0</v>
      </c>
      <c r="DL253" s="14">
        <v>2660.1455999999998</v>
      </c>
      <c r="DM253" s="14">
        <v>801.06599999999992</v>
      </c>
      <c r="DN253" s="14">
        <v>1446.606</v>
      </c>
      <c r="DO253" s="14">
        <v>545.96640000000002</v>
      </c>
      <c r="DP253" s="14">
        <v>584.11079999999993</v>
      </c>
      <c r="DQ253" s="14">
        <v>578.65919999999994</v>
      </c>
      <c r="DR253" s="14">
        <v>1392.7284</v>
      </c>
      <c r="DS253" s="14">
        <v>948.07440000000008</v>
      </c>
      <c r="DT253" s="14">
        <v>2358.8208</v>
      </c>
      <c r="DU253" s="14">
        <v>2249.5452</v>
      </c>
      <c r="DV253" s="15">
        <v>2249.5452</v>
      </c>
      <c r="DY253" s="35" t="s">
        <v>40</v>
      </c>
      <c r="DZ253" s="16">
        <v>6.2500000000000003E-3</v>
      </c>
      <c r="EA253" s="14">
        <v>6.2500000000000003E-3</v>
      </c>
      <c r="EB253" s="14">
        <v>6.2500000000000003E-3</v>
      </c>
      <c r="EC253" s="14">
        <v>6.2500000000000003E-3</v>
      </c>
      <c r="ED253" s="14">
        <v>6.2500000000000003E-3</v>
      </c>
      <c r="EE253" s="14">
        <v>6.2500000000000003E-3</v>
      </c>
      <c r="EF253" s="14">
        <v>6.2500000000000003E-3</v>
      </c>
      <c r="EG253" s="14">
        <v>6.2500000000000003E-3</v>
      </c>
      <c r="EH253" s="14">
        <v>6.2500000000000003E-3</v>
      </c>
      <c r="EI253" s="14">
        <v>6.2500000000000003E-3</v>
      </c>
      <c r="EJ253" s="14">
        <v>6.2500000000000003E-3</v>
      </c>
      <c r="EK253" s="14">
        <v>6.2500000000000003E-3</v>
      </c>
      <c r="EL253" s="14">
        <v>6.2500000000000003E-3</v>
      </c>
      <c r="EM253" s="14">
        <v>4.6511627906976744E-3</v>
      </c>
      <c r="EN253" s="14">
        <v>4.6511627906976744E-3</v>
      </c>
      <c r="EO253" s="14">
        <v>7.1428571428571435E-3</v>
      </c>
      <c r="EP253" s="14">
        <v>7.1428571428571435E-3</v>
      </c>
      <c r="EQ253" s="14">
        <v>7.1428571428571435E-3</v>
      </c>
      <c r="ER253" s="14">
        <v>7.1428571428571435E-3</v>
      </c>
      <c r="ES253" s="14">
        <v>7.1428571428571435E-3</v>
      </c>
      <c r="ET253" s="14">
        <v>7.1428571428571435E-3</v>
      </c>
      <c r="EU253" s="14">
        <v>7.1428571428571435E-3</v>
      </c>
      <c r="EV253" s="14">
        <v>7.1428571428571435E-3</v>
      </c>
      <c r="EW253" s="14">
        <v>7.1428571428571435E-3</v>
      </c>
      <c r="EX253" s="14">
        <v>7.1428571428571435E-3</v>
      </c>
      <c r="EY253" s="14">
        <v>7.1428571428571435E-3</v>
      </c>
      <c r="EZ253" s="14">
        <v>7.1428571428571435E-3</v>
      </c>
      <c r="FA253" s="14">
        <v>7.1428571428571435E-3</v>
      </c>
      <c r="FB253" s="14">
        <v>7.1428571428571435E-3</v>
      </c>
      <c r="FC253" s="14">
        <v>7.1428571428571435E-3</v>
      </c>
      <c r="FD253" s="14">
        <v>7.1428571428571435E-3</v>
      </c>
      <c r="FE253" s="14">
        <v>7.1428571428571435E-3</v>
      </c>
      <c r="FF253" s="14">
        <v>5.7142857142857143E-3</v>
      </c>
      <c r="FG253" s="14">
        <v>5.7142857142857143E-3</v>
      </c>
      <c r="FH253" s="14">
        <v>5.7142857142857143E-3</v>
      </c>
      <c r="FI253" s="14">
        <v>5.7142857142857143E-3</v>
      </c>
      <c r="FJ253" s="14">
        <v>5.7142857142857143E-3</v>
      </c>
      <c r="FK253" s="14">
        <v>5.7142857142857143E-3</v>
      </c>
      <c r="FL253" s="14">
        <v>5.7142857142857143E-3</v>
      </c>
      <c r="FM253" s="12">
        <v>0.6</v>
      </c>
      <c r="FN253" s="13">
        <f>0.2/2</f>
        <v>0.1</v>
      </c>
      <c r="FO253" s="13">
        <f>0.2/2</f>
        <v>0.1</v>
      </c>
      <c r="FP253" s="14">
        <v>5.7142857142857143E-3</v>
      </c>
      <c r="FQ253" s="14">
        <v>5.7142857142857143E-3</v>
      </c>
      <c r="FR253" s="14">
        <v>5.7142857142857143E-3</v>
      </c>
      <c r="FS253" s="14">
        <v>5.7142857142857143E-3</v>
      </c>
      <c r="FT253" s="14">
        <v>5.8823529411764705E-3</v>
      </c>
      <c r="FU253" s="14">
        <v>5.7142857142857143E-3</v>
      </c>
      <c r="FV253" s="14">
        <v>5.7142857142857143E-3</v>
      </c>
      <c r="FW253" s="14">
        <v>4.5454545454545461E-3</v>
      </c>
      <c r="FX253" s="14">
        <v>4.5454545454545461E-3</v>
      </c>
      <c r="FY253" s="14">
        <v>5.7142857142857143E-3</v>
      </c>
      <c r="FZ253" s="14">
        <v>7.1428571428571435E-3</v>
      </c>
      <c r="GA253" s="14">
        <v>5.7142857142857143E-3</v>
      </c>
      <c r="GB253" s="14">
        <v>5.7142857142857143E-3</v>
      </c>
      <c r="GC253" s="14">
        <v>5.7142857142857143E-3</v>
      </c>
      <c r="GD253" s="14">
        <v>7.1428571428571435E-3</v>
      </c>
      <c r="GE253" s="14">
        <v>7.1428571428571435E-3</v>
      </c>
      <c r="GF253" s="14">
        <v>4.6511627906976744E-3</v>
      </c>
      <c r="GG253" s="14">
        <v>4.6511627906976744E-3</v>
      </c>
      <c r="GH253" s="15">
        <v>4.6511627906976744E-3</v>
      </c>
    </row>
    <row r="254" spans="1:190" x14ac:dyDescent="0.3">
      <c r="A254" s="35" t="s">
        <v>41</v>
      </c>
      <c r="B254" s="16" t="s">
        <v>62</v>
      </c>
      <c r="C254" s="14" t="s">
        <v>62</v>
      </c>
      <c r="D254" s="14">
        <f>IF(Distances!BQ145&gt;0,(BP254+Distances!BQ145*1.84)*EB254*D213*2,"")</f>
        <v>15097.835520000001</v>
      </c>
      <c r="E254" s="14" t="s">
        <v>62</v>
      </c>
      <c r="F254" s="14">
        <f>IF(Distances!BS145&gt;0,(BR254+Distances!BS145*1.84)*ED254*F213*2,"")</f>
        <v>6810.4673699999994</v>
      </c>
      <c r="G254" s="14">
        <f>IF(Distances!BT145&gt;0,(BS254+Distances!BT145*1.84)*EE254*G213*2,"")</f>
        <v>10185.087449999999</v>
      </c>
      <c r="H254" s="14" t="s">
        <v>62</v>
      </c>
      <c r="I254" s="14" t="s">
        <v>62</v>
      </c>
      <c r="J254" s="14">
        <f>IF(Distances!BW145&gt;0,(BV254+Distances!BW145*1.84)*EH254*J213*2,"")</f>
        <v>176.63712000000001</v>
      </c>
      <c r="K254" s="14" t="s">
        <v>62</v>
      </c>
      <c r="L254" s="14">
        <f>IF(Distances!BY145&gt;0,(BX254+Distances!BY145*1.84)*EJ254*L213*2,"")</f>
        <v>146.54990000000001</v>
      </c>
      <c r="M254" s="14" t="s">
        <v>62</v>
      </c>
      <c r="N254" s="14">
        <f>IF(Distances!CA145&gt;0,(BZ254+Distances!CA145*1.84)*EL254*N213*2,"")</f>
        <v>180.73316</v>
      </c>
      <c r="O254" s="14">
        <f>IF(Distances!CB145&gt;0,(CA254+Distances!CB145*1.84)*EM254*O213*2,"")</f>
        <v>161.78267162790695</v>
      </c>
      <c r="P254" s="14">
        <f>IF(Distances!CC145&gt;0,(CB254+Distances!CC145*1.84)*EN254*P213*2,"")</f>
        <v>167.07118139534882</v>
      </c>
      <c r="Q254" s="14" t="s">
        <v>62</v>
      </c>
      <c r="R254" s="14" t="s">
        <v>62</v>
      </c>
      <c r="S254" s="14" t="s">
        <v>62</v>
      </c>
      <c r="T254" s="14">
        <f>IF(Distances!CG145&gt;0,(CF254+Distances!CG145*1.84)*ER254*T213*2,"")</f>
        <v>161.60168000000002</v>
      </c>
      <c r="U254" s="14">
        <f>IF(Distances!CH145&gt;0,(CG254+Distances!CH145*1.84)*ES254*U213*2,"")</f>
        <v>157.43696</v>
      </c>
      <c r="V254" s="14">
        <f>IF(Distances!CI145&gt;0,(CH254+Distances!CI145*1.84)*ET254*V213*2,"")</f>
        <v>1571.1517257142857</v>
      </c>
      <c r="W254" s="14" t="s">
        <v>62</v>
      </c>
      <c r="X254" s="14">
        <f>IF(Distances!CK145&gt;0,(CJ254+Distances!CK145*1.84)*EV254*X213*2,"")</f>
        <v>1462.83888</v>
      </c>
      <c r="Y254" s="14">
        <f>IF(Distances!CL145&gt;0,(CK254+Distances!CL145*1.84)*EW254*Y213*2,"")</f>
        <v>1434.1186057142861</v>
      </c>
      <c r="Z254" s="14">
        <f>IF(Distances!CM145&gt;0,(CL254+Distances!CM145*1.84)*EX254*Z213*2,"")</f>
        <v>34.877782857142854</v>
      </c>
      <c r="AA254" s="14">
        <f>IF(Distances!CN145&gt;0,(CM254+Distances!CN145*1.84)*EY254*AA213*2,"")</f>
        <v>38.239428571428576</v>
      </c>
      <c r="AB254" s="14">
        <f>IF(Distances!CO145&gt;0,(CN254+Distances!CO145*1.84)*EZ254*AB213*2,"")</f>
        <v>48.074948571428578</v>
      </c>
      <c r="AC254" s="14" t="s">
        <v>62</v>
      </c>
      <c r="AD254" s="14" t="s">
        <v>62</v>
      </c>
      <c r="AE254" s="14">
        <f>IF(Distances!CR145&gt;0,(CQ254+Distances!CR145*1.84)*FC254*AE213*2,"")</f>
        <v>77.088274285714306</v>
      </c>
      <c r="AF254" s="14">
        <f>IF(Distances!CS145&gt;0,(CR254+Distances!CS145*1.84)*FD254*AF213*2,"")</f>
        <v>134.64100571428571</v>
      </c>
      <c r="AG254" s="14">
        <f>IF(Distances!CT145&gt;0,(CS254+Distances!CT145*1.84)*FE254*AG213*2,"")</f>
        <v>111.19414857142858</v>
      </c>
      <c r="AH254" s="14">
        <f>IF(Distances!CU145&gt;0,(CT254+Distances!CU145*1.84)*FF254*AH213*2,"")</f>
        <v>34.54942628571429</v>
      </c>
      <c r="AI254" s="14" t="s">
        <v>62</v>
      </c>
      <c r="AJ254" s="14">
        <f>IF(Distances!CW145&gt;0,(CV254+Distances!CW145*1.84)*FH254*AJ213*2,"")</f>
        <v>23.671346285714286</v>
      </c>
      <c r="AK254" s="14" t="s">
        <v>62</v>
      </c>
      <c r="AL254" s="14" t="s">
        <v>62</v>
      </c>
      <c r="AM254" s="14" t="s">
        <v>62</v>
      </c>
      <c r="AN254" s="14">
        <f>IF(Distances!DA145&gt;0,(CZ254+Distances!DA145*1.84)*FL254*AN213*2,"")</f>
        <v>545.36223085714278</v>
      </c>
      <c r="AO254" s="13" t="s">
        <v>62</v>
      </c>
      <c r="AP254" s="12" t="s">
        <v>62</v>
      </c>
      <c r="AQ254" s="13" t="s">
        <v>62</v>
      </c>
      <c r="AR254" s="14" t="s">
        <v>62</v>
      </c>
      <c r="AS254" s="14">
        <f>IF(Distances!DF145&gt;0,(DE254+Distances!DF145*1.84)*FQ254*AS213*2,"")</f>
        <v>100.00568685714286</v>
      </c>
      <c r="AT254" s="14">
        <f>IF(Distances!DG145&gt;0,(DF254+Distances!DG145*1.84)*FR254*AT213*2,"")</f>
        <v>63.88280685714286</v>
      </c>
      <c r="AU254" s="14">
        <f>IF(Distances!DH145&gt;0,(DG254+Distances!DH145*1.84)*FS254*AU213*2,"")</f>
        <v>103.442048</v>
      </c>
      <c r="AV254" s="14">
        <f>IF(Distances!DI145&gt;0,(DH254+Distances!DI145*1.84)*FT254*AV213*2,"")</f>
        <v>164.36701176470589</v>
      </c>
      <c r="AW254" s="14">
        <f>IF(Distances!DJ145&gt;0,(DI254+Distances!DJ145*1.84)*FU254*AW213*2,"")</f>
        <v>580.1581257142858</v>
      </c>
      <c r="AX254" s="14" t="s">
        <v>62</v>
      </c>
      <c r="AY254" s="14" t="s">
        <v>62</v>
      </c>
      <c r="AZ254" s="14">
        <f>IF(Distances!DM145&gt;0,(DL254+Distances!DM145*1.84)*FX254*AZ213*2,"")</f>
        <v>130.96743272727272</v>
      </c>
      <c r="BA254" s="14" t="s">
        <v>62</v>
      </c>
      <c r="BB254" s="14" t="s">
        <v>62</v>
      </c>
      <c r="BC254" s="14" t="s">
        <v>62</v>
      </c>
      <c r="BD254" s="14">
        <f>IF(Distances!DQ145&gt;0,(DP254+Distances!DQ145*1.84)*GB254*BD213*2,"")</f>
        <v>299.31593142857145</v>
      </c>
      <c r="BE254" s="14" t="s">
        <v>62</v>
      </c>
      <c r="BF254" s="14">
        <f>IF(Distances!DS145&gt;0,(DR254+Distances!DS145*1.84)*GD254*BF213*2,"")</f>
        <v>163.02441142857145</v>
      </c>
      <c r="BG254" s="14">
        <f>IF(Distances!DT145&gt;0,(DS254+Distances!DT145*1.84)*GE254*BG213*2,"")</f>
        <v>56.467085714285709</v>
      </c>
      <c r="BH254" s="14">
        <f>IF(Distances!DU145&gt;0,(DT254+Distances!DU145*1.84)*GF254*BH213*2,"")</f>
        <v>123.95255069767441</v>
      </c>
      <c r="BI254" s="14">
        <f>IF(Distances!DV145&gt;0,(DU254+Distances!DV145*1.84)*GG254*BI213*2,"")</f>
        <v>93.133707906976753</v>
      </c>
      <c r="BJ254" s="15">
        <f>IF(Distances!DW145&gt;0,(DV254+Distances!DW145*1.84)*GH254*BJ213*2,"")</f>
        <v>163.8581730232558</v>
      </c>
      <c r="BM254" s="35" t="s">
        <v>41</v>
      </c>
      <c r="BN254" s="16">
        <v>2320.3571999999999</v>
      </c>
      <c r="BO254" s="14">
        <v>2615.172</v>
      </c>
      <c r="BP254" s="14">
        <v>2436.6047999999996</v>
      </c>
      <c r="BQ254" s="14">
        <v>2436.6047999999996</v>
      </c>
      <c r="BR254" s="14">
        <v>2581.2947999999997</v>
      </c>
      <c r="BS254" s="14">
        <v>1021.986</v>
      </c>
      <c r="BT254" s="14">
        <v>1133.4371999999998</v>
      </c>
      <c r="BU254" s="14">
        <v>1021.986</v>
      </c>
      <c r="BV254" s="14">
        <v>2533.0704000000001</v>
      </c>
      <c r="BW254" s="14">
        <v>2533.0704000000001</v>
      </c>
      <c r="BX254" s="14">
        <v>1144.5419999999999</v>
      </c>
      <c r="BY254" s="14">
        <v>1144.5419999999999</v>
      </c>
      <c r="BZ254" s="14">
        <v>2770.4712</v>
      </c>
      <c r="CA254" s="14">
        <v>1671.4235999999999</v>
      </c>
      <c r="CB254" s="14">
        <v>2470.6079999999997</v>
      </c>
      <c r="CC254" s="14">
        <v>1303.0835999999999</v>
      </c>
      <c r="CD254" s="14">
        <v>1290.7944</v>
      </c>
      <c r="CE254" s="14">
        <v>1327.6451999999999</v>
      </c>
      <c r="CF254" s="14">
        <v>1266.2328</v>
      </c>
      <c r="CG254" s="14">
        <v>1000.4735999999999</v>
      </c>
      <c r="CH254" s="14">
        <v>984.6816</v>
      </c>
      <c r="CI254" s="14">
        <v>1278.5136</v>
      </c>
      <c r="CJ254" s="14">
        <v>1502.7431999999999</v>
      </c>
      <c r="CK254" s="14">
        <v>1266.2328</v>
      </c>
      <c r="CL254" s="14">
        <v>1089.5303999999999</v>
      </c>
      <c r="CM254" s="14">
        <v>1069.74</v>
      </c>
      <c r="CN254" s="14">
        <v>1030.1592000000001</v>
      </c>
      <c r="CO254" s="14">
        <v>1020.2639999999999</v>
      </c>
      <c r="CP254" s="14">
        <v>1502.7431999999999</v>
      </c>
      <c r="CQ254" s="14">
        <v>984.6816</v>
      </c>
      <c r="CR254" s="14">
        <v>984.6816</v>
      </c>
      <c r="CS254" s="14">
        <v>984.6816</v>
      </c>
      <c r="CT254" s="14">
        <v>493.81079999999997</v>
      </c>
      <c r="CU254" s="14">
        <v>480.8664</v>
      </c>
      <c r="CV254" s="14">
        <v>493.81079999999997</v>
      </c>
      <c r="CW254" s="14">
        <v>494.84399999999999</v>
      </c>
      <c r="CX254" s="14">
        <v>584.32079999999996</v>
      </c>
      <c r="CY254" s="14">
        <v>584.32079999999996</v>
      </c>
      <c r="CZ254" s="14">
        <v>584.32079999999996</v>
      </c>
      <c r="DA254" s="13">
        <v>334.15199999999999</v>
      </c>
      <c r="DB254" s="12">
        <v>0</v>
      </c>
      <c r="DC254" s="13">
        <v>350.322</v>
      </c>
      <c r="DD254" s="14">
        <v>961.31280000000004</v>
      </c>
      <c r="DE254" s="14">
        <v>961.31280000000004</v>
      </c>
      <c r="DF254" s="14">
        <v>961.31280000000004</v>
      </c>
      <c r="DG254" s="14">
        <v>584.32079999999996</v>
      </c>
      <c r="DH254" s="14">
        <v>1502.7431999999999</v>
      </c>
      <c r="DI254" s="14">
        <v>1502.7431999999999</v>
      </c>
      <c r="DJ254" s="14">
        <v>595.43399999999997</v>
      </c>
      <c r="DK254" s="14">
        <v>0</v>
      </c>
      <c r="DL254" s="14">
        <v>2711.7803999999996</v>
      </c>
      <c r="DM254" s="14">
        <v>816.60599999999999</v>
      </c>
      <c r="DN254" s="14">
        <v>1474.6704</v>
      </c>
      <c r="DO254" s="14">
        <v>556.54199999999992</v>
      </c>
      <c r="DP254" s="14">
        <v>595.43399999999997</v>
      </c>
      <c r="DQ254" s="14">
        <v>589.8732</v>
      </c>
      <c r="DR254" s="14">
        <v>1419.7511999999999</v>
      </c>
      <c r="DS254" s="14">
        <v>966.46199999999988</v>
      </c>
      <c r="DT254" s="14">
        <v>2404.6007999999997</v>
      </c>
      <c r="DU254" s="14">
        <v>2293.2084</v>
      </c>
      <c r="DV254" s="15">
        <v>2293.2084</v>
      </c>
      <c r="DY254" s="35" t="s">
        <v>41</v>
      </c>
      <c r="DZ254" s="16">
        <v>6.2500000000000003E-3</v>
      </c>
      <c r="EA254" s="14">
        <v>6.2500000000000003E-3</v>
      </c>
      <c r="EB254" s="14">
        <v>6.2500000000000003E-3</v>
      </c>
      <c r="EC254" s="14">
        <v>6.2500000000000003E-3</v>
      </c>
      <c r="ED254" s="14">
        <v>6.2500000000000003E-3</v>
      </c>
      <c r="EE254" s="14">
        <v>6.2500000000000003E-3</v>
      </c>
      <c r="EF254" s="14">
        <v>6.2500000000000003E-3</v>
      </c>
      <c r="EG254" s="14">
        <v>6.2500000000000003E-3</v>
      </c>
      <c r="EH254" s="14">
        <v>6.2500000000000003E-3</v>
      </c>
      <c r="EI254" s="14">
        <v>6.2500000000000003E-3</v>
      </c>
      <c r="EJ254" s="14">
        <v>6.2500000000000003E-3</v>
      </c>
      <c r="EK254" s="14">
        <v>6.2500000000000003E-3</v>
      </c>
      <c r="EL254" s="14">
        <v>6.2500000000000003E-3</v>
      </c>
      <c r="EM254" s="14">
        <v>4.6511627906976744E-3</v>
      </c>
      <c r="EN254" s="14">
        <v>4.6511627906976744E-3</v>
      </c>
      <c r="EO254" s="14">
        <v>7.1428571428571435E-3</v>
      </c>
      <c r="EP254" s="14">
        <v>7.1428571428571435E-3</v>
      </c>
      <c r="EQ254" s="14">
        <v>7.1428571428571435E-3</v>
      </c>
      <c r="ER254" s="14">
        <v>7.1428571428571435E-3</v>
      </c>
      <c r="ES254" s="14">
        <v>7.1428571428571435E-3</v>
      </c>
      <c r="ET254" s="14">
        <v>7.1428571428571435E-3</v>
      </c>
      <c r="EU254" s="14">
        <v>7.1428571428571435E-3</v>
      </c>
      <c r="EV254" s="14">
        <v>7.1428571428571435E-3</v>
      </c>
      <c r="EW254" s="14">
        <v>7.1428571428571435E-3</v>
      </c>
      <c r="EX254" s="14">
        <v>7.1428571428571435E-3</v>
      </c>
      <c r="EY254" s="14">
        <v>7.1428571428571435E-3</v>
      </c>
      <c r="EZ254" s="14">
        <v>7.1428571428571435E-3</v>
      </c>
      <c r="FA254" s="14">
        <v>7.1428571428571435E-3</v>
      </c>
      <c r="FB254" s="14">
        <v>7.1428571428571435E-3</v>
      </c>
      <c r="FC254" s="14">
        <v>7.1428571428571435E-3</v>
      </c>
      <c r="FD254" s="14">
        <v>7.1428571428571435E-3</v>
      </c>
      <c r="FE254" s="14">
        <v>7.1428571428571435E-3</v>
      </c>
      <c r="FF254" s="14">
        <v>5.7142857142857143E-3</v>
      </c>
      <c r="FG254" s="14">
        <v>5.7142857142857143E-3</v>
      </c>
      <c r="FH254" s="14">
        <v>5.7142857142857143E-3</v>
      </c>
      <c r="FI254" s="14">
        <v>5.7142857142857143E-3</v>
      </c>
      <c r="FJ254" s="14">
        <v>5.7142857142857143E-3</v>
      </c>
      <c r="FK254" s="14">
        <v>5.7142857142857143E-3</v>
      </c>
      <c r="FL254" s="14">
        <v>5.7142857142857143E-3</v>
      </c>
      <c r="FM254" s="13">
        <f>0.2/2</f>
        <v>0.1</v>
      </c>
      <c r="FN254" s="12">
        <v>0.6</v>
      </c>
      <c r="FO254" s="13">
        <f>0.2/2</f>
        <v>0.1</v>
      </c>
      <c r="FP254" s="14">
        <v>5.7142857142857143E-3</v>
      </c>
      <c r="FQ254" s="14">
        <v>5.7142857142857143E-3</v>
      </c>
      <c r="FR254" s="14">
        <v>5.7142857142857143E-3</v>
      </c>
      <c r="FS254" s="14">
        <v>5.7142857142857143E-3</v>
      </c>
      <c r="FT254" s="14">
        <v>5.8823529411764705E-3</v>
      </c>
      <c r="FU254" s="14">
        <v>5.7142857142857143E-3</v>
      </c>
      <c r="FV254" s="14">
        <v>5.7142857142857143E-3</v>
      </c>
      <c r="FW254" s="14">
        <v>4.5454545454545461E-3</v>
      </c>
      <c r="FX254" s="14">
        <v>4.5454545454545461E-3</v>
      </c>
      <c r="FY254" s="14">
        <v>5.7142857142857143E-3</v>
      </c>
      <c r="FZ254" s="14">
        <v>7.1428571428571435E-3</v>
      </c>
      <c r="GA254" s="14">
        <v>5.7142857142857143E-3</v>
      </c>
      <c r="GB254" s="14">
        <v>5.7142857142857143E-3</v>
      </c>
      <c r="GC254" s="14">
        <v>5.7142857142857143E-3</v>
      </c>
      <c r="GD254" s="14">
        <v>7.1428571428571435E-3</v>
      </c>
      <c r="GE254" s="14">
        <v>7.1428571428571435E-3</v>
      </c>
      <c r="GF254" s="14">
        <v>4.6511627906976744E-3</v>
      </c>
      <c r="GG254" s="14">
        <v>4.6511627906976744E-3</v>
      </c>
      <c r="GH254" s="15">
        <v>4.6511627906976744E-3</v>
      </c>
    </row>
    <row r="255" spans="1:190" x14ac:dyDescent="0.3">
      <c r="A255" s="35" t="s">
        <v>42</v>
      </c>
      <c r="B255" s="16" t="s">
        <v>62</v>
      </c>
      <c r="C255" s="14" t="s">
        <v>62</v>
      </c>
      <c r="D255" s="14">
        <f>IF(Distances!BQ146&gt;0,(BP255+Distances!BQ146*1.84)*EB255*D213*2,"")</f>
        <v>14649.35007</v>
      </c>
      <c r="E255" s="14" t="s">
        <v>62</v>
      </c>
      <c r="F255" s="14">
        <f>IF(Distances!BS146&gt;0,(BR255+Distances!BS146*1.84)*ED255*F213*2,"")</f>
        <v>6335.3421600000011</v>
      </c>
      <c r="G255" s="14">
        <f>IF(Distances!BT146&gt;0,(BS255+Distances!BT146*1.84)*EE255*G213*2,"")</f>
        <v>10424.61198</v>
      </c>
      <c r="H255" s="14" t="s">
        <v>62</v>
      </c>
      <c r="I255" s="14" t="s">
        <v>62</v>
      </c>
      <c r="J255" s="14">
        <f>IF(Distances!BW146&gt;0,(BV255+Distances!BW146*1.84)*EH255*J213*2,"")</f>
        <v>167.40426000000002</v>
      </c>
      <c r="K255" s="14" t="s">
        <v>62</v>
      </c>
      <c r="L255" s="14">
        <f>IF(Distances!BY146&gt;0,(BX255+Distances!BY146*1.84)*EJ255*L213*2,"")</f>
        <v>151.46810000000002</v>
      </c>
      <c r="M255" s="14" t="s">
        <v>62</v>
      </c>
      <c r="N255" s="14">
        <f>IF(Distances!CA146&gt;0,(BZ255+Distances!CA146*1.84)*EL255*N213*2,"")</f>
        <v>187.3175</v>
      </c>
      <c r="O255" s="14">
        <f>IF(Distances!CB146&gt;0,(CA255+Distances!CB146*1.84)*EM255*O213*2,"")</f>
        <v>169.56232186046512</v>
      </c>
      <c r="P255" s="14">
        <f>IF(Distances!CC146&gt;0,(CB255+Distances!CC146*1.84)*EN255*P213*2,"")</f>
        <v>151.21268465116282</v>
      </c>
      <c r="Q255" s="14" t="s">
        <v>62</v>
      </c>
      <c r="R255" s="14" t="s">
        <v>62</v>
      </c>
      <c r="S255" s="14" t="s">
        <v>62</v>
      </c>
      <c r="T255" s="14">
        <f>IF(Distances!CG146&gt;0,(CF255+Distances!CG146*1.84)*ER255*T213*2,"")</f>
        <v>181.90447999999998</v>
      </c>
      <c r="U255" s="14">
        <f>IF(Distances!CH146&gt;0,(CG255+Distances!CH146*1.84)*ES255*U213*2,"")</f>
        <v>185.01331999999999</v>
      </c>
      <c r="V255" s="14">
        <f>IF(Distances!CI146&gt;0,(CH255+Distances!CI146*1.84)*ET255*V213*2,"")</f>
        <v>1885.9594857142858</v>
      </c>
      <c r="W255" s="14" t="s">
        <v>62</v>
      </c>
      <c r="X255" s="14">
        <f>IF(Distances!CK146&gt;0,(CJ255+Distances!CK146*1.84)*EV255*X213*2,"")</f>
        <v>1642.8036</v>
      </c>
      <c r="Y255" s="14">
        <f>IF(Distances!CL146&gt;0,(CK255+Distances!CL146*1.84)*EW255*Y213*2,"")</f>
        <v>1602.3418057142858</v>
      </c>
      <c r="Z255" s="14">
        <f>IF(Distances!CM146&gt;0,(CL255+Distances!CM146*1.84)*EX255*Z213*2,"")</f>
        <v>43.458982857142857</v>
      </c>
      <c r="AA255" s="14">
        <f>IF(Distances!CN146&gt;0,(CM255+Distances!CN146*1.84)*EY255*AA213*2,"")</f>
        <v>46.664628571428565</v>
      </c>
      <c r="AB255" s="14">
        <f>IF(Distances!CO146&gt;0,(CN255+Distances!CO146*1.84)*EZ255*AB213*2,"")</f>
        <v>56.187908571428586</v>
      </c>
      <c r="AC255" s="14" t="s">
        <v>62</v>
      </c>
      <c r="AD255" s="14" t="s">
        <v>62</v>
      </c>
      <c r="AE255" s="14">
        <f>IF(Distances!CR146&gt;0,(CQ255+Distances!CR146*1.84)*FC255*AE213*2,"")</f>
        <v>87.943714285714293</v>
      </c>
      <c r="AF255" s="14">
        <f>IF(Distances!CS146&gt;0,(CR255+Distances!CS146*1.84)*FD255*AF213*2,"")</f>
        <v>156.35188571428571</v>
      </c>
      <c r="AG255" s="14">
        <f>IF(Distances!CT146&gt;0,(CS255+Distances!CT146*1.84)*FE255*AG213*2,"")</f>
        <v>132.90502857142857</v>
      </c>
      <c r="AH255" s="14">
        <f>IF(Distances!CU146&gt;0,(CT255+Distances!CU146*1.84)*FF255*AH213*2,"")</f>
        <v>33.746578285714286</v>
      </c>
      <c r="AI255" s="14" t="s">
        <v>62</v>
      </c>
      <c r="AJ255" s="14">
        <f>IF(Distances!CW146&gt;0,(CV255+Distances!CW146*1.84)*FH255*AJ213*2,"")</f>
        <v>22.868498285714285</v>
      </c>
      <c r="AK255" s="14" t="s">
        <v>62</v>
      </c>
      <c r="AL255" s="14" t="s">
        <v>62</v>
      </c>
      <c r="AM255" s="14" t="s">
        <v>62</v>
      </c>
      <c r="AN255" s="14">
        <f>IF(Distances!DA146&gt;0,(CZ255+Distances!DA146*1.84)*FL255*AN213*2,"")</f>
        <v>596.97413485714276</v>
      </c>
      <c r="AO255" s="13" t="s">
        <v>62</v>
      </c>
      <c r="AP255" s="13" t="s">
        <v>62</v>
      </c>
      <c r="AQ255" s="12" t="s">
        <v>62</v>
      </c>
      <c r="AR255" s="14" t="s">
        <v>62</v>
      </c>
      <c r="AS255" s="14">
        <f>IF(Distances!DF146&gt;0,(DE255+Distances!DF146*1.84)*FQ255*AS213*2,"")</f>
        <v>102.84555885714285</v>
      </c>
      <c r="AT255" s="14">
        <f>IF(Distances!DG146&gt;0,(DF255+Distances!DG146*1.84)*FR255*AT213*2,"")</f>
        <v>66.722678857142867</v>
      </c>
      <c r="AU255" s="14">
        <f>IF(Distances!DH146&gt;0,(DG255+Distances!DH146*1.84)*FS255*AU213*2,"")</f>
        <v>116.82291199999999</v>
      </c>
      <c r="AV255" s="14">
        <f>IF(Distances!DI146&gt;0,(DH255+Distances!DI146*1.84)*FT255*AV213*2,"")</f>
        <v>177.14341176470589</v>
      </c>
      <c r="AW255" s="14">
        <f>IF(Distances!DJ146&gt;0,(DI255+Distances!DJ146*1.84)*FU255*AW213*2,"")</f>
        <v>592.56948571428575</v>
      </c>
      <c r="AX255" s="14" t="s">
        <v>62</v>
      </c>
      <c r="AY255" s="14" t="s">
        <v>62</v>
      </c>
      <c r="AZ255" s="14">
        <f>IF(Distances!DM146&gt;0,(DL255+Distances!DM146*1.84)*FX255*AZ213*2,"")</f>
        <v>130.27802181818183</v>
      </c>
      <c r="BA255" s="14" t="s">
        <v>62</v>
      </c>
      <c r="BB255" s="14" t="s">
        <v>62</v>
      </c>
      <c r="BC255" s="14" t="s">
        <v>62</v>
      </c>
      <c r="BD255" s="14">
        <f>IF(Distances!DQ146&gt;0,(DP255+Distances!DQ146*1.84)*GB255*BD213*2,"")</f>
        <v>330.48137142857144</v>
      </c>
      <c r="BE255" s="14" t="s">
        <v>62</v>
      </c>
      <c r="BF255" s="14">
        <f>IF(Distances!DS146&gt;0,(DR255+Distances!DS146*1.84)*GD255*BF213*2,"")</f>
        <v>187.67961142857141</v>
      </c>
      <c r="BG255" s="14">
        <f>IF(Distances!DT146&gt;0,(DS255+Distances!DT146*1.84)*GE255*BG213*2,"")</f>
        <v>75.616205714285726</v>
      </c>
      <c r="BH255" s="14">
        <f>IF(Distances!DU146&gt;0,(DT255+Distances!DU146*1.84)*GF255*BH213*2,"")</f>
        <v>129.27010232558141</v>
      </c>
      <c r="BI255" s="14">
        <f>IF(Distances!DV146&gt;0,(DU255+Distances!DV146*1.84)*GG255*BI213*2,"")</f>
        <v>98.168081860465122</v>
      </c>
      <c r="BJ255" s="15">
        <f>IF(Distances!DW146&gt;0,(DV255+Distances!DW146*1.84)*GH255*BJ213*2,"")</f>
        <v>168.89254697674417</v>
      </c>
      <c r="BM255" s="35" t="s">
        <v>42</v>
      </c>
      <c r="BN255" s="16">
        <v>2157.6491999999998</v>
      </c>
      <c r="BO255" s="14">
        <v>2739.4751999999999</v>
      </c>
      <c r="BP255" s="14">
        <v>2258.9867999999997</v>
      </c>
      <c r="BQ255" s="14">
        <v>2258.9867999999997</v>
      </c>
      <c r="BR255" s="14">
        <v>2393.1264000000001</v>
      </c>
      <c r="BS255" s="14">
        <v>1116.8471999999999</v>
      </c>
      <c r="BT255" s="14">
        <v>1230.8435999999999</v>
      </c>
      <c r="BU255" s="14">
        <v>1116.8471999999999</v>
      </c>
      <c r="BV255" s="14">
        <v>2348.4132</v>
      </c>
      <c r="BW255" s="14">
        <v>2348.4132</v>
      </c>
      <c r="BX255" s="14">
        <v>1242.9059999999999</v>
      </c>
      <c r="BY255" s="14">
        <v>1242.9059999999999</v>
      </c>
      <c r="BZ255" s="14">
        <v>2902.1579999999999</v>
      </c>
      <c r="CA255" s="14">
        <v>1790.8968</v>
      </c>
      <c r="CB255" s="14">
        <v>2227.0668000000001</v>
      </c>
      <c r="CC255" s="14">
        <v>1512.0251999999998</v>
      </c>
      <c r="CD255" s="14">
        <v>1497.7703999999999</v>
      </c>
      <c r="CE255" s="14">
        <v>1540.5347999999999</v>
      </c>
      <c r="CF255" s="14">
        <v>1469.2607999999998</v>
      </c>
      <c r="CG255" s="14">
        <v>1276.2371999999998</v>
      </c>
      <c r="CH255" s="14">
        <v>1364.6219999999998</v>
      </c>
      <c r="CI255" s="14">
        <v>1483.5155999999999</v>
      </c>
      <c r="CJ255" s="14">
        <v>1719.942</v>
      </c>
      <c r="CK255" s="14">
        <v>1469.2607999999998</v>
      </c>
      <c r="CL255" s="14">
        <v>1389.8724</v>
      </c>
      <c r="CM255" s="14">
        <v>1364.6219999999998</v>
      </c>
      <c r="CN255" s="14">
        <v>1314.1128000000001</v>
      </c>
      <c r="CO255" s="14">
        <v>1301.4875999999999</v>
      </c>
      <c r="CP255" s="14">
        <v>1719.942</v>
      </c>
      <c r="CQ255" s="14">
        <v>1364.6219999999998</v>
      </c>
      <c r="CR255" s="14">
        <v>1364.6219999999998</v>
      </c>
      <c r="CS255" s="14">
        <v>1364.6219999999998</v>
      </c>
      <c r="CT255" s="14">
        <v>423.5616</v>
      </c>
      <c r="CU255" s="14">
        <v>412.02</v>
      </c>
      <c r="CV255" s="14">
        <v>423.5616</v>
      </c>
      <c r="CW255" s="14">
        <v>423.99</v>
      </c>
      <c r="CX255" s="14">
        <v>667.95119999999997</v>
      </c>
      <c r="CY255" s="14">
        <v>667.95119999999997</v>
      </c>
      <c r="CZ255" s="14">
        <v>667.95119999999997</v>
      </c>
      <c r="DA255" s="13">
        <v>343.66919999999999</v>
      </c>
      <c r="DB255" s="13">
        <v>350.322</v>
      </c>
      <c r="DC255" s="12">
        <v>0</v>
      </c>
      <c r="DD255" s="14">
        <v>1085.5572</v>
      </c>
      <c r="DE255" s="14">
        <v>1085.5572</v>
      </c>
      <c r="DF255" s="14">
        <v>1085.5572</v>
      </c>
      <c r="DG255" s="14">
        <v>667.95119999999997</v>
      </c>
      <c r="DH255" s="14">
        <v>1719.942</v>
      </c>
      <c r="DI255" s="14">
        <v>1719.942</v>
      </c>
      <c r="DJ255" s="14">
        <v>680.65199999999993</v>
      </c>
      <c r="DK255" s="14">
        <v>0</v>
      </c>
      <c r="DL255" s="14">
        <v>2692.8215999999998</v>
      </c>
      <c r="DM255" s="14">
        <v>909.41760000000011</v>
      </c>
      <c r="DN255" s="14">
        <v>1687.8119999999999</v>
      </c>
      <c r="DO255" s="14">
        <v>636.19079999999997</v>
      </c>
      <c r="DP255" s="14">
        <v>680.65199999999993</v>
      </c>
      <c r="DQ255" s="14">
        <v>674.30160000000001</v>
      </c>
      <c r="DR255" s="14">
        <v>1851.2171999999998</v>
      </c>
      <c r="DS255" s="14">
        <v>1301.5716</v>
      </c>
      <c r="DT255" s="14">
        <v>2547.5099999999998</v>
      </c>
      <c r="DU255" s="14">
        <v>2428.5072</v>
      </c>
      <c r="DV255" s="15">
        <v>2428.5072</v>
      </c>
      <c r="DY255" s="35" t="s">
        <v>42</v>
      </c>
      <c r="DZ255" s="16">
        <v>6.2500000000000003E-3</v>
      </c>
      <c r="EA255" s="14">
        <v>6.2500000000000003E-3</v>
      </c>
      <c r="EB255" s="14">
        <v>6.2500000000000003E-3</v>
      </c>
      <c r="EC255" s="14">
        <v>6.2500000000000003E-3</v>
      </c>
      <c r="ED255" s="14">
        <v>6.2500000000000003E-3</v>
      </c>
      <c r="EE255" s="14">
        <v>6.2500000000000003E-3</v>
      </c>
      <c r="EF255" s="14">
        <v>6.2500000000000003E-3</v>
      </c>
      <c r="EG255" s="14">
        <v>6.2500000000000003E-3</v>
      </c>
      <c r="EH255" s="14">
        <v>6.2500000000000003E-3</v>
      </c>
      <c r="EI255" s="14">
        <v>6.2500000000000003E-3</v>
      </c>
      <c r="EJ255" s="14">
        <v>6.2500000000000003E-3</v>
      </c>
      <c r="EK255" s="14">
        <v>6.2500000000000003E-3</v>
      </c>
      <c r="EL255" s="14">
        <v>6.2500000000000003E-3</v>
      </c>
      <c r="EM255" s="14">
        <v>4.6511627906976744E-3</v>
      </c>
      <c r="EN255" s="14">
        <v>4.6511627906976744E-3</v>
      </c>
      <c r="EO255" s="14">
        <v>7.1428571428571435E-3</v>
      </c>
      <c r="EP255" s="14">
        <v>7.1428571428571435E-3</v>
      </c>
      <c r="EQ255" s="14">
        <v>7.1428571428571435E-3</v>
      </c>
      <c r="ER255" s="14">
        <v>7.1428571428571435E-3</v>
      </c>
      <c r="ES255" s="14">
        <v>7.1428571428571435E-3</v>
      </c>
      <c r="ET255" s="14">
        <v>7.1428571428571435E-3</v>
      </c>
      <c r="EU255" s="14">
        <v>7.1428571428571435E-3</v>
      </c>
      <c r="EV255" s="14">
        <v>7.1428571428571435E-3</v>
      </c>
      <c r="EW255" s="14">
        <v>7.1428571428571435E-3</v>
      </c>
      <c r="EX255" s="14">
        <v>7.1428571428571435E-3</v>
      </c>
      <c r="EY255" s="14">
        <v>7.1428571428571435E-3</v>
      </c>
      <c r="EZ255" s="14">
        <v>7.1428571428571435E-3</v>
      </c>
      <c r="FA255" s="14">
        <v>7.1428571428571435E-3</v>
      </c>
      <c r="FB255" s="14">
        <v>7.1428571428571435E-3</v>
      </c>
      <c r="FC255" s="14">
        <v>7.1428571428571435E-3</v>
      </c>
      <c r="FD255" s="14">
        <v>7.1428571428571435E-3</v>
      </c>
      <c r="FE255" s="14">
        <v>7.1428571428571435E-3</v>
      </c>
      <c r="FF255" s="14">
        <v>5.7142857142857143E-3</v>
      </c>
      <c r="FG255" s="14">
        <v>5.7142857142857143E-3</v>
      </c>
      <c r="FH255" s="14">
        <v>5.7142857142857143E-3</v>
      </c>
      <c r="FI255" s="14">
        <v>5.7142857142857143E-3</v>
      </c>
      <c r="FJ255" s="14">
        <v>5.7142857142857143E-3</v>
      </c>
      <c r="FK255" s="14">
        <v>5.7142857142857143E-3</v>
      </c>
      <c r="FL255" s="14">
        <v>5.7142857142857143E-3</v>
      </c>
      <c r="FM255" s="13">
        <f>0.2/2</f>
        <v>0.1</v>
      </c>
      <c r="FN255" s="13">
        <f>0.2/2</f>
        <v>0.1</v>
      </c>
      <c r="FO255" s="12">
        <v>0.6</v>
      </c>
      <c r="FP255" s="14">
        <v>5.7142857142857143E-3</v>
      </c>
      <c r="FQ255" s="14">
        <v>5.7142857142857143E-3</v>
      </c>
      <c r="FR255" s="14">
        <v>5.7142857142857143E-3</v>
      </c>
      <c r="FS255" s="14">
        <v>5.7142857142857143E-3</v>
      </c>
      <c r="FT255" s="14">
        <v>5.8823529411764705E-3</v>
      </c>
      <c r="FU255" s="14">
        <v>5.7142857142857143E-3</v>
      </c>
      <c r="FV255" s="14">
        <v>5.7142857142857143E-3</v>
      </c>
      <c r="FW255" s="14">
        <v>4.5454545454545461E-3</v>
      </c>
      <c r="FX255" s="14">
        <v>4.5454545454545461E-3</v>
      </c>
      <c r="FY255" s="14">
        <v>5.7142857142857143E-3</v>
      </c>
      <c r="FZ255" s="14">
        <v>7.1428571428571435E-3</v>
      </c>
      <c r="GA255" s="14">
        <v>5.7142857142857143E-3</v>
      </c>
      <c r="GB255" s="14">
        <v>5.7142857142857143E-3</v>
      </c>
      <c r="GC255" s="14">
        <v>5.7142857142857143E-3</v>
      </c>
      <c r="GD255" s="14">
        <v>7.1428571428571435E-3</v>
      </c>
      <c r="GE255" s="14">
        <v>7.1428571428571435E-3</v>
      </c>
      <c r="GF255" s="14">
        <v>4.6511627906976744E-3</v>
      </c>
      <c r="GG255" s="14">
        <v>4.6511627906976744E-3</v>
      </c>
      <c r="GH255" s="15">
        <v>4.6511627906976744E-3</v>
      </c>
    </row>
    <row r="256" spans="1:190" x14ac:dyDescent="0.3">
      <c r="A256" s="35" t="s">
        <v>43</v>
      </c>
      <c r="B256" s="16" t="s">
        <v>62</v>
      </c>
      <c r="C256" s="14" t="s">
        <v>62</v>
      </c>
      <c r="D256" s="14">
        <f>IF(Distances!BQ147&gt;0,(BP256+Distances!BQ147*1.84)*EB256*D213*2,"")</f>
        <v>14038.162710000001</v>
      </c>
      <c r="E256" s="14" t="s">
        <v>62</v>
      </c>
      <c r="F256" s="14">
        <f>IF(Distances!BS147&gt;0,(BR256+Distances!BS147*1.84)*ED256*F213*2,"")</f>
        <v>5687.84328</v>
      </c>
      <c r="G256" s="14">
        <f>IF(Distances!BT147&gt;0,(BS256+Distances!BT147*1.84)*EE256*G213*2,"")</f>
        <v>11503.076850000001</v>
      </c>
      <c r="H256" s="14" t="s">
        <v>62</v>
      </c>
      <c r="I256" s="14" t="s">
        <v>62</v>
      </c>
      <c r="J256" s="14">
        <f>IF(Distances!BW147&gt;0,(BV256+Distances!BW147*1.84)*EH256*J213*2,"")</f>
        <v>154.82231999999999</v>
      </c>
      <c r="K256" s="14" t="s">
        <v>62</v>
      </c>
      <c r="L256" s="14">
        <f>IF(Distances!BY147&gt;0,(BX256+Distances!BY147*1.84)*EJ256*L213*2,"")</f>
        <v>172.59032000000002</v>
      </c>
      <c r="M256" s="14" t="s">
        <v>62</v>
      </c>
      <c r="N256" s="14">
        <f>IF(Distances!CA147&gt;0,(BZ256+Distances!CA147*1.84)*EL256*N213*2,"")</f>
        <v>141.89576</v>
      </c>
      <c r="O256" s="14">
        <f>IF(Distances!CB147&gt;0,(CA256+Distances!CB147*1.84)*EM256*O213*2,"")</f>
        <v>149.40896372093022</v>
      </c>
      <c r="P256" s="14">
        <f>IF(Distances!CC147&gt;0,(CB256+Distances!CC147*1.84)*EN256*P213*2,"")</f>
        <v>188.74841674418607</v>
      </c>
      <c r="Q256" s="14" t="s">
        <v>62</v>
      </c>
      <c r="R256" s="14" t="s">
        <v>62</v>
      </c>
      <c r="S256" s="14" t="s">
        <v>62</v>
      </c>
      <c r="T256" s="14">
        <f>IF(Distances!CG147&gt;0,(CF256+Distances!CG147*1.84)*ER256*T213*2,"")</f>
        <v>156.80612000000002</v>
      </c>
      <c r="U256" s="14">
        <f>IF(Distances!CH147&gt;0,(CG256+Distances!CH147*1.84)*ES256*U213*2,"")</f>
        <v>160.17283999999998</v>
      </c>
      <c r="V256" s="14">
        <f>IF(Distances!CI147&gt;0,(CH256+Distances!CI147*1.84)*ET256*V213*2,"")</f>
        <v>2016.4107657142861</v>
      </c>
      <c r="W256" s="14" t="s">
        <v>62</v>
      </c>
      <c r="X256" s="14">
        <f>IF(Distances!CK147&gt;0,(CJ256+Distances!CK147*1.84)*EV256*X213*2,"")</f>
        <v>1420.0835999999999</v>
      </c>
      <c r="Y256" s="14">
        <f>IF(Distances!CL147&gt;0,(CK256+Distances!CL147*1.84)*EW256*Y213*2,"")</f>
        <v>1394.3839657142858</v>
      </c>
      <c r="Z256" s="14">
        <f>IF(Distances!CM147&gt;0,(CL256+Distances!CM147*1.84)*EX256*Z213*2,"")</f>
        <v>35.729302857142862</v>
      </c>
      <c r="AA256" s="14">
        <f>IF(Distances!CN147&gt;0,(CM256+Distances!CN147*1.84)*EY256*AA213*2,"")</f>
        <v>39.075348571428563</v>
      </c>
      <c r="AB256" s="14">
        <f>IF(Distances!CO147&gt;0,(CN256+Distances!CO147*1.84)*EZ256*AB213*2,"")</f>
        <v>48.879908571428579</v>
      </c>
      <c r="AC256" s="14" t="s">
        <v>62</v>
      </c>
      <c r="AD256" s="14" t="s">
        <v>62</v>
      </c>
      <c r="AE256" s="14">
        <f>IF(Distances!CR147&gt;0,(CQ256+Distances!CR147*1.84)*FC256*AE213*2,"")</f>
        <v>92.4420342857143</v>
      </c>
      <c r="AF256" s="14">
        <f>IF(Distances!CS147&gt;0,(CR256+Distances!CS147*1.84)*FD256*AF213*2,"")</f>
        <v>165.34852571428573</v>
      </c>
      <c r="AG256" s="14">
        <f>IF(Distances!CT147&gt;0,(CS256+Distances!CT147*1.84)*FE256*AG213*2,"")</f>
        <v>141.90166857142859</v>
      </c>
      <c r="AH256" s="13">
        <f>IF(Distances!CU147&gt;0,(CT256+Distances!CU147*1.84)*FF256*AH213*2,"")</f>
        <v>140.49498666666668</v>
      </c>
      <c r="AI256" s="13" t="s">
        <v>62</v>
      </c>
      <c r="AJ256" s="13">
        <f>IF(Distances!CW147&gt;0,(CV256+Distances!CW147*1.84)*FH256*AJ213*2,"")</f>
        <v>98.191342222222218</v>
      </c>
      <c r="AK256" s="13" t="s">
        <v>62</v>
      </c>
      <c r="AL256" s="13" t="s">
        <v>62</v>
      </c>
      <c r="AM256" s="13" t="s">
        <v>62</v>
      </c>
      <c r="AN256" s="13">
        <f>IF(Distances!DA147&gt;0,(CZ256+Distances!DA147*1.84)*FL256*AN213*2,"")</f>
        <v>1710.1535999999999</v>
      </c>
      <c r="AO256" s="14" t="s">
        <v>62</v>
      </c>
      <c r="AP256" s="14" t="s">
        <v>62</v>
      </c>
      <c r="AQ256" s="14" t="s">
        <v>62</v>
      </c>
      <c r="AR256" s="12" t="s">
        <v>62</v>
      </c>
      <c r="AS256" s="13">
        <f>IF(Distances!DF147&gt;0,(DE256+Distances!DF147*1.84)*FQ256*AS213*2,"")</f>
        <v>303.46097777777783</v>
      </c>
      <c r="AT256" s="13">
        <f>IF(Distances!DG147&gt;0,(DF256+Distances!DG147*1.84)*FR256*AT213*2,"")</f>
        <v>162.98311111111113</v>
      </c>
      <c r="AU256" s="13">
        <f>IF(Distances!DH147&gt;0,(DG256+Distances!DH147*1.84)*FS256*AU213*2,"")</f>
        <v>295.79697777777778</v>
      </c>
      <c r="AV256" s="13">
        <f>IF(Distances!DI147&gt;0,(DH256+Distances!DI147*1.84)*FT256*AV213*2,"")</f>
        <v>548.52760000000001</v>
      </c>
      <c r="AW256" s="13">
        <f>IF(Distances!DJ147&gt;0,(DI256+Distances!DJ147*1.84)*FU256*AW213*2,"")</f>
        <v>2244.7035555555558</v>
      </c>
      <c r="AX256" s="13" t="s">
        <v>62</v>
      </c>
      <c r="AY256" s="14" t="s">
        <v>62</v>
      </c>
      <c r="AZ256" s="14">
        <f>IF(Distances!DM147&gt;0,(DL256+Distances!DM147*1.84)*FX256*AZ213*2,"")</f>
        <v>135.96253090909093</v>
      </c>
      <c r="BA256" s="13" t="s">
        <v>62</v>
      </c>
      <c r="BB256" s="14" t="s">
        <v>62</v>
      </c>
      <c r="BC256" s="13" t="s">
        <v>62</v>
      </c>
      <c r="BD256" s="13">
        <f>IF(Distances!DQ147&gt;0,(DP256+Distances!DQ147*1.84)*GB256*BD213*2,"")</f>
        <v>916.00554666666665</v>
      </c>
      <c r="BE256" s="13" t="s">
        <v>62</v>
      </c>
      <c r="BF256" s="14">
        <f>IF(Distances!DS147&gt;0,(DR256+Distances!DS147*1.84)*GD256*BF213*2,"")</f>
        <v>196.96665142857145</v>
      </c>
      <c r="BG256" s="14">
        <f>IF(Distances!DT147&gt;0,(DS256+Distances!DT147*1.84)*GE256*BG213*2,"")</f>
        <v>86.605805714285722</v>
      </c>
      <c r="BH256" s="14">
        <f>IF(Distances!DU147&gt;0,(DT256+Distances!DU147*1.84)*GF256*BH213*2,"")</f>
        <v>138.84250790697675</v>
      </c>
      <c r="BI256" s="14">
        <f>IF(Distances!DV147&gt;0,(DU256+Distances!DV147*1.84)*GG256*BI213*2,"")</f>
        <v>86.018009302325581</v>
      </c>
      <c r="BJ256" s="15">
        <f>IF(Distances!DW147&gt;0,(DV256+Distances!DW147*1.84)*GH256*BJ213*2,"")</f>
        <v>156.74247441860464</v>
      </c>
      <c r="BM256" s="35" t="s">
        <v>43</v>
      </c>
      <c r="BN256" s="16">
        <v>2453.3292000000001</v>
      </c>
      <c r="BO256" s="14">
        <v>1881.9779999999998</v>
      </c>
      <c r="BP256" s="14">
        <v>2016.9324000000001</v>
      </c>
      <c r="BQ256" s="14">
        <v>2016.9324000000001</v>
      </c>
      <c r="BR256" s="14">
        <v>2136.6911999999998</v>
      </c>
      <c r="BS256" s="14">
        <v>1543.962</v>
      </c>
      <c r="BT256" s="14">
        <v>1649.1887999999999</v>
      </c>
      <c r="BU256" s="14">
        <v>1543.962</v>
      </c>
      <c r="BV256" s="14">
        <v>2096.7743999999998</v>
      </c>
      <c r="BW256" s="14">
        <v>2096.7743999999998</v>
      </c>
      <c r="BX256" s="14">
        <v>1665.3503999999998</v>
      </c>
      <c r="BY256" s="14">
        <v>1665.3503999999998</v>
      </c>
      <c r="BZ256" s="14">
        <v>1993.7231999999999</v>
      </c>
      <c r="CA256" s="14">
        <v>1481.3987999999999</v>
      </c>
      <c r="CB256" s="14">
        <v>2803.5084000000002</v>
      </c>
      <c r="CC256" s="14">
        <v>1253.7336</v>
      </c>
      <c r="CD256" s="14">
        <v>1241.9148</v>
      </c>
      <c r="CE256" s="14">
        <v>1277.3628000000001</v>
      </c>
      <c r="CF256" s="14">
        <v>1218.2772</v>
      </c>
      <c r="CG256" s="14">
        <v>1027.8323999999998</v>
      </c>
      <c r="CH256" s="14">
        <v>1522.0632000000001</v>
      </c>
      <c r="CI256" s="14">
        <v>1230.096</v>
      </c>
      <c r="CJ256" s="14">
        <v>1451.1419999999998</v>
      </c>
      <c r="CK256" s="14">
        <v>1218.2772</v>
      </c>
      <c r="CL256" s="14">
        <v>1119.3335999999999</v>
      </c>
      <c r="CM256" s="14">
        <v>1098.9971999999998</v>
      </c>
      <c r="CN256" s="14">
        <v>1058.3328000000001</v>
      </c>
      <c r="CO256" s="14">
        <v>1048.1687999999999</v>
      </c>
      <c r="CP256" s="14">
        <v>1451.1419999999998</v>
      </c>
      <c r="CQ256" s="14">
        <v>1522.0632000000001</v>
      </c>
      <c r="CR256" s="14">
        <v>1522.0632000000001</v>
      </c>
      <c r="CS256" s="14">
        <v>1522.0632000000001</v>
      </c>
      <c r="CT256" s="13">
        <v>631.8732</v>
      </c>
      <c r="CU256" s="13">
        <v>614.77919999999995</v>
      </c>
      <c r="CV256" s="13">
        <v>631.8732</v>
      </c>
      <c r="CW256" s="13">
        <v>632.6543999999999</v>
      </c>
      <c r="CX256" s="13">
        <v>413.19599999999997</v>
      </c>
      <c r="CY256" s="13">
        <v>413.19599999999997</v>
      </c>
      <c r="CZ256" s="13">
        <v>413.19599999999997</v>
      </c>
      <c r="DA256" s="14">
        <v>943.02600000000007</v>
      </c>
      <c r="DB256" s="14">
        <v>961.31280000000004</v>
      </c>
      <c r="DC256" s="14">
        <v>1085.5572</v>
      </c>
      <c r="DD256" s="12">
        <v>0</v>
      </c>
      <c r="DE256" s="13">
        <v>0</v>
      </c>
      <c r="DF256" s="13">
        <v>0</v>
      </c>
      <c r="DG256" s="13">
        <v>413.19599999999997</v>
      </c>
      <c r="DH256" s="13">
        <v>1451.1419999999998</v>
      </c>
      <c r="DI256" s="13">
        <v>1451.1419999999998</v>
      </c>
      <c r="DJ256" s="13">
        <v>421.05</v>
      </c>
      <c r="DK256" s="14">
        <v>0</v>
      </c>
      <c r="DL256" s="14">
        <v>2849.1455999999998</v>
      </c>
      <c r="DM256" s="13">
        <v>1454.7287999999999</v>
      </c>
      <c r="DN256" s="14">
        <v>1424.0352</v>
      </c>
      <c r="DO256" s="13">
        <v>393.56519999999995</v>
      </c>
      <c r="DP256" s="13">
        <v>421.05839999999995</v>
      </c>
      <c r="DQ256" s="13">
        <v>417.11879999999996</v>
      </c>
      <c r="DR256" s="14">
        <v>2013.7403999999999</v>
      </c>
      <c r="DS256" s="14">
        <v>1493.8896</v>
      </c>
      <c r="DT256" s="14">
        <v>2804.7683999999999</v>
      </c>
      <c r="DU256" s="14">
        <v>2101.9739999999997</v>
      </c>
      <c r="DV256" s="15">
        <v>2101.9739999999997</v>
      </c>
      <c r="DY256" s="35" t="s">
        <v>43</v>
      </c>
      <c r="DZ256" s="16">
        <v>6.2500000000000003E-3</v>
      </c>
      <c r="EA256" s="14">
        <v>6.2500000000000003E-3</v>
      </c>
      <c r="EB256" s="14">
        <v>6.2500000000000003E-3</v>
      </c>
      <c r="EC256" s="14">
        <v>6.2500000000000003E-3</v>
      </c>
      <c r="ED256" s="14">
        <v>6.2500000000000003E-3</v>
      </c>
      <c r="EE256" s="14">
        <v>6.2500000000000003E-3</v>
      </c>
      <c r="EF256" s="14">
        <v>6.2500000000000003E-3</v>
      </c>
      <c r="EG256" s="14">
        <v>6.2500000000000003E-3</v>
      </c>
      <c r="EH256" s="14">
        <v>6.2500000000000003E-3</v>
      </c>
      <c r="EI256" s="14">
        <v>6.2500000000000003E-3</v>
      </c>
      <c r="EJ256" s="14">
        <v>6.2500000000000003E-3</v>
      </c>
      <c r="EK256" s="14">
        <v>6.2500000000000003E-3</v>
      </c>
      <c r="EL256" s="14">
        <v>6.2500000000000003E-3</v>
      </c>
      <c r="EM256" s="14">
        <v>4.6511627906976744E-3</v>
      </c>
      <c r="EN256" s="14">
        <v>4.6511627906976744E-3</v>
      </c>
      <c r="EO256" s="14">
        <v>7.1428571428571435E-3</v>
      </c>
      <c r="EP256" s="14">
        <v>7.1428571428571435E-3</v>
      </c>
      <c r="EQ256" s="14">
        <v>7.1428571428571435E-3</v>
      </c>
      <c r="ER256" s="14">
        <v>7.1428571428571435E-3</v>
      </c>
      <c r="ES256" s="14">
        <v>7.1428571428571435E-3</v>
      </c>
      <c r="ET256" s="14">
        <v>7.1428571428571435E-3</v>
      </c>
      <c r="EU256" s="14">
        <v>7.1428571428571435E-3</v>
      </c>
      <c r="EV256" s="14">
        <v>7.1428571428571435E-3</v>
      </c>
      <c r="EW256" s="14">
        <v>7.1428571428571435E-3</v>
      </c>
      <c r="EX256" s="14">
        <v>7.1428571428571435E-3</v>
      </c>
      <c r="EY256" s="14">
        <v>7.1428571428571435E-3</v>
      </c>
      <c r="EZ256" s="14">
        <v>7.1428571428571435E-3</v>
      </c>
      <c r="FA256" s="14">
        <v>7.1428571428571435E-3</v>
      </c>
      <c r="FB256" s="14">
        <v>7.1428571428571435E-3</v>
      </c>
      <c r="FC256" s="14">
        <v>7.1428571428571435E-3</v>
      </c>
      <c r="FD256" s="14">
        <v>7.1428571428571435E-3</v>
      </c>
      <c r="FE256" s="14">
        <v>7.1428571428571435E-3</v>
      </c>
      <c r="FF256" s="13">
        <v>2.2222222222222223E-2</v>
      </c>
      <c r="FG256" s="13">
        <v>2.2222222222222223E-2</v>
      </c>
      <c r="FH256" s="13">
        <v>2.2222222222222223E-2</v>
      </c>
      <c r="FI256" s="13">
        <v>2.2222222222222223E-2</v>
      </c>
      <c r="FJ256" s="13">
        <v>2.2222222222222223E-2</v>
      </c>
      <c r="FK256" s="13">
        <v>2.2222222222222223E-2</v>
      </c>
      <c r="FL256" s="13">
        <v>2.2222222222222223E-2</v>
      </c>
      <c r="FM256" s="14">
        <v>4.7619047619047623E-3</v>
      </c>
      <c r="FN256" s="14">
        <v>4.7619047619047623E-3</v>
      </c>
      <c r="FO256" s="14">
        <v>4.7619047619047623E-3</v>
      </c>
      <c r="FP256" s="12">
        <v>0.6</v>
      </c>
      <c r="FQ256" s="13">
        <f>0.2/9</f>
        <v>2.2222222222222223E-2</v>
      </c>
      <c r="FR256" s="13">
        <f>0.2/9</f>
        <v>2.2222222222222223E-2</v>
      </c>
      <c r="FS256" s="13">
        <v>2.2222222222222223E-2</v>
      </c>
      <c r="FT256" s="13">
        <v>0.02</v>
      </c>
      <c r="FU256" s="13">
        <v>2.2222222222222223E-2</v>
      </c>
      <c r="FV256" s="13">
        <v>2.2222222222222223E-2</v>
      </c>
      <c r="FW256" s="14">
        <v>4.5454545454545461E-3</v>
      </c>
      <c r="FX256" s="14">
        <v>4.5454545454545461E-3</v>
      </c>
      <c r="FY256" s="13">
        <f>0.2/9</f>
        <v>2.2222222222222223E-2</v>
      </c>
      <c r="FZ256" s="14">
        <v>7.1428571428571435E-3</v>
      </c>
      <c r="GA256" s="13">
        <v>2.2222222222222223E-2</v>
      </c>
      <c r="GB256" s="13">
        <v>2.2222222222222223E-2</v>
      </c>
      <c r="GC256" s="13">
        <v>2.2222222222222223E-2</v>
      </c>
      <c r="GD256" s="14">
        <v>7.1428571428571435E-3</v>
      </c>
      <c r="GE256" s="14">
        <v>7.1428571428571435E-3</v>
      </c>
      <c r="GF256" s="14">
        <v>4.6511627906976744E-3</v>
      </c>
      <c r="GG256" s="14">
        <v>4.6511627906976744E-3</v>
      </c>
      <c r="GH256" s="15">
        <v>4.6511627906976744E-3</v>
      </c>
    </row>
    <row r="257" spans="1:190" x14ac:dyDescent="0.3">
      <c r="A257" s="35" t="s">
        <v>44</v>
      </c>
      <c r="B257" s="16">
        <f>IF(Distances!BO148&gt;0,(BN257+Distances!BO148*1.84)*DZ257*B213*2,"")</f>
        <v>14814.844630000001</v>
      </c>
      <c r="C257" s="14">
        <f>IF(Distances!BP148&gt;0,(BO257+Distances!BP148*1.84)*EA257*C213*2,"")</f>
        <v>13372.182850000001</v>
      </c>
      <c r="D257" s="14">
        <f>IF(Distances!BQ148&gt;0,(BP257+Distances!BQ148*1.84)*EB257*D213*2,"")</f>
        <v>22658.35111</v>
      </c>
      <c r="E257" s="14">
        <f>IF(Distances!BR148&gt;0,(BQ257+Distances!BR148*1.84)*EC257*E213*2,"")</f>
        <v>13712.942710000001</v>
      </c>
      <c r="F257" s="14">
        <f>IF(Distances!BS148&gt;0,(BR257+Distances!BS148*1.84)*ED257*F213*2,"")</f>
        <v>14308.03168</v>
      </c>
      <c r="G257" s="14">
        <f>IF(Distances!BT148&gt;0,(BS257+Distances!BT148*1.84)*EE257*G213*2,"")</f>
        <v>20123.265250000004</v>
      </c>
      <c r="H257" s="14">
        <f>IF(Distances!BU148&gt;0,(BT257+Distances!BU148*1.84)*EF257*H213*2,"")</f>
        <v>12784.39012</v>
      </c>
      <c r="I257" s="14">
        <f>IF(Distances!BV148&gt;0,(BU257+Distances!BV148*1.84)*EG257*I213*2,"")</f>
        <v>12518.69245</v>
      </c>
      <c r="J257" s="14">
        <f>IF(Distances!BW148&gt;0,(BV257+Distances!BW148*1.84)*EH257*J213*2,"")</f>
        <v>325.51912000000004</v>
      </c>
      <c r="K257" s="14">
        <f>IF(Distances!BX148&gt;0,(BW257+Distances!BX148*1.84)*EI257*K213*2,"")</f>
        <v>275.53552000000002</v>
      </c>
      <c r="L257" s="14">
        <f>IF(Distances!BY148&gt;0,(BX257+Distances!BY148*1.84)*EJ257*L213*2,"")</f>
        <v>343.28712000000007</v>
      </c>
      <c r="M257" s="14">
        <f>IF(Distances!BZ148&gt;0,(BY257+Distances!BZ148*1.84)*EK257*M213*2,"")</f>
        <v>253.96432000000001</v>
      </c>
      <c r="N257" s="14">
        <f>IF(Distances!CA148&gt;0,(BZ257+Distances!CA148*1.84)*EL257*N213*2,"")</f>
        <v>312.59256000000005</v>
      </c>
      <c r="O257" s="14">
        <f>IF(Distances!CB148&gt;0,(CA257+Distances!CB148*1.84)*EM257*O213*2,"")</f>
        <v>371.71177302325577</v>
      </c>
      <c r="P257" s="14">
        <f>IF(Distances!CC148&gt;0,(CB257+Distances!CC148*1.84)*EN257*P213*2,"")</f>
        <v>411.05122604651166</v>
      </c>
      <c r="Q257" s="14">
        <f>IF(Distances!CD148&gt;0,(CC257+Distances!CD148*1.84)*EO257*Q213*2,"")</f>
        <v>3334.0497142857148</v>
      </c>
      <c r="R257" s="14">
        <f>IF(Distances!CE148&gt;0,(CD257+Distances!CE148*1.84)*EP257*R213*2,"")</f>
        <v>3325.6077142857143</v>
      </c>
      <c r="S257" s="14">
        <f>IF(Distances!CF148&gt;0,(CE257+Distances!CF148*1.84)*EQ257*S213*2,"")</f>
        <v>3350.927714285715</v>
      </c>
      <c r="T257" s="14">
        <f>IF(Distances!CG148&gt;0,(CF257+Distances!CG148*1.84)*ER257*T213*2,"")</f>
        <v>498.19972000000007</v>
      </c>
      <c r="U257" s="14">
        <f>IF(Distances!CH148&gt;0,(CG257+Distances!CH148*1.84)*ES257*U213*2,"")</f>
        <v>501.56644000000006</v>
      </c>
      <c r="V257" s="14">
        <f>IF(Distances!CI148&gt;0,(CH257+Distances!CI148*1.84)*ET257*V213*2,"")</f>
        <v>4845.1005942857146</v>
      </c>
      <c r="W257" s="14">
        <f>IF(Distances!CJ148&gt;0,(CI257+Distances!CJ148*1.84)*EU257*W213*2,"")</f>
        <v>3847.9122285714293</v>
      </c>
      <c r="X257" s="14">
        <f>IF(Distances!CK148&gt;0,(CJ257+Distances!CK148*1.84)*EV257*X213*2,"")</f>
        <v>4248.7734285714287</v>
      </c>
      <c r="Y257" s="14">
        <f>IF(Distances!CL148&gt;0,(CK257+Distances!CL148*1.84)*EW257*Y213*2,"")</f>
        <v>4223.0737942857149</v>
      </c>
      <c r="Z257" s="14">
        <f>IF(Distances!CM148&gt;0,(CL257+Distances!CM148*1.84)*EX257*Z213*2,"")</f>
        <v>133.27033142857147</v>
      </c>
      <c r="AA257" s="14">
        <f>IF(Distances!CN148&gt;0,(CM257+Distances!CN148*1.84)*EY257*AA213*2,"")</f>
        <v>136.61637714285717</v>
      </c>
      <c r="AB257" s="14">
        <f>IF(Distances!CO148&gt;0,(CN257+Distances!CO148*1.84)*EZ257*AB213*2,"")</f>
        <v>146.42093714285716</v>
      </c>
      <c r="AC257" s="14">
        <f>IF(Distances!CP148&gt;0,(CO257+Distances!CP148*1.84)*FA257*AC213*2,"")</f>
        <v>127.48870857142859</v>
      </c>
      <c r="AD257" s="14">
        <f>IF(Distances!CQ148&gt;0,(CP257+Distances!CQ148*1.84)*FB257*AD213*2,"")</f>
        <v>139.00222857142856</v>
      </c>
      <c r="AE257" s="14">
        <f>IF(Distances!CR148&gt;0,(CQ257+Distances!CR148*1.84)*FC257*AE213*2,"")</f>
        <v>189.98306285714293</v>
      </c>
      <c r="AF257" s="14">
        <f>IF(Distances!CS148&gt;0,(CR257+Distances!CS148*1.84)*FD257*AF213*2,"")</f>
        <v>360.43058285714289</v>
      </c>
      <c r="AG257" s="14">
        <f>IF(Distances!CT148&gt;0,(CS257+Distances!CT148*1.84)*FE257*AG213*2,"")</f>
        <v>336.98372571428575</v>
      </c>
      <c r="AH257" s="13">
        <f>IF(Distances!CU148&gt;0,(CT257+Distances!CU148*1.84)*FF257*AH213*2,"")</f>
        <v>292.22547555555553</v>
      </c>
      <c r="AI257" s="13">
        <f>IF(Distances!CV148&gt;0,(CU257+Distances!CV148*1.84)*FG257*AI213*2,"")</f>
        <v>179.05400888888889</v>
      </c>
      <c r="AJ257" s="13">
        <f>IF(Distances!CW148&gt;0,(CV257+Distances!CW148*1.84)*FH257*AJ213*2,"")</f>
        <v>249.92183111111109</v>
      </c>
      <c r="AK257" s="13">
        <f>IF(Distances!CX148&gt;0,(CW257+Distances!CX148*1.84)*FI257*AK213*2,"")</f>
        <v>179.84846222222222</v>
      </c>
      <c r="AL257" s="13">
        <f>IF(Distances!CY148&gt;0,(CX257+Distances!CY148*1.84)*FJ257*AL213*2,"")</f>
        <v>9185.1167999999998</v>
      </c>
      <c r="AM257" s="13">
        <f>IF(Distances!CZ148&gt;0,(CY257+Distances!CZ148*1.84)*FK257*AM213*2,"")</f>
        <v>9185.1167999999998</v>
      </c>
      <c r="AN257" s="13">
        <f>IF(Distances!DA148&gt;0,(CZ257+Distances!DA148*1.84)*FL257*AN213*2,"")</f>
        <v>9903.6000000000022</v>
      </c>
      <c r="AO257" s="14">
        <f>IF(Distances!DB148&gt;0,(DA257+Distances!DB148*1.84)*FM257*AO213*2,"")</f>
        <v>82.989752380952396</v>
      </c>
      <c r="AP257" s="14">
        <f>IF(Distances!DC148&gt;0,(DB257+Distances!DC148*1.84)*FN257*AP213*2,"")</f>
        <v>83.338072380952397</v>
      </c>
      <c r="AQ257" s="14">
        <f>IF(Distances!DD148&gt;0,(DC257+Distances!DD148*1.84)*FO257*AQ213*2,"")</f>
        <v>85.70463238095239</v>
      </c>
      <c r="AR257" s="13">
        <f>IF(Distances!DE148&gt;0,(DD257+Distances!DE148*1.84)*FP257*AR213*2,"")</f>
        <v>303.46097777777783</v>
      </c>
      <c r="AS257" s="12" t="s">
        <v>62</v>
      </c>
      <c r="AT257" s="13">
        <f>IF(Distances!DG148&gt;0,(DF257+Distances!DG148*1.84)*FR257*AT213*2,"")</f>
        <v>466.44408888888893</v>
      </c>
      <c r="AU257" s="13">
        <f>IF(Distances!DH148&gt;0,(DG257+Distances!DH148*1.84)*FS257*AU213*2,"")</f>
        <v>2420.0238222222224</v>
      </c>
      <c r="AV257" s="13">
        <f>IF(Distances!DI148&gt;0,(DH257+Distances!DI148*1.84)*FT257*AV213*2,"")</f>
        <v>1231.3148000000001</v>
      </c>
      <c r="AW257" s="13">
        <f>IF(Distances!DJ148&gt;0,(DI257+Distances!DJ148*1.84)*FU257*AW213*2,"")</f>
        <v>3003.3560000000007</v>
      </c>
      <c r="AX257" s="13">
        <f>IF(Distances!DK148&gt;0,(DJ257+Distances!DK148*1.84)*FV257*AX213*2,"")</f>
        <v>852.21911111111126</v>
      </c>
      <c r="AY257" s="12">
        <f>IF(Distances!DL148&gt;0,(DK257+Distances!DL148*1.84)*FW257*AY213*2,"")</f>
        <v>21849.190400000003</v>
      </c>
      <c r="AZ257" s="12">
        <f>IF(Distances!DM148&gt;0,(DL257+Distances!DM148*1.84)*FX257*AZ213*2,"")</f>
        <v>45778.595840000002</v>
      </c>
      <c r="BA257" s="13">
        <f>IF(Distances!DN148&gt;0,(DM257+Distances!DN148*1.84)*FY257*BA213*2,"")</f>
        <v>865.54040888888903</v>
      </c>
      <c r="BB257" s="14">
        <f>IF(Distances!DO148&gt;0,(DN257+Distances!DO148*1.84)*FZ257*BB213*2,"")</f>
        <v>276.45549714285715</v>
      </c>
      <c r="BC257" s="13">
        <f>IF(Distances!DP148&gt;0,(DO257+Distances!DP148*1.84)*GA257*BC213*2,"")</f>
        <v>5415.1128177777782</v>
      </c>
      <c r="BD257" s="13">
        <f>IF(Distances!DQ148&gt;0,(DP257+Distances!DQ148*1.84)*GB257*BD213*2,"")</f>
        <v>5771.3811911111115</v>
      </c>
      <c r="BE257" s="13">
        <f>IF(Distances!DR148&gt;0,(DQ257+Distances!DR148*1.84)*GC257*BE213*2,"")</f>
        <v>5448.6112711111109</v>
      </c>
      <c r="BF257" s="14">
        <f>IF(Distances!DS148&gt;0,(DR257+Distances!DS148*1.84)*GD257*BF213*2,"")</f>
        <v>392.04870857142862</v>
      </c>
      <c r="BG257" s="14">
        <f>IF(Distances!DT148&gt;0,(DS257+Distances!DT148*1.84)*GE257*BG213*2,"")</f>
        <v>281.68786285714287</v>
      </c>
      <c r="BH257" s="14">
        <f>IF(Distances!DU148&gt;0,(DT257+Distances!DU148*1.84)*GF257*BH213*2,"")</f>
        <v>265.87268465116279</v>
      </c>
      <c r="BI257" s="14">
        <f>IF(Distances!DV148&gt;0,(DU257+Distances!DV148*1.84)*GG257*BI213*2,"")</f>
        <v>213.04818604651163</v>
      </c>
      <c r="BJ257" s="15">
        <f>IF(Distances!DW148&gt;0,(DV257+Distances!DW148*1.84)*GH257*BJ213*2,"")</f>
        <v>283.77265116279068</v>
      </c>
      <c r="BM257" s="35" t="s">
        <v>44</v>
      </c>
      <c r="BN257" s="16">
        <v>2453.3292000000001</v>
      </c>
      <c r="BO257" s="14">
        <v>1881.9779999999998</v>
      </c>
      <c r="BP257" s="14">
        <v>2016.9324000000001</v>
      </c>
      <c r="BQ257" s="14">
        <v>2016.9324000000001</v>
      </c>
      <c r="BR257" s="14">
        <v>2136.6911999999998</v>
      </c>
      <c r="BS257" s="14">
        <v>1543.962</v>
      </c>
      <c r="BT257" s="14">
        <v>1649.1887999999999</v>
      </c>
      <c r="BU257" s="14">
        <v>1543.962</v>
      </c>
      <c r="BV257" s="14">
        <v>2096.7743999999998</v>
      </c>
      <c r="BW257" s="14">
        <v>2096.7743999999998</v>
      </c>
      <c r="BX257" s="14">
        <v>1665.3503999999998</v>
      </c>
      <c r="BY257" s="14">
        <v>1665.3503999999998</v>
      </c>
      <c r="BZ257" s="14">
        <v>1993.7231999999999</v>
      </c>
      <c r="CA257" s="14">
        <v>1481.3987999999999</v>
      </c>
      <c r="CB257" s="14">
        <v>2803.5084000000002</v>
      </c>
      <c r="CC257" s="14">
        <v>1253.7336</v>
      </c>
      <c r="CD257" s="14">
        <v>1241.9148</v>
      </c>
      <c r="CE257" s="14">
        <v>1277.3628000000001</v>
      </c>
      <c r="CF257" s="14">
        <v>1218.2772</v>
      </c>
      <c r="CG257" s="14">
        <v>1027.8323999999998</v>
      </c>
      <c r="CH257" s="14">
        <v>1522.0632000000001</v>
      </c>
      <c r="CI257" s="14">
        <v>1230.096</v>
      </c>
      <c r="CJ257" s="14">
        <v>1451.1419999999998</v>
      </c>
      <c r="CK257" s="14">
        <v>1218.2772</v>
      </c>
      <c r="CL257" s="14">
        <v>1119.3335999999999</v>
      </c>
      <c r="CM257" s="14">
        <v>1098.9971999999998</v>
      </c>
      <c r="CN257" s="14">
        <v>1058.3328000000001</v>
      </c>
      <c r="CO257" s="14">
        <v>1048.1687999999999</v>
      </c>
      <c r="CP257" s="14">
        <v>1451.1419999999998</v>
      </c>
      <c r="CQ257" s="14">
        <v>1522.0632000000001</v>
      </c>
      <c r="CR257" s="14">
        <v>1522.0632000000001</v>
      </c>
      <c r="CS257" s="14">
        <v>1522.0632000000001</v>
      </c>
      <c r="CT257" s="13">
        <v>631.8732</v>
      </c>
      <c r="CU257" s="13">
        <v>614.77919999999995</v>
      </c>
      <c r="CV257" s="13">
        <v>631.8732</v>
      </c>
      <c r="CW257" s="13">
        <v>632.6543999999999</v>
      </c>
      <c r="CX257" s="13">
        <v>413.19599999999997</v>
      </c>
      <c r="CY257" s="13">
        <v>413.19599999999997</v>
      </c>
      <c r="CZ257" s="13">
        <v>413.19599999999997</v>
      </c>
      <c r="DA257" s="14">
        <v>943.02600000000007</v>
      </c>
      <c r="DB257" s="14">
        <v>961.31280000000004</v>
      </c>
      <c r="DC257" s="14">
        <v>1085.5572</v>
      </c>
      <c r="DD257" s="13">
        <v>0</v>
      </c>
      <c r="DE257" s="12">
        <v>0</v>
      </c>
      <c r="DF257" s="13">
        <v>0</v>
      </c>
      <c r="DG257" s="13">
        <v>413.19599999999997</v>
      </c>
      <c r="DH257" s="13">
        <v>1451.1419999999998</v>
      </c>
      <c r="DI257" s="13">
        <v>1451.1419999999998</v>
      </c>
      <c r="DJ257" s="13">
        <v>421.05</v>
      </c>
      <c r="DK257" s="12">
        <v>0</v>
      </c>
      <c r="DL257" s="12">
        <v>2849.1455999999998</v>
      </c>
      <c r="DM257" s="13">
        <v>1454.7287999999999</v>
      </c>
      <c r="DN257" s="14">
        <v>1424.0352</v>
      </c>
      <c r="DO257" s="13">
        <v>393.56519999999995</v>
      </c>
      <c r="DP257" s="13">
        <v>421.05839999999995</v>
      </c>
      <c r="DQ257" s="13">
        <v>417.11879999999996</v>
      </c>
      <c r="DR257" s="14">
        <v>2013.7403999999999</v>
      </c>
      <c r="DS257" s="14">
        <v>1493.8896</v>
      </c>
      <c r="DT257" s="14">
        <v>2804.7683999999999</v>
      </c>
      <c r="DU257" s="14">
        <v>2101.9739999999997</v>
      </c>
      <c r="DV257" s="15">
        <v>2101.9739999999997</v>
      </c>
      <c r="DY257" s="35" t="s">
        <v>44</v>
      </c>
      <c r="DZ257" s="16">
        <v>6.2500000000000003E-3</v>
      </c>
      <c r="EA257" s="14">
        <v>6.2500000000000003E-3</v>
      </c>
      <c r="EB257" s="14">
        <v>6.2500000000000003E-3</v>
      </c>
      <c r="EC257" s="14">
        <v>6.2500000000000003E-3</v>
      </c>
      <c r="ED257" s="14">
        <v>6.2500000000000003E-3</v>
      </c>
      <c r="EE257" s="14">
        <v>6.2500000000000003E-3</v>
      </c>
      <c r="EF257" s="14">
        <v>6.2500000000000003E-3</v>
      </c>
      <c r="EG257" s="14">
        <v>6.2500000000000003E-3</v>
      </c>
      <c r="EH257" s="14">
        <v>6.2500000000000003E-3</v>
      </c>
      <c r="EI257" s="14">
        <v>6.2500000000000003E-3</v>
      </c>
      <c r="EJ257" s="14">
        <v>6.2500000000000003E-3</v>
      </c>
      <c r="EK257" s="14">
        <v>6.2500000000000003E-3</v>
      </c>
      <c r="EL257" s="14">
        <v>6.2500000000000003E-3</v>
      </c>
      <c r="EM257" s="14">
        <v>4.6511627906976744E-3</v>
      </c>
      <c r="EN257" s="14">
        <v>4.6511627906976744E-3</v>
      </c>
      <c r="EO257" s="14">
        <v>7.1428571428571435E-3</v>
      </c>
      <c r="EP257" s="14">
        <v>7.1428571428571435E-3</v>
      </c>
      <c r="EQ257" s="14">
        <v>7.1428571428571435E-3</v>
      </c>
      <c r="ER257" s="14">
        <v>7.1428571428571435E-3</v>
      </c>
      <c r="ES257" s="14">
        <v>7.1428571428571435E-3</v>
      </c>
      <c r="ET257" s="14">
        <v>7.1428571428571435E-3</v>
      </c>
      <c r="EU257" s="14">
        <v>7.1428571428571435E-3</v>
      </c>
      <c r="EV257" s="14">
        <v>7.1428571428571435E-3</v>
      </c>
      <c r="EW257" s="14">
        <v>7.1428571428571435E-3</v>
      </c>
      <c r="EX257" s="14">
        <v>7.1428571428571435E-3</v>
      </c>
      <c r="EY257" s="14">
        <v>7.1428571428571435E-3</v>
      </c>
      <c r="EZ257" s="14">
        <v>7.1428571428571435E-3</v>
      </c>
      <c r="FA257" s="14">
        <v>7.1428571428571435E-3</v>
      </c>
      <c r="FB257" s="14">
        <v>7.1428571428571435E-3</v>
      </c>
      <c r="FC257" s="14">
        <v>7.1428571428571435E-3</v>
      </c>
      <c r="FD257" s="14">
        <v>7.1428571428571435E-3</v>
      </c>
      <c r="FE257" s="14">
        <v>7.1428571428571435E-3</v>
      </c>
      <c r="FF257" s="13">
        <v>2.2222222222222223E-2</v>
      </c>
      <c r="FG257" s="13">
        <v>2.2222222222222223E-2</v>
      </c>
      <c r="FH257" s="13">
        <v>2.2222222222222223E-2</v>
      </c>
      <c r="FI257" s="13">
        <v>2.2222222222222223E-2</v>
      </c>
      <c r="FJ257" s="13">
        <v>2.2222222222222223E-2</v>
      </c>
      <c r="FK257" s="13">
        <v>2.2222222222222223E-2</v>
      </c>
      <c r="FL257" s="13">
        <v>2.2222222222222223E-2</v>
      </c>
      <c r="FM257" s="14">
        <v>4.7619047619047623E-3</v>
      </c>
      <c r="FN257" s="14">
        <v>4.7619047619047623E-3</v>
      </c>
      <c r="FO257" s="14">
        <v>4.7619047619047623E-3</v>
      </c>
      <c r="FP257" s="13">
        <v>2.2222222222222223E-2</v>
      </c>
      <c r="FQ257" s="12">
        <v>0.6</v>
      </c>
      <c r="FR257" s="13">
        <f>0.2/9</f>
        <v>2.2222222222222223E-2</v>
      </c>
      <c r="FS257" s="13">
        <v>2.2222222222222223E-2</v>
      </c>
      <c r="FT257" s="13">
        <v>0.02</v>
      </c>
      <c r="FU257" s="13">
        <v>2.2222222222222223E-2</v>
      </c>
      <c r="FV257" s="13">
        <v>2.2222222222222223E-2</v>
      </c>
      <c r="FW257" s="12">
        <v>0.8</v>
      </c>
      <c r="FX257" s="12">
        <v>0.8</v>
      </c>
      <c r="FY257" s="13">
        <f>0.2/9</f>
        <v>2.2222222222222223E-2</v>
      </c>
      <c r="FZ257" s="14">
        <v>7.1428571428571435E-3</v>
      </c>
      <c r="GA257" s="13">
        <v>2.2222222222222223E-2</v>
      </c>
      <c r="GB257" s="13">
        <v>2.2222222222222223E-2</v>
      </c>
      <c r="GC257" s="13">
        <v>2.2222222222222223E-2</v>
      </c>
      <c r="GD257" s="14">
        <v>7.1428571428571435E-3</v>
      </c>
      <c r="GE257" s="14">
        <v>7.1428571428571435E-3</v>
      </c>
      <c r="GF257" s="14">
        <v>4.6511627906976744E-3</v>
      </c>
      <c r="GG257" s="14">
        <v>4.6511627906976744E-3</v>
      </c>
      <c r="GH257" s="15">
        <v>4.6511627906976744E-3</v>
      </c>
    </row>
    <row r="258" spans="1:190" x14ac:dyDescent="0.3">
      <c r="A258" s="36" t="s">
        <v>45</v>
      </c>
      <c r="B258" s="21">
        <f>IF(Distances!BO149&gt;0,(BN258+Distances!BO149*1.84)*DZ258*B213*2,"")</f>
        <v>10824.395230000002</v>
      </c>
      <c r="C258" s="22">
        <f>IF(Distances!BP149&gt;0,(BO258+Distances!BP149*1.84)*EA258*C213*2,"")</f>
        <v>9381.7334499999997</v>
      </c>
      <c r="D258" s="22">
        <f>IF(Distances!BQ149&gt;0,(BP258+Distances!BQ149*1.84)*EB258*D213*2,"")</f>
        <v>18667.901710000002</v>
      </c>
      <c r="E258" s="22">
        <f>IF(Distances!BR149&gt;0,(BQ258+Distances!BR149*1.84)*EC258*E213*2,"")</f>
        <v>9722.4933100000017</v>
      </c>
      <c r="F258" s="22">
        <f>IF(Distances!BS149&gt;0,(BR258+Distances!BS149*1.84)*ED258*F213*2,"")</f>
        <v>10317.582280000001</v>
      </c>
      <c r="G258" s="22">
        <f>IF(Distances!BT149&gt;0,(BS258+Distances!BT149*1.84)*EE258*G213*2,"")</f>
        <v>16132.815850000003</v>
      </c>
      <c r="H258" s="22">
        <f>IF(Distances!BU149&gt;0,(BT258+Distances!BU149*1.84)*EF258*H213*2,"")</f>
        <v>8793.9407200000005</v>
      </c>
      <c r="I258" s="22">
        <f>IF(Distances!BV149&gt;0,(BU258+Distances!BV149*1.84)*EG258*I213*2,"")</f>
        <v>8528.2430500000009</v>
      </c>
      <c r="J258" s="22">
        <f>IF(Distances!BW149&gt;0,(BV258+Distances!BW149*1.84)*EH258*J213*2,"")</f>
        <v>246.50032000000002</v>
      </c>
      <c r="K258" s="22">
        <f>IF(Distances!BX149&gt;0,(BW258+Distances!BX149*1.84)*EI258*K213*2,"")</f>
        <v>196.51671999999999</v>
      </c>
      <c r="L258" s="22">
        <f>IF(Distances!BY149&gt;0,(BX258+Distances!BY149*1.84)*EJ258*L213*2,"")</f>
        <v>264.26832000000007</v>
      </c>
      <c r="M258" s="22">
        <f>IF(Distances!BZ149&gt;0,(BY258+Distances!BZ149*1.84)*EK258*M213*2,"")</f>
        <v>174.94551999999999</v>
      </c>
      <c r="N258" s="22">
        <f>IF(Distances!CA149&gt;0,(BZ258+Distances!CA149*1.84)*EL258*N213*2,"")</f>
        <v>233.57375999999999</v>
      </c>
      <c r="O258" s="22">
        <f>IF(Distances!CB149&gt;0,(CA258+Distances!CB149*1.84)*EM258*O213*2,"")</f>
        <v>268.80356837209303</v>
      </c>
      <c r="P258" s="22">
        <f>IF(Distances!CC149&gt;0,(CB258+Distances!CC149*1.84)*EN258*P213*2,"")</f>
        <v>308.14302139534885</v>
      </c>
      <c r="Q258" s="22">
        <f>IF(Distances!CD149&gt;0,(CC258+Distances!CD149*1.84)*EO258*Q213*2,"")</f>
        <v>2205.2097142857147</v>
      </c>
      <c r="R258" s="22">
        <f>IF(Distances!CE149&gt;0,(CD258+Distances!CE149*1.84)*EP258*R213*2,"")</f>
        <v>2196.7677142857146</v>
      </c>
      <c r="S258" s="22">
        <f>IF(Distances!CF149&gt;0,(CE258+Distances!CF149*1.84)*EQ258*S213*2,"")</f>
        <v>2222.0877142857148</v>
      </c>
      <c r="T258" s="22">
        <f>IF(Distances!CG149&gt;0,(CF258+Distances!CG149*1.84)*ER258*T213*2,"")</f>
        <v>340.16212000000002</v>
      </c>
      <c r="U258" s="22">
        <f>IF(Distances!CH149&gt;0,(CG258+Distances!CH149*1.84)*ES258*U213*2,"")</f>
        <v>343.52884000000006</v>
      </c>
      <c r="V258" s="22">
        <f>IF(Distances!CI149&gt;0,(CH258+Distances!CI149*1.84)*ET258*V213*2,"")</f>
        <v>3535.6461942857145</v>
      </c>
      <c r="W258" s="22">
        <f>IF(Distances!CJ149&gt;0,(CI258+Distances!CJ149*1.84)*EU258*W213*2,"")</f>
        <v>2538.4578285714288</v>
      </c>
      <c r="X258" s="22">
        <f>IF(Distances!CK149&gt;0,(CJ258+Distances!CK149*1.84)*EV258*X213*2,"")</f>
        <v>2939.3190285714286</v>
      </c>
      <c r="Y258" s="22">
        <f>IF(Distances!CL149&gt;0,(CK258+Distances!CL149*1.84)*EW258*Y213*2,"")</f>
        <v>2913.6193942857149</v>
      </c>
      <c r="Z258" s="22">
        <f>IF(Distances!CM149&gt;0,(CL258+Distances!CM149*1.84)*EX258*Z213*2,"")</f>
        <v>88.116731428571427</v>
      </c>
      <c r="AA258" s="22">
        <f>IF(Distances!CN149&gt;0,(CM258+Distances!CN149*1.84)*EY258*AA213*2,"")</f>
        <v>91.462777142857149</v>
      </c>
      <c r="AB258" s="22">
        <f>IF(Distances!CO149&gt;0,(CN258+Distances!CO149*1.84)*EZ258*AB213*2,"")</f>
        <v>101.26733714285716</v>
      </c>
      <c r="AC258" s="22">
        <f>IF(Distances!CP149&gt;0,(CO258+Distances!CP149*1.84)*FA258*AC213*2,"")</f>
        <v>82.335108571428577</v>
      </c>
      <c r="AD258" s="22">
        <f>IF(Distances!CQ149&gt;0,(CP258+Distances!CQ149*1.84)*FB258*AD213*2,"")</f>
        <v>93.848628571428591</v>
      </c>
      <c r="AE258" s="22">
        <f>IF(Distances!CR149&gt;0,(CQ258+Distances!CR149*1.84)*FC258*AE213*2,"")</f>
        <v>144.82946285714289</v>
      </c>
      <c r="AF258" s="22">
        <f>IF(Distances!CS149&gt;0,(CR258+Distances!CS149*1.84)*FD258*AF213*2,"")</f>
        <v>270.12338285714287</v>
      </c>
      <c r="AG258" s="22">
        <f>IF(Distances!CT149&gt;0,(CS258+Distances!CT149*1.84)*FE258*AG213*2,"")</f>
        <v>246.67652571428576</v>
      </c>
      <c r="AH258" s="23">
        <f>IF(Distances!CU149&gt;0,(CT258+Distances!CU149*1.84)*FF258*AH213*2,"")</f>
        <v>221.98654222222223</v>
      </c>
      <c r="AI258" s="23">
        <f>IF(Distances!CV149&gt;0,(CU258+Distances!CV149*1.84)*FG258*AI213*2,"")</f>
        <v>108.81507555555558</v>
      </c>
      <c r="AJ258" s="23">
        <f>IF(Distances!CW149&gt;0,(CV258+Distances!CW149*1.84)*FH258*AJ213*2,"")</f>
        <v>179.68289777777778</v>
      </c>
      <c r="AK258" s="23">
        <f>IF(Distances!CX149&gt;0,(CW258+Distances!CX149*1.84)*FI258*AK213*2,"")</f>
        <v>109.60952888888889</v>
      </c>
      <c r="AL258" s="23">
        <f>IF(Distances!CY149&gt;0,(CX258+Distances!CY149*1.84)*FJ258*AL213*2,"")</f>
        <v>5392.2144000000008</v>
      </c>
      <c r="AM258" s="23">
        <f>IF(Distances!CZ149&gt;0,(CY258+Distances!CZ149*1.84)*FK258*AM213*2,"")</f>
        <v>5392.2144000000008</v>
      </c>
      <c r="AN258" s="23">
        <f>IF(Distances!DA149&gt;0,(CZ258+Distances!DA149*1.84)*FL258*AN213*2,"")</f>
        <v>6110.6976000000013</v>
      </c>
      <c r="AO258" s="22">
        <f>IF(Distances!DB149&gt;0,(DA258+Distances!DB149*1.84)*FM258*AO213*2,"")</f>
        <v>52.887352380952393</v>
      </c>
      <c r="AP258" s="22">
        <f>IF(Distances!DC149&gt;0,(DB258+Distances!DC149*1.84)*FN258*AP213*2,"")</f>
        <v>53.235672380952387</v>
      </c>
      <c r="AQ258" s="22">
        <f>IF(Distances!DD149&gt;0,(DC258+Distances!DD149*1.84)*FO258*AQ213*2,"")</f>
        <v>55.602232380952387</v>
      </c>
      <c r="AR258" s="23">
        <f>IF(Distances!DE149&gt;0,(DD258+Distances!DE149*1.84)*FP258*AR213*2,"")</f>
        <v>162.98311111111113</v>
      </c>
      <c r="AS258" s="23">
        <f>IF(Distances!DF149&gt;0,(DE258+Distances!DF149*1.84)*FQ258*AS213*2,"")</f>
        <v>466.44408888888893</v>
      </c>
      <c r="AT258" s="24" t="s">
        <v>62</v>
      </c>
      <c r="AU258" s="23">
        <f>IF(Distances!DH149&gt;0,(DG258+Distances!DH149*1.84)*FS258*AU213*2,"")</f>
        <v>1436.6787555555554</v>
      </c>
      <c r="AV258" s="23">
        <f>IF(Distances!DI149&gt;0,(DH258+Distances!DI149*1.84)*FT258*AV213*2,"")</f>
        <v>915.2396</v>
      </c>
      <c r="AW258" s="23">
        <f>IF(Distances!DJ149&gt;0,(DI258+Distances!DJ149*1.84)*FU258*AW213*2,"")</f>
        <v>2652.1613333333335</v>
      </c>
      <c r="AX258" s="23">
        <f>IF(Distances!DK149&gt;0,(DJ258+Distances!DK149*1.84)*FV258*AX213*2,"")</f>
        <v>501.0244444444445</v>
      </c>
      <c r="AY258" s="22">
        <f>IF(Distances!DL149&gt;0,(DK258+Distances!DL149*1.84)*FW258*AY213*2,"")</f>
        <v>66.674909090909111</v>
      </c>
      <c r="AZ258" s="22">
        <f>IF(Distances!DM149&gt;0,(DL258+Distances!DM149*1.84)*FX258*AZ213*2,"")</f>
        <v>202.63744000000003</v>
      </c>
      <c r="BA258" s="24">
        <f>IF(Distances!DN149&gt;0,(DM258+Distances!DN149*1.84)*FY258*BA213*2,"")</f>
        <v>15783.786240000001</v>
      </c>
      <c r="BB258" s="22">
        <f>IF(Distances!DO149&gt;0,(DN258+Distances!DO149*1.84)*FZ258*BB213*2,"")</f>
        <v>186.14829714285716</v>
      </c>
      <c r="BC258" s="23">
        <f>IF(Distances!DP149&gt;0,(DO258+Distances!DP149*1.84)*GA258*BC213*2,"")</f>
        <v>3167.466951111111</v>
      </c>
      <c r="BD258" s="23">
        <f>IF(Distances!DQ149&gt;0,(DP258+Distances!DQ149*1.84)*GB258*BD213*2,"")</f>
        <v>3523.7353244444448</v>
      </c>
      <c r="BE258" s="23">
        <f>IF(Distances!DR149&gt;0,(DQ258+Distances!DR149*1.84)*GC258*BE213*2,"")</f>
        <v>3200.9654044444446</v>
      </c>
      <c r="BF258" s="22">
        <f>IF(Distances!DS149&gt;0,(DR258+Distances!DS149*1.84)*GD258*BF213*2,"")</f>
        <v>301.74150857142865</v>
      </c>
      <c r="BG258" s="22">
        <f>IF(Distances!DT149&gt;0,(DS258+Distances!DT149*1.84)*GE258*BG213*2,"")</f>
        <v>191.38066285714288</v>
      </c>
      <c r="BH258" s="22">
        <f>IF(Distances!DU149&gt;0,(DT258+Distances!DU149*1.84)*GF258*BH213*2,"")</f>
        <v>207.06799627906977</v>
      </c>
      <c r="BI258" s="22">
        <f>IF(Distances!DV149&gt;0,(DU258+Distances!DV149*1.84)*GG258*BI213*2,"")</f>
        <v>154.24349767441859</v>
      </c>
      <c r="BJ258" s="25">
        <f>IF(Distances!DW149&gt;0,(DV258+Distances!DW149*1.84)*GH258*BJ213*2,"")</f>
        <v>224.96796279069764</v>
      </c>
      <c r="BM258" s="36" t="s">
        <v>45</v>
      </c>
      <c r="BN258" s="21">
        <v>2453.3292000000001</v>
      </c>
      <c r="BO258" s="22">
        <v>1881.9779999999998</v>
      </c>
      <c r="BP258" s="22">
        <v>2016.9324000000001</v>
      </c>
      <c r="BQ258" s="22">
        <v>2016.9324000000001</v>
      </c>
      <c r="BR258" s="22">
        <v>2136.6911999999998</v>
      </c>
      <c r="BS258" s="22">
        <v>1543.962</v>
      </c>
      <c r="BT258" s="22">
        <v>1649.1887999999999</v>
      </c>
      <c r="BU258" s="22">
        <v>1543.962</v>
      </c>
      <c r="BV258" s="22">
        <v>2096.7743999999998</v>
      </c>
      <c r="BW258" s="22">
        <v>2096.7743999999998</v>
      </c>
      <c r="BX258" s="22">
        <v>1665.3503999999998</v>
      </c>
      <c r="BY258" s="22">
        <v>1665.3503999999998</v>
      </c>
      <c r="BZ258" s="22">
        <v>1993.7231999999999</v>
      </c>
      <c r="CA258" s="22">
        <v>1481.3987999999999</v>
      </c>
      <c r="CB258" s="22">
        <v>2803.5084000000002</v>
      </c>
      <c r="CC258" s="22">
        <v>1253.7336</v>
      </c>
      <c r="CD258" s="22">
        <v>1241.9148</v>
      </c>
      <c r="CE258" s="22">
        <v>1277.3628000000001</v>
      </c>
      <c r="CF258" s="22">
        <v>1218.2772</v>
      </c>
      <c r="CG258" s="22">
        <v>1027.8323999999998</v>
      </c>
      <c r="CH258" s="22">
        <v>1522.0632000000001</v>
      </c>
      <c r="CI258" s="22">
        <v>1230.096</v>
      </c>
      <c r="CJ258" s="22">
        <v>1451.1419999999998</v>
      </c>
      <c r="CK258" s="22">
        <v>1218.2772</v>
      </c>
      <c r="CL258" s="22">
        <v>1119.3335999999999</v>
      </c>
      <c r="CM258" s="22">
        <v>1098.9971999999998</v>
      </c>
      <c r="CN258" s="22">
        <v>1058.3328000000001</v>
      </c>
      <c r="CO258" s="22">
        <v>1048.1687999999999</v>
      </c>
      <c r="CP258" s="22">
        <v>1451.1419999999998</v>
      </c>
      <c r="CQ258" s="22">
        <v>1522.0632000000001</v>
      </c>
      <c r="CR258" s="22">
        <v>1522.0632000000001</v>
      </c>
      <c r="CS258" s="22">
        <v>1522.0632000000001</v>
      </c>
      <c r="CT258" s="23">
        <v>631.8732</v>
      </c>
      <c r="CU258" s="23">
        <v>614.77919999999995</v>
      </c>
      <c r="CV258" s="23">
        <v>631.8732</v>
      </c>
      <c r="CW258" s="23">
        <v>632.6543999999999</v>
      </c>
      <c r="CX258" s="23">
        <v>413.19599999999997</v>
      </c>
      <c r="CY258" s="23">
        <v>413.19599999999997</v>
      </c>
      <c r="CZ258" s="23">
        <v>413.19599999999997</v>
      </c>
      <c r="DA258" s="22">
        <v>943.02600000000007</v>
      </c>
      <c r="DB258" s="22">
        <v>961.31280000000004</v>
      </c>
      <c r="DC258" s="22">
        <v>1085.5572</v>
      </c>
      <c r="DD258" s="23">
        <v>0</v>
      </c>
      <c r="DE258" s="23">
        <v>0</v>
      </c>
      <c r="DF258" s="24">
        <v>0</v>
      </c>
      <c r="DG258" s="23">
        <v>413.19599999999997</v>
      </c>
      <c r="DH258" s="23">
        <v>1451.1419999999998</v>
      </c>
      <c r="DI258" s="23">
        <v>1451.1419999999998</v>
      </c>
      <c r="DJ258" s="23">
        <v>421.05</v>
      </c>
      <c r="DK258" s="22">
        <v>0</v>
      </c>
      <c r="DL258" s="22">
        <v>2849.1455999999998</v>
      </c>
      <c r="DM258" s="24">
        <v>1454.7287999999999</v>
      </c>
      <c r="DN258" s="22">
        <v>1424.0352</v>
      </c>
      <c r="DO258" s="23">
        <v>393.56519999999995</v>
      </c>
      <c r="DP258" s="23">
        <v>421.05839999999995</v>
      </c>
      <c r="DQ258" s="23">
        <v>417.11879999999996</v>
      </c>
      <c r="DR258" s="22">
        <v>2013.7403999999999</v>
      </c>
      <c r="DS258" s="22">
        <v>1493.8896</v>
      </c>
      <c r="DT258" s="22">
        <v>2804.7683999999999</v>
      </c>
      <c r="DU258" s="22">
        <v>2101.9739999999997</v>
      </c>
      <c r="DV258" s="25">
        <v>2101.9739999999997</v>
      </c>
      <c r="DY258" s="36" t="s">
        <v>45</v>
      </c>
      <c r="DZ258" s="21">
        <v>6.2500000000000003E-3</v>
      </c>
      <c r="EA258" s="22">
        <v>6.2500000000000003E-3</v>
      </c>
      <c r="EB258" s="22">
        <v>6.2500000000000003E-3</v>
      </c>
      <c r="EC258" s="22">
        <v>6.2500000000000003E-3</v>
      </c>
      <c r="ED258" s="22">
        <v>6.2500000000000003E-3</v>
      </c>
      <c r="EE258" s="22">
        <v>6.2500000000000003E-3</v>
      </c>
      <c r="EF258" s="22">
        <v>6.2500000000000003E-3</v>
      </c>
      <c r="EG258" s="22">
        <v>6.2500000000000003E-3</v>
      </c>
      <c r="EH258" s="22">
        <v>6.2500000000000003E-3</v>
      </c>
      <c r="EI258" s="22">
        <v>6.2500000000000003E-3</v>
      </c>
      <c r="EJ258" s="22">
        <v>6.2500000000000003E-3</v>
      </c>
      <c r="EK258" s="22">
        <v>6.2500000000000003E-3</v>
      </c>
      <c r="EL258" s="22">
        <v>6.2500000000000003E-3</v>
      </c>
      <c r="EM258" s="22">
        <v>4.6511627906976744E-3</v>
      </c>
      <c r="EN258" s="22">
        <v>4.6511627906976744E-3</v>
      </c>
      <c r="EO258" s="22">
        <v>7.1428571428571435E-3</v>
      </c>
      <c r="EP258" s="22">
        <v>7.1428571428571435E-3</v>
      </c>
      <c r="EQ258" s="22">
        <v>7.1428571428571435E-3</v>
      </c>
      <c r="ER258" s="22">
        <v>7.1428571428571435E-3</v>
      </c>
      <c r="ES258" s="22">
        <v>7.1428571428571435E-3</v>
      </c>
      <c r="ET258" s="22">
        <v>7.1428571428571435E-3</v>
      </c>
      <c r="EU258" s="22">
        <v>7.1428571428571435E-3</v>
      </c>
      <c r="EV258" s="22">
        <v>7.1428571428571435E-3</v>
      </c>
      <c r="EW258" s="22">
        <v>7.1428571428571435E-3</v>
      </c>
      <c r="EX258" s="22">
        <v>7.1428571428571435E-3</v>
      </c>
      <c r="EY258" s="22">
        <v>7.1428571428571435E-3</v>
      </c>
      <c r="EZ258" s="22">
        <v>7.1428571428571435E-3</v>
      </c>
      <c r="FA258" s="22">
        <v>7.1428571428571435E-3</v>
      </c>
      <c r="FB258" s="22">
        <v>7.1428571428571435E-3</v>
      </c>
      <c r="FC258" s="22">
        <v>7.1428571428571435E-3</v>
      </c>
      <c r="FD258" s="22">
        <v>7.1428571428571435E-3</v>
      </c>
      <c r="FE258" s="22">
        <v>7.1428571428571435E-3</v>
      </c>
      <c r="FF258" s="23">
        <v>2.2222222222222223E-2</v>
      </c>
      <c r="FG258" s="23">
        <v>2.2222222222222223E-2</v>
      </c>
      <c r="FH258" s="23">
        <v>2.2222222222222223E-2</v>
      </c>
      <c r="FI258" s="23">
        <v>2.2222222222222223E-2</v>
      </c>
      <c r="FJ258" s="23">
        <v>2.2222222222222223E-2</v>
      </c>
      <c r="FK258" s="23">
        <v>2.2222222222222223E-2</v>
      </c>
      <c r="FL258" s="23">
        <v>2.2222222222222223E-2</v>
      </c>
      <c r="FM258" s="22">
        <v>4.7619047619047623E-3</v>
      </c>
      <c r="FN258" s="22">
        <v>4.7619047619047623E-3</v>
      </c>
      <c r="FO258" s="22">
        <v>4.7619047619047623E-3</v>
      </c>
      <c r="FP258" s="23">
        <v>2.2222222222222223E-2</v>
      </c>
      <c r="FQ258" s="23">
        <v>2.2222222222222223E-2</v>
      </c>
      <c r="FR258" s="24">
        <v>0.6</v>
      </c>
      <c r="FS258" s="23">
        <v>2.2222222222222223E-2</v>
      </c>
      <c r="FT258" s="23">
        <v>0.02</v>
      </c>
      <c r="FU258" s="23">
        <v>2.2222222222222223E-2</v>
      </c>
      <c r="FV258" s="23">
        <v>2.2222222222222223E-2</v>
      </c>
      <c r="FW258" s="22">
        <v>4.5454545454545461E-3</v>
      </c>
      <c r="FX258" s="22">
        <v>4.5454545454545461E-3</v>
      </c>
      <c r="FY258" s="24">
        <v>0.6</v>
      </c>
      <c r="FZ258" s="22">
        <v>7.1428571428571435E-3</v>
      </c>
      <c r="GA258" s="23">
        <v>2.2222222222222223E-2</v>
      </c>
      <c r="GB258" s="23">
        <v>2.2222222222222223E-2</v>
      </c>
      <c r="GC258" s="23">
        <v>2.2222222222222223E-2</v>
      </c>
      <c r="GD258" s="22">
        <v>7.1428571428571435E-3</v>
      </c>
      <c r="GE258" s="22">
        <v>7.1428571428571435E-3</v>
      </c>
      <c r="GF258" s="22">
        <v>4.6511627906976744E-3</v>
      </c>
      <c r="GG258" s="22">
        <v>4.6511627906976744E-3</v>
      </c>
      <c r="GH258" s="25">
        <v>4.6511627906976744E-3</v>
      </c>
    </row>
    <row r="261" spans="1:190" ht="21" x14ac:dyDescent="0.3">
      <c r="A261" s="55" t="s">
        <v>126</v>
      </c>
      <c r="B261" s="57"/>
      <c r="C261" s="57"/>
      <c r="D261" s="56"/>
      <c r="BM261" s="55" t="s">
        <v>128</v>
      </c>
      <c r="BN261" s="57"/>
      <c r="BO261" s="57"/>
      <c r="BP261" s="56"/>
      <c r="DY261" s="55" t="s">
        <v>129</v>
      </c>
      <c r="DZ261" s="57"/>
      <c r="EA261" s="56"/>
    </row>
    <row r="263" spans="1:190" ht="28.8" x14ac:dyDescent="0.3">
      <c r="A263" s="1" t="s">
        <v>0</v>
      </c>
      <c r="B263" s="2" t="s">
        <v>1</v>
      </c>
      <c r="C263" s="3" t="s">
        <v>2</v>
      </c>
      <c r="D263" s="3" t="s">
        <v>3</v>
      </c>
      <c r="E263" s="3" t="s">
        <v>4</v>
      </c>
      <c r="F263" s="3" t="s">
        <v>5</v>
      </c>
      <c r="G263" s="3" t="s">
        <v>6</v>
      </c>
      <c r="H263" s="3" t="s">
        <v>7</v>
      </c>
      <c r="I263" s="3" t="s">
        <v>8</v>
      </c>
      <c r="J263" s="3" t="s">
        <v>9</v>
      </c>
      <c r="K263" s="3" t="s">
        <v>10</v>
      </c>
      <c r="L263" s="3" t="s">
        <v>11</v>
      </c>
      <c r="M263" s="3" t="s">
        <v>12</v>
      </c>
      <c r="N263" s="3" t="s">
        <v>13</v>
      </c>
      <c r="O263" s="3" t="s">
        <v>14</v>
      </c>
      <c r="P263" s="3" t="s">
        <v>15</v>
      </c>
      <c r="Q263" s="3" t="s">
        <v>16</v>
      </c>
      <c r="R263" s="3" t="s">
        <v>17</v>
      </c>
      <c r="S263" s="3" t="s">
        <v>18</v>
      </c>
      <c r="T263" s="3" t="s">
        <v>19</v>
      </c>
      <c r="U263" s="3" t="s">
        <v>20</v>
      </c>
      <c r="V263" s="3" t="s">
        <v>21</v>
      </c>
      <c r="W263" s="3" t="s">
        <v>22</v>
      </c>
      <c r="X263" s="3" t="s">
        <v>23</v>
      </c>
      <c r="Y263" s="3" t="s">
        <v>24</v>
      </c>
      <c r="Z263" s="3" t="s">
        <v>25</v>
      </c>
      <c r="AA263" s="3" t="s">
        <v>26</v>
      </c>
      <c r="AB263" s="3" t="s">
        <v>27</v>
      </c>
      <c r="AC263" s="3" t="s">
        <v>28</v>
      </c>
      <c r="AD263" s="3" t="s">
        <v>29</v>
      </c>
      <c r="AE263" s="3" t="s">
        <v>30</v>
      </c>
      <c r="AF263" s="3" t="s">
        <v>31</v>
      </c>
      <c r="AG263" s="3" t="s">
        <v>32</v>
      </c>
      <c r="AH263" s="3" t="s">
        <v>33</v>
      </c>
      <c r="AI263" s="3" t="s">
        <v>34</v>
      </c>
      <c r="AJ263" s="3" t="s">
        <v>35</v>
      </c>
      <c r="AK263" s="3" t="s">
        <v>36</v>
      </c>
      <c r="AL263" s="3" t="s">
        <v>37</v>
      </c>
      <c r="AM263" s="3" t="s">
        <v>38</v>
      </c>
      <c r="AN263" s="3" t="s">
        <v>39</v>
      </c>
      <c r="AO263" s="3" t="s">
        <v>40</v>
      </c>
      <c r="AP263" s="3" t="s">
        <v>41</v>
      </c>
      <c r="AQ263" s="3" t="s">
        <v>42</v>
      </c>
      <c r="AR263" s="3" t="s">
        <v>43</v>
      </c>
      <c r="AS263" s="3" t="s">
        <v>44</v>
      </c>
      <c r="AT263" s="3" t="s">
        <v>45</v>
      </c>
      <c r="AU263" s="3" t="s">
        <v>46</v>
      </c>
      <c r="AV263" s="3" t="s">
        <v>47</v>
      </c>
      <c r="AW263" s="3" t="s">
        <v>117</v>
      </c>
      <c r="AX263" s="3" t="s">
        <v>49</v>
      </c>
      <c r="AY263" s="3" t="s">
        <v>114</v>
      </c>
      <c r="AZ263" s="3" t="s">
        <v>51</v>
      </c>
      <c r="BA263" s="3" t="s">
        <v>52</v>
      </c>
      <c r="BB263" s="3" t="s">
        <v>53</v>
      </c>
      <c r="BC263" s="3" t="s">
        <v>54</v>
      </c>
      <c r="BD263" s="3" t="s">
        <v>71</v>
      </c>
      <c r="BE263" s="3" t="s">
        <v>56</v>
      </c>
      <c r="BF263" s="3" t="s">
        <v>57</v>
      </c>
      <c r="BG263" s="3" t="s">
        <v>58</v>
      </c>
      <c r="BH263" s="3" t="s">
        <v>59</v>
      </c>
      <c r="BI263" s="3" t="s">
        <v>60</v>
      </c>
      <c r="BJ263" s="4" t="s">
        <v>61</v>
      </c>
      <c r="BM263" s="1" t="s">
        <v>66</v>
      </c>
      <c r="BN263" s="2" t="s">
        <v>1</v>
      </c>
      <c r="BO263" s="3" t="s">
        <v>2</v>
      </c>
      <c r="BP263" s="3" t="s">
        <v>3</v>
      </c>
      <c r="BQ263" s="3" t="s">
        <v>4</v>
      </c>
      <c r="BR263" s="3" t="s">
        <v>5</v>
      </c>
      <c r="BS263" s="3" t="s">
        <v>6</v>
      </c>
      <c r="BT263" s="3" t="s">
        <v>7</v>
      </c>
      <c r="BU263" s="3" t="s">
        <v>8</v>
      </c>
      <c r="BV263" s="3" t="s">
        <v>9</v>
      </c>
      <c r="BW263" s="3" t="s">
        <v>10</v>
      </c>
      <c r="BX263" s="3" t="s">
        <v>11</v>
      </c>
      <c r="BY263" s="3" t="s">
        <v>12</v>
      </c>
      <c r="BZ263" s="3" t="s">
        <v>13</v>
      </c>
      <c r="CA263" s="3" t="s">
        <v>14</v>
      </c>
      <c r="CB263" s="3" t="s">
        <v>15</v>
      </c>
      <c r="CC263" s="3" t="s">
        <v>16</v>
      </c>
      <c r="CD263" s="3" t="s">
        <v>17</v>
      </c>
      <c r="CE263" s="3" t="s">
        <v>18</v>
      </c>
      <c r="CF263" s="3" t="s">
        <v>19</v>
      </c>
      <c r="CG263" s="3" t="s">
        <v>20</v>
      </c>
      <c r="CH263" s="3" t="s">
        <v>21</v>
      </c>
      <c r="CI263" s="3" t="s">
        <v>22</v>
      </c>
      <c r="CJ263" s="3" t="s">
        <v>23</v>
      </c>
      <c r="CK263" s="3" t="s">
        <v>24</v>
      </c>
      <c r="CL263" s="3" t="s">
        <v>25</v>
      </c>
      <c r="CM263" s="3" t="s">
        <v>26</v>
      </c>
      <c r="CN263" s="3" t="s">
        <v>27</v>
      </c>
      <c r="CO263" s="3" t="s">
        <v>28</v>
      </c>
      <c r="CP263" s="3" t="s">
        <v>29</v>
      </c>
      <c r="CQ263" s="3" t="s">
        <v>30</v>
      </c>
      <c r="CR263" s="3" t="s">
        <v>31</v>
      </c>
      <c r="CS263" s="3" t="s">
        <v>32</v>
      </c>
      <c r="CT263" s="3" t="s">
        <v>33</v>
      </c>
      <c r="CU263" s="3" t="s">
        <v>34</v>
      </c>
      <c r="CV263" s="3" t="s">
        <v>35</v>
      </c>
      <c r="CW263" s="3" t="s">
        <v>36</v>
      </c>
      <c r="CX263" s="3" t="s">
        <v>37</v>
      </c>
      <c r="CY263" s="3" t="s">
        <v>38</v>
      </c>
      <c r="CZ263" s="3" t="s">
        <v>39</v>
      </c>
      <c r="DA263" s="3" t="s">
        <v>40</v>
      </c>
      <c r="DB263" s="3" t="s">
        <v>41</v>
      </c>
      <c r="DC263" s="3" t="s">
        <v>42</v>
      </c>
      <c r="DD263" s="3" t="s">
        <v>43</v>
      </c>
      <c r="DE263" s="3" t="s">
        <v>44</v>
      </c>
      <c r="DF263" s="3" t="s">
        <v>45</v>
      </c>
      <c r="DG263" s="3" t="s">
        <v>46</v>
      </c>
      <c r="DH263" s="3" t="s">
        <v>47</v>
      </c>
      <c r="DI263" s="3" t="s">
        <v>117</v>
      </c>
      <c r="DJ263" s="3" t="s">
        <v>49</v>
      </c>
      <c r="DK263" s="3" t="s">
        <v>114</v>
      </c>
      <c r="DL263" s="3" t="s">
        <v>51</v>
      </c>
      <c r="DM263" s="3" t="s">
        <v>52</v>
      </c>
      <c r="DN263" s="3" t="s">
        <v>53</v>
      </c>
      <c r="DO263" s="3" t="s">
        <v>54</v>
      </c>
      <c r="DP263" s="3" t="s">
        <v>71</v>
      </c>
      <c r="DQ263" s="3" t="s">
        <v>56</v>
      </c>
      <c r="DR263" s="3" t="s">
        <v>57</v>
      </c>
      <c r="DS263" s="3" t="s">
        <v>58</v>
      </c>
      <c r="DT263" s="3" t="s">
        <v>59</v>
      </c>
      <c r="DU263" s="3" t="s">
        <v>60</v>
      </c>
      <c r="DV263" s="4" t="s">
        <v>61</v>
      </c>
      <c r="DY263" s="1" t="s">
        <v>66</v>
      </c>
      <c r="DZ263" s="2" t="s">
        <v>1</v>
      </c>
      <c r="EA263" s="3" t="s">
        <v>2</v>
      </c>
      <c r="EB263" s="3" t="s">
        <v>3</v>
      </c>
      <c r="EC263" s="3" t="s">
        <v>4</v>
      </c>
      <c r="ED263" s="3" t="s">
        <v>5</v>
      </c>
      <c r="EE263" s="3" t="s">
        <v>6</v>
      </c>
      <c r="EF263" s="3" t="s">
        <v>7</v>
      </c>
      <c r="EG263" s="3" t="s">
        <v>8</v>
      </c>
      <c r="EH263" s="3" t="s">
        <v>9</v>
      </c>
      <c r="EI263" s="3" t="s">
        <v>10</v>
      </c>
      <c r="EJ263" s="3" t="s">
        <v>11</v>
      </c>
      <c r="EK263" s="3" t="s">
        <v>12</v>
      </c>
      <c r="EL263" s="3" t="s">
        <v>13</v>
      </c>
      <c r="EM263" s="3" t="s">
        <v>14</v>
      </c>
      <c r="EN263" s="3" t="s">
        <v>15</v>
      </c>
      <c r="EO263" s="3" t="s">
        <v>16</v>
      </c>
      <c r="EP263" s="3" t="s">
        <v>17</v>
      </c>
      <c r="EQ263" s="3" t="s">
        <v>18</v>
      </c>
      <c r="ER263" s="3" t="s">
        <v>19</v>
      </c>
      <c r="ES263" s="3" t="s">
        <v>20</v>
      </c>
      <c r="ET263" s="3" t="s">
        <v>21</v>
      </c>
      <c r="EU263" s="3" t="s">
        <v>22</v>
      </c>
      <c r="EV263" s="3" t="s">
        <v>23</v>
      </c>
      <c r="EW263" s="3" t="s">
        <v>24</v>
      </c>
      <c r="EX263" s="3" t="s">
        <v>25</v>
      </c>
      <c r="EY263" s="3" t="s">
        <v>26</v>
      </c>
      <c r="EZ263" s="3" t="s">
        <v>27</v>
      </c>
      <c r="FA263" s="3" t="s">
        <v>28</v>
      </c>
      <c r="FB263" s="3" t="s">
        <v>29</v>
      </c>
      <c r="FC263" s="3" t="s">
        <v>30</v>
      </c>
      <c r="FD263" s="3" t="s">
        <v>31</v>
      </c>
      <c r="FE263" s="3" t="s">
        <v>32</v>
      </c>
      <c r="FF263" s="3" t="s">
        <v>33</v>
      </c>
      <c r="FG263" s="3" t="s">
        <v>34</v>
      </c>
      <c r="FH263" s="3" t="s">
        <v>35</v>
      </c>
      <c r="FI263" s="3" t="s">
        <v>36</v>
      </c>
      <c r="FJ263" s="3" t="s">
        <v>37</v>
      </c>
      <c r="FK263" s="3" t="s">
        <v>38</v>
      </c>
      <c r="FL263" s="3" t="s">
        <v>39</v>
      </c>
      <c r="FM263" s="3" t="s">
        <v>40</v>
      </c>
      <c r="FN263" s="3" t="s">
        <v>41</v>
      </c>
      <c r="FO263" s="3" t="s">
        <v>42</v>
      </c>
      <c r="FP263" s="3" t="s">
        <v>43</v>
      </c>
      <c r="FQ263" s="3" t="s">
        <v>44</v>
      </c>
      <c r="FR263" s="3" t="s">
        <v>45</v>
      </c>
      <c r="FS263" s="3" t="s">
        <v>46</v>
      </c>
      <c r="FT263" s="3" t="s">
        <v>47</v>
      </c>
      <c r="FU263" s="3" t="s">
        <v>117</v>
      </c>
      <c r="FV263" s="3" t="s">
        <v>49</v>
      </c>
      <c r="FW263" s="3" t="s">
        <v>114</v>
      </c>
      <c r="FX263" s="3" t="s">
        <v>51</v>
      </c>
      <c r="FY263" s="3" t="s">
        <v>52</v>
      </c>
      <c r="FZ263" s="3" t="s">
        <v>53</v>
      </c>
      <c r="GA263" s="3" t="s">
        <v>54</v>
      </c>
      <c r="GB263" s="3" t="s">
        <v>71</v>
      </c>
      <c r="GC263" s="3" t="s">
        <v>56</v>
      </c>
      <c r="GD263" s="3" t="s">
        <v>57</v>
      </c>
      <c r="GE263" s="3" t="s">
        <v>58</v>
      </c>
      <c r="GF263" s="3" t="s">
        <v>59</v>
      </c>
      <c r="GG263" s="3" t="s">
        <v>60</v>
      </c>
      <c r="GH263" s="4" t="s">
        <v>61</v>
      </c>
    </row>
    <row r="264" spans="1:190" x14ac:dyDescent="0.3">
      <c r="A264" s="29" t="s">
        <v>115</v>
      </c>
      <c r="B264" s="37">
        <v>511492.875</v>
      </c>
      <c r="C264" s="38">
        <v>511492.875</v>
      </c>
      <c r="D264" s="38">
        <v>511492.875</v>
      </c>
      <c r="E264" s="38">
        <v>511492.875</v>
      </c>
      <c r="F264" s="38">
        <v>511492.875</v>
      </c>
      <c r="G264" s="38">
        <v>511492.875</v>
      </c>
      <c r="H264" s="38">
        <v>511492.875</v>
      </c>
      <c r="I264" s="38">
        <v>511492.875</v>
      </c>
      <c r="J264" s="38">
        <v>8525</v>
      </c>
      <c r="K264" s="38">
        <v>8525</v>
      </c>
      <c r="L264" s="38">
        <v>8525</v>
      </c>
      <c r="M264" s="38">
        <v>8525</v>
      </c>
      <c r="N264" s="38">
        <v>9207</v>
      </c>
      <c r="O264" s="38">
        <v>17050</v>
      </c>
      <c r="P264" s="38">
        <v>17050</v>
      </c>
      <c r="Q264" s="38">
        <v>125031.66666666667</v>
      </c>
      <c r="R264" s="38">
        <v>125031.66666666667</v>
      </c>
      <c r="S264" s="38">
        <v>125031.66666666667</v>
      </c>
      <c r="T264" s="38">
        <v>17050</v>
      </c>
      <c r="U264" s="38">
        <v>17050</v>
      </c>
      <c r="V264" s="38">
        <v>144923</v>
      </c>
      <c r="W264" s="38">
        <v>144923</v>
      </c>
      <c r="X264" s="38">
        <v>144923</v>
      </c>
      <c r="Y264" s="38">
        <v>144923</v>
      </c>
      <c r="Z264" s="38">
        <v>4603.5</v>
      </c>
      <c r="AA264" s="38">
        <v>4603.5</v>
      </c>
      <c r="AB264" s="38">
        <v>4603.5</v>
      </c>
      <c r="AC264" s="38">
        <v>4603.5</v>
      </c>
      <c r="AD264" s="38">
        <v>4603.5</v>
      </c>
      <c r="AE264" s="38">
        <v>4603.5</v>
      </c>
      <c r="AF264" s="38">
        <v>9207</v>
      </c>
      <c r="AG264" s="38">
        <v>9207</v>
      </c>
      <c r="AH264" s="38">
        <v>2301.75</v>
      </c>
      <c r="AI264" s="38">
        <v>2301.75</v>
      </c>
      <c r="AJ264" s="38">
        <v>2301.75</v>
      </c>
      <c r="AK264" s="38">
        <v>2301.75</v>
      </c>
      <c r="AL264" s="38">
        <v>136398</v>
      </c>
      <c r="AM264" s="38">
        <v>136398</v>
      </c>
      <c r="AN264" s="38">
        <v>136398</v>
      </c>
      <c r="AO264" s="38">
        <v>3069</v>
      </c>
      <c r="AP264" s="38">
        <v>3069</v>
      </c>
      <c r="AQ264" s="38">
        <v>3069</v>
      </c>
      <c r="AR264" s="38">
        <v>3069</v>
      </c>
      <c r="AS264" s="38">
        <v>3069</v>
      </c>
      <c r="AT264" s="38">
        <v>3069</v>
      </c>
      <c r="AU264" s="38">
        <v>34100</v>
      </c>
      <c r="AV264" s="38">
        <v>11366.666666666666</v>
      </c>
      <c r="AW264" s="38">
        <v>11366.666666666666</v>
      </c>
      <c r="AX264" s="38">
        <v>11366.666666666666</v>
      </c>
      <c r="AY264" s="38">
        <v>9207</v>
      </c>
      <c r="AZ264" s="38">
        <v>9207</v>
      </c>
      <c r="BA264" s="38">
        <v>9207</v>
      </c>
      <c r="BB264" s="38">
        <v>9207</v>
      </c>
      <c r="BC264" s="38">
        <v>79565.666666666672</v>
      </c>
      <c r="BD264" s="38">
        <v>79565.666666666672</v>
      </c>
      <c r="BE264" s="38">
        <v>79565.666666666672</v>
      </c>
      <c r="BF264" s="38">
        <v>9207</v>
      </c>
      <c r="BG264" s="38">
        <v>9207</v>
      </c>
      <c r="BH264" s="38">
        <v>9207</v>
      </c>
      <c r="BI264" s="38">
        <v>9207</v>
      </c>
      <c r="BJ264" s="39">
        <v>9207</v>
      </c>
      <c r="BM264" s="29" t="s">
        <v>115</v>
      </c>
      <c r="BN264" s="37">
        <v>527745.5</v>
      </c>
      <c r="BO264" s="38">
        <v>527745.5</v>
      </c>
      <c r="BP264" s="38">
        <v>527745.5</v>
      </c>
      <c r="BQ264" s="38">
        <v>527745.5</v>
      </c>
      <c r="BR264" s="38">
        <v>527745.5</v>
      </c>
      <c r="BS264" s="38">
        <v>527745.5</v>
      </c>
      <c r="BT264" s="38">
        <v>527745.5</v>
      </c>
      <c r="BU264" s="38">
        <v>527745.5</v>
      </c>
      <c r="BV264" s="38">
        <v>8795.75</v>
      </c>
      <c r="BW264" s="38">
        <v>8795.75</v>
      </c>
      <c r="BX264" s="38">
        <v>8795.75</v>
      </c>
      <c r="BY264" s="38">
        <v>8795.75</v>
      </c>
      <c r="BZ264" s="38">
        <v>9499</v>
      </c>
      <c r="CA264" s="38">
        <v>17591.5</v>
      </c>
      <c r="CB264" s="38">
        <v>17591.5</v>
      </c>
      <c r="CC264" s="38">
        <v>129004.33333333333</v>
      </c>
      <c r="CD264" s="38">
        <v>129004.33333333333</v>
      </c>
      <c r="CE264" s="38">
        <v>129004.33333333333</v>
      </c>
      <c r="CF264" s="38">
        <v>17591.5</v>
      </c>
      <c r="CG264" s="38">
        <v>17591.5</v>
      </c>
      <c r="CH264" s="38">
        <v>149528</v>
      </c>
      <c r="CI264" s="38">
        <v>149528</v>
      </c>
      <c r="CJ264" s="38">
        <v>149528</v>
      </c>
      <c r="CK264" s="38">
        <v>149528</v>
      </c>
      <c r="CL264" s="38">
        <v>4749.5</v>
      </c>
      <c r="CM264" s="38">
        <v>4749.5</v>
      </c>
      <c r="CN264" s="38">
        <v>4749.5</v>
      </c>
      <c r="CO264" s="38">
        <v>4749.5</v>
      </c>
      <c r="CP264" s="38">
        <v>4749.5</v>
      </c>
      <c r="CQ264" s="38">
        <v>4749.5</v>
      </c>
      <c r="CR264" s="38">
        <v>9499</v>
      </c>
      <c r="CS264" s="38">
        <v>9499</v>
      </c>
      <c r="CT264" s="38">
        <v>2374.75</v>
      </c>
      <c r="CU264" s="38">
        <v>2374.75</v>
      </c>
      <c r="CV264" s="38">
        <v>2374.75</v>
      </c>
      <c r="CW264" s="38">
        <v>2374.75</v>
      </c>
      <c r="CX264" s="38">
        <v>140732</v>
      </c>
      <c r="CY264" s="38">
        <v>140732</v>
      </c>
      <c r="CZ264" s="38">
        <v>140732</v>
      </c>
      <c r="DA264" s="38">
        <v>3166.3333333333335</v>
      </c>
      <c r="DB264" s="38">
        <v>3166.3333333333335</v>
      </c>
      <c r="DC264" s="38">
        <v>3166.3333333333335</v>
      </c>
      <c r="DD264" s="38">
        <v>3166.3333333333335</v>
      </c>
      <c r="DE264" s="38">
        <v>3166.3333333333335</v>
      </c>
      <c r="DF264" s="38">
        <v>3166.3333333333335</v>
      </c>
      <c r="DG264" s="38">
        <v>35183</v>
      </c>
      <c r="DH264" s="38">
        <v>11727.666666666666</v>
      </c>
      <c r="DI264" s="38">
        <v>11727.666666666666</v>
      </c>
      <c r="DJ264" s="38">
        <v>11727.666666666666</v>
      </c>
      <c r="DK264" s="38">
        <v>9499</v>
      </c>
      <c r="DL264" s="38">
        <v>9499</v>
      </c>
      <c r="DM264" s="38">
        <v>9499</v>
      </c>
      <c r="DN264" s="38">
        <v>9499</v>
      </c>
      <c r="DO264" s="38">
        <v>82093.666666666672</v>
      </c>
      <c r="DP264" s="38">
        <v>82093.666666666672</v>
      </c>
      <c r="DQ264" s="38">
        <v>82093.666666666672</v>
      </c>
      <c r="DR264" s="38">
        <v>9499</v>
      </c>
      <c r="DS264" s="38">
        <v>9499</v>
      </c>
      <c r="DT264" s="38">
        <v>9499</v>
      </c>
      <c r="DU264" s="38">
        <v>9499</v>
      </c>
      <c r="DV264" s="39">
        <v>9499</v>
      </c>
      <c r="DY264" s="29" t="s">
        <v>118</v>
      </c>
      <c r="DZ264" s="37">
        <v>12</v>
      </c>
      <c r="EA264" s="38">
        <v>12</v>
      </c>
      <c r="EB264" s="38">
        <v>12</v>
      </c>
      <c r="EC264" s="38">
        <v>12</v>
      </c>
      <c r="ED264" s="38">
        <v>12</v>
      </c>
      <c r="EE264" s="38">
        <v>12</v>
      </c>
      <c r="EF264" s="38">
        <v>12</v>
      </c>
      <c r="EG264" s="38">
        <v>12</v>
      </c>
      <c r="EH264" s="38">
        <v>12</v>
      </c>
      <c r="EI264" s="38">
        <v>12</v>
      </c>
      <c r="EJ264" s="38">
        <v>12</v>
      </c>
      <c r="EK264" s="38">
        <v>12</v>
      </c>
      <c r="EL264" s="38">
        <v>12</v>
      </c>
      <c r="EM264" s="38">
        <v>1</v>
      </c>
      <c r="EN264" s="38">
        <v>1</v>
      </c>
      <c r="EO264" s="38">
        <v>16</v>
      </c>
      <c r="EP264" s="38">
        <v>16</v>
      </c>
      <c r="EQ264" s="38">
        <v>16</v>
      </c>
      <c r="ER264" s="38">
        <v>16</v>
      </c>
      <c r="ES264" s="38">
        <v>16</v>
      </c>
      <c r="ET264" s="38">
        <v>16</v>
      </c>
      <c r="EU264" s="38">
        <v>16</v>
      </c>
      <c r="EV264" s="38">
        <v>16</v>
      </c>
      <c r="EW264" s="38">
        <v>16</v>
      </c>
      <c r="EX264" s="38">
        <v>16</v>
      </c>
      <c r="EY264" s="38">
        <v>16</v>
      </c>
      <c r="EZ264" s="38">
        <v>16</v>
      </c>
      <c r="FA264" s="38">
        <v>16</v>
      </c>
      <c r="FB264" s="38">
        <v>16</v>
      </c>
      <c r="FC264" s="38">
        <v>16</v>
      </c>
      <c r="FD264" s="38">
        <v>16</v>
      </c>
      <c r="FE264" s="38">
        <v>16</v>
      </c>
      <c r="FF264" s="38">
        <v>9</v>
      </c>
      <c r="FG264" s="38">
        <v>9</v>
      </c>
      <c r="FH264" s="38">
        <v>9</v>
      </c>
      <c r="FI264" s="38">
        <v>9</v>
      </c>
      <c r="FJ264" s="38">
        <v>9</v>
      </c>
      <c r="FK264" s="38">
        <v>9</v>
      </c>
      <c r="FL264" s="38">
        <v>9</v>
      </c>
      <c r="FM264" s="38">
        <v>2</v>
      </c>
      <c r="FN264" s="38">
        <v>2</v>
      </c>
      <c r="FO264" s="38">
        <v>2</v>
      </c>
      <c r="FP264" s="38">
        <v>9</v>
      </c>
      <c r="FQ264" s="38">
        <v>9</v>
      </c>
      <c r="FR264" s="38">
        <v>9</v>
      </c>
      <c r="FS264" s="38">
        <v>9</v>
      </c>
      <c r="FT264" s="38">
        <v>10</v>
      </c>
      <c r="FU264" s="38">
        <v>9</v>
      </c>
      <c r="FV264" s="38">
        <v>9</v>
      </c>
      <c r="FW264" s="38">
        <v>0</v>
      </c>
      <c r="FX264" s="38">
        <v>0</v>
      </c>
      <c r="FY264" s="38">
        <v>9</v>
      </c>
      <c r="FZ264" s="38">
        <v>16</v>
      </c>
      <c r="GA264" s="38">
        <v>9</v>
      </c>
      <c r="GB264" s="38">
        <v>9</v>
      </c>
      <c r="GC264" s="38">
        <v>9</v>
      </c>
      <c r="GD264" s="38">
        <v>16</v>
      </c>
      <c r="GE264" s="38">
        <v>16</v>
      </c>
      <c r="GF264" s="38">
        <v>1</v>
      </c>
      <c r="GG264" s="38">
        <v>1</v>
      </c>
      <c r="GH264" s="39">
        <v>1</v>
      </c>
    </row>
    <row r="265" spans="1:190" x14ac:dyDescent="0.3">
      <c r="A265" s="29" t="s">
        <v>116</v>
      </c>
      <c r="B265" s="40">
        <f>ROUNDUP(B264/2542,0)</f>
        <v>202</v>
      </c>
      <c r="C265" s="41">
        <f t="shared" ref="C265:BJ265" si="97">ROUNDUP(C264/2542,0)</f>
        <v>202</v>
      </c>
      <c r="D265" s="41">
        <f t="shared" si="97"/>
        <v>202</v>
      </c>
      <c r="E265" s="41">
        <f t="shared" si="97"/>
        <v>202</v>
      </c>
      <c r="F265" s="41">
        <f t="shared" si="97"/>
        <v>202</v>
      </c>
      <c r="G265" s="41">
        <f t="shared" si="97"/>
        <v>202</v>
      </c>
      <c r="H265" s="41">
        <f t="shared" si="97"/>
        <v>202</v>
      </c>
      <c r="I265" s="41">
        <f t="shared" si="97"/>
        <v>202</v>
      </c>
      <c r="J265" s="41">
        <f t="shared" si="97"/>
        <v>4</v>
      </c>
      <c r="K265" s="41">
        <f t="shared" si="97"/>
        <v>4</v>
      </c>
      <c r="L265" s="41">
        <f t="shared" si="97"/>
        <v>4</v>
      </c>
      <c r="M265" s="41">
        <f t="shared" si="97"/>
        <v>4</v>
      </c>
      <c r="N265" s="41">
        <f t="shared" si="97"/>
        <v>4</v>
      </c>
      <c r="O265" s="41">
        <f t="shared" si="97"/>
        <v>7</v>
      </c>
      <c r="P265" s="41">
        <f t="shared" si="97"/>
        <v>7</v>
      </c>
      <c r="Q265" s="41">
        <f t="shared" si="97"/>
        <v>50</v>
      </c>
      <c r="R265" s="41">
        <f t="shared" si="97"/>
        <v>50</v>
      </c>
      <c r="S265" s="41">
        <f t="shared" si="97"/>
        <v>50</v>
      </c>
      <c r="T265" s="41">
        <f t="shared" si="97"/>
        <v>7</v>
      </c>
      <c r="U265" s="41">
        <f t="shared" si="97"/>
        <v>7</v>
      </c>
      <c r="V265" s="41">
        <f t="shared" si="97"/>
        <v>58</v>
      </c>
      <c r="W265" s="41">
        <f t="shared" si="97"/>
        <v>58</v>
      </c>
      <c r="X265" s="41">
        <f t="shared" si="97"/>
        <v>58</v>
      </c>
      <c r="Y265" s="41">
        <f t="shared" si="97"/>
        <v>58</v>
      </c>
      <c r="Z265" s="41">
        <f t="shared" si="97"/>
        <v>2</v>
      </c>
      <c r="AA265" s="41">
        <f t="shared" si="97"/>
        <v>2</v>
      </c>
      <c r="AB265" s="41">
        <f t="shared" si="97"/>
        <v>2</v>
      </c>
      <c r="AC265" s="41">
        <f t="shared" si="97"/>
        <v>2</v>
      </c>
      <c r="AD265" s="41">
        <f t="shared" si="97"/>
        <v>2</v>
      </c>
      <c r="AE265" s="41">
        <f t="shared" si="97"/>
        <v>2</v>
      </c>
      <c r="AF265" s="41">
        <f t="shared" si="97"/>
        <v>4</v>
      </c>
      <c r="AG265" s="41">
        <f t="shared" si="97"/>
        <v>4</v>
      </c>
      <c r="AH265" s="41">
        <f t="shared" si="97"/>
        <v>1</v>
      </c>
      <c r="AI265" s="41">
        <f t="shared" si="97"/>
        <v>1</v>
      </c>
      <c r="AJ265" s="41">
        <f t="shared" si="97"/>
        <v>1</v>
      </c>
      <c r="AK265" s="41">
        <f t="shared" si="97"/>
        <v>1</v>
      </c>
      <c r="AL265" s="41">
        <f t="shared" si="97"/>
        <v>54</v>
      </c>
      <c r="AM265" s="41">
        <f t="shared" si="97"/>
        <v>54</v>
      </c>
      <c r="AN265" s="41">
        <f t="shared" si="97"/>
        <v>54</v>
      </c>
      <c r="AO265" s="41">
        <f t="shared" si="97"/>
        <v>2</v>
      </c>
      <c r="AP265" s="41">
        <f t="shared" si="97"/>
        <v>2</v>
      </c>
      <c r="AQ265" s="41">
        <f t="shared" si="97"/>
        <v>2</v>
      </c>
      <c r="AR265" s="41">
        <f t="shared" si="97"/>
        <v>2</v>
      </c>
      <c r="AS265" s="41">
        <f t="shared" si="97"/>
        <v>2</v>
      </c>
      <c r="AT265" s="41">
        <f t="shared" si="97"/>
        <v>2</v>
      </c>
      <c r="AU265" s="41">
        <f t="shared" si="97"/>
        <v>14</v>
      </c>
      <c r="AV265" s="41">
        <f t="shared" si="97"/>
        <v>5</v>
      </c>
      <c r="AW265" s="41">
        <f t="shared" si="97"/>
        <v>5</v>
      </c>
      <c r="AX265" s="41">
        <f t="shared" si="97"/>
        <v>5</v>
      </c>
      <c r="AY265" s="41">
        <f t="shared" si="97"/>
        <v>4</v>
      </c>
      <c r="AZ265" s="41">
        <f t="shared" si="97"/>
        <v>4</v>
      </c>
      <c r="BA265" s="41">
        <f t="shared" si="97"/>
        <v>4</v>
      </c>
      <c r="BB265" s="41">
        <f t="shared" si="97"/>
        <v>4</v>
      </c>
      <c r="BC265" s="41">
        <f t="shared" si="97"/>
        <v>32</v>
      </c>
      <c r="BD265" s="41">
        <f t="shared" si="97"/>
        <v>32</v>
      </c>
      <c r="BE265" s="41">
        <f t="shared" si="97"/>
        <v>32</v>
      </c>
      <c r="BF265" s="41">
        <f t="shared" si="97"/>
        <v>4</v>
      </c>
      <c r="BG265" s="41">
        <f t="shared" si="97"/>
        <v>4</v>
      </c>
      <c r="BH265" s="41">
        <f t="shared" si="97"/>
        <v>4</v>
      </c>
      <c r="BI265" s="41">
        <f t="shared" si="97"/>
        <v>4</v>
      </c>
      <c r="BJ265" s="42">
        <f t="shared" si="97"/>
        <v>4</v>
      </c>
      <c r="BM265" s="29" t="s">
        <v>116</v>
      </c>
      <c r="BN265" s="40">
        <f>ROUNDUP(BN264/2542,0)</f>
        <v>208</v>
      </c>
      <c r="BO265" s="41">
        <f t="shared" ref="BO265:DV265" si="98">ROUNDUP(BO264/2542,0)</f>
        <v>208</v>
      </c>
      <c r="BP265" s="41">
        <f t="shared" si="98"/>
        <v>208</v>
      </c>
      <c r="BQ265" s="41">
        <f t="shared" si="98"/>
        <v>208</v>
      </c>
      <c r="BR265" s="41">
        <f t="shared" si="98"/>
        <v>208</v>
      </c>
      <c r="BS265" s="41">
        <f t="shared" si="98"/>
        <v>208</v>
      </c>
      <c r="BT265" s="41">
        <f t="shared" si="98"/>
        <v>208</v>
      </c>
      <c r="BU265" s="41">
        <f t="shared" si="98"/>
        <v>208</v>
      </c>
      <c r="BV265" s="41">
        <f t="shared" si="98"/>
        <v>4</v>
      </c>
      <c r="BW265" s="41">
        <f t="shared" si="98"/>
        <v>4</v>
      </c>
      <c r="BX265" s="41">
        <f t="shared" si="98"/>
        <v>4</v>
      </c>
      <c r="BY265" s="41">
        <f t="shared" si="98"/>
        <v>4</v>
      </c>
      <c r="BZ265" s="41">
        <f t="shared" si="98"/>
        <v>4</v>
      </c>
      <c r="CA265" s="41">
        <f t="shared" si="98"/>
        <v>7</v>
      </c>
      <c r="CB265" s="41">
        <f t="shared" si="98"/>
        <v>7</v>
      </c>
      <c r="CC265" s="41">
        <f t="shared" si="98"/>
        <v>51</v>
      </c>
      <c r="CD265" s="41">
        <f t="shared" si="98"/>
        <v>51</v>
      </c>
      <c r="CE265" s="41">
        <f t="shared" si="98"/>
        <v>51</v>
      </c>
      <c r="CF265" s="41">
        <f t="shared" si="98"/>
        <v>7</v>
      </c>
      <c r="CG265" s="41">
        <f t="shared" si="98"/>
        <v>7</v>
      </c>
      <c r="CH265" s="41">
        <f t="shared" si="98"/>
        <v>59</v>
      </c>
      <c r="CI265" s="41">
        <f t="shared" si="98"/>
        <v>59</v>
      </c>
      <c r="CJ265" s="41">
        <f t="shared" si="98"/>
        <v>59</v>
      </c>
      <c r="CK265" s="41">
        <f t="shared" si="98"/>
        <v>59</v>
      </c>
      <c r="CL265" s="41">
        <f t="shared" si="98"/>
        <v>2</v>
      </c>
      <c r="CM265" s="41">
        <f t="shared" si="98"/>
        <v>2</v>
      </c>
      <c r="CN265" s="41">
        <f t="shared" si="98"/>
        <v>2</v>
      </c>
      <c r="CO265" s="41">
        <f t="shared" si="98"/>
        <v>2</v>
      </c>
      <c r="CP265" s="41">
        <f t="shared" si="98"/>
        <v>2</v>
      </c>
      <c r="CQ265" s="41">
        <f t="shared" si="98"/>
        <v>2</v>
      </c>
      <c r="CR265" s="41">
        <f t="shared" si="98"/>
        <v>4</v>
      </c>
      <c r="CS265" s="41">
        <f t="shared" si="98"/>
        <v>4</v>
      </c>
      <c r="CT265" s="41">
        <f t="shared" si="98"/>
        <v>1</v>
      </c>
      <c r="CU265" s="41">
        <f t="shared" si="98"/>
        <v>1</v>
      </c>
      <c r="CV265" s="41">
        <f t="shared" si="98"/>
        <v>1</v>
      </c>
      <c r="CW265" s="41">
        <f t="shared" si="98"/>
        <v>1</v>
      </c>
      <c r="CX265" s="41">
        <f t="shared" si="98"/>
        <v>56</v>
      </c>
      <c r="CY265" s="41">
        <f t="shared" si="98"/>
        <v>56</v>
      </c>
      <c r="CZ265" s="41">
        <f t="shared" si="98"/>
        <v>56</v>
      </c>
      <c r="DA265" s="41">
        <f t="shared" si="98"/>
        <v>2</v>
      </c>
      <c r="DB265" s="41">
        <f t="shared" si="98"/>
        <v>2</v>
      </c>
      <c r="DC265" s="41">
        <f t="shared" si="98"/>
        <v>2</v>
      </c>
      <c r="DD265" s="41">
        <f t="shared" si="98"/>
        <v>2</v>
      </c>
      <c r="DE265" s="41">
        <f t="shared" si="98"/>
        <v>2</v>
      </c>
      <c r="DF265" s="41">
        <f t="shared" si="98"/>
        <v>2</v>
      </c>
      <c r="DG265" s="41">
        <f t="shared" si="98"/>
        <v>14</v>
      </c>
      <c r="DH265" s="41">
        <f t="shared" si="98"/>
        <v>5</v>
      </c>
      <c r="DI265" s="41">
        <f t="shared" si="98"/>
        <v>5</v>
      </c>
      <c r="DJ265" s="41">
        <f t="shared" si="98"/>
        <v>5</v>
      </c>
      <c r="DK265" s="41">
        <f t="shared" si="98"/>
        <v>4</v>
      </c>
      <c r="DL265" s="41">
        <f t="shared" si="98"/>
        <v>4</v>
      </c>
      <c r="DM265" s="41">
        <f t="shared" si="98"/>
        <v>4</v>
      </c>
      <c r="DN265" s="41">
        <f t="shared" si="98"/>
        <v>4</v>
      </c>
      <c r="DO265" s="41">
        <f t="shared" si="98"/>
        <v>33</v>
      </c>
      <c r="DP265" s="41">
        <f t="shared" si="98"/>
        <v>33</v>
      </c>
      <c r="DQ265" s="41">
        <f t="shared" si="98"/>
        <v>33</v>
      </c>
      <c r="DR265" s="41">
        <f t="shared" si="98"/>
        <v>4</v>
      </c>
      <c r="DS265" s="41">
        <f t="shared" si="98"/>
        <v>4</v>
      </c>
      <c r="DT265" s="41">
        <f t="shared" si="98"/>
        <v>4</v>
      </c>
      <c r="DU265" s="41">
        <f t="shared" si="98"/>
        <v>4</v>
      </c>
      <c r="DV265" s="42">
        <f t="shared" si="98"/>
        <v>4</v>
      </c>
      <c r="DY265" s="29" t="s">
        <v>120</v>
      </c>
      <c r="DZ265" s="40">
        <v>32</v>
      </c>
      <c r="EA265" s="41">
        <v>32</v>
      </c>
      <c r="EB265" s="41">
        <v>32</v>
      </c>
      <c r="EC265" s="41">
        <v>32</v>
      </c>
      <c r="ED265" s="41">
        <v>32</v>
      </c>
      <c r="EE265" s="41">
        <v>32</v>
      </c>
      <c r="EF265" s="41">
        <v>32</v>
      </c>
      <c r="EG265" s="41">
        <v>32</v>
      </c>
      <c r="EH265" s="41">
        <v>32</v>
      </c>
      <c r="EI265" s="41">
        <v>32</v>
      </c>
      <c r="EJ265" s="41">
        <v>32</v>
      </c>
      <c r="EK265" s="41">
        <v>32</v>
      </c>
      <c r="EL265" s="41">
        <v>32</v>
      </c>
      <c r="EM265" s="41">
        <v>43</v>
      </c>
      <c r="EN265" s="41">
        <v>43</v>
      </c>
      <c r="EO265" s="41">
        <v>28</v>
      </c>
      <c r="EP265" s="41">
        <v>28</v>
      </c>
      <c r="EQ265" s="41">
        <v>28</v>
      </c>
      <c r="ER265" s="41">
        <v>28</v>
      </c>
      <c r="ES265" s="41">
        <v>28</v>
      </c>
      <c r="ET265" s="41">
        <v>28</v>
      </c>
      <c r="EU265" s="41">
        <v>28</v>
      </c>
      <c r="EV265" s="41">
        <v>28</v>
      </c>
      <c r="EW265" s="41">
        <v>28</v>
      </c>
      <c r="EX265" s="41">
        <v>28</v>
      </c>
      <c r="EY265" s="41">
        <v>28</v>
      </c>
      <c r="EZ265" s="41">
        <v>28</v>
      </c>
      <c r="FA265" s="41">
        <v>28</v>
      </c>
      <c r="FB265" s="41">
        <v>28</v>
      </c>
      <c r="FC265" s="41">
        <v>28</v>
      </c>
      <c r="FD265" s="41">
        <v>28</v>
      </c>
      <c r="FE265" s="41">
        <v>28</v>
      </c>
      <c r="FF265" s="41">
        <v>35</v>
      </c>
      <c r="FG265" s="41">
        <v>35</v>
      </c>
      <c r="FH265" s="41">
        <v>35</v>
      </c>
      <c r="FI265" s="41">
        <v>35</v>
      </c>
      <c r="FJ265" s="41">
        <v>35</v>
      </c>
      <c r="FK265" s="41">
        <v>35</v>
      </c>
      <c r="FL265" s="41">
        <v>35</v>
      </c>
      <c r="FM265" s="41">
        <v>42</v>
      </c>
      <c r="FN265" s="41">
        <v>42</v>
      </c>
      <c r="FO265" s="41">
        <v>42</v>
      </c>
      <c r="FP265" s="41">
        <v>35</v>
      </c>
      <c r="FQ265" s="41">
        <v>35</v>
      </c>
      <c r="FR265" s="41">
        <v>35</v>
      </c>
      <c r="FS265" s="41">
        <v>35</v>
      </c>
      <c r="FT265" s="41">
        <v>34</v>
      </c>
      <c r="FU265" s="41">
        <v>35</v>
      </c>
      <c r="FV265" s="41">
        <v>35</v>
      </c>
      <c r="FW265" s="41">
        <v>44</v>
      </c>
      <c r="FX265" s="41">
        <v>44</v>
      </c>
      <c r="FY265" s="41">
        <v>35</v>
      </c>
      <c r="FZ265" s="41">
        <v>28</v>
      </c>
      <c r="GA265" s="41">
        <v>35</v>
      </c>
      <c r="GB265" s="41">
        <v>35</v>
      </c>
      <c r="GC265" s="41">
        <v>35</v>
      </c>
      <c r="GD265" s="41">
        <v>28</v>
      </c>
      <c r="GE265" s="41">
        <v>28</v>
      </c>
      <c r="GF265" s="41">
        <v>43</v>
      </c>
      <c r="GG265" s="41">
        <v>43</v>
      </c>
      <c r="GH265" s="42">
        <v>43</v>
      </c>
    </row>
    <row r="266" spans="1:190" x14ac:dyDescent="0.3">
      <c r="A266" s="34" t="s">
        <v>1</v>
      </c>
      <c r="B266" s="6" t="s">
        <v>62</v>
      </c>
      <c r="C266" s="7" t="s">
        <v>62</v>
      </c>
      <c r="D266" s="7">
        <f>IF(Distances!EC105&lt;&gt;0,(BP266+Distances!EC105*3)*EB266*D265*2,"")</f>
        <v>47819.007519999992</v>
      </c>
      <c r="E266" s="7" t="s">
        <v>62</v>
      </c>
      <c r="F266" s="7">
        <f>IF(Distances!EE105&lt;&gt;0,(BR266+Distances!EE105*3)*ED266*F265*2,"")</f>
        <v>4940.1200799999997</v>
      </c>
      <c r="G266" s="7">
        <f>IF(Distances!EF105&lt;&gt;0,(BS266+Distances!EF105*3)*EE266*G265*2,"")</f>
        <v>75368.801759999988</v>
      </c>
      <c r="H266" s="7" t="s">
        <v>62</v>
      </c>
      <c r="I266" s="7" t="s">
        <v>62</v>
      </c>
      <c r="J266" s="7">
        <f>IF(Distances!EI105&lt;&gt;0,(BV266+Distances!EI105*3)*EH266*J265*2,"")</f>
        <v>284.96015999999997</v>
      </c>
      <c r="K266" s="7" t="s">
        <v>62</v>
      </c>
      <c r="L266" s="7" t="s">
        <v>62</v>
      </c>
      <c r="M266" s="7" t="s">
        <v>62</v>
      </c>
      <c r="N266" s="7" t="s">
        <v>62</v>
      </c>
      <c r="O266" s="8" t="s">
        <v>62</v>
      </c>
      <c r="P266" s="8" t="s">
        <v>62</v>
      </c>
      <c r="Q266" s="8" t="s">
        <v>62</v>
      </c>
      <c r="R266" s="8" t="s">
        <v>62</v>
      </c>
      <c r="S266" s="8" t="s">
        <v>62</v>
      </c>
      <c r="T266" s="8">
        <f>IF(Distances!ES105&lt;&gt;0,(CF266+Distances!ES105*3)*ER266*T265*2,"")</f>
        <v>162.74016</v>
      </c>
      <c r="U266" s="8">
        <f>IF(Distances!ET105&lt;&gt;0,(CG266+Distances!ET105*3)*ES266*U265*2,"")</f>
        <v>225.30155999999999</v>
      </c>
      <c r="V266" s="8">
        <f>IF(Distances!EU105&lt;&gt;0,(CH266+Distances!EU105*3)*ET266*V265*2,"")</f>
        <v>2602.1908800000001</v>
      </c>
      <c r="W266" s="8" t="s">
        <v>62</v>
      </c>
      <c r="X266" s="8">
        <f>IF(Distances!EW105&lt;&gt;0,(CJ266+Distances!EW105*3)*EV266*X265*2,"")</f>
        <v>1311.0959657142857</v>
      </c>
      <c r="Y266" s="8">
        <f>IF(Distances!EX105&lt;&gt;0,(CK266+Distances!EX105*3)*EW266*Y265*2,"")</f>
        <v>1438.8984685714288</v>
      </c>
      <c r="Z266" s="8">
        <f>IF(Distances!EY105&lt;&gt;0,(CL266+Distances!EY105*3)*EX266*Z265*2,"")</f>
        <v>46.956582857142863</v>
      </c>
      <c r="AA266" s="8">
        <f>IF(Distances!EZ105&lt;&gt;0,(CM266+Distances!EZ105*3)*EY266*AA265*2,"")</f>
        <v>51.658868571428577</v>
      </c>
      <c r="AB266" s="8">
        <f>IF(Distances!FA105&lt;&gt;0,(CN266+Distances!FA105*3)*EZ266*AB265*2,"")</f>
        <v>71.486777142857136</v>
      </c>
      <c r="AC266" s="8" t="s">
        <v>62</v>
      </c>
      <c r="AD266" s="8" t="s">
        <v>62</v>
      </c>
      <c r="AE266" s="8">
        <f>IF(Distances!FD105&lt;&gt;0,(CQ266+Distances!FD105*3)*FC266*AE265*2,"")</f>
        <v>130.96786285714285</v>
      </c>
      <c r="AF266" s="8">
        <f>IF(Distances!FE105&lt;&gt;0,(CR266+Distances!FE105*3)*FD266*AF265*2,"")</f>
        <v>256.10715428571427</v>
      </c>
      <c r="AG266" s="8">
        <f>IF(Distances!FF105&lt;&gt;0,(CS266+Distances!FF105*3)*FE266*AG265*2,"")</f>
        <v>198.43858285714285</v>
      </c>
      <c r="AH266" s="8">
        <f>IF(Distances!FG105&lt;&gt;0,(CT266+Distances!FG105*3)*FF266*AH265*2,"")</f>
        <v>65.576393142857142</v>
      </c>
      <c r="AI266" s="8" t="s">
        <v>62</v>
      </c>
      <c r="AJ266" s="8">
        <f>IF(Distances!FI105&lt;&gt;0,(CV266+Distances!FI105*3)*FH266*AJ265*2,"")</f>
        <v>51.738678857142858</v>
      </c>
      <c r="AK266" s="8" t="s">
        <v>62</v>
      </c>
      <c r="AL266" s="8" t="s">
        <v>62</v>
      </c>
      <c r="AM266" s="8" t="s">
        <v>62</v>
      </c>
      <c r="AN266" s="8">
        <f>IF(Distances!FM105&lt;&gt;0,(CZ266+Distances!FM105*3)*FL266*AN265*2,"")</f>
        <v>1339.5781851428571</v>
      </c>
      <c r="AO266" s="8" t="s">
        <v>62</v>
      </c>
      <c r="AP266" s="8" t="s">
        <v>62</v>
      </c>
      <c r="AQ266" s="8" t="s">
        <v>62</v>
      </c>
      <c r="AR266" s="8" t="s">
        <v>62</v>
      </c>
      <c r="AS266" s="8" t="s">
        <v>62</v>
      </c>
      <c r="AT266" s="8" t="s">
        <v>62</v>
      </c>
      <c r="AU266" s="8">
        <f>IF(Distances!FT105&lt;&gt;0,(DG266+Distances!FT105*3)*FS266*AU265*2,"")</f>
        <v>329.05632000000003</v>
      </c>
      <c r="AV266" s="8">
        <f>IF(Distances!FU105&lt;&gt;0,(DH266+Distances!FU105*3)*FT266*AV265*2,"")</f>
        <v>216.370094117647</v>
      </c>
      <c r="AW266" s="8">
        <f>IF(Distances!FV105&lt;&gt;0,(DI266+Distances!FV105*3)*FU266*AW265*2,"")</f>
        <v>851.51951999999994</v>
      </c>
      <c r="AX266" s="8" t="s">
        <v>62</v>
      </c>
      <c r="AY266" s="8" t="s">
        <v>62</v>
      </c>
      <c r="AZ266" s="8">
        <f>IF(Distances!FY105&lt;&gt;0,(DL266+Distances!FY105*3)*FX266*AZ265*2,"")</f>
        <v>215.15210181818188</v>
      </c>
      <c r="BA266" s="8" t="s">
        <v>62</v>
      </c>
      <c r="BB266" s="8" t="s">
        <v>62</v>
      </c>
      <c r="BC266" s="8" t="s">
        <v>62</v>
      </c>
      <c r="BD266" s="8">
        <f>IF(Distances!GC105&lt;&gt;0,(DP266+Distances!GC105*3)*GB266*BD265*2,"")</f>
        <v>845.29415314285711</v>
      </c>
      <c r="BE266" s="8" t="s">
        <v>62</v>
      </c>
      <c r="BF266" s="8">
        <f>IF(Distances!GE105&lt;&gt;0,(DR266+Distances!GE105*3)*GD266*BF265*2,"")</f>
        <v>301.96011428571427</v>
      </c>
      <c r="BG266" s="8" t="s">
        <v>62</v>
      </c>
      <c r="BH266" s="8" t="s">
        <v>62</v>
      </c>
      <c r="BI266" s="8" t="s">
        <v>62</v>
      </c>
      <c r="BJ266" s="9" t="s">
        <v>62</v>
      </c>
      <c r="BM266" s="34" t="s">
        <v>1</v>
      </c>
      <c r="BN266" s="6">
        <v>0</v>
      </c>
      <c r="BO266" s="7">
        <v>758.3184</v>
      </c>
      <c r="BP266" s="7">
        <v>510.23279999999994</v>
      </c>
      <c r="BQ266" s="7">
        <v>510.23279999999994</v>
      </c>
      <c r="BR266" s="7">
        <v>540.48119999999994</v>
      </c>
      <c r="BS266" s="7">
        <v>2318.7864</v>
      </c>
      <c r="BT266" s="7">
        <v>2695.3835999999997</v>
      </c>
      <c r="BU266" s="7">
        <v>2318.7864</v>
      </c>
      <c r="BV266" s="7">
        <v>530.4011999999999</v>
      </c>
      <c r="BW266" s="7">
        <v>530.4011999999999</v>
      </c>
      <c r="BX266" s="7">
        <v>2721.8015999999998</v>
      </c>
      <c r="BY266" s="7">
        <v>2721.8015999999998</v>
      </c>
      <c r="BZ266" s="7">
        <v>803.30039999999997</v>
      </c>
      <c r="CA266" s="8">
        <v>814.16160000000002</v>
      </c>
      <c r="CB266" s="8">
        <v>1551.0347999999999</v>
      </c>
      <c r="CC266" s="8">
        <v>974.86199999999997</v>
      </c>
      <c r="CD266" s="8">
        <v>965.67239999999993</v>
      </c>
      <c r="CE266" s="8">
        <v>993.2328</v>
      </c>
      <c r="CF266" s="8">
        <v>947.30160000000001</v>
      </c>
      <c r="CG266" s="8">
        <v>1294.5155999999999</v>
      </c>
      <c r="CH266" s="8">
        <v>1599.1751999999999</v>
      </c>
      <c r="CI266" s="8">
        <v>956.4828</v>
      </c>
      <c r="CJ266" s="8">
        <v>1175.8571999999999</v>
      </c>
      <c r="CK266" s="8">
        <v>947.30160000000001</v>
      </c>
      <c r="CL266" s="8">
        <v>1409.7803999999999</v>
      </c>
      <c r="CM266" s="8">
        <v>1384.1604</v>
      </c>
      <c r="CN266" s="8">
        <v>1332.9371999999998</v>
      </c>
      <c r="CO266" s="8">
        <v>132.37559999999999</v>
      </c>
      <c r="CP266" s="8">
        <v>1175.8571999999999</v>
      </c>
      <c r="CQ266" s="8">
        <v>1599.1751999999999</v>
      </c>
      <c r="CR266" s="8">
        <v>1599.1751999999999</v>
      </c>
      <c r="CS266" s="8">
        <v>1599.1751999999999</v>
      </c>
      <c r="CT266" s="8">
        <v>1579.3344</v>
      </c>
      <c r="CU266" s="8">
        <v>1834.1063999999999</v>
      </c>
      <c r="CV266" s="8">
        <v>1579.3344</v>
      </c>
      <c r="CW266" s="8">
        <v>1887.4967999999999</v>
      </c>
      <c r="CX266" s="8">
        <v>1706.8127999999999</v>
      </c>
      <c r="CY266" s="8">
        <v>1706.8127999999999</v>
      </c>
      <c r="CZ266" s="8">
        <v>1706.8127999999999</v>
      </c>
      <c r="DA266" s="8">
        <v>2276.1815999999999</v>
      </c>
      <c r="DB266" s="8">
        <v>2320.3571999999999</v>
      </c>
      <c r="DC266" s="8">
        <v>2157.6491999999998</v>
      </c>
      <c r="DD266" s="8">
        <v>2453.3292000000001</v>
      </c>
      <c r="DE266" s="8">
        <v>2453.3292000000001</v>
      </c>
      <c r="DF266" s="8">
        <v>2453.3292000000001</v>
      </c>
      <c r="DG266" s="8">
        <v>1924.902</v>
      </c>
      <c r="DH266" s="8">
        <v>1742.9915999999998</v>
      </c>
      <c r="DI266" s="8">
        <v>1742.9915999999998</v>
      </c>
      <c r="DJ266" s="8">
        <v>1961.5511999999999</v>
      </c>
      <c r="DK266" s="8">
        <v>0</v>
      </c>
      <c r="DL266" s="8">
        <v>4528.5828000000001</v>
      </c>
      <c r="DM266" s="8">
        <v>2214.2568000000001</v>
      </c>
      <c r="DN266" s="8">
        <v>1710.4331999999999</v>
      </c>
      <c r="DO266" s="8">
        <v>1833.2915999999998</v>
      </c>
      <c r="DP266" s="8">
        <v>1961.5511999999999</v>
      </c>
      <c r="DQ266" s="8">
        <v>1943.1384</v>
      </c>
      <c r="DR266" s="8">
        <v>2389.002</v>
      </c>
      <c r="DS266" s="8">
        <v>1814.4168</v>
      </c>
      <c r="DT266" s="8">
        <v>1962.7524000000001</v>
      </c>
      <c r="DU266" s="8">
        <v>2155.7928000000002</v>
      </c>
      <c r="DV266" s="9">
        <v>2155.7928000000002</v>
      </c>
      <c r="DY266" s="34" t="s">
        <v>1</v>
      </c>
      <c r="DZ266" s="6">
        <v>0.6</v>
      </c>
      <c r="EA266" s="7">
        <f t="shared" ref="DZ266:EL278" si="99">0.2/12</f>
        <v>1.6666666666666666E-2</v>
      </c>
      <c r="EB266" s="7">
        <f t="shared" si="99"/>
        <v>1.6666666666666666E-2</v>
      </c>
      <c r="EC266" s="7">
        <f t="shared" si="99"/>
        <v>1.6666666666666666E-2</v>
      </c>
      <c r="ED266" s="7">
        <f t="shared" si="99"/>
        <v>1.6666666666666666E-2</v>
      </c>
      <c r="EE266" s="7">
        <f t="shared" si="99"/>
        <v>1.6666666666666666E-2</v>
      </c>
      <c r="EF266" s="7">
        <f t="shared" si="99"/>
        <v>1.6666666666666666E-2</v>
      </c>
      <c r="EG266" s="7">
        <f t="shared" si="99"/>
        <v>1.6666666666666666E-2</v>
      </c>
      <c r="EH266" s="7">
        <f t="shared" si="99"/>
        <v>1.6666666666666666E-2</v>
      </c>
      <c r="EI266" s="7">
        <f t="shared" si="99"/>
        <v>1.6666666666666666E-2</v>
      </c>
      <c r="EJ266" s="7">
        <f t="shared" si="99"/>
        <v>1.6666666666666666E-2</v>
      </c>
      <c r="EK266" s="7">
        <f t="shared" si="99"/>
        <v>1.6666666666666666E-2</v>
      </c>
      <c r="EL266" s="7">
        <f>0.2/12</f>
        <v>1.6666666666666666E-2</v>
      </c>
      <c r="EM266" s="8">
        <f>0.2/43</f>
        <v>4.6511627906976744E-3</v>
      </c>
      <c r="EN266" s="8">
        <v>4.6511627906976744E-3</v>
      </c>
      <c r="EO266" s="8">
        <f>0.2/28</f>
        <v>7.1428571428571435E-3</v>
      </c>
      <c r="EP266" s="8">
        <v>7.1428571428571435E-3</v>
      </c>
      <c r="EQ266" s="8">
        <v>7.1428571428571435E-3</v>
      </c>
      <c r="ER266" s="8">
        <v>7.1428571428571435E-3</v>
      </c>
      <c r="ES266" s="8">
        <v>7.1428571428571435E-3</v>
      </c>
      <c r="ET266" s="8">
        <v>7.1428571428571435E-3</v>
      </c>
      <c r="EU266" s="8">
        <v>7.1428571428571435E-3</v>
      </c>
      <c r="EV266" s="8">
        <v>7.1428571428571435E-3</v>
      </c>
      <c r="EW266" s="8">
        <v>7.1428571428571435E-3</v>
      </c>
      <c r="EX266" s="8">
        <v>7.1428571428571435E-3</v>
      </c>
      <c r="EY266" s="8">
        <v>7.1428571428571435E-3</v>
      </c>
      <c r="EZ266" s="8">
        <v>7.1428571428571435E-3</v>
      </c>
      <c r="FA266" s="8">
        <v>7.1428571428571435E-3</v>
      </c>
      <c r="FB266" s="8">
        <v>7.1428571428571435E-3</v>
      </c>
      <c r="FC266" s="8">
        <v>7.1428571428571435E-3</v>
      </c>
      <c r="FD266" s="8">
        <v>7.1428571428571435E-3</v>
      </c>
      <c r="FE266" s="8">
        <v>7.1428571428571435E-3</v>
      </c>
      <c r="FF266" s="8">
        <f>0.2/35</f>
        <v>5.7142857142857143E-3</v>
      </c>
      <c r="FG266" s="8">
        <v>5.7142857142857143E-3</v>
      </c>
      <c r="FH266" s="8">
        <v>5.7142857142857143E-3</v>
      </c>
      <c r="FI266" s="8">
        <v>5.7142857142857143E-3</v>
      </c>
      <c r="FJ266" s="8">
        <v>5.7142857142857143E-3</v>
      </c>
      <c r="FK266" s="8">
        <v>5.7142857142857143E-3</v>
      </c>
      <c r="FL266" s="8">
        <v>5.7142857142857143E-3</v>
      </c>
      <c r="FM266" s="8">
        <f>0.2/42</f>
        <v>4.7619047619047623E-3</v>
      </c>
      <c r="FN266" s="8">
        <v>4.7619047619047623E-3</v>
      </c>
      <c r="FO266" s="8">
        <v>4.7619047619047623E-3</v>
      </c>
      <c r="FP266" s="8">
        <f>0.2/35</f>
        <v>5.7142857142857143E-3</v>
      </c>
      <c r="FQ266" s="8">
        <v>5.7142857142857143E-3</v>
      </c>
      <c r="FR266" s="8">
        <v>5.7142857142857143E-3</v>
      </c>
      <c r="FS266" s="8">
        <v>5.7142857142857143E-3</v>
      </c>
      <c r="FT266" s="8">
        <f>0.2/34</f>
        <v>5.8823529411764705E-3</v>
      </c>
      <c r="FU266" s="8">
        <v>5.7142857142857143E-3</v>
      </c>
      <c r="FV266" s="8">
        <v>5.7142857142857143E-3</v>
      </c>
      <c r="FW266" s="8">
        <f>0.2/44</f>
        <v>4.5454545454545461E-3</v>
      </c>
      <c r="FX266" s="8">
        <v>4.5454545454545461E-3</v>
      </c>
      <c r="FY266" s="8">
        <f>0.2/35</f>
        <v>5.7142857142857143E-3</v>
      </c>
      <c r="FZ266" s="8">
        <f>0.2/28</f>
        <v>7.1428571428571435E-3</v>
      </c>
      <c r="GA266" s="8">
        <v>5.7142857142857143E-3</v>
      </c>
      <c r="GB266" s="8">
        <v>5.7142857142857143E-3</v>
      </c>
      <c r="GC266" s="8">
        <v>5.7142857142857143E-3</v>
      </c>
      <c r="GD266" s="8">
        <v>7.1428571428571435E-3</v>
      </c>
      <c r="GE266" s="8">
        <v>7.1428571428571435E-3</v>
      </c>
      <c r="GF266" s="8">
        <f>0.2/43</f>
        <v>4.6511627906976744E-3</v>
      </c>
      <c r="GG266" s="8">
        <v>4.6511627906976744E-3</v>
      </c>
      <c r="GH266" s="9">
        <v>4.6511627906976744E-3</v>
      </c>
    </row>
    <row r="267" spans="1:190" x14ac:dyDescent="0.3">
      <c r="A267" s="35" t="s">
        <v>2</v>
      </c>
      <c r="B267" s="11" t="s">
        <v>62</v>
      </c>
      <c r="C267" s="12" t="s">
        <v>62</v>
      </c>
      <c r="D267" s="13">
        <f>IF(Distances!EC106&lt;&gt;0,(BP267+Distances!EC106*3)*EB267*D265*2,"")</f>
        <v>49745.441119999996</v>
      </c>
      <c r="E267" s="13" t="s">
        <v>62</v>
      </c>
      <c r="F267" s="13">
        <f>IF(Distances!EE106&lt;&gt;0,(BR267+Distances!EE106*3)*ED267*F265*2,"")</f>
        <v>6980.9745599999987</v>
      </c>
      <c r="G267" s="13">
        <f>IF(Distances!EF106&lt;&gt;0,(BS267+Distances!EF106*3)*EE267*G265*2,"")</f>
        <v>70584.221679999988</v>
      </c>
      <c r="H267" s="13" t="s">
        <v>62</v>
      </c>
      <c r="I267" s="13" t="s">
        <v>62</v>
      </c>
      <c r="J267" s="13">
        <f>IF(Distances!EI106&lt;&gt;0,(BV267+Distances!EI106*3)*EH267*J265*2,"")</f>
        <v>324.61712</v>
      </c>
      <c r="K267" s="13" t="s">
        <v>62</v>
      </c>
      <c r="L267" s="13" t="s">
        <v>62</v>
      </c>
      <c r="M267" s="13" t="s">
        <v>62</v>
      </c>
      <c r="N267" s="13" t="s">
        <v>62</v>
      </c>
      <c r="O267" s="14" t="s">
        <v>62</v>
      </c>
      <c r="P267" s="14" t="s">
        <v>62</v>
      </c>
      <c r="Q267" s="14" t="s">
        <v>62</v>
      </c>
      <c r="R267" s="14" t="s">
        <v>62</v>
      </c>
      <c r="S267" s="14" t="s">
        <v>62</v>
      </c>
      <c r="T267" s="14">
        <f>IF(Distances!ES106&lt;&gt;0,(CF267+Distances!ES106*3)*ER267*T265*2,"")</f>
        <v>191.88816000000003</v>
      </c>
      <c r="U267" s="14">
        <f>IF(Distances!ET106&lt;&gt;0,(CG267+Distances!ET106*3)*ES267*U265*2,"")</f>
        <v>251.59608</v>
      </c>
      <c r="V267" s="14">
        <f>IF(Distances!EU106&lt;&gt;0,(CH267+Distances!EU106*3)*ET267*V265*2,"")</f>
        <v>2822.89248</v>
      </c>
      <c r="W267" s="14" t="s">
        <v>62</v>
      </c>
      <c r="X267" s="14">
        <f>IF(Distances!EW106&lt;&gt;0,(CJ267+Distances!EW106*3)*EV267*X265*2,"")</f>
        <v>1551.6892457142858</v>
      </c>
      <c r="Y267" s="14">
        <f>IF(Distances!EX106&lt;&gt;0,(CK267+Distances!EX106*3)*EW267*Y265*2,"")</f>
        <v>1680.4104685714287</v>
      </c>
      <c r="Z267" s="14">
        <f>IF(Distances!EY106&lt;&gt;0,(CL267+Distances!EY106*3)*EX267*Z265*2,"")</f>
        <v>55.138662857142862</v>
      </c>
      <c r="AA267" s="14">
        <f>IF(Distances!EZ106&lt;&gt;0,(CM267+Distances!EZ106*3)*EY267*AA265*2,"")</f>
        <v>59.69238857142858</v>
      </c>
      <c r="AB267" s="14">
        <f>IF(Distances!FA106&lt;&gt;0,(CN267+Distances!FA106*3)*EZ267*AB265*2,"")</f>
        <v>79.222697142857143</v>
      </c>
      <c r="AC267" s="14" t="s">
        <v>62</v>
      </c>
      <c r="AD267" s="14" t="s">
        <v>62</v>
      </c>
      <c r="AE267" s="14">
        <f>IF(Distances!FD106&lt;&gt;0,(CQ267+Distances!FD106*3)*FC267*AE265*2,"")</f>
        <v>138.57826285714287</v>
      </c>
      <c r="AF267" s="14">
        <f>IF(Distances!FE106&lt;&gt;0,(CR267+Distances!FE106*3)*FD267*AF265*2,"")</f>
        <v>271.32795428571433</v>
      </c>
      <c r="AG267" s="14">
        <f>IF(Distances!FF106&lt;&gt;0,(CS267+Distances!FF106*3)*FE267*AG265*2,"")</f>
        <v>213.65938285714287</v>
      </c>
      <c r="AH267" s="14">
        <f>IF(Distances!FG106&lt;&gt;0,(CT267+Distances!FG106*3)*FF267*AH265*2,"")</f>
        <v>79.805609142857136</v>
      </c>
      <c r="AI267" s="14" t="s">
        <v>62</v>
      </c>
      <c r="AJ267" s="14">
        <f>IF(Distances!FI106&lt;&gt;0,(CV267+Distances!FI106*3)*FH267*AJ265*2,"")</f>
        <v>65.967894857142866</v>
      </c>
      <c r="AK267" s="14" t="s">
        <v>62</v>
      </c>
      <c r="AL267" s="14" t="s">
        <v>62</v>
      </c>
      <c r="AM267" s="14" t="s">
        <v>62</v>
      </c>
      <c r="AN267" s="14">
        <f>IF(Distances!FM106&lt;&gt;0,(CZ267+Distances!FM106*3)*FL267*AN265*2,"")</f>
        <v>1545.0201051428569</v>
      </c>
      <c r="AO267" s="14" t="s">
        <v>62</v>
      </c>
      <c r="AP267" s="14" t="s">
        <v>62</v>
      </c>
      <c r="AQ267" s="14" t="s">
        <v>62</v>
      </c>
      <c r="AR267" s="14" t="s">
        <v>62</v>
      </c>
      <c r="AS267" s="14" t="s">
        <v>62</v>
      </c>
      <c r="AT267" s="14" t="s">
        <v>62</v>
      </c>
      <c r="AU267" s="14">
        <f>IF(Distances!FT106&lt;&gt;0,(DG267+Distances!FT106*3)*FS267*AU265*2,"")</f>
        <v>318.17663999999996</v>
      </c>
      <c r="AV267" s="14">
        <f>IF(Distances!FU106&lt;&gt;0,(DH267+Distances!FU106*3)*FT267*AV265*2,"")</f>
        <v>207.59802352941176</v>
      </c>
      <c r="AW267" s="14">
        <f>IF(Distances!FV106&lt;&gt;0,(DI267+Distances!FV106*3)*FU267*AW265*2,"")</f>
        <v>842.99807999999985</v>
      </c>
      <c r="AX267" s="14" t="s">
        <v>62</v>
      </c>
      <c r="AY267" s="14" t="s">
        <v>62</v>
      </c>
      <c r="AZ267" s="14">
        <f>IF(Distances!FY106&lt;&gt;0,(DL267+Distances!FY106*3)*FX267*AZ265*2,"")</f>
        <v>205.57396363636366</v>
      </c>
      <c r="BA267" s="14" t="s">
        <v>62</v>
      </c>
      <c r="BB267" s="14" t="s">
        <v>62</v>
      </c>
      <c r="BC267" s="14" t="s">
        <v>62</v>
      </c>
      <c r="BD267" s="14">
        <f>IF(Distances!GC106&lt;&gt;0,(DP267+Distances!GC106*3)*GB267*BD265*2,"")</f>
        <v>819.95322514285704</v>
      </c>
      <c r="BE267" s="14" t="s">
        <v>62</v>
      </c>
      <c r="BF267" s="14">
        <f>IF(Distances!GE106&lt;&gt;0,(DR267+Distances!GE106*3)*GD267*BF265*2,"")</f>
        <v>298.3106742857143</v>
      </c>
      <c r="BG267" s="14" t="s">
        <v>62</v>
      </c>
      <c r="BH267" s="14" t="s">
        <v>62</v>
      </c>
      <c r="BI267" s="14" t="s">
        <v>62</v>
      </c>
      <c r="BJ267" s="15" t="s">
        <v>62</v>
      </c>
      <c r="BM267" s="35" t="s">
        <v>2</v>
      </c>
      <c r="BN267" s="11">
        <v>758.3184</v>
      </c>
      <c r="BO267" s="12">
        <v>0</v>
      </c>
      <c r="BP267" s="13">
        <v>796.33679999999993</v>
      </c>
      <c r="BQ267" s="13">
        <v>796.33679999999993</v>
      </c>
      <c r="BR267" s="13">
        <v>843.57839999999999</v>
      </c>
      <c r="BS267" s="13">
        <v>1608.2051999999999</v>
      </c>
      <c r="BT267" s="13">
        <v>1928.8415999999997</v>
      </c>
      <c r="BU267" s="13">
        <v>1608.2051999999999</v>
      </c>
      <c r="BV267" s="13">
        <v>827.82839999999999</v>
      </c>
      <c r="BW267" s="13">
        <v>827.82839999999999</v>
      </c>
      <c r="BX267" s="13">
        <v>1947.7415999999998</v>
      </c>
      <c r="BY267" s="13">
        <v>1947.7415999999998</v>
      </c>
      <c r="BZ267" s="13">
        <v>891.01319999999998</v>
      </c>
      <c r="CA267" s="14">
        <v>810.66719999999998</v>
      </c>
      <c r="CB267" s="14">
        <v>1542.8196</v>
      </c>
      <c r="CC267" s="14">
        <v>1274.8344</v>
      </c>
      <c r="CD267" s="14">
        <v>1262.8223999999998</v>
      </c>
      <c r="CE267" s="14">
        <v>1298.8668</v>
      </c>
      <c r="CF267" s="14">
        <v>1238.7816</v>
      </c>
      <c r="CG267" s="14">
        <v>1557.4607999999998</v>
      </c>
      <c r="CH267" s="14">
        <v>1865.5391999999999</v>
      </c>
      <c r="CI267" s="14">
        <v>1250.8019999999999</v>
      </c>
      <c r="CJ267" s="14">
        <v>1466.2284</v>
      </c>
      <c r="CK267" s="14">
        <v>1238.7816</v>
      </c>
      <c r="CL267" s="14">
        <v>1696.1532</v>
      </c>
      <c r="CM267" s="14">
        <v>1665.3335999999999</v>
      </c>
      <c r="CN267" s="14">
        <v>1603.6944000000001</v>
      </c>
      <c r="CO267" s="14">
        <v>1588.2803999999999</v>
      </c>
      <c r="CP267" s="14">
        <v>1466.2284</v>
      </c>
      <c r="CQ267" s="14">
        <v>1865.5391999999999</v>
      </c>
      <c r="CR267" s="14">
        <v>1865.5391999999999</v>
      </c>
      <c r="CS267" s="14">
        <v>1865.5391999999999</v>
      </c>
      <c r="CT267" s="14">
        <v>2824.3907999999997</v>
      </c>
      <c r="CU267" s="14">
        <v>3217.8804</v>
      </c>
      <c r="CV267" s="14">
        <v>2824.3907999999997</v>
      </c>
      <c r="CW267" s="14">
        <v>3311.5823999999998</v>
      </c>
      <c r="CX267" s="14">
        <v>2039.7047999999998</v>
      </c>
      <c r="CY267" s="14">
        <v>2039.7047999999998</v>
      </c>
      <c r="CZ267" s="14">
        <v>2039.7047999999998</v>
      </c>
      <c r="DA267" s="14">
        <v>2565.3768</v>
      </c>
      <c r="DB267" s="14">
        <v>2615.172</v>
      </c>
      <c r="DC267" s="14">
        <v>2739.4751999999999</v>
      </c>
      <c r="DD267" s="14">
        <v>1881.9779999999998</v>
      </c>
      <c r="DE267" s="14">
        <v>1881.9779999999998</v>
      </c>
      <c r="DF267" s="14">
        <v>1881.9779999999998</v>
      </c>
      <c r="DG267" s="14">
        <v>1856.9039999999998</v>
      </c>
      <c r="DH267" s="14">
        <v>1593.8663999999999</v>
      </c>
      <c r="DI267" s="14">
        <v>1593.8663999999999</v>
      </c>
      <c r="DJ267" s="14">
        <v>1892.2595999999999</v>
      </c>
      <c r="DK267" s="14">
        <v>0</v>
      </c>
      <c r="DL267" s="14">
        <v>4265.1840000000002</v>
      </c>
      <c r="DM267" s="14">
        <v>2129.6687999999999</v>
      </c>
      <c r="DN267" s="14">
        <v>1564.0968</v>
      </c>
      <c r="DO267" s="14">
        <v>1768.5275999999999</v>
      </c>
      <c r="DP267" s="14">
        <v>1892.2595999999999</v>
      </c>
      <c r="DQ267" s="14">
        <v>1874.5775999999998</v>
      </c>
      <c r="DR267" s="14">
        <v>2325.1367999999998</v>
      </c>
      <c r="DS267" s="14">
        <v>1777.1879999999999</v>
      </c>
      <c r="DT267" s="14">
        <v>1750.9631999999999</v>
      </c>
      <c r="DU267" s="14">
        <v>2032.6656</v>
      </c>
      <c r="DV267" s="15">
        <v>2032.6656</v>
      </c>
      <c r="DY267" s="35" t="s">
        <v>2</v>
      </c>
      <c r="DZ267" s="11">
        <f>0.2/12</f>
        <v>1.6666666666666666E-2</v>
      </c>
      <c r="EA267" s="12">
        <v>0.6</v>
      </c>
      <c r="EB267" s="13">
        <f t="shared" si="99"/>
        <v>1.6666666666666666E-2</v>
      </c>
      <c r="EC267" s="13">
        <f t="shared" si="99"/>
        <v>1.6666666666666666E-2</v>
      </c>
      <c r="ED267" s="13">
        <f t="shared" si="99"/>
        <v>1.6666666666666666E-2</v>
      </c>
      <c r="EE267" s="13">
        <f t="shared" si="99"/>
        <v>1.6666666666666666E-2</v>
      </c>
      <c r="EF267" s="13">
        <f t="shared" si="99"/>
        <v>1.6666666666666666E-2</v>
      </c>
      <c r="EG267" s="13">
        <f t="shared" si="99"/>
        <v>1.6666666666666666E-2</v>
      </c>
      <c r="EH267" s="13">
        <f t="shared" si="99"/>
        <v>1.6666666666666666E-2</v>
      </c>
      <c r="EI267" s="13">
        <f t="shared" si="99"/>
        <v>1.6666666666666666E-2</v>
      </c>
      <c r="EJ267" s="13">
        <f t="shared" si="99"/>
        <v>1.6666666666666666E-2</v>
      </c>
      <c r="EK267" s="13">
        <f t="shared" si="99"/>
        <v>1.6666666666666666E-2</v>
      </c>
      <c r="EL267" s="13">
        <f t="shared" si="99"/>
        <v>1.6666666666666666E-2</v>
      </c>
      <c r="EM267" s="14">
        <v>4.6511627906976744E-3</v>
      </c>
      <c r="EN267" s="14">
        <v>4.6511627906976744E-3</v>
      </c>
      <c r="EO267" s="14">
        <v>7.1428571428571435E-3</v>
      </c>
      <c r="EP267" s="14">
        <v>7.1428571428571435E-3</v>
      </c>
      <c r="EQ267" s="14">
        <v>7.1428571428571435E-3</v>
      </c>
      <c r="ER267" s="14">
        <v>7.1428571428571435E-3</v>
      </c>
      <c r="ES267" s="14">
        <v>7.1428571428571435E-3</v>
      </c>
      <c r="ET267" s="14">
        <v>7.1428571428571435E-3</v>
      </c>
      <c r="EU267" s="14">
        <v>7.1428571428571435E-3</v>
      </c>
      <c r="EV267" s="14">
        <v>7.1428571428571435E-3</v>
      </c>
      <c r="EW267" s="14">
        <v>7.1428571428571435E-3</v>
      </c>
      <c r="EX267" s="14">
        <v>7.1428571428571435E-3</v>
      </c>
      <c r="EY267" s="14">
        <v>7.1428571428571435E-3</v>
      </c>
      <c r="EZ267" s="14">
        <v>7.1428571428571435E-3</v>
      </c>
      <c r="FA267" s="14">
        <v>7.1428571428571435E-3</v>
      </c>
      <c r="FB267" s="14">
        <v>7.1428571428571435E-3</v>
      </c>
      <c r="FC267" s="14">
        <v>7.1428571428571435E-3</v>
      </c>
      <c r="FD267" s="14">
        <v>7.1428571428571435E-3</v>
      </c>
      <c r="FE267" s="14">
        <v>7.1428571428571435E-3</v>
      </c>
      <c r="FF267" s="14">
        <v>5.7142857142857143E-3</v>
      </c>
      <c r="FG267" s="14">
        <v>5.7142857142857143E-3</v>
      </c>
      <c r="FH267" s="14">
        <v>5.7142857142857143E-3</v>
      </c>
      <c r="FI267" s="14">
        <v>5.7142857142857143E-3</v>
      </c>
      <c r="FJ267" s="14">
        <v>5.7142857142857143E-3</v>
      </c>
      <c r="FK267" s="14">
        <v>5.7142857142857143E-3</v>
      </c>
      <c r="FL267" s="14">
        <v>5.7142857142857143E-3</v>
      </c>
      <c r="FM267" s="14">
        <v>4.7619047619047623E-3</v>
      </c>
      <c r="FN267" s="14">
        <v>4.7619047619047623E-3</v>
      </c>
      <c r="FO267" s="14">
        <v>4.7619047619047623E-3</v>
      </c>
      <c r="FP267" s="14">
        <v>5.7142857142857143E-3</v>
      </c>
      <c r="FQ267" s="14">
        <v>5.7142857142857143E-3</v>
      </c>
      <c r="FR267" s="14">
        <v>5.7142857142857143E-3</v>
      </c>
      <c r="FS267" s="14">
        <v>5.7142857142857143E-3</v>
      </c>
      <c r="FT267" s="14">
        <v>5.8823529411764705E-3</v>
      </c>
      <c r="FU267" s="14">
        <v>5.7142857142857143E-3</v>
      </c>
      <c r="FV267" s="14">
        <v>5.7142857142857143E-3</v>
      </c>
      <c r="FW267" s="14">
        <v>4.5454545454545461E-3</v>
      </c>
      <c r="FX267" s="14">
        <v>4.5454545454545461E-3</v>
      </c>
      <c r="FY267" s="14">
        <v>5.7142857142857143E-3</v>
      </c>
      <c r="FZ267" s="14">
        <v>7.1428571428571435E-3</v>
      </c>
      <c r="GA267" s="14">
        <v>5.7142857142857143E-3</v>
      </c>
      <c r="GB267" s="14">
        <v>5.7142857142857143E-3</v>
      </c>
      <c r="GC267" s="14">
        <v>5.7142857142857143E-3</v>
      </c>
      <c r="GD267" s="14">
        <v>7.1428571428571435E-3</v>
      </c>
      <c r="GE267" s="14">
        <v>7.1428571428571435E-3</v>
      </c>
      <c r="GF267" s="14">
        <v>4.6511627906976744E-3</v>
      </c>
      <c r="GG267" s="14">
        <v>4.6511627906976744E-3</v>
      </c>
      <c r="GH267" s="15">
        <v>4.6511627906976744E-3</v>
      </c>
    </row>
    <row r="268" spans="1:190" x14ac:dyDescent="0.3">
      <c r="A268" s="35" t="s">
        <v>3</v>
      </c>
      <c r="B268" s="11">
        <f>IF(Distances!EA107&lt;&gt;0,(BN268+Distances!EA107*3)*DZ268*B265*2,"")</f>
        <v>47819.007519999992</v>
      </c>
      <c r="C268" s="13">
        <f>IF(Distances!EB107&lt;&gt;0,(BO268+Distances!EB107*3)*EA268*C265*2,"")</f>
        <v>49745.441119999996</v>
      </c>
      <c r="D268" s="12" t="s">
        <v>62</v>
      </c>
      <c r="E268" s="13">
        <f>IF(Distances!ED107&lt;&gt;0,(BQ268+Distances!ED107*3)*EC268*E265*2,"")</f>
        <v>44383.439999999995</v>
      </c>
      <c r="F268" s="13">
        <f>IF(Distances!EE107&lt;&gt;0,(BR268+Distances!EE107*3)*ED268*F265*2,"")</f>
        <v>48728.152959999992</v>
      </c>
      <c r="G268" s="13">
        <f>IF(Distances!EF107&lt;&gt;0,(BS268+Distances!EF107*3)*EE268*G265*2,"")</f>
        <v>120630.05296</v>
      </c>
      <c r="H268" s="13">
        <f>IF(Distances!EG107&lt;&gt;0,(BT268+Distances!EG107*3)*EF268*H265*2,"")</f>
        <v>62408.263599999998</v>
      </c>
      <c r="I268" s="13">
        <f>IF(Distances!EH107&lt;&gt;0,(BU268+Distances!EH107*3)*EG268*I265*2,"")</f>
        <v>60874.412959999994</v>
      </c>
      <c r="J268" s="13">
        <f>IF(Distances!EI107&lt;&gt;0,(BV268+Distances!EI107*3)*EH268*J265*2,"")</f>
        <v>1152.26944</v>
      </c>
      <c r="K268" s="13">
        <f>IF(Distances!EJ107&lt;&gt;0,(BW268+Distances!EJ107*3)*EI268*K265*2,"")</f>
        <v>938.02943999999991</v>
      </c>
      <c r="L268" s="13">
        <f>IF(Distances!EK107&lt;&gt;0,(BX268+Distances!EK107*3)*EJ268*L265*2,"")</f>
        <v>1239.3049599999999</v>
      </c>
      <c r="M268" s="13">
        <f>IF(Distances!EL107&lt;&gt;0,(BY268+Distances!EL107*3)*EK268*M265*2,"")</f>
        <v>1239.3049599999999</v>
      </c>
      <c r="N268" s="13">
        <f>IF(Distances!EM107&lt;&gt;0,(BZ268+Distances!EM107*3)*EL268*N265*2,"")</f>
        <v>1020.7940799999999</v>
      </c>
      <c r="O268" s="14">
        <f>IF(Distances!EN107&lt;&gt;0,(CA268+Distances!EN107*3)*EM268*O265*2,"")</f>
        <v>537.0591181395348</v>
      </c>
      <c r="P268" s="14">
        <f>IF(Distances!EO107&lt;&gt;0,(CB268+Distances!EO107*3)*EN268*P265*2,"")</f>
        <v>518.69929674418609</v>
      </c>
      <c r="Q268" s="14">
        <f>IF(Distances!EP107&lt;&gt;0,(CC268+Distances!EP107*3)*EO268*Q265*2,"")</f>
        <v>5266.7717142857146</v>
      </c>
      <c r="R268" s="14">
        <f>IF(Distances!EQ107&lt;&gt;0,(CD268+Distances!EQ107*3)*EP268*R265*2,"")</f>
        <v>5261.5097142857148</v>
      </c>
      <c r="S268" s="14">
        <f>IF(Distances!ER107&lt;&gt;0,(CE268+Distances!ER107*3)*EQ268*S265*2,"")</f>
        <v>5277.2957142857149</v>
      </c>
      <c r="T268" s="14">
        <f>IF(Distances!ES107&lt;&gt;0,(CF268+Distances!ES107*3)*ER268*T265*2,"")</f>
        <v>803.14799999999991</v>
      </c>
      <c r="U268" s="14">
        <f>IF(Distances!ET107&lt;&gt;0,(CG268+Distances!ET107*3)*ES268*U265*2,"")</f>
        <v>841.48127999999997</v>
      </c>
      <c r="V268" s="14">
        <f>IF(Distances!EU107&lt;&gt;0,(CH268+Distances!EU107*3)*ET268*V265*2,"")</f>
        <v>7671.4531885714296</v>
      </c>
      <c r="W268" s="14">
        <f>IF(Distances!EV107&lt;&gt;0,(CI268+Distances!EV107*3)*EU268*W265*2,"")</f>
        <v>6097.2473485714281</v>
      </c>
      <c r="X268" s="14">
        <f>IF(Distances!EW107&lt;&gt;0,(CJ268+Distances!EW107*3)*EV268*X265*2,"")</f>
        <v>6547.4121942857146</v>
      </c>
      <c r="Y268" s="14">
        <f>IF(Distances!EX107&lt;&gt;0,(CK268+Distances!EX107*3)*EW268*Y265*2,"")</f>
        <v>6745.1348571428571</v>
      </c>
      <c r="Z268" s="14">
        <f>IF(Distances!EY107&lt;&gt;0,(CL268+Distances!EY107*3)*EX268*Z265*2,"")</f>
        <v>221.91353142857142</v>
      </c>
      <c r="AA268" s="14">
        <f>IF(Distances!EZ107&lt;&gt;0,(CM268+Distances!EZ107*3)*EY268*AA265*2,"")</f>
        <v>226.85917714285716</v>
      </c>
      <c r="AB268" s="14">
        <f>IF(Distances!FA107&lt;&gt;0,(CN268+Distances!FA107*3)*EZ268*AB265*2,"")</f>
        <v>247.17332571428574</v>
      </c>
      <c r="AC268" s="14">
        <f>IF(Distances!FB107&lt;&gt;0,(CO268+Distances!FB107*3)*FA268*AC265*2,"")</f>
        <v>213.52614857142856</v>
      </c>
      <c r="AD268" s="14">
        <f>IF(Distances!FC107&lt;&gt;0,(CP268+Distances!FC107*3)*FB268*AD265*2,"")</f>
        <v>214.15854857142858</v>
      </c>
      <c r="AE268" s="14">
        <f>IF(Distances!FD107&lt;&gt;0,(CQ268+Distances!FD107*3)*FC268*AE265*2,"")</f>
        <v>305.77001142857142</v>
      </c>
      <c r="AF268" s="14">
        <f>IF(Distances!FE107&lt;&gt;0,(CR268+Distances!FE107*3)*FD268*AF265*2,"")</f>
        <v>605.71145142857142</v>
      </c>
      <c r="AG268" s="14">
        <f>IF(Distances!FF107&lt;&gt;0,(CS268+Distances!FF107*3)*FE268*AG265*2,"")</f>
        <v>548.04287999999997</v>
      </c>
      <c r="AH268" s="14">
        <f>IF(Distances!FG107&lt;&gt;0,(CT268+Distances!FG107*3)*FF268*AH265*2,"")</f>
        <v>144.49312457142855</v>
      </c>
      <c r="AI268" s="14">
        <f>IF(Distances!FH107&lt;&gt;0,(CU268+Distances!FH107*3)*FG268*AI265*2,"")</f>
        <v>94.935963428571412</v>
      </c>
      <c r="AJ268" s="14">
        <f>IF(Distances!FI107&lt;&gt;0,(CV268+Distances!FI107*3)*FH268*AJ265*2,"")</f>
        <v>130.65541028571428</v>
      </c>
      <c r="AK268" s="14">
        <f>IF(Distances!FJ107&lt;&gt;0,(CW268+Distances!FJ107*3)*FI268*AK265*2,"")</f>
        <v>95.506587428571422</v>
      </c>
      <c r="AL268" s="14">
        <f>IF(Distances!FK107&lt;&gt;0,(CX268+Distances!FK107*3)*FJ268*AL265*2,"")</f>
        <v>5053.0743771428561</v>
      </c>
      <c r="AM268" s="14">
        <f>IF(Distances!FL107&lt;&gt;0,(CY268+Distances!FL107*3)*FK268*AM265*2,"")</f>
        <v>5053.0743771428561</v>
      </c>
      <c r="AN268" s="14">
        <f>IF(Distances!FM107&lt;&gt;0,(CZ268+Distances!FM107*3)*FL268*AN265*2,"")</f>
        <v>5339.3052342857145</v>
      </c>
      <c r="AO268" s="14">
        <f>IF(Distances!FN107&lt;&gt;0,(DA268+Distances!FN107*3)*FM268*AO265*2,"")</f>
        <v>171.08212571428572</v>
      </c>
      <c r="AP268" s="14">
        <f>IF(Distances!FO107&lt;&gt;0,(DB268+Distances!FO107*3)*FN268*AP265*2,"")</f>
        <v>171.96580571428572</v>
      </c>
      <c r="AQ268" s="14">
        <f>IF(Distances!FP107&lt;&gt;0,(DC268+Distances!FP107*3)*FO268*AQ265*2,"")</f>
        <v>168.58260571428571</v>
      </c>
      <c r="AR268" s="14">
        <f>IF(Distances!FQ107&lt;&gt;0,(DD268+Distances!FQ107*3)*FP268*AR265*2,"")</f>
        <v>196.76645485714286</v>
      </c>
      <c r="AS268" s="14">
        <f>IF(Distances!FR107&lt;&gt;0,(DE268+Distances!FR107*3)*FQ268*AS265*2,"")</f>
        <v>196.76645485714286</v>
      </c>
      <c r="AT268" s="14">
        <f>IF(Distances!FS107&lt;&gt;0,(DF268+Distances!FS107*3)*FR268*AT265*2,"")</f>
        <v>196.76645485714286</v>
      </c>
      <c r="AU268" s="14">
        <f>IF(Distances!FT107&lt;&gt;0,(DG268+Distances!FT107*3)*FS268*AU265*2,"")</f>
        <v>1421.4437759999998</v>
      </c>
      <c r="AV268" s="14">
        <f>IF(Distances!FU107&lt;&gt;0,(DH268+Distances!FU107*3)*FT268*AV265*2,"")</f>
        <v>616.03680000000008</v>
      </c>
      <c r="AW268" s="14">
        <f>IF(Distances!FV107&lt;&gt;0,(DI268+Distances!FV107*3)*FU268*AW265*2,"")</f>
        <v>1239.7671771428572</v>
      </c>
      <c r="AX268" s="14">
        <f>IF(Distances!FW107&lt;&gt;0,(DJ268+Distances!FW107*3)*FV268*AX265*2,"")</f>
        <v>502.48333714285712</v>
      </c>
      <c r="AY268" s="14">
        <f>IF(Distances!FX107&lt;&gt;0,(DK268+Distances!FX107*3)*FW268*AY265*2,"")</f>
        <v>239.69454545454548</v>
      </c>
      <c r="AZ268" s="14">
        <f>IF(Distances!FY107&lt;&gt;0,(DL268+Distances!FY107*3)*FX268*AZ265*2,"")</f>
        <v>431.65684363636365</v>
      </c>
      <c r="BA268" s="14">
        <f>IF(Distances!FZ107&lt;&gt;0,(DM268+Distances!FZ107*3)*FY268*BA265*2,"")</f>
        <v>392.46154971428564</v>
      </c>
      <c r="BB268" s="14">
        <f>IF(Distances!GA107&lt;&gt;0,(DN268+Distances!GA107*3)*FZ268*BB265*2,"")</f>
        <v>485.77021714285712</v>
      </c>
      <c r="BC268" s="14">
        <f>IF(Distances!GB107&lt;&gt;0,(DO268+Distances!GB107*3)*GA268*BC265*2,"")</f>
        <v>3163.236205714285</v>
      </c>
      <c r="BD268" s="14">
        <f>IF(Distances!GC107&lt;&gt;0,(DP268+Distances!GC107*3)*GB268*BD265*2,"")</f>
        <v>3343.8202148571422</v>
      </c>
      <c r="BE268" s="14">
        <f>IF(Distances!GD107&lt;&gt;0,(DQ268+Distances!GD107*3)*GC268*BE265*2,"")</f>
        <v>3208.3700297142859</v>
      </c>
      <c r="BF268" s="14">
        <f>IF(Distances!GE107&lt;&gt;0,(DR268+Distances!GE107*3)*GD268*BF265*2,"")</f>
        <v>654.08297142857145</v>
      </c>
      <c r="BG268" s="14">
        <f>IF(Distances!GF107&lt;&gt;0,(DS268+Distances!GF107*3)*GE268*BG265*2,"")</f>
        <v>459.76285714285717</v>
      </c>
      <c r="BH268" s="14">
        <f>IF(Distances!GG107&lt;&gt;0,(DT268+Distances!GG107*3)*GF268*BH265*2,"")</f>
        <v>320.40031255813949</v>
      </c>
      <c r="BI268" s="14">
        <f>IF(Distances!GH107&lt;&gt;0,(DU268+Distances!GH107*3)*GG268*BI265*2,"")</f>
        <v>327.76949581395343</v>
      </c>
      <c r="BJ268" s="15">
        <f>IF(Distances!GI107&lt;&gt;0,(DV268+Distances!GI107*3)*GH268*BJ265*2,"")</f>
        <v>327.76949581395343</v>
      </c>
      <c r="BM268" s="35" t="s">
        <v>3</v>
      </c>
      <c r="BN268" s="11">
        <v>510.23279999999994</v>
      </c>
      <c r="BO268" s="13">
        <v>796.33679999999993</v>
      </c>
      <c r="BP268" s="12">
        <v>0</v>
      </c>
      <c r="BQ268" s="13">
        <v>0</v>
      </c>
      <c r="BR268" s="13">
        <v>452.05439999999993</v>
      </c>
      <c r="BS268" s="13">
        <v>2449.1543999999999</v>
      </c>
      <c r="BT268" s="13">
        <v>2676.9539999999997</v>
      </c>
      <c r="BU268" s="13">
        <v>2449.1543999999999</v>
      </c>
      <c r="BV268" s="13">
        <v>443.62079999999997</v>
      </c>
      <c r="BW268" s="13">
        <v>443.62079999999997</v>
      </c>
      <c r="BX268" s="13">
        <v>2703.1871999999998</v>
      </c>
      <c r="BY268" s="13">
        <v>2703.1871999999998</v>
      </c>
      <c r="BZ268" s="13">
        <v>1064.3555999999999</v>
      </c>
      <c r="CA268" s="14">
        <v>1656.0935999999999</v>
      </c>
      <c r="CB268" s="14">
        <v>1374.1392000000001</v>
      </c>
      <c r="CC268" s="14">
        <v>781.8803999999999</v>
      </c>
      <c r="CD268" s="14">
        <v>774.5136</v>
      </c>
      <c r="CE268" s="14">
        <v>796.61400000000003</v>
      </c>
      <c r="CF268" s="14">
        <v>759.78</v>
      </c>
      <c r="CG268" s="14">
        <v>864.71280000000002</v>
      </c>
      <c r="CH268" s="14">
        <v>1125.6504</v>
      </c>
      <c r="CI268" s="14">
        <v>767.14679999999998</v>
      </c>
      <c r="CJ268" s="14">
        <v>903.94920000000002</v>
      </c>
      <c r="CK268" s="14">
        <v>759.78</v>
      </c>
      <c r="CL268" s="14">
        <v>941.67359999999996</v>
      </c>
      <c r="CM268" s="14">
        <v>924.57119999999998</v>
      </c>
      <c r="CN268" s="14">
        <v>890.3664</v>
      </c>
      <c r="CO268" s="14">
        <v>881.81519999999989</v>
      </c>
      <c r="CP268" s="14">
        <v>903.94920000000002</v>
      </c>
      <c r="CQ268" s="14">
        <v>1125.6504</v>
      </c>
      <c r="CR268" s="14">
        <v>1125.6504</v>
      </c>
      <c r="CS268" s="14">
        <v>1125.6504</v>
      </c>
      <c r="CT268" s="14">
        <v>1892.9484000000002</v>
      </c>
      <c r="CU268" s="14">
        <v>1715.2967999999998</v>
      </c>
      <c r="CV268" s="14">
        <v>1892.9484000000002</v>
      </c>
      <c r="CW268" s="14">
        <v>1765.2264</v>
      </c>
      <c r="CX268" s="14">
        <v>1596.252</v>
      </c>
      <c r="CY268" s="14">
        <v>1596.252</v>
      </c>
      <c r="CZ268" s="14">
        <v>1596.252</v>
      </c>
      <c r="DA268" s="14">
        <v>2390.2115999999996</v>
      </c>
      <c r="DB268" s="14">
        <v>2436.6047999999996</v>
      </c>
      <c r="DC268" s="14">
        <v>2258.9867999999997</v>
      </c>
      <c r="DD268" s="14">
        <v>2016.9324000000001</v>
      </c>
      <c r="DE268" s="14">
        <v>2016.9324000000001</v>
      </c>
      <c r="DF268" s="14">
        <v>2016.9324000000001</v>
      </c>
      <c r="DG268" s="14">
        <v>2160.7235999999998</v>
      </c>
      <c r="DH268" s="14">
        <v>1945.7256</v>
      </c>
      <c r="DI268" s="14">
        <v>1945.7256</v>
      </c>
      <c r="DJ268" s="14">
        <v>2201.8584000000001</v>
      </c>
      <c r="DK268" s="14">
        <v>0</v>
      </c>
      <c r="DL268" s="14">
        <v>3890.8631999999993</v>
      </c>
      <c r="DM268" s="14">
        <v>1993.4964</v>
      </c>
      <c r="DN268" s="14">
        <v>1909.3788</v>
      </c>
      <c r="DO268" s="14">
        <v>2057.8739999999998</v>
      </c>
      <c r="DP268" s="14">
        <v>2201.8584000000001</v>
      </c>
      <c r="DQ268" s="14">
        <v>2181.2867999999999</v>
      </c>
      <c r="DR268" s="14">
        <v>1959.5520000000001</v>
      </c>
      <c r="DS268" s="14">
        <v>1454.25</v>
      </c>
      <c r="DT268" s="14">
        <v>2019.1584</v>
      </c>
      <c r="DU268" s="14">
        <v>2217.2051999999999</v>
      </c>
      <c r="DV268" s="15">
        <v>2217.2051999999999</v>
      </c>
      <c r="DY268" s="35" t="s">
        <v>3</v>
      </c>
      <c r="DZ268" s="11">
        <f t="shared" si="99"/>
        <v>1.6666666666666666E-2</v>
      </c>
      <c r="EA268" s="11">
        <f t="shared" si="99"/>
        <v>1.6666666666666666E-2</v>
      </c>
      <c r="EB268" s="12">
        <v>0.6</v>
      </c>
      <c r="EC268" s="13">
        <f t="shared" si="99"/>
        <v>1.6666666666666666E-2</v>
      </c>
      <c r="ED268" s="13">
        <f t="shared" si="99"/>
        <v>1.6666666666666666E-2</v>
      </c>
      <c r="EE268" s="13">
        <f t="shared" si="99"/>
        <v>1.6666666666666666E-2</v>
      </c>
      <c r="EF268" s="13">
        <f t="shared" si="99"/>
        <v>1.6666666666666666E-2</v>
      </c>
      <c r="EG268" s="13">
        <f t="shared" si="99"/>
        <v>1.6666666666666666E-2</v>
      </c>
      <c r="EH268" s="13">
        <f t="shared" si="99"/>
        <v>1.6666666666666666E-2</v>
      </c>
      <c r="EI268" s="13">
        <f t="shared" si="99"/>
        <v>1.6666666666666666E-2</v>
      </c>
      <c r="EJ268" s="13">
        <f t="shared" si="99"/>
        <v>1.6666666666666666E-2</v>
      </c>
      <c r="EK268" s="13">
        <f t="shared" si="99"/>
        <v>1.6666666666666666E-2</v>
      </c>
      <c r="EL268" s="13">
        <f t="shared" si="99"/>
        <v>1.6666666666666666E-2</v>
      </c>
      <c r="EM268" s="14">
        <v>4.6511627906976744E-3</v>
      </c>
      <c r="EN268" s="14">
        <v>4.6511627906976744E-3</v>
      </c>
      <c r="EO268" s="14">
        <v>7.1428571428571435E-3</v>
      </c>
      <c r="EP268" s="14">
        <v>7.1428571428571435E-3</v>
      </c>
      <c r="EQ268" s="14">
        <v>7.1428571428571435E-3</v>
      </c>
      <c r="ER268" s="14">
        <v>7.1428571428571435E-3</v>
      </c>
      <c r="ES268" s="14">
        <v>7.1428571428571435E-3</v>
      </c>
      <c r="ET268" s="14">
        <v>7.1428571428571435E-3</v>
      </c>
      <c r="EU268" s="14">
        <v>7.1428571428571435E-3</v>
      </c>
      <c r="EV268" s="14">
        <v>7.1428571428571435E-3</v>
      </c>
      <c r="EW268" s="14">
        <v>7.1428571428571435E-3</v>
      </c>
      <c r="EX268" s="14">
        <v>7.1428571428571435E-3</v>
      </c>
      <c r="EY268" s="14">
        <v>7.1428571428571435E-3</v>
      </c>
      <c r="EZ268" s="14">
        <v>7.1428571428571435E-3</v>
      </c>
      <c r="FA268" s="14">
        <v>7.1428571428571435E-3</v>
      </c>
      <c r="FB268" s="14">
        <v>7.1428571428571435E-3</v>
      </c>
      <c r="FC268" s="14">
        <v>7.1428571428571435E-3</v>
      </c>
      <c r="FD268" s="14">
        <v>7.1428571428571435E-3</v>
      </c>
      <c r="FE268" s="14">
        <v>7.1428571428571435E-3</v>
      </c>
      <c r="FF268" s="14">
        <v>5.7142857142857143E-3</v>
      </c>
      <c r="FG268" s="14">
        <v>5.7142857142857143E-3</v>
      </c>
      <c r="FH268" s="14">
        <v>5.7142857142857143E-3</v>
      </c>
      <c r="FI268" s="14">
        <v>5.7142857142857143E-3</v>
      </c>
      <c r="FJ268" s="14">
        <v>5.7142857142857143E-3</v>
      </c>
      <c r="FK268" s="14">
        <v>5.7142857142857143E-3</v>
      </c>
      <c r="FL268" s="14">
        <v>5.7142857142857143E-3</v>
      </c>
      <c r="FM268" s="14">
        <v>4.7619047619047623E-3</v>
      </c>
      <c r="FN268" s="14">
        <v>4.7619047619047623E-3</v>
      </c>
      <c r="FO268" s="14">
        <v>4.7619047619047623E-3</v>
      </c>
      <c r="FP268" s="14">
        <v>5.7142857142857143E-3</v>
      </c>
      <c r="FQ268" s="14">
        <v>5.7142857142857143E-3</v>
      </c>
      <c r="FR268" s="14">
        <v>5.7142857142857143E-3</v>
      </c>
      <c r="FS268" s="14">
        <v>5.7142857142857143E-3</v>
      </c>
      <c r="FT268" s="14">
        <v>5.8823529411764705E-3</v>
      </c>
      <c r="FU268" s="14">
        <v>5.7142857142857143E-3</v>
      </c>
      <c r="FV268" s="14">
        <v>5.7142857142857143E-3</v>
      </c>
      <c r="FW268" s="14">
        <v>4.5454545454545461E-3</v>
      </c>
      <c r="FX268" s="14">
        <v>4.5454545454545461E-3</v>
      </c>
      <c r="FY268" s="14">
        <v>5.7142857142857143E-3</v>
      </c>
      <c r="FZ268" s="14">
        <v>7.1428571428571435E-3</v>
      </c>
      <c r="GA268" s="14">
        <v>5.7142857142857143E-3</v>
      </c>
      <c r="GB268" s="14">
        <v>5.7142857142857143E-3</v>
      </c>
      <c r="GC268" s="14">
        <v>5.7142857142857143E-3</v>
      </c>
      <c r="GD268" s="14">
        <v>7.1428571428571435E-3</v>
      </c>
      <c r="GE268" s="14">
        <v>7.1428571428571435E-3</v>
      </c>
      <c r="GF268" s="14">
        <v>4.6511627906976744E-3</v>
      </c>
      <c r="GG268" s="14">
        <v>4.6511627906976744E-3</v>
      </c>
      <c r="GH268" s="15">
        <v>4.6511627906976744E-3</v>
      </c>
    </row>
    <row r="269" spans="1:190" x14ac:dyDescent="0.3">
      <c r="A269" s="35" t="s">
        <v>4</v>
      </c>
      <c r="B269" s="11" t="s">
        <v>62</v>
      </c>
      <c r="C269" s="13" t="s">
        <v>62</v>
      </c>
      <c r="D269" s="13">
        <f>IF(Distances!EC108&lt;&gt;0,(BP269+Distances!EC108*3)*EB269*D265*2,"")</f>
        <v>44383.439999999995</v>
      </c>
      <c r="E269" s="12" t="s">
        <v>62</v>
      </c>
      <c r="F269" s="13">
        <f>IF(Distances!EE108&lt;&gt;0,(BR269+Distances!EE108*3)*ED269*F265*2,"")</f>
        <v>4344.7129599999998</v>
      </c>
      <c r="G269" s="13">
        <f>IF(Distances!EF108&lt;&gt;0,(BS269+Distances!EF108*3)*EE269*G265*2,"")</f>
        <v>76246.612959999984</v>
      </c>
      <c r="H269" s="13" t="s">
        <v>62</v>
      </c>
      <c r="I269" s="13" t="s">
        <v>62</v>
      </c>
      <c r="J269" s="13">
        <f>IF(Distances!EI108&lt;&gt;0,(BV269+Distances!EI108*3)*EH269*J265*2,"")</f>
        <v>273.38944000000004</v>
      </c>
      <c r="K269" s="13" t="s">
        <v>62</v>
      </c>
      <c r="L269" s="13" t="s">
        <v>62</v>
      </c>
      <c r="M269" s="13" t="s">
        <v>62</v>
      </c>
      <c r="N269" s="13" t="s">
        <v>62</v>
      </c>
      <c r="O269" s="14" t="s">
        <v>62</v>
      </c>
      <c r="P269" s="14" t="s">
        <v>62</v>
      </c>
      <c r="Q269" s="14" t="s">
        <v>62</v>
      </c>
      <c r="R269" s="14" t="s">
        <v>62</v>
      </c>
      <c r="S269" s="14" t="s">
        <v>62</v>
      </c>
      <c r="T269" s="14">
        <f>IF(Distances!ES108&lt;&gt;0,(CF269+Distances!ES108*3)*ER269*T265*2,"")</f>
        <v>143.988</v>
      </c>
      <c r="U269" s="14">
        <f>IF(Distances!ET108&lt;&gt;0,(CG269+Distances!ET108*3)*ES269*U265*2,"")</f>
        <v>182.32128000000003</v>
      </c>
      <c r="V269" s="14">
        <f>IF(Distances!EU108&lt;&gt;0,(CH269+Distances!EU108*3)*ET269*V265*2,"")</f>
        <v>2209.8417600000002</v>
      </c>
      <c r="W269" s="14" t="s">
        <v>62</v>
      </c>
      <c r="X269" s="14">
        <f>IF(Distances!EW108&lt;&gt;0,(CJ269+Distances!EW108*3)*EV269*X265*2,"")</f>
        <v>1085.8007657142859</v>
      </c>
      <c r="Y269" s="14">
        <f>IF(Distances!EX108&lt;&gt;0,(CK269+Distances!EX108*3)*EW269*Y265*2,"")</f>
        <v>1283.5234285714287</v>
      </c>
      <c r="Z269" s="14">
        <f>IF(Distances!EY108&lt;&gt;0,(CL269+Distances!EY108*3)*EX269*Z265*2,"")</f>
        <v>33.582102857142857</v>
      </c>
      <c r="AA269" s="14">
        <f>IF(Distances!EZ108&lt;&gt;0,(CM269+Distances!EZ108*3)*EY269*AA265*2,"")</f>
        <v>38.527748571428575</v>
      </c>
      <c r="AB269" s="14">
        <f>IF(Distances!FA108&lt;&gt;0,(CN269+Distances!FA108*3)*EZ269*AB265*2,"")</f>
        <v>58.841897142857142</v>
      </c>
      <c r="AC269" s="14" t="s">
        <v>62</v>
      </c>
      <c r="AD269" s="14" t="s">
        <v>62</v>
      </c>
      <c r="AE269" s="14">
        <f>IF(Distances!FD108&lt;&gt;0,(CQ269+Distances!FD108*3)*FC269*AE265*2,"")</f>
        <v>117.43858285714285</v>
      </c>
      <c r="AF269" s="14">
        <f>IF(Distances!FE108&lt;&gt;0,(CR269+Distances!FE108*3)*FD269*AF265*2,"")</f>
        <v>229.0485942857143</v>
      </c>
      <c r="AG269" s="14">
        <f>IF(Distances!FF108&lt;&gt;0,(CS269+Distances!FF108*3)*FE269*AG265*2,"")</f>
        <v>171.38002285714288</v>
      </c>
      <c r="AH269" s="14">
        <f>IF(Distances!FG108&lt;&gt;0,(CT269+Distances!FG108*3)*FF269*AH265*2,"")</f>
        <v>69.160553142857154</v>
      </c>
      <c r="AI269" s="14" t="s">
        <v>62</v>
      </c>
      <c r="AJ269" s="14">
        <f>IF(Distances!FI108&lt;&gt;0,(CV269+Distances!FI108*3)*FH269*AJ265*2,"")</f>
        <v>55.322838857142862</v>
      </c>
      <c r="AK269" s="14" t="s">
        <v>62</v>
      </c>
      <c r="AL269" s="14" t="s">
        <v>62</v>
      </c>
      <c r="AM269" s="14" t="s">
        <v>62</v>
      </c>
      <c r="AN269" s="14">
        <f>IF(Distances!FM108&lt;&gt;0,(CZ269+Distances!FM108*3)*FL269*AN265*2,"")</f>
        <v>1271.3463771428571</v>
      </c>
      <c r="AO269" s="14" t="s">
        <v>62</v>
      </c>
      <c r="AP269" s="14" t="s">
        <v>62</v>
      </c>
      <c r="AQ269" s="14" t="s">
        <v>62</v>
      </c>
      <c r="AR269" s="14" t="s">
        <v>62</v>
      </c>
      <c r="AS269" s="14" t="s">
        <v>62</v>
      </c>
      <c r="AT269" s="14" t="s">
        <v>62</v>
      </c>
      <c r="AU269" s="14">
        <f>IF(Distances!FT108&lt;&gt;0,(DG269+Distances!FT108*3)*FS269*AU265*2,"")</f>
        <v>366.78777599999995</v>
      </c>
      <c r="AV269" s="14">
        <f>IF(Distances!FU108&lt;&gt;0,(DH269+Distances!FU108*3)*FT269*AV265*2,"")</f>
        <v>228.29562352941173</v>
      </c>
      <c r="AW269" s="14">
        <f>IF(Distances!FV108&lt;&gt;0,(DI269+Distances!FV108*3)*FU269*AW265*2,"")</f>
        <v>863.10431999999992</v>
      </c>
      <c r="AX269" s="14" t="s">
        <v>62</v>
      </c>
      <c r="AY269" s="14" t="s">
        <v>62</v>
      </c>
      <c r="AZ269" s="14">
        <f>IF(Distances!FY108&lt;&gt;0,(DL269+Distances!FY108*3)*FX269*AZ265*2,"")</f>
        <v>191.96229818181817</v>
      </c>
      <c r="BA269" s="14" t="s">
        <v>62</v>
      </c>
      <c r="BB269" s="14" t="s">
        <v>62</v>
      </c>
      <c r="BC269" s="14" t="s">
        <v>62</v>
      </c>
      <c r="BD269" s="14">
        <f>IF(Distances!GC108&lt;&gt;0,(DP269+Distances!GC108*3)*GB269*BD265*2,"")</f>
        <v>933.17792914285724</v>
      </c>
      <c r="BE269" s="14" t="s">
        <v>62</v>
      </c>
      <c r="BF269" s="14">
        <f>IF(Distances!GE108&lt;&gt;0,(DR269+Distances!GE108*3)*GD269*BF265*2,"")</f>
        <v>277.42011428571436</v>
      </c>
      <c r="BG269" s="14" t="s">
        <v>62</v>
      </c>
      <c r="BH269" s="14" t="s">
        <v>62</v>
      </c>
      <c r="BI269" s="14" t="s">
        <v>62</v>
      </c>
      <c r="BJ269" s="15" t="s">
        <v>62</v>
      </c>
      <c r="BM269" s="35" t="s">
        <v>4</v>
      </c>
      <c r="BN269" s="11">
        <v>510.23279999999994</v>
      </c>
      <c r="BO269" s="13">
        <v>796.33679999999993</v>
      </c>
      <c r="BP269" s="13">
        <v>0</v>
      </c>
      <c r="BQ269" s="12">
        <v>0</v>
      </c>
      <c r="BR269" s="13">
        <v>452.05439999999993</v>
      </c>
      <c r="BS269" s="13">
        <v>2449.1543999999999</v>
      </c>
      <c r="BT269" s="13">
        <v>2676.9539999999997</v>
      </c>
      <c r="BU269" s="13">
        <v>2449.1543999999999</v>
      </c>
      <c r="BV269" s="13">
        <v>443.62079999999997</v>
      </c>
      <c r="BW269" s="13">
        <v>443.62079999999997</v>
      </c>
      <c r="BX269" s="13">
        <v>2703.1871999999998</v>
      </c>
      <c r="BY269" s="13">
        <v>2703.1871999999998</v>
      </c>
      <c r="BZ269" s="13">
        <v>1064.3555999999999</v>
      </c>
      <c r="CA269" s="14">
        <v>1656.0935999999999</v>
      </c>
      <c r="CB269" s="14">
        <v>1374.1392000000001</v>
      </c>
      <c r="CC269" s="14">
        <v>781.8803999999999</v>
      </c>
      <c r="CD269" s="14">
        <v>774.5136</v>
      </c>
      <c r="CE269" s="14">
        <v>796.61400000000003</v>
      </c>
      <c r="CF269" s="14">
        <v>759.78</v>
      </c>
      <c r="CG269" s="14">
        <v>864.71280000000002</v>
      </c>
      <c r="CH269" s="14">
        <v>1125.6504</v>
      </c>
      <c r="CI269" s="14">
        <v>767.14679999999998</v>
      </c>
      <c r="CJ269" s="14">
        <v>903.94920000000002</v>
      </c>
      <c r="CK269" s="14">
        <v>759.78</v>
      </c>
      <c r="CL269" s="14">
        <v>941.67359999999996</v>
      </c>
      <c r="CM269" s="14">
        <v>924.57119999999998</v>
      </c>
      <c r="CN269" s="14">
        <v>890.3664</v>
      </c>
      <c r="CO269" s="14">
        <v>881.81519999999989</v>
      </c>
      <c r="CP269" s="14">
        <v>903.94920000000002</v>
      </c>
      <c r="CQ269" s="14">
        <v>1125.6504</v>
      </c>
      <c r="CR269" s="14">
        <v>1125.6504</v>
      </c>
      <c r="CS269" s="14">
        <v>1125.6504</v>
      </c>
      <c r="CT269" s="14">
        <v>1892.9484000000002</v>
      </c>
      <c r="CU269" s="14">
        <v>1715.2967999999998</v>
      </c>
      <c r="CV269" s="14">
        <v>1892.9484000000002</v>
      </c>
      <c r="CW269" s="14">
        <v>1765.2264</v>
      </c>
      <c r="CX269" s="14">
        <v>1596.252</v>
      </c>
      <c r="CY269" s="14">
        <v>1596.252</v>
      </c>
      <c r="CZ269" s="14">
        <v>1596.252</v>
      </c>
      <c r="DA269" s="14">
        <v>2390.2115999999996</v>
      </c>
      <c r="DB269" s="14">
        <v>2436.6047999999996</v>
      </c>
      <c r="DC269" s="14">
        <v>2258.9867999999997</v>
      </c>
      <c r="DD269" s="14">
        <v>2016.9324000000001</v>
      </c>
      <c r="DE269" s="14">
        <v>2016.9324000000001</v>
      </c>
      <c r="DF269" s="14">
        <v>2016.9324000000001</v>
      </c>
      <c r="DG269" s="14">
        <v>2160.7235999999998</v>
      </c>
      <c r="DH269" s="14">
        <v>1945.7256</v>
      </c>
      <c r="DI269" s="14">
        <v>1945.7256</v>
      </c>
      <c r="DJ269" s="14">
        <v>2201.8584000000001</v>
      </c>
      <c r="DK269" s="14">
        <v>0</v>
      </c>
      <c r="DL269" s="14">
        <v>3890.8631999999993</v>
      </c>
      <c r="DM269" s="14">
        <v>1993.4964</v>
      </c>
      <c r="DN269" s="14">
        <v>1909.3788</v>
      </c>
      <c r="DO269" s="14">
        <v>2057.8739999999998</v>
      </c>
      <c r="DP269" s="14">
        <v>2201.8584000000001</v>
      </c>
      <c r="DQ269" s="14">
        <v>2181.2867999999999</v>
      </c>
      <c r="DR269" s="14">
        <v>1959.5520000000001</v>
      </c>
      <c r="DS269" s="14">
        <v>1454.25</v>
      </c>
      <c r="DT269" s="14">
        <v>2019.1584</v>
      </c>
      <c r="DU269" s="14">
        <v>2217.2051999999999</v>
      </c>
      <c r="DV269" s="15">
        <v>2217.2051999999999</v>
      </c>
      <c r="DY269" s="35" t="s">
        <v>4</v>
      </c>
      <c r="DZ269" s="11">
        <f t="shared" si="99"/>
        <v>1.6666666666666666E-2</v>
      </c>
      <c r="EA269" s="13">
        <f t="shared" si="99"/>
        <v>1.6666666666666666E-2</v>
      </c>
      <c r="EB269" s="13">
        <f t="shared" si="99"/>
        <v>1.6666666666666666E-2</v>
      </c>
      <c r="EC269" s="12">
        <v>0.6</v>
      </c>
      <c r="ED269" s="13">
        <f t="shared" si="99"/>
        <v>1.6666666666666666E-2</v>
      </c>
      <c r="EE269" s="13">
        <f t="shared" si="99"/>
        <v>1.6666666666666666E-2</v>
      </c>
      <c r="EF269" s="13">
        <f t="shared" si="99"/>
        <v>1.6666666666666666E-2</v>
      </c>
      <c r="EG269" s="13">
        <f t="shared" si="99"/>
        <v>1.6666666666666666E-2</v>
      </c>
      <c r="EH269" s="13">
        <f t="shared" si="99"/>
        <v>1.6666666666666666E-2</v>
      </c>
      <c r="EI269" s="13">
        <f t="shared" si="99"/>
        <v>1.6666666666666666E-2</v>
      </c>
      <c r="EJ269" s="13">
        <f t="shared" si="99"/>
        <v>1.6666666666666666E-2</v>
      </c>
      <c r="EK269" s="13">
        <f t="shared" si="99"/>
        <v>1.6666666666666666E-2</v>
      </c>
      <c r="EL269" s="13">
        <f t="shared" si="99"/>
        <v>1.6666666666666666E-2</v>
      </c>
      <c r="EM269" s="14">
        <v>4.6511627906976744E-3</v>
      </c>
      <c r="EN269" s="14">
        <v>4.6511627906976744E-3</v>
      </c>
      <c r="EO269" s="14">
        <v>7.1428571428571435E-3</v>
      </c>
      <c r="EP269" s="14">
        <v>7.1428571428571435E-3</v>
      </c>
      <c r="EQ269" s="14">
        <v>7.1428571428571435E-3</v>
      </c>
      <c r="ER269" s="14">
        <v>7.1428571428571435E-3</v>
      </c>
      <c r="ES269" s="14">
        <v>7.1428571428571435E-3</v>
      </c>
      <c r="ET269" s="14">
        <v>7.1428571428571435E-3</v>
      </c>
      <c r="EU269" s="14">
        <v>7.1428571428571435E-3</v>
      </c>
      <c r="EV269" s="14">
        <v>7.1428571428571435E-3</v>
      </c>
      <c r="EW269" s="14">
        <v>7.1428571428571435E-3</v>
      </c>
      <c r="EX269" s="14">
        <v>7.1428571428571435E-3</v>
      </c>
      <c r="EY269" s="14">
        <v>7.1428571428571435E-3</v>
      </c>
      <c r="EZ269" s="14">
        <v>7.1428571428571435E-3</v>
      </c>
      <c r="FA269" s="14">
        <v>7.1428571428571435E-3</v>
      </c>
      <c r="FB269" s="14">
        <v>7.1428571428571435E-3</v>
      </c>
      <c r="FC269" s="14">
        <v>7.1428571428571435E-3</v>
      </c>
      <c r="FD269" s="14">
        <v>7.1428571428571435E-3</v>
      </c>
      <c r="FE269" s="14">
        <v>7.1428571428571435E-3</v>
      </c>
      <c r="FF269" s="14">
        <v>5.7142857142857143E-3</v>
      </c>
      <c r="FG269" s="14">
        <v>5.7142857142857143E-3</v>
      </c>
      <c r="FH269" s="14">
        <v>5.7142857142857143E-3</v>
      </c>
      <c r="FI269" s="14">
        <v>5.7142857142857143E-3</v>
      </c>
      <c r="FJ269" s="14">
        <v>5.7142857142857143E-3</v>
      </c>
      <c r="FK269" s="14">
        <v>5.7142857142857143E-3</v>
      </c>
      <c r="FL269" s="14">
        <v>5.7142857142857143E-3</v>
      </c>
      <c r="FM269" s="14">
        <v>4.7619047619047623E-3</v>
      </c>
      <c r="FN269" s="14">
        <v>4.7619047619047623E-3</v>
      </c>
      <c r="FO269" s="14">
        <v>4.7619047619047623E-3</v>
      </c>
      <c r="FP269" s="14">
        <v>5.7142857142857143E-3</v>
      </c>
      <c r="FQ269" s="14">
        <v>5.7142857142857143E-3</v>
      </c>
      <c r="FR269" s="14">
        <v>5.7142857142857143E-3</v>
      </c>
      <c r="FS269" s="14">
        <v>5.7142857142857143E-3</v>
      </c>
      <c r="FT269" s="14">
        <v>5.8823529411764705E-3</v>
      </c>
      <c r="FU269" s="14">
        <v>5.7142857142857143E-3</v>
      </c>
      <c r="FV269" s="14">
        <v>5.7142857142857143E-3</v>
      </c>
      <c r="FW269" s="14">
        <v>4.5454545454545461E-3</v>
      </c>
      <c r="FX269" s="14">
        <v>4.5454545454545461E-3</v>
      </c>
      <c r="FY269" s="14">
        <v>5.7142857142857143E-3</v>
      </c>
      <c r="FZ269" s="14">
        <v>7.1428571428571435E-3</v>
      </c>
      <c r="GA269" s="14">
        <v>5.7142857142857143E-3</v>
      </c>
      <c r="GB269" s="14">
        <v>5.7142857142857143E-3</v>
      </c>
      <c r="GC269" s="14">
        <v>5.7142857142857143E-3</v>
      </c>
      <c r="GD269" s="14">
        <v>7.1428571428571435E-3</v>
      </c>
      <c r="GE269" s="14">
        <v>7.1428571428571435E-3</v>
      </c>
      <c r="GF269" s="14">
        <v>4.6511627906976744E-3</v>
      </c>
      <c r="GG269" s="14">
        <v>4.6511627906976744E-3</v>
      </c>
      <c r="GH269" s="15">
        <v>4.6511627906976744E-3</v>
      </c>
    </row>
    <row r="270" spans="1:190" x14ac:dyDescent="0.3">
      <c r="A270" s="35" t="s">
        <v>5</v>
      </c>
      <c r="B270" s="11">
        <f>IF(Distances!EA109&lt;&gt;0,(BN270+Distances!EA109*3)*DZ270*B265*2,"")</f>
        <v>4940.1200799999997</v>
      </c>
      <c r="C270" s="13">
        <f>IF(Distances!EB109&lt;&gt;0,(BO270+Distances!EB109*3)*EA270*C265*2,"")</f>
        <v>6980.9745599999987</v>
      </c>
      <c r="D270" s="13">
        <f>IF(Distances!EC109&lt;&gt;0,(BP270+Distances!EC109*3)*EB270*D265*2,"")</f>
        <v>48728.152959999992</v>
      </c>
      <c r="E270" s="13">
        <f>IF(Distances!ED109&lt;&gt;0,(BQ270+Distances!ED109*3)*EC270*E265*2,"")</f>
        <v>4344.7129599999998</v>
      </c>
      <c r="F270" s="12" t="s">
        <v>62</v>
      </c>
      <c r="G270" s="13">
        <f>IF(Distances!EF109&lt;&gt;0,(BS270+Distances!EF109*3)*EE270*G265*2,"")</f>
        <v>78526.772800000006</v>
      </c>
      <c r="H270" s="13">
        <f>IF(Distances!EG109&lt;&gt;0,(BT270+Distances!EG109*3)*EF270*H265*2,"")</f>
        <v>20396.045039999997</v>
      </c>
      <c r="I270" s="13">
        <f>IF(Distances!EH109&lt;&gt;0,(BU270+Distances!EH109*3)*EG270*I265*2,"")</f>
        <v>18771.132799999999</v>
      </c>
      <c r="J270" s="13">
        <f>IF(Distances!EI109&lt;&gt;0,(BV270+Distances!EI109*3)*EH270*J265*2,"")</f>
        <v>302.65503999999999</v>
      </c>
      <c r="K270" s="13">
        <f>IF(Distances!EJ109&lt;&gt;0,(BW270+Distances!EJ109*3)*EI270*K265*2,"")</f>
        <v>88.415040000000005</v>
      </c>
      <c r="L270" s="13">
        <f>IF(Distances!EK109&lt;&gt;0,(BX270+Distances!EK109*3)*EJ270*L265*2,"")</f>
        <v>407.58815999999996</v>
      </c>
      <c r="M270" s="13">
        <f>IF(Distances!EL109&lt;&gt;0,(BY270+Distances!EL109*3)*EK270*M265*2,"")</f>
        <v>407.58815999999996</v>
      </c>
      <c r="N270" s="13">
        <f>IF(Distances!EM109&lt;&gt;0,(BZ270+Distances!EM109*3)*EL270*N265*2,"")</f>
        <v>176.09648000000001</v>
      </c>
      <c r="O270" s="14">
        <f>IF(Distances!EN109&lt;&gt;0,(CA270+Distances!EN109*3)*EM270*O265*2,"")</f>
        <v>126.82148093023257</v>
      </c>
      <c r="P270" s="14">
        <f>IF(Distances!EO109&lt;&gt;0,(CB270+Distances!EO109*3)*EN270*P265*2,"")</f>
        <v>107.37098790697674</v>
      </c>
      <c r="Q270" s="14">
        <f>IF(Distances!EP109&lt;&gt;0,(CC270+Distances!EP109*3)*EO270*Q265*2,"")</f>
        <v>729.62400000000014</v>
      </c>
      <c r="R270" s="14">
        <f>IF(Distances!EQ109&lt;&gt;0,(CD270+Distances!EQ109*3)*EP270*R265*2,"")</f>
        <v>724.05</v>
      </c>
      <c r="S270" s="14">
        <f>IF(Distances!ER109&lt;&gt;0,(CE270+Distances!ER109*3)*EQ270*S265*2,"")</f>
        <v>740.77200000000005</v>
      </c>
      <c r="T270" s="14">
        <f>IF(Distances!ES109&lt;&gt;0,(CF270+Distances!ES109*3)*ER270*T265*2,"")</f>
        <v>167.81544</v>
      </c>
      <c r="U270" s="14">
        <f>IF(Distances!ET109&lt;&gt;0,(CG270+Distances!ET109*3)*ES270*U265*2,"")</f>
        <v>206.77199999999999</v>
      </c>
      <c r="V270" s="14">
        <f>IF(Distances!EU109&lt;&gt;0,(CH270+Distances!EU109*3)*ET270*V265*2,"")</f>
        <v>2425.2746400000001</v>
      </c>
      <c r="W270" s="14">
        <f>IF(Distances!EV109&lt;&gt;0,(CI270+Distances!EV109*3)*EU270*W265*2,"")</f>
        <v>833.42520000000013</v>
      </c>
      <c r="X270" s="14">
        <f>IF(Distances!EW109&lt;&gt;0,(CJ270+Distances!EW109*3)*EV270*X265*2,"")</f>
        <v>1290.3203657142858</v>
      </c>
      <c r="Y270" s="14">
        <f>IF(Distances!EX109&lt;&gt;0,(CK270+Distances!EX109*3)*EW270*Y265*2,"")</f>
        <v>1480.9507885714288</v>
      </c>
      <c r="Z270" s="14">
        <f>IF(Distances!EY109&lt;&gt;0,(CL270+Distances!EY109*3)*EX270*Z265*2,"")</f>
        <v>40.698822857142858</v>
      </c>
      <c r="AA270" s="14">
        <f>IF(Distances!EZ109&lt;&gt;0,(CM270+Distances!EZ109*3)*EY270*AA265*2,"")</f>
        <v>45.615428571428573</v>
      </c>
      <c r="AB270" s="14">
        <f>IF(Distances!FA109&lt;&gt;0,(CN270+Distances!FA109*3)*EZ270*AB265*2,"")</f>
        <v>65.871497142857152</v>
      </c>
      <c r="AC270" s="14">
        <f>IF(Distances!FB109&lt;&gt;0,(CO270+Distances!FB109*3)*FA270*AC265*2,"")</f>
        <v>32.209680000000006</v>
      </c>
      <c r="AD270" s="14">
        <f>IF(Distances!FC109&lt;&gt;0,(CP270+Distances!FC109*3)*FB270*AD265*2,"")</f>
        <v>32.879520000000007</v>
      </c>
      <c r="AE270" s="14">
        <f>IF(Distances!FD109&lt;&gt;0,(CQ270+Distances!FD109*3)*FC270*AE265*2,"")</f>
        <v>124.86730285714283</v>
      </c>
      <c r="AF270" s="14">
        <f>IF(Distances!FE109&lt;&gt;0,(CR270+Distances!FE109*3)*FD270*AF265*2,"")</f>
        <v>243.90603428571424</v>
      </c>
      <c r="AG270" s="14">
        <f>IF(Distances!FF109&lt;&gt;0,(CS270+Distances!FF109*3)*FE270*AG265*2,"")</f>
        <v>186.23746285714284</v>
      </c>
      <c r="AH270" s="14">
        <f>IF(Distances!FG109&lt;&gt;0,(CT270+Distances!FG109*3)*FF270*AH265*2,"")</f>
        <v>72.65303314285714</v>
      </c>
      <c r="AI270" s="14">
        <f>IF(Distances!FH109&lt;&gt;0,(CU270+Distances!FH109*3)*FG270*AI265*2,"")</f>
        <v>22.975199999999997</v>
      </c>
      <c r="AJ270" s="14">
        <f>IF(Distances!FI109&lt;&gt;0,(CV270+Distances!FI109*3)*FH270*AJ265*2,"")</f>
        <v>58.815318857142856</v>
      </c>
      <c r="AK270" s="14">
        <f>IF(Distances!FJ109&lt;&gt;0,(CW270+Distances!FJ109*3)*FI270*AK265*2,"")</f>
        <v>23.579807999999996</v>
      </c>
      <c r="AL270" s="14">
        <f>IF(Distances!FK109&lt;&gt;0,(CX270+Distances!FK109*3)*FJ270*AL265*2,"")</f>
        <v>1162.833408</v>
      </c>
      <c r="AM270" s="14">
        <f>IF(Distances!FL109&lt;&gt;0,(CY270+Distances!FL109*3)*FK270*AM265*2,"")</f>
        <v>1162.833408</v>
      </c>
      <c r="AN270" s="14">
        <f>IF(Distances!FM109&lt;&gt;0,(CZ270+Distances!FM109*3)*FL270*AN265*2,"")</f>
        <v>1449.064265142857</v>
      </c>
      <c r="AO270" s="14">
        <f>IF(Distances!FN109&lt;&gt;0,(DA270+Distances!FN109*3)*FM270*AO265*2,"")</f>
        <v>51.911360000000002</v>
      </c>
      <c r="AP270" s="14">
        <f>IF(Distances!FO109&lt;&gt;0,(DB270+Distances!FO109*3)*FN270*AP265*2,"")</f>
        <v>52.847519999999996</v>
      </c>
      <c r="AQ270" s="14">
        <f>IF(Distances!FP109&lt;&gt;0,(DC270+Distances!FP109*3)*FO270*AQ265*2,"")</f>
        <v>49.263360000000006</v>
      </c>
      <c r="AR270" s="14">
        <f>IF(Distances!FQ109&lt;&gt;0,(DD270+Distances!FQ109*3)*FP270*AR265*2,"")</f>
        <v>53.25465599999999</v>
      </c>
      <c r="AS270" s="14">
        <f>IF(Distances!FR109&lt;&gt;0,(DE270+Distances!FR109*3)*FQ270*AS265*2,"")</f>
        <v>53.25465599999999</v>
      </c>
      <c r="AT270" s="14">
        <f>IF(Distances!FS109&lt;&gt;0,(DF270+Distances!FS109*3)*FR270*AT265*2,"")</f>
        <v>53.25465599999999</v>
      </c>
      <c r="AU270" s="14">
        <f>IF(Distances!FT109&lt;&gt;0,(DG270+Distances!FT109*3)*FS270*AU265*2,"")</f>
        <v>418.22668800000002</v>
      </c>
      <c r="AV270" s="14">
        <f>IF(Distances!FU109&lt;&gt;0,(DH270+Distances!FU109*3)*FT270*AV265*2,"")</f>
        <v>246.45592941176471</v>
      </c>
      <c r="AW270" s="14">
        <f>IF(Distances!FV109&lt;&gt;0,(DI270+Distances!FV109*3)*FU270*AW265*2,"")</f>
        <v>880.74576000000002</v>
      </c>
      <c r="AX270" s="14">
        <f>IF(Distances!FW109&lt;&gt;0,(DJ270+Distances!FW109*3)*FV270*AX265*2,"")</f>
        <v>144.33167999999998</v>
      </c>
      <c r="AY270" s="14">
        <f>IF(Distances!FX109&lt;&gt;0,(DK270+Distances!FX109*3)*FW270*AY265*2,"")</f>
        <v>7.0254545454545472</v>
      </c>
      <c r="AZ270" s="14">
        <f>IF(Distances!FY109&lt;&gt;0,(DL270+Distances!FY109*3)*FX270*AZ265*2,"")</f>
        <v>207.39050181818186</v>
      </c>
      <c r="BA270" s="14">
        <f>IF(Distances!FZ109&lt;&gt;0,(DM270+Distances!FZ109*3)*FY270*BA265*2,"")</f>
        <v>105.37420799999998</v>
      </c>
      <c r="BB270" s="14">
        <f>IF(Distances!GA109&lt;&gt;0,(DN270+Distances!GA109*3)*FZ270*BB265*2,"")</f>
        <v>126.62544000000001</v>
      </c>
      <c r="BC270" s="14">
        <f>IF(Distances!GB109&lt;&gt;0,(DO270+Distances!GB109*3)*GA270*BC265*2,"")</f>
        <v>867.9383039999999</v>
      </c>
      <c r="BD270" s="14">
        <f>IF(Distances!GC109&lt;&gt;0,(DP270+Distances!GC109*3)*GB270*BD265*2,"")</f>
        <v>1051.6496091428571</v>
      </c>
      <c r="BE270" s="14">
        <f>IF(Distances!GD109&lt;&gt;0,(DQ270+Distances!GD109*3)*GC270*BE265*2,"")</f>
        <v>915.75091199999986</v>
      </c>
      <c r="BF270" s="14">
        <f>IF(Distances!GE109&lt;&gt;0,(DR270+Distances!GE109*3)*GD270*BF265*2,"")</f>
        <v>299.90859428571434</v>
      </c>
      <c r="BG270" s="14">
        <f>IF(Distances!GF109&lt;&gt;0,(DS270+Distances!GF109*3)*GE270*BG265*2,"")</f>
        <v>99.072959999999995</v>
      </c>
      <c r="BH270" s="14">
        <f>IF(Distances!GG109&lt;&gt;0,(DT270+Distances!GG109*3)*GF270*BH265*2,"")</f>
        <v>86.781454883720912</v>
      </c>
      <c r="BI270" s="14">
        <f>IF(Distances!GH109&lt;&gt;0,(DU270+Distances!GH109*3)*GG270*BI265*2,"")</f>
        <v>94.58821953488372</v>
      </c>
      <c r="BJ270" s="15">
        <f>IF(Distances!GI109&lt;&gt;0,(DV270+Distances!GI109*3)*GH270*BJ265*2,"")</f>
        <v>94.58821953488372</v>
      </c>
      <c r="BM270" s="35" t="s">
        <v>5</v>
      </c>
      <c r="BN270" s="11">
        <v>540.48119999999994</v>
      </c>
      <c r="BO270" s="13">
        <v>843.57839999999999</v>
      </c>
      <c r="BP270" s="13">
        <v>452.05439999999993</v>
      </c>
      <c r="BQ270" s="13">
        <v>452.05439999999993</v>
      </c>
      <c r="BR270" s="12">
        <v>0</v>
      </c>
      <c r="BS270" s="13">
        <v>2594.5920000000001</v>
      </c>
      <c r="BT270" s="13">
        <v>2835.9155999999998</v>
      </c>
      <c r="BU270" s="13">
        <v>2594.5920000000001</v>
      </c>
      <c r="BV270" s="13">
        <v>469.91279999999995</v>
      </c>
      <c r="BW270" s="13">
        <v>469.91279999999995</v>
      </c>
      <c r="BX270" s="13">
        <v>2863.7111999999997</v>
      </c>
      <c r="BY270" s="13">
        <v>2863.7111999999997</v>
      </c>
      <c r="BZ270" s="13">
        <v>1127.5236</v>
      </c>
      <c r="CA270" s="14">
        <v>1754.4156</v>
      </c>
      <c r="CB270" s="14">
        <v>1455.7115999999999</v>
      </c>
      <c r="CC270" s="14">
        <v>828.27359999999999</v>
      </c>
      <c r="CD270" s="14">
        <v>820.46999999999991</v>
      </c>
      <c r="CE270" s="14">
        <v>843.88080000000002</v>
      </c>
      <c r="CF270" s="14">
        <v>804.85439999999994</v>
      </c>
      <c r="CG270" s="14">
        <v>916.02</v>
      </c>
      <c r="CH270" s="14">
        <v>1192.4555999999998</v>
      </c>
      <c r="CI270" s="14">
        <v>812.65800000000002</v>
      </c>
      <c r="CJ270" s="14">
        <v>957.58320000000003</v>
      </c>
      <c r="CK270" s="14">
        <v>804.85439999999994</v>
      </c>
      <c r="CL270" s="14">
        <v>997.55879999999991</v>
      </c>
      <c r="CM270" s="14">
        <v>979.43999999999994</v>
      </c>
      <c r="CN270" s="14">
        <v>943.2023999999999</v>
      </c>
      <c r="CO270" s="14">
        <v>934.13879999999995</v>
      </c>
      <c r="CP270" s="14">
        <v>957.58320000000003</v>
      </c>
      <c r="CQ270" s="14">
        <v>1192.4555999999998</v>
      </c>
      <c r="CR270" s="14">
        <v>1192.4555999999998</v>
      </c>
      <c r="CS270" s="14">
        <v>1192.4555999999998</v>
      </c>
      <c r="CT270" s="14">
        <v>2005.3403999999998</v>
      </c>
      <c r="CU270" s="14">
        <v>1817.1299999999999</v>
      </c>
      <c r="CV270" s="14">
        <v>2005.3403999999998</v>
      </c>
      <c r="CW270" s="14">
        <v>1870.0331999999999</v>
      </c>
      <c r="CX270" s="14">
        <v>1691.0207999999998</v>
      </c>
      <c r="CY270" s="14">
        <v>1691.0207999999998</v>
      </c>
      <c r="CZ270" s="14">
        <v>1691.0207999999998</v>
      </c>
      <c r="DA270" s="14">
        <v>2532.1464000000001</v>
      </c>
      <c r="DB270" s="14">
        <v>2581.2947999999997</v>
      </c>
      <c r="DC270" s="14">
        <v>2393.1264000000001</v>
      </c>
      <c r="DD270" s="14">
        <v>2136.6911999999998</v>
      </c>
      <c r="DE270" s="14">
        <v>2136.6911999999998</v>
      </c>
      <c r="DF270" s="14">
        <v>2136.6911999999998</v>
      </c>
      <c r="DG270" s="14">
        <v>2289.0167999999999</v>
      </c>
      <c r="DH270" s="14">
        <v>2061.2507999999998</v>
      </c>
      <c r="DI270" s="14">
        <v>2061.2507999999998</v>
      </c>
      <c r="DJ270" s="14">
        <v>2332.6043999999997</v>
      </c>
      <c r="DK270" s="14">
        <v>0</v>
      </c>
      <c r="DL270" s="14">
        <v>4121.9387999999999</v>
      </c>
      <c r="DM270" s="14">
        <v>2111.8607999999999</v>
      </c>
      <c r="DN270" s="14">
        <v>2022.7452000000001</v>
      </c>
      <c r="DO270" s="14">
        <v>2180.0688</v>
      </c>
      <c r="DP270" s="14">
        <v>2332.6043999999997</v>
      </c>
      <c r="DQ270" s="14">
        <v>2310.8063999999999</v>
      </c>
      <c r="DR270" s="14">
        <v>2159.9004</v>
      </c>
      <c r="DS270" s="14">
        <v>1540.5767999999998</v>
      </c>
      <c r="DT270" s="14">
        <v>2139.0515999999998</v>
      </c>
      <c r="DU270" s="14">
        <v>2348.8584000000001</v>
      </c>
      <c r="DV270" s="15">
        <v>2348.8584000000001</v>
      </c>
      <c r="DY270" s="35" t="s">
        <v>5</v>
      </c>
      <c r="DZ270" s="11">
        <f t="shared" si="99"/>
        <v>1.6666666666666666E-2</v>
      </c>
      <c r="EA270" s="13">
        <f t="shared" si="99"/>
        <v>1.6666666666666666E-2</v>
      </c>
      <c r="EB270" s="13">
        <f t="shared" si="99"/>
        <v>1.6666666666666666E-2</v>
      </c>
      <c r="EC270" s="13">
        <f t="shared" si="99"/>
        <v>1.6666666666666666E-2</v>
      </c>
      <c r="ED270" s="12">
        <v>0.6</v>
      </c>
      <c r="EE270" s="13">
        <f t="shared" si="99"/>
        <v>1.6666666666666666E-2</v>
      </c>
      <c r="EF270" s="13">
        <f t="shared" si="99"/>
        <v>1.6666666666666666E-2</v>
      </c>
      <c r="EG270" s="13">
        <f t="shared" si="99"/>
        <v>1.6666666666666666E-2</v>
      </c>
      <c r="EH270" s="13">
        <f t="shared" si="99"/>
        <v>1.6666666666666666E-2</v>
      </c>
      <c r="EI270" s="13">
        <f t="shared" si="99"/>
        <v>1.6666666666666666E-2</v>
      </c>
      <c r="EJ270" s="13">
        <f t="shared" si="99"/>
        <v>1.6666666666666666E-2</v>
      </c>
      <c r="EK270" s="13">
        <f t="shared" si="99"/>
        <v>1.6666666666666666E-2</v>
      </c>
      <c r="EL270" s="13">
        <f t="shared" si="99"/>
        <v>1.6666666666666666E-2</v>
      </c>
      <c r="EM270" s="14">
        <v>4.6511627906976744E-3</v>
      </c>
      <c r="EN270" s="14">
        <v>4.6511627906976744E-3</v>
      </c>
      <c r="EO270" s="14">
        <v>7.1428571428571435E-3</v>
      </c>
      <c r="EP270" s="14">
        <v>7.1428571428571435E-3</v>
      </c>
      <c r="EQ270" s="14">
        <v>7.1428571428571435E-3</v>
      </c>
      <c r="ER270" s="14">
        <v>7.1428571428571435E-3</v>
      </c>
      <c r="ES270" s="14">
        <v>7.1428571428571435E-3</v>
      </c>
      <c r="ET270" s="14">
        <v>7.1428571428571435E-3</v>
      </c>
      <c r="EU270" s="14">
        <v>7.1428571428571435E-3</v>
      </c>
      <c r="EV270" s="14">
        <v>7.1428571428571435E-3</v>
      </c>
      <c r="EW270" s="14">
        <v>7.1428571428571435E-3</v>
      </c>
      <c r="EX270" s="14">
        <v>7.1428571428571435E-3</v>
      </c>
      <c r="EY270" s="14">
        <v>7.1428571428571435E-3</v>
      </c>
      <c r="EZ270" s="14">
        <v>7.1428571428571435E-3</v>
      </c>
      <c r="FA270" s="14">
        <v>7.1428571428571435E-3</v>
      </c>
      <c r="FB270" s="14">
        <v>7.1428571428571435E-3</v>
      </c>
      <c r="FC270" s="14">
        <v>7.1428571428571435E-3</v>
      </c>
      <c r="FD270" s="14">
        <v>7.1428571428571435E-3</v>
      </c>
      <c r="FE270" s="14">
        <v>7.1428571428571435E-3</v>
      </c>
      <c r="FF270" s="14">
        <v>5.7142857142857143E-3</v>
      </c>
      <c r="FG270" s="14">
        <v>5.7142857142857143E-3</v>
      </c>
      <c r="FH270" s="14">
        <v>5.7142857142857143E-3</v>
      </c>
      <c r="FI270" s="14">
        <v>5.7142857142857143E-3</v>
      </c>
      <c r="FJ270" s="14">
        <v>5.7142857142857143E-3</v>
      </c>
      <c r="FK270" s="14">
        <v>5.7142857142857143E-3</v>
      </c>
      <c r="FL270" s="14">
        <v>5.7142857142857143E-3</v>
      </c>
      <c r="FM270" s="14">
        <v>4.7619047619047623E-3</v>
      </c>
      <c r="FN270" s="14">
        <v>4.7619047619047623E-3</v>
      </c>
      <c r="FO270" s="14">
        <v>4.7619047619047623E-3</v>
      </c>
      <c r="FP270" s="14">
        <v>5.7142857142857143E-3</v>
      </c>
      <c r="FQ270" s="14">
        <v>5.7142857142857143E-3</v>
      </c>
      <c r="FR270" s="14">
        <v>5.7142857142857143E-3</v>
      </c>
      <c r="FS270" s="14">
        <v>5.7142857142857143E-3</v>
      </c>
      <c r="FT270" s="14">
        <v>5.8823529411764705E-3</v>
      </c>
      <c r="FU270" s="14">
        <v>5.7142857142857143E-3</v>
      </c>
      <c r="FV270" s="14">
        <v>5.7142857142857143E-3</v>
      </c>
      <c r="FW270" s="14">
        <v>4.5454545454545461E-3</v>
      </c>
      <c r="FX270" s="14">
        <v>4.5454545454545461E-3</v>
      </c>
      <c r="FY270" s="14">
        <v>5.7142857142857143E-3</v>
      </c>
      <c r="FZ270" s="14">
        <v>7.1428571428571435E-3</v>
      </c>
      <c r="GA270" s="14">
        <v>5.7142857142857143E-3</v>
      </c>
      <c r="GB270" s="14">
        <v>5.7142857142857143E-3</v>
      </c>
      <c r="GC270" s="14">
        <v>5.7142857142857143E-3</v>
      </c>
      <c r="GD270" s="14">
        <v>7.1428571428571435E-3</v>
      </c>
      <c r="GE270" s="14">
        <v>7.1428571428571435E-3</v>
      </c>
      <c r="GF270" s="14">
        <v>4.6511627906976744E-3</v>
      </c>
      <c r="GG270" s="14">
        <v>4.6511627906976744E-3</v>
      </c>
      <c r="GH270" s="15">
        <v>4.6511627906976744E-3</v>
      </c>
    </row>
    <row r="271" spans="1:190" x14ac:dyDescent="0.3">
      <c r="A271" s="35" t="s">
        <v>6</v>
      </c>
      <c r="B271" s="11">
        <f>IF(Distances!EA110&lt;&gt;0,(BN271+Distances!EA110*3)*DZ271*B265*2,"")</f>
        <v>75368.801759999988</v>
      </c>
      <c r="C271" s="13">
        <f>IF(Distances!EB110&lt;&gt;0,(BO271+Distances!EB110*3)*EA271*C265*2,"")</f>
        <v>70584.221679999988</v>
      </c>
      <c r="D271" s="13">
        <f>IF(Distances!EC110&lt;&gt;0,(BP271+Distances!EC110*3)*EB271*D265*2,"")</f>
        <v>120630.05296</v>
      </c>
      <c r="E271" s="13">
        <f>IF(Distances!ED110&lt;&gt;0,(BQ271+Distances!ED110*3)*EC271*E265*2,"")</f>
        <v>76246.612959999984</v>
      </c>
      <c r="F271" s="13">
        <f>IF(Distances!EE110&lt;&gt;0,(BR271+Distances!EE110*3)*ED271*F265*2,"")</f>
        <v>78526.772800000006</v>
      </c>
      <c r="G271" s="12" t="s">
        <v>62</v>
      </c>
      <c r="H271" s="13">
        <f>IF(Distances!EG110&lt;&gt;0,(BT271+Distances!EG110*3)*EF271*H265*2,"")</f>
        <v>63335.831439999987</v>
      </c>
      <c r="I271" s="13">
        <f>IF(Distances!EH110&lt;&gt;0,(BU271+Distances!EH110*3)*EG271*I265*2,"")</f>
        <v>59755.639999999985</v>
      </c>
      <c r="J271" s="13">
        <f>IF(Distances!EI110&lt;&gt;0,(BV271+Distances!EI110*3)*EH271*J265*2,"")</f>
        <v>1745.4020799999998</v>
      </c>
      <c r="K271" s="13">
        <f>IF(Distances!EJ110&lt;&gt;0,(BW271+Distances!EJ110*3)*EI271*K265*2,"")</f>
        <v>1531.1620799999998</v>
      </c>
      <c r="L271" s="13">
        <f>IF(Distances!EK110&lt;&gt;0,(BX271+Distances!EK110*3)*EJ271*L265*2,"")</f>
        <v>1254.8681599999998</v>
      </c>
      <c r="M271" s="13">
        <f>IF(Distances!EL110&lt;&gt;0,(BY271+Distances!EL110*3)*EK271*M265*2,"")</f>
        <v>1254.8681599999998</v>
      </c>
      <c r="N271" s="13">
        <f>IF(Distances!EM110&lt;&gt;0,(BZ271+Distances!EM110*3)*EL271*N265*2,"")</f>
        <v>1326.5940799999996</v>
      </c>
      <c r="O271" s="14">
        <f>IF(Distances!EN110&lt;&gt;0,(CA271+Distances!EN110*3)*EM271*O265*2,"")</f>
        <v>678.64553302325567</v>
      </c>
      <c r="P271" s="14">
        <f>IF(Distances!EO110&lt;&gt;0,(CB271+Distances!EO110*3)*EN271*P265*2,"")</f>
        <v>720.87651348837198</v>
      </c>
      <c r="Q271" s="14">
        <f>IF(Distances!EP110&lt;&gt;0,(CC271+Distances!EP110*3)*EO271*Q265*2,"")</f>
        <v>8192.387999999999</v>
      </c>
      <c r="R271" s="14">
        <f>IF(Distances!EQ110&lt;&gt;0,(CD271+Distances!EQ110*3)*EP271*R265*2,"")</f>
        <v>8174.91</v>
      </c>
      <c r="S271" s="14">
        <f>IF(Distances!ER110&lt;&gt;0,(CE271+Distances!ER110*3)*EQ271*S265*2,"")</f>
        <v>8227.3439999999991</v>
      </c>
      <c r="T271" s="14">
        <f>IF(Distances!ES110&lt;&gt;0,(CF271+Distances!ES110*3)*ER271*T265*2,"")</f>
        <v>1207.60356</v>
      </c>
      <c r="U271" s="14">
        <f>IF(Distances!ET110&lt;&gt;0,(CG271+Distances!ET110*3)*ES271*U265*2,"")</f>
        <v>1173.3734399999998</v>
      </c>
      <c r="V271" s="14">
        <f>IF(Distances!EU110&lt;&gt;0,(CH271+Distances!EU110*3)*ET271*V265*2,"")</f>
        <v>11064.339840000001</v>
      </c>
      <c r="W271" s="14">
        <f>IF(Distances!EV110&lt;&gt;0,(CI271+Distances!EV110*3)*EU271*W265*2,"")</f>
        <v>9462.6211199999998</v>
      </c>
      <c r="X271" s="14">
        <f>IF(Distances!EW110&lt;&gt;0,(CJ271+Distances!EW110*3)*EV271*X265*2,"")</f>
        <v>9550.5597257142854</v>
      </c>
      <c r="Y271" s="14">
        <f>IF(Distances!EX110&lt;&gt;0,(CK271+Distances!EX110*3)*EW271*Y265*2,"")</f>
        <v>10096.338068571429</v>
      </c>
      <c r="Z271" s="14">
        <f>IF(Distances!EY110&lt;&gt;0,(CL271+Distances!EY110*3)*EX271*Z265*2,"")</f>
        <v>329.83282285714284</v>
      </c>
      <c r="AA271" s="14">
        <f>IF(Distances!EZ110&lt;&gt;0,(CM271+Distances!EZ110*3)*EY271*AA265*2,"")</f>
        <v>334.00230857142861</v>
      </c>
      <c r="AB271" s="14">
        <f>IF(Distances!FA110&lt;&gt;0,(CN271+Distances!FA110*3)*EZ271*AB265*2,"")</f>
        <v>352.7638971428571</v>
      </c>
      <c r="AC271" s="14">
        <f>IF(Distances!FB110&lt;&gt;0,(CO271+Distances!FB110*3)*FA271*AC265*2,"")</f>
        <v>318.72863999999998</v>
      </c>
      <c r="AD271" s="14">
        <f>IF(Distances!FC110&lt;&gt;0,(CP271+Distances!FC110*3)*FB271*AD265*2,"")</f>
        <v>317.71535999999998</v>
      </c>
      <c r="AE271" s="14">
        <f>IF(Distances!FD110&lt;&gt;0,(CQ271+Distances!FD110*3)*FC271*AE265*2,"")</f>
        <v>422.76610285714287</v>
      </c>
      <c r="AF271" s="14">
        <f>IF(Distances!FE110&lt;&gt;0,(CR271+Distances!FE110*3)*FD271*AF265*2,"")</f>
        <v>839.70363428571432</v>
      </c>
      <c r="AG271" s="14">
        <f>IF(Distances!FF110&lt;&gt;0,(CS271+Distances!FF110*3)*FE271*AG265*2,"")</f>
        <v>782.03506285714286</v>
      </c>
      <c r="AH271" s="14">
        <f>IF(Distances!FG110&lt;&gt;0,(CT271+Distances!FG110*3)*FF271*AH265*2,"")</f>
        <v>163.35949714285712</v>
      </c>
      <c r="AI271" s="14">
        <f>IF(Distances!FH110&lt;&gt;0,(CU271+Distances!FH110*3)*FG271*AI265*2,"")</f>
        <v>120.17692799999998</v>
      </c>
      <c r="AJ271" s="14">
        <f>IF(Distances!FI110&lt;&gt;0,(CV271+Distances!FI110*3)*FH271*AJ265*2,"")</f>
        <v>149.52178285714285</v>
      </c>
      <c r="AK271" s="14">
        <f>IF(Distances!FJ110&lt;&gt;0,(CW271+Distances!FJ110*3)*FI271*AK265*2,"")</f>
        <v>120.72278399999998</v>
      </c>
      <c r="AL271" s="14">
        <f>IF(Distances!FK110&lt;&gt;0,(CX271+Distances!FK110*3)*FJ271*AL265*2,"")</f>
        <v>5729.4501119999986</v>
      </c>
      <c r="AM271" s="14">
        <f>IF(Distances!FL110&lt;&gt;0,(CY271+Distances!FL110*3)*FK271*AM265*2,"")</f>
        <v>5729.4501119999986</v>
      </c>
      <c r="AN271" s="14">
        <f>IF(Distances!FM110&lt;&gt;0,(CZ271+Distances!FM110*3)*FL271*AN265*2,"")</f>
        <v>6015.6809691428571</v>
      </c>
      <c r="AO271" s="14">
        <f>IF(Distances!FN110&lt;&gt;0,(DA271+Distances!FN110*3)*FM271*AO265*2,"")</f>
        <v>188.136</v>
      </c>
      <c r="AP271" s="14">
        <f>IF(Distances!FO110&lt;&gt;0,(DB271+Distances!FO110*3)*FN271*AP265*2,"")</f>
        <v>188.50640000000001</v>
      </c>
      <c r="AQ271" s="14">
        <f>IF(Distances!FP110&lt;&gt;0,(DC271+Distances!FP110*3)*FO271*AQ265*2,"")</f>
        <v>190.31327999999999</v>
      </c>
      <c r="AR271" s="14">
        <f>IF(Distances!FQ110&lt;&gt;0,(DD271+Distances!FQ110*3)*FP271*AR265*2,"")</f>
        <v>238.13855999999996</v>
      </c>
      <c r="AS271" s="14">
        <f>IF(Distances!FR110&lt;&gt;0,(DE271+Distances!FR110*3)*FQ271*AS265*2,"")</f>
        <v>238.13855999999996</v>
      </c>
      <c r="AT271" s="14">
        <f>IF(Distances!FS110&lt;&gt;0,(DF271+Distances!FS110*3)*FR271*AT265*2,"")</f>
        <v>238.13855999999996</v>
      </c>
      <c r="AU271" s="14">
        <f>IF(Distances!FT110&lt;&gt;0,(DG271+Distances!FT110*3)*FS271*AU265*2,"")</f>
        <v>1623.9962879999998</v>
      </c>
      <c r="AV271" s="14">
        <f>IF(Distances!FU110&lt;&gt;0,(DH271+Distances!FU110*3)*FT271*AV265*2,"")</f>
        <v>747.11223529411768</v>
      </c>
      <c r="AW271" s="14">
        <f>IF(Distances!FV110&lt;&gt;0,(DI271+Distances!FV110*3)*FU271*AW265*2,"")</f>
        <v>1367.0975999999998</v>
      </c>
      <c r="AX271" s="14">
        <f>IF(Distances!FW110&lt;&gt;0,(DJ271+Distances!FW110*3)*FV271*AX265*2,"")</f>
        <v>573.71663999999987</v>
      </c>
      <c r="AY271" s="14">
        <f>IF(Distances!FX110&lt;&gt;0,(DK271+Distances!FX110*3)*FW271*AY265*2,"")</f>
        <v>322.71272727272725</v>
      </c>
      <c r="AZ271" s="14">
        <f>IF(Distances!FY110&lt;&gt;0,(DL271+Distances!FY110*3)*FX271*AZ265*2,"")</f>
        <v>499.50798545454546</v>
      </c>
      <c r="BA271" s="14">
        <f>IF(Distances!FZ110&lt;&gt;0,(DM271+Distances!FZ110*3)*FY271*BA265*2,"")</f>
        <v>475.40889599999997</v>
      </c>
      <c r="BB271" s="14">
        <f>IF(Distances!GA110&lt;&gt;0,(DN271+Distances!GA110*3)*FZ271*BB265*2,"")</f>
        <v>613.15919999999994</v>
      </c>
      <c r="BC271" s="14">
        <f>IF(Distances!GB110&lt;&gt;0,(DO271+Distances!GB110*3)*GA271*BC265*2,"")</f>
        <v>3643.9265279999995</v>
      </c>
      <c r="BD271" s="14">
        <f>IF(Distances!GC110&lt;&gt;0,(DP271+Distances!GC110*3)*GB271*BD265*2,"")</f>
        <v>3799.7133531428567</v>
      </c>
      <c r="BE271" s="14">
        <f>IF(Distances!GD110&lt;&gt;0,(DQ271+Distances!GD110*3)*GC271*BE265*2,"")</f>
        <v>3667.8082559999998</v>
      </c>
      <c r="BF271" s="14">
        <f>IF(Distances!GE110&lt;&gt;0,(DR271+Distances!GE110*3)*GD271*BF265*2,"")</f>
        <v>794.30859428571432</v>
      </c>
      <c r="BG271" s="14">
        <f>IF(Distances!GF110&lt;&gt;0,(DS271+Distances!GF110*3)*GE271*BG265*2,"")</f>
        <v>598.53552000000002</v>
      </c>
      <c r="BH271" s="14">
        <f>IF(Distances!GG110&lt;&gt;0,(DT271+Distances!GG110*3)*GF271*BH265*2,"")</f>
        <v>375.25823999999994</v>
      </c>
      <c r="BI271" s="14">
        <f>IF(Distances!GH110&lt;&gt;0,(DU271+Distances!GH110*3)*GG271*BI265*2,"")</f>
        <v>394.36773209302322</v>
      </c>
      <c r="BJ271" s="15">
        <f>IF(Distances!GI110&lt;&gt;0,(DV271+Distances!GI110*3)*GH271*BJ265*2,"")</f>
        <v>394.36773209302322</v>
      </c>
      <c r="BM271" s="35" t="s">
        <v>6</v>
      </c>
      <c r="BN271" s="11">
        <v>2318.7864</v>
      </c>
      <c r="BO271" s="13">
        <v>1608.2051999999999</v>
      </c>
      <c r="BP271" s="13">
        <v>2449.1543999999999</v>
      </c>
      <c r="BQ271" s="13">
        <v>2449.1543999999999</v>
      </c>
      <c r="BR271" s="13">
        <v>2594.5920000000001</v>
      </c>
      <c r="BS271" s="12">
        <v>0</v>
      </c>
      <c r="BT271" s="13">
        <v>531.71159999999998</v>
      </c>
      <c r="BU271" s="13">
        <v>0</v>
      </c>
      <c r="BV271" s="13">
        <v>2609.1156000000001</v>
      </c>
      <c r="BW271" s="13">
        <v>2609.1156000000001</v>
      </c>
      <c r="BX271" s="13">
        <v>536.91119999999989</v>
      </c>
      <c r="BY271" s="13">
        <v>536.91119999999989</v>
      </c>
      <c r="BZ271" s="13">
        <v>1074.8555999999999</v>
      </c>
      <c r="CA271" s="14">
        <v>1547.4564</v>
      </c>
      <c r="CB271" s="14">
        <v>2196.0036</v>
      </c>
      <c r="CC271" s="14">
        <v>2594.7431999999999</v>
      </c>
      <c r="CD271" s="14">
        <v>2570.2739999999999</v>
      </c>
      <c r="CE271" s="14">
        <v>2643.6815999999999</v>
      </c>
      <c r="CF271" s="14">
        <v>2521.3355999999999</v>
      </c>
      <c r="CG271" s="14">
        <v>1900.6343999999999</v>
      </c>
      <c r="CH271" s="14">
        <v>2937.5135999999998</v>
      </c>
      <c r="CI271" s="14">
        <v>2545.8047999999999</v>
      </c>
      <c r="CJ271" s="14">
        <v>2245.4375999999997</v>
      </c>
      <c r="CK271" s="14">
        <v>2521.3355999999999</v>
      </c>
      <c r="CL271" s="14">
        <v>2435.8488000000002</v>
      </c>
      <c r="CM271" s="14">
        <v>2391.5807999999997</v>
      </c>
      <c r="CN271" s="14">
        <v>2303.0364</v>
      </c>
      <c r="CO271" s="14">
        <v>2280.9023999999999</v>
      </c>
      <c r="CP271" s="14">
        <v>2245.4375999999997</v>
      </c>
      <c r="CQ271" s="14">
        <v>2937.5135999999998</v>
      </c>
      <c r="CR271" s="14">
        <v>2937.5135999999998</v>
      </c>
      <c r="CS271" s="14">
        <v>2937.5135999999998</v>
      </c>
      <c r="CT271" s="14">
        <v>1260.7560000000001</v>
      </c>
      <c r="CU271" s="14">
        <v>1640.8812</v>
      </c>
      <c r="CV271" s="14">
        <v>1260.7560000000001</v>
      </c>
      <c r="CW271" s="14">
        <v>1688.6435999999999</v>
      </c>
      <c r="CX271" s="14">
        <v>409.2312</v>
      </c>
      <c r="CY271" s="14">
        <v>409.2312</v>
      </c>
      <c r="CZ271" s="14">
        <v>409.2312</v>
      </c>
      <c r="DA271" s="14">
        <v>1002.54</v>
      </c>
      <c r="DB271" s="14">
        <v>1021.986</v>
      </c>
      <c r="DC271" s="14">
        <v>1116.8471999999999</v>
      </c>
      <c r="DD271" s="14">
        <v>1543.962</v>
      </c>
      <c r="DE271" s="14">
        <v>1543.962</v>
      </c>
      <c r="DF271" s="14">
        <v>1543.962</v>
      </c>
      <c r="DG271" s="14">
        <v>1143.6768</v>
      </c>
      <c r="DH271" s="14">
        <v>1891.0079999999998</v>
      </c>
      <c r="DI271" s="14">
        <v>1891.0079999999998</v>
      </c>
      <c r="DJ271" s="14">
        <v>1165.4412</v>
      </c>
      <c r="DK271" s="14">
        <v>0</v>
      </c>
      <c r="DL271" s="14">
        <v>3473.7695999999996</v>
      </c>
      <c r="DM271" s="14">
        <v>1524.9695999999999</v>
      </c>
      <c r="DN271" s="14">
        <v>1855.6859999999999</v>
      </c>
      <c r="DO271" s="14">
        <v>1089.2616</v>
      </c>
      <c r="DP271" s="14">
        <v>1165.4412</v>
      </c>
      <c r="DQ271" s="14">
        <v>1154.5632000000001</v>
      </c>
      <c r="DR271" s="14">
        <v>2130.5003999999999</v>
      </c>
      <c r="DS271" s="14">
        <v>1599.7716</v>
      </c>
      <c r="DT271" s="14">
        <v>1210.4651999999999</v>
      </c>
      <c r="DU271" s="14">
        <v>1724.0328</v>
      </c>
      <c r="DV271" s="15">
        <v>1724.0328</v>
      </c>
      <c r="DY271" s="35" t="s">
        <v>6</v>
      </c>
      <c r="DZ271" s="11">
        <f t="shared" si="99"/>
        <v>1.6666666666666666E-2</v>
      </c>
      <c r="EA271" s="13">
        <f t="shared" si="99"/>
        <v>1.6666666666666666E-2</v>
      </c>
      <c r="EB271" s="13">
        <f t="shared" si="99"/>
        <v>1.6666666666666666E-2</v>
      </c>
      <c r="EC271" s="13">
        <f t="shared" si="99"/>
        <v>1.6666666666666666E-2</v>
      </c>
      <c r="ED271" s="13">
        <f t="shared" si="99"/>
        <v>1.6666666666666666E-2</v>
      </c>
      <c r="EE271" s="12">
        <v>0.6</v>
      </c>
      <c r="EF271" s="13">
        <f t="shared" si="99"/>
        <v>1.6666666666666666E-2</v>
      </c>
      <c r="EG271" s="13">
        <f t="shared" si="99"/>
        <v>1.6666666666666666E-2</v>
      </c>
      <c r="EH271" s="13">
        <f t="shared" si="99"/>
        <v>1.6666666666666666E-2</v>
      </c>
      <c r="EI271" s="13">
        <f t="shared" si="99"/>
        <v>1.6666666666666666E-2</v>
      </c>
      <c r="EJ271" s="13">
        <f t="shared" si="99"/>
        <v>1.6666666666666666E-2</v>
      </c>
      <c r="EK271" s="13">
        <f t="shared" si="99"/>
        <v>1.6666666666666666E-2</v>
      </c>
      <c r="EL271" s="13">
        <f t="shared" si="99"/>
        <v>1.6666666666666666E-2</v>
      </c>
      <c r="EM271" s="14">
        <v>4.6511627906976744E-3</v>
      </c>
      <c r="EN271" s="14">
        <v>4.6511627906976744E-3</v>
      </c>
      <c r="EO271" s="14">
        <v>7.1428571428571435E-3</v>
      </c>
      <c r="EP271" s="14">
        <v>7.1428571428571435E-3</v>
      </c>
      <c r="EQ271" s="14">
        <v>7.1428571428571435E-3</v>
      </c>
      <c r="ER271" s="14">
        <v>7.1428571428571435E-3</v>
      </c>
      <c r="ES271" s="14">
        <v>7.1428571428571435E-3</v>
      </c>
      <c r="ET271" s="14">
        <v>7.1428571428571435E-3</v>
      </c>
      <c r="EU271" s="14">
        <v>7.1428571428571435E-3</v>
      </c>
      <c r="EV271" s="14">
        <v>7.1428571428571435E-3</v>
      </c>
      <c r="EW271" s="14">
        <v>7.1428571428571435E-3</v>
      </c>
      <c r="EX271" s="14">
        <v>7.1428571428571435E-3</v>
      </c>
      <c r="EY271" s="14">
        <v>7.1428571428571435E-3</v>
      </c>
      <c r="EZ271" s="14">
        <v>7.1428571428571435E-3</v>
      </c>
      <c r="FA271" s="14">
        <v>7.1428571428571435E-3</v>
      </c>
      <c r="FB271" s="14">
        <v>7.1428571428571435E-3</v>
      </c>
      <c r="FC271" s="14">
        <v>7.1428571428571435E-3</v>
      </c>
      <c r="FD271" s="14">
        <v>7.1428571428571435E-3</v>
      </c>
      <c r="FE271" s="14">
        <v>7.1428571428571435E-3</v>
      </c>
      <c r="FF271" s="14">
        <v>5.7142857142857143E-3</v>
      </c>
      <c r="FG271" s="14">
        <v>5.7142857142857143E-3</v>
      </c>
      <c r="FH271" s="14">
        <v>5.7142857142857143E-3</v>
      </c>
      <c r="FI271" s="14">
        <v>5.7142857142857143E-3</v>
      </c>
      <c r="FJ271" s="14">
        <v>5.7142857142857143E-3</v>
      </c>
      <c r="FK271" s="14">
        <v>5.7142857142857143E-3</v>
      </c>
      <c r="FL271" s="14">
        <v>5.7142857142857143E-3</v>
      </c>
      <c r="FM271" s="14">
        <v>4.7619047619047623E-3</v>
      </c>
      <c r="FN271" s="14">
        <v>4.7619047619047623E-3</v>
      </c>
      <c r="FO271" s="14">
        <v>4.7619047619047623E-3</v>
      </c>
      <c r="FP271" s="14">
        <v>5.7142857142857143E-3</v>
      </c>
      <c r="FQ271" s="14">
        <v>5.7142857142857143E-3</v>
      </c>
      <c r="FR271" s="14">
        <v>5.7142857142857143E-3</v>
      </c>
      <c r="FS271" s="14">
        <v>5.7142857142857143E-3</v>
      </c>
      <c r="FT271" s="14">
        <v>5.8823529411764705E-3</v>
      </c>
      <c r="FU271" s="14">
        <v>5.7142857142857143E-3</v>
      </c>
      <c r="FV271" s="14">
        <v>5.7142857142857143E-3</v>
      </c>
      <c r="FW271" s="14">
        <v>4.5454545454545461E-3</v>
      </c>
      <c r="FX271" s="14">
        <v>4.5454545454545461E-3</v>
      </c>
      <c r="FY271" s="14">
        <v>5.7142857142857143E-3</v>
      </c>
      <c r="FZ271" s="14">
        <v>7.1428571428571435E-3</v>
      </c>
      <c r="GA271" s="14">
        <v>5.7142857142857143E-3</v>
      </c>
      <c r="GB271" s="14">
        <v>5.7142857142857143E-3</v>
      </c>
      <c r="GC271" s="14">
        <v>5.7142857142857143E-3</v>
      </c>
      <c r="GD271" s="14">
        <v>7.1428571428571435E-3</v>
      </c>
      <c r="GE271" s="14">
        <v>7.1428571428571435E-3</v>
      </c>
      <c r="GF271" s="14">
        <v>4.6511627906976744E-3</v>
      </c>
      <c r="GG271" s="14">
        <v>4.6511627906976744E-3</v>
      </c>
      <c r="GH271" s="15">
        <v>4.6511627906976744E-3</v>
      </c>
    </row>
    <row r="272" spans="1:190" x14ac:dyDescent="0.3">
      <c r="A272" s="35" t="s">
        <v>63</v>
      </c>
      <c r="B272" s="11" t="s">
        <v>62</v>
      </c>
      <c r="C272" s="13" t="s">
        <v>62</v>
      </c>
      <c r="D272" s="13">
        <f>IF(Distances!EC111&lt;&gt;0,(BP272+Distances!EC111*3)*EB272*D265*2,"")</f>
        <v>62408.263599999998</v>
      </c>
      <c r="E272" s="13" t="s">
        <v>62</v>
      </c>
      <c r="F272" s="13">
        <f>IF(Distances!EE111&lt;&gt;0,(BR272+Distances!EE111*3)*ED272*F265*2,"")</f>
        <v>20396.045039999997</v>
      </c>
      <c r="G272" s="13">
        <f>IF(Distances!EF111&lt;&gt;0,(BS272+Distances!EF111*3)*EE272*G265*2,"")</f>
        <v>63335.831439999987</v>
      </c>
      <c r="H272" s="12" t="s">
        <v>62</v>
      </c>
      <c r="I272" s="13" t="s">
        <v>62</v>
      </c>
      <c r="J272" s="13">
        <f>IF(Distances!EI111&lt;&gt;0,(BV272+Distances!EI111*3)*EH272*J265*2,"")</f>
        <v>597.03471999999999</v>
      </c>
      <c r="K272" s="13" t="s">
        <v>62</v>
      </c>
      <c r="L272" s="13" t="s">
        <v>62</v>
      </c>
      <c r="M272" s="13" t="s">
        <v>62</v>
      </c>
      <c r="N272" s="13" t="s">
        <v>62</v>
      </c>
      <c r="O272" s="14" t="s">
        <v>62</v>
      </c>
      <c r="P272" s="14" t="s">
        <v>62</v>
      </c>
      <c r="Q272" s="14" t="s">
        <v>62</v>
      </c>
      <c r="R272" s="14" t="s">
        <v>62</v>
      </c>
      <c r="S272" s="14" t="s">
        <v>62</v>
      </c>
      <c r="T272" s="14">
        <f>IF(Distances!ES111&lt;&gt;0,(CF272+Distances!ES111*3)*ER272*T265*2,"")</f>
        <v>329.62716</v>
      </c>
      <c r="U272" s="14">
        <f>IF(Distances!ET111&lt;&gt;0,(CG272+Distances!ET111*3)*ES272*U265*2,"")</f>
        <v>329.0172</v>
      </c>
      <c r="V272" s="14">
        <f>IF(Distances!EU111&lt;&gt;0,(CH272+Distances!EU111*3)*ET272*V265*2,"")</f>
        <v>3790.1793600000001</v>
      </c>
      <c r="W272" s="14" t="s">
        <v>62</v>
      </c>
      <c r="X272" s="14">
        <f>IF(Distances!EW111&lt;&gt;0,(CJ272+Distances!EW111*3)*EV272*X265*2,"")</f>
        <v>2281.013725714286</v>
      </c>
      <c r="Y272" s="14">
        <f>IF(Distances!EX111&lt;&gt;0,(CK272+Distances!EX111*3)*EW272*Y265*2,"")</f>
        <v>2821.4676685714289</v>
      </c>
      <c r="Z272" s="14">
        <f>IF(Distances!EY111&lt;&gt;0,(CL272+Distances!EY111*3)*EX272*Z265*2,"")</f>
        <v>79.230102857142853</v>
      </c>
      <c r="AA272" s="14">
        <f>IF(Distances!EZ111&lt;&gt;0,(CM272+Distances!EZ111*3)*EY272*AA265*2,"")</f>
        <v>83.345588571428578</v>
      </c>
      <c r="AB272" s="14">
        <f>IF(Distances!FA111&lt;&gt;0,(CN272+Distances!FA111*3)*EZ272*AB265*2,"")</f>
        <v>101.99989714285715</v>
      </c>
      <c r="AC272" s="14" t="s">
        <v>62</v>
      </c>
      <c r="AD272" s="14" t="s">
        <v>62</v>
      </c>
      <c r="AE272" s="14">
        <f>IF(Distances!FD111&lt;&gt;0,(CQ272+Distances!FD111*3)*FC272*AE265*2,"")</f>
        <v>171.93298285714286</v>
      </c>
      <c r="AF272" s="14">
        <f>IF(Distances!FE111&lt;&gt;0,(CR272+Distances!FE111*3)*FD272*AF265*2,"")</f>
        <v>338.0373942857143</v>
      </c>
      <c r="AG272" s="14">
        <f>IF(Distances!FF111&lt;&gt;0,(CS272+Distances!FF111*3)*FE272*AG265*2,"")</f>
        <v>280.36882285714285</v>
      </c>
      <c r="AH272" s="14">
        <f>IF(Distances!FG111&lt;&gt;0,(CT272+Distances!FG111*3)*FF272*AH265*2,"")</f>
        <v>68.129033142857139</v>
      </c>
      <c r="AI272" s="14" t="s">
        <v>62</v>
      </c>
      <c r="AJ272" s="14">
        <f>IF(Distances!FI111&lt;&gt;0,(CV272+Distances!FI111*3)*FH272*AJ265*2,"")</f>
        <v>54.291318857142862</v>
      </c>
      <c r="AK272" s="14" t="s">
        <v>62</v>
      </c>
      <c r="AL272" s="14" t="s">
        <v>62</v>
      </c>
      <c r="AM272" s="14" t="s">
        <v>62</v>
      </c>
      <c r="AN272" s="14">
        <f>IF(Distances!FM111&lt;&gt;0,(CZ272+Distances!FM111*3)*FL272*AN265*2,"")</f>
        <v>561.12800914285708</v>
      </c>
      <c r="AO272" s="14" t="s">
        <v>62</v>
      </c>
      <c r="AP272" s="14" t="s">
        <v>62</v>
      </c>
      <c r="AQ272" s="14" t="s">
        <v>62</v>
      </c>
      <c r="AR272" s="14" t="s">
        <v>62</v>
      </c>
      <c r="AS272" s="14" t="s">
        <v>62</v>
      </c>
      <c r="AT272" s="14" t="s">
        <v>62</v>
      </c>
      <c r="AU272" s="14">
        <f>IF(Distances!FT111&lt;&gt;0,(DG272+Distances!FT111*3)*FS272*AU265*2,"")</f>
        <v>227.992896</v>
      </c>
      <c r="AV272" s="14">
        <f>IF(Distances!FU111&lt;&gt;0,(DH272+Distances!FU111*3)*FT272*AV265*2,"")</f>
        <v>231.78508235294115</v>
      </c>
      <c r="AW272" s="14">
        <f>IF(Distances!FV111&lt;&gt;0,(DI272+Distances!FV111*3)*FU272*AW265*2,"")</f>
        <v>866.49407999999994</v>
      </c>
      <c r="AX272" s="14" t="s">
        <v>62</v>
      </c>
      <c r="AY272" s="14" t="s">
        <v>62</v>
      </c>
      <c r="AZ272" s="14">
        <f>IF(Distances!FY111&lt;&gt;0,(DL272+Distances!FY111*3)*FX272*AZ265*2,"")</f>
        <v>179.31525818181819</v>
      </c>
      <c r="BA272" s="14" t="s">
        <v>62</v>
      </c>
      <c r="BB272" s="14" t="s">
        <v>62</v>
      </c>
      <c r="BC272" s="14" t="s">
        <v>62</v>
      </c>
      <c r="BD272" s="14">
        <f>IF(Distances!GC111&lt;&gt;0,(DP272+Distances!GC111*3)*GB272*BD265*2,"")</f>
        <v>609.89293714285714</v>
      </c>
      <c r="BE272" s="14" t="s">
        <v>62</v>
      </c>
      <c r="BF272" s="14">
        <f>IF(Distances!GE111&lt;&gt;0,(DR272+Distances!GE111*3)*GD272*BF265*2,"")</f>
        <v>294.93723428571428</v>
      </c>
      <c r="BG272" s="14" t="s">
        <v>62</v>
      </c>
      <c r="BH272" s="14" t="s">
        <v>62</v>
      </c>
      <c r="BI272" s="14" t="s">
        <v>62</v>
      </c>
      <c r="BJ272" s="15" t="s">
        <v>62</v>
      </c>
      <c r="BM272" s="35" t="s">
        <v>63</v>
      </c>
      <c r="BN272" s="11">
        <v>2695.3835999999997</v>
      </c>
      <c r="BO272" s="13">
        <v>1928.8415999999997</v>
      </c>
      <c r="BP272" s="13">
        <v>2676.9539999999997</v>
      </c>
      <c r="BQ272" s="13">
        <v>2676.9539999999997</v>
      </c>
      <c r="BR272" s="13">
        <v>2835.9155999999998</v>
      </c>
      <c r="BS272" s="13">
        <v>531.71159999999998</v>
      </c>
      <c r="BT272" s="12">
        <v>0</v>
      </c>
      <c r="BU272" s="13">
        <v>554.92919999999992</v>
      </c>
      <c r="BV272" s="13">
        <v>2870.9603999999999</v>
      </c>
      <c r="BW272" s="13">
        <v>2870.9603999999999</v>
      </c>
      <c r="BX272" s="13">
        <v>456.25439999999998</v>
      </c>
      <c r="BY272" s="13">
        <v>456.25439999999998</v>
      </c>
      <c r="BZ272" s="13">
        <v>1182.8796</v>
      </c>
      <c r="CA272" s="14">
        <v>1442.0952</v>
      </c>
      <c r="CB272" s="14">
        <v>2085.9720000000002</v>
      </c>
      <c r="CC272" s="14">
        <v>2692.0824000000002</v>
      </c>
      <c r="CD272" s="14">
        <v>2666.6976</v>
      </c>
      <c r="CE272" s="14">
        <v>2742.8604</v>
      </c>
      <c r="CF272" s="14">
        <v>2616.1715999999997</v>
      </c>
      <c r="CG272" s="14">
        <v>2331.672</v>
      </c>
      <c r="CH272" s="14">
        <v>3032.9543999999996</v>
      </c>
      <c r="CI272" s="14">
        <v>2641.3044</v>
      </c>
      <c r="CJ272" s="14">
        <v>2346.4476</v>
      </c>
      <c r="CK272" s="14">
        <v>2615.9196000000002</v>
      </c>
      <c r="CL272" s="14">
        <v>2539.3535999999999</v>
      </c>
      <c r="CM272" s="14">
        <v>2493.1956</v>
      </c>
      <c r="CN272" s="14">
        <v>2400.8964000000001</v>
      </c>
      <c r="CO272" s="14">
        <v>2377.8215999999998</v>
      </c>
      <c r="CP272" s="14">
        <v>2346.4476</v>
      </c>
      <c r="CQ272" s="14">
        <v>3032.9543999999996</v>
      </c>
      <c r="CR272" s="14">
        <v>3032.9543999999996</v>
      </c>
      <c r="CS272" s="14">
        <v>3032.9543999999996</v>
      </c>
      <c r="CT272" s="14">
        <v>1802.6904</v>
      </c>
      <c r="CU272" s="14">
        <v>2140.5552000000002</v>
      </c>
      <c r="CV272" s="14">
        <v>1802.6904</v>
      </c>
      <c r="CW272" s="14">
        <v>2202.8747999999996</v>
      </c>
      <c r="CX272" s="14">
        <v>445.43519999999995</v>
      </c>
      <c r="CY272" s="14">
        <v>445.43519999999995</v>
      </c>
      <c r="CZ272" s="14">
        <v>445.43519999999995</v>
      </c>
      <c r="DA272" s="14">
        <v>1111.866</v>
      </c>
      <c r="DB272" s="14">
        <v>1133.4371999999998</v>
      </c>
      <c r="DC272" s="14">
        <v>1230.8435999999999</v>
      </c>
      <c r="DD272" s="14">
        <v>1649.1887999999999</v>
      </c>
      <c r="DE272" s="14">
        <v>1649.1887999999999</v>
      </c>
      <c r="DF272" s="14">
        <v>1649.1887999999999</v>
      </c>
      <c r="DG272" s="14">
        <v>1293.2556</v>
      </c>
      <c r="DH272" s="14">
        <v>2005.0463999999999</v>
      </c>
      <c r="DI272" s="14">
        <v>2005.0463999999999</v>
      </c>
      <c r="DJ272" s="14">
        <v>1317.876</v>
      </c>
      <c r="DK272" s="14">
        <v>0</v>
      </c>
      <c r="DL272" s="14">
        <v>3543.0695999999994</v>
      </c>
      <c r="DM272" s="14">
        <v>1546.5491999999999</v>
      </c>
      <c r="DN272" s="14">
        <v>1967.5824</v>
      </c>
      <c r="DO272" s="14">
        <v>1231.7256</v>
      </c>
      <c r="DP272" s="14">
        <v>1317.876</v>
      </c>
      <c r="DQ272" s="14">
        <v>1305.57</v>
      </c>
      <c r="DR272" s="14">
        <v>2266.1015999999995</v>
      </c>
      <c r="DS272" s="14">
        <v>1722.21</v>
      </c>
      <c r="DT272" s="14">
        <v>1408.1088</v>
      </c>
      <c r="DU272" s="14">
        <v>2027.2896000000001</v>
      </c>
      <c r="DV272" s="15">
        <v>2027.2896000000001</v>
      </c>
      <c r="DY272" s="35" t="s">
        <v>63</v>
      </c>
      <c r="DZ272" s="11">
        <f t="shared" si="99"/>
        <v>1.6666666666666666E-2</v>
      </c>
      <c r="EA272" s="13">
        <f t="shared" si="99"/>
        <v>1.6666666666666666E-2</v>
      </c>
      <c r="EB272" s="13">
        <f t="shared" si="99"/>
        <v>1.6666666666666666E-2</v>
      </c>
      <c r="EC272" s="13">
        <f t="shared" si="99"/>
        <v>1.6666666666666666E-2</v>
      </c>
      <c r="ED272" s="13">
        <f t="shared" si="99"/>
        <v>1.6666666666666666E-2</v>
      </c>
      <c r="EE272" s="13">
        <f t="shared" si="99"/>
        <v>1.6666666666666666E-2</v>
      </c>
      <c r="EF272" s="12">
        <v>0.6</v>
      </c>
      <c r="EG272" s="13">
        <f t="shared" si="99"/>
        <v>1.6666666666666666E-2</v>
      </c>
      <c r="EH272" s="13">
        <f t="shared" si="99"/>
        <v>1.6666666666666666E-2</v>
      </c>
      <c r="EI272" s="13">
        <f t="shared" si="99"/>
        <v>1.6666666666666666E-2</v>
      </c>
      <c r="EJ272" s="13">
        <f t="shared" si="99"/>
        <v>1.6666666666666666E-2</v>
      </c>
      <c r="EK272" s="13">
        <f t="shared" si="99"/>
        <v>1.6666666666666666E-2</v>
      </c>
      <c r="EL272" s="13">
        <f t="shared" si="99"/>
        <v>1.6666666666666666E-2</v>
      </c>
      <c r="EM272" s="14">
        <v>4.6511627906976744E-3</v>
      </c>
      <c r="EN272" s="14">
        <v>4.6511627906976744E-3</v>
      </c>
      <c r="EO272" s="14">
        <v>7.1428571428571435E-3</v>
      </c>
      <c r="EP272" s="14">
        <v>7.1428571428571435E-3</v>
      </c>
      <c r="EQ272" s="14">
        <v>7.1428571428571435E-3</v>
      </c>
      <c r="ER272" s="14">
        <v>7.1428571428571435E-3</v>
      </c>
      <c r="ES272" s="14">
        <v>7.1428571428571435E-3</v>
      </c>
      <c r="ET272" s="14">
        <v>7.1428571428571435E-3</v>
      </c>
      <c r="EU272" s="14">
        <v>7.1428571428571435E-3</v>
      </c>
      <c r="EV272" s="14">
        <v>7.1428571428571435E-3</v>
      </c>
      <c r="EW272" s="14">
        <v>7.1428571428571435E-3</v>
      </c>
      <c r="EX272" s="14">
        <v>7.1428571428571435E-3</v>
      </c>
      <c r="EY272" s="14">
        <v>7.1428571428571435E-3</v>
      </c>
      <c r="EZ272" s="14">
        <v>7.1428571428571435E-3</v>
      </c>
      <c r="FA272" s="14">
        <v>7.1428571428571435E-3</v>
      </c>
      <c r="FB272" s="14">
        <v>7.1428571428571435E-3</v>
      </c>
      <c r="FC272" s="14">
        <v>7.1428571428571435E-3</v>
      </c>
      <c r="FD272" s="14">
        <v>7.1428571428571435E-3</v>
      </c>
      <c r="FE272" s="14">
        <v>7.1428571428571435E-3</v>
      </c>
      <c r="FF272" s="14">
        <v>5.7142857142857143E-3</v>
      </c>
      <c r="FG272" s="14">
        <v>5.7142857142857143E-3</v>
      </c>
      <c r="FH272" s="14">
        <v>5.7142857142857143E-3</v>
      </c>
      <c r="FI272" s="14">
        <v>5.7142857142857143E-3</v>
      </c>
      <c r="FJ272" s="14">
        <v>5.7142857142857143E-3</v>
      </c>
      <c r="FK272" s="14">
        <v>5.7142857142857143E-3</v>
      </c>
      <c r="FL272" s="14">
        <v>5.7142857142857143E-3</v>
      </c>
      <c r="FM272" s="14">
        <v>4.7619047619047623E-3</v>
      </c>
      <c r="FN272" s="14">
        <v>4.7619047619047623E-3</v>
      </c>
      <c r="FO272" s="14">
        <v>4.7619047619047623E-3</v>
      </c>
      <c r="FP272" s="14">
        <v>5.7142857142857143E-3</v>
      </c>
      <c r="FQ272" s="14">
        <v>5.7142857142857143E-3</v>
      </c>
      <c r="FR272" s="14">
        <v>5.7142857142857143E-3</v>
      </c>
      <c r="FS272" s="14">
        <v>5.7142857142857143E-3</v>
      </c>
      <c r="FT272" s="14">
        <v>5.8823529411764705E-3</v>
      </c>
      <c r="FU272" s="14">
        <v>5.7142857142857143E-3</v>
      </c>
      <c r="FV272" s="14">
        <v>5.7142857142857143E-3</v>
      </c>
      <c r="FW272" s="14">
        <v>4.5454545454545461E-3</v>
      </c>
      <c r="FX272" s="14">
        <v>4.5454545454545461E-3</v>
      </c>
      <c r="FY272" s="14">
        <v>5.7142857142857143E-3</v>
      </c>
      <c r="FZ272" s="14">
        <v>7.1428571428571435E-3</v>
      </c>
      <c r="GA272" s="14">
        <v>5.7142857142857143E-3</v>
      </c>
      <c r="GB272" s="14">
        <v>5.7142857142857143E-3</v>
      </c>
      <c r="GC272" s="14">
        <v>5.7142857142857143E-3</v>
      </c>
      <c r="GD272" s="14">
        <v>7.1428571428571435E-3</v>
      </c>
      <c r="GE272" s="14">
        <v>7.1428571428571435E-3</v>
      </c>
      <c r="GF272" s="14">
        <v>4.6511627906976744E-3</v>
      </c>
      <c r="GG272" s="14">
        <v>4.6511627906976744E-3</v>
      </c>
      <c r="GH272" s="15">
        <v>4.6511627906976744E-3</v>
      </c>
    </row>
    <row r="273" spans="1:190" x14ac:dyDescent="0.3">
      <c r="A273" s="35" t="s">
        <v>8</v>
      </c>
      <c r="B273" s="11" t="s">
        <v>62</v>
      </c>
      <c r="C273" s="13" t="s">
        <v>62</v>
      </c>
      <c r="D273" s="13">
        <f>IF(Distances!EC112&lt;&gt;0,(BP273+Distances!EC112*3)*EB273*D265*2,"")</f>
        <v>60874.412959999994</v>
      </c>
      <c r="E273" s="13" t="s">
        <v>62</v>
      </c>
      <c r="F273" s="13">
        <f>IF(Distances!EE112&lt;&gt;0,(BR273+Distances!EE112*3)*ED273*F265*2,"")</f>
        <v>18771.132799999999</v>
      </c>
      <c r="G273" s="13">
        <f>IF(Distances!EF112&lt;&gt;0,(BS273+Distances!EF112*3)*EE273*G265*2,"")</f>
        <v>59755.639999999985</v>
      </c>
      <c r="H273" s="13" t="s">
        <v>62</v>
      </c>
      <c r="I273" s="12" t="s">
        <v>62</v>
      </c>
      <c r="J273" s="13">
        <f>IF(Distances!EI112&lt;&gt;0,(BV273+Distances!EI112*3)*EH273*J265*2,"")</f>
        <v>562.12207999999998</v>
      </c>
      <c r="K273" s="13" t="s">
        <v>62</v>
      </c>
      <c r="L273" s="13" t="s">
        <v>62</v>
      </c>
      <c r="M273" s="13" t="s">
        <v>62</v>
      </c>
      <c r="N273" s="13" t="s">
        <v>62</v>
      </c>
      <c r="O273" s="14" t="s">
        <v>62</v>
      </c>
      <c r="P273" s="14" t="s">
        <v>62</v>
      </c>
      <c r="Q273" s="14" t="s">
        <v>62</v>
      </c>
      <c r="R273" s="14" t="s">
        <v>62</v>
      </c>
      <c r="S273" s="14" t="s">
        <v>62</v>
      </c>
      <c r="T273" s="14">
        <f>IF(Distances!ES112&lt;&gt;0,(CF273+Distances!ES112*3)*ER273*T265*2,"")</f>
        <v>320.14355999999998</v>
      </c>
      <c r="U273" s="14">
        <f>IF(Distances!ET112&lt;&gt;0,(CG273+Distances!ET112*3)*ES273*U265*2,"")</f>
        <v>285.91344000000004</v>
      </c>
      <c r="V273" s="14">
        <f>IF(Distances!EU112&lt;&gt;0,(CH273+Distances!EU112*3)*ET273*V265*2,"")</f>
        <v>3711.0998400000003</v>
      </c>
      <c r="W273" s="14" t="s">
        <v>62</v>
      </c>
      <c r="X273" s="14">
        <f>IF(Distances!EW112&lt;&gt;0,(CJ273+Distances!EW112*3)*EV273*X265*2,"")</f>
        <v>2197.3197257142856</v>
      </c>
      <c r="Y273" s="14">
        <f>IF(Distances!EX112&lt;&gt;0,(CK273+Distances!EX112*3)*EW273*Y265*2,"")</f>
        <v>2743.0980685714289</v>
      </c>
      <c r="Z273" s="14">
        <f>IF(Distances!EY112&lt;&gt;0,(CL273+Distances!EY112*3)*EX273*Z265*2,"")</f>
        <v>76.27282285714287</v>
      </c>
      <c r="AA273" s="14">
        <f>IF(Distances!EZ112&lt;&gt;0,(CM273+Distances!EZ112*3)*EY273*AA265*2,"")</f>
        <v>80.442308571428569</v>
      </c>
      <c r="AB273" s="14">
        <f>IF(Distances!FA112&lt;&gt;0,(CN273+Distances!FA112*3)*EZ273*AB265*2,"")</f>
        <v>99.203897142857144</v>
      </c>
      <c r="AC273" s="14" t="s">
        <v>62</v>
      </c>
      <c r="AD273" s="14" t="s">
        <v>62</v>
      </c>
      <c r="AE273" s="14">
        <f>IF(Distances!FD112&lt;&gt;0,(CQ273+Distances!FD112*3)*FC273*AE265*2,"")</f>
        <v>169.20610285714284</v>
      </c>
      <c r="AF273" s="14">
        <f>IF(Distances!FE112&lt;&gt;0,(CR273+Distances!FE112*3)*FD273*AF265*2,"")</f>
        <v>332.58363428571425</v>
      </c>
      <c r="AG273" s="14">
        <f>IF(Distances!FF112&lt;&gt;0,(CS273+Distances!FF112*3)*FE273*AG265*2,"")</f>
        <v>274.91506285714291</v>
      </c>
      <c r="AH273" s="14">
        <f>IF(Distances!FG112&lt;&gt;0,(CT273+Distances!FG112*3)*FF273*AH265*2,"")</f>
        <v>61.935497142857152</v>
      </c>
      <c r="AI273" s="14" t="s">
        <v>62</v>
      </c>
      <c r="AJ273" s="14">
        <f>IF(Distances!FI112&lt;&gt;0,(CV273+Distances!FI112*3)*FH273*AJ265*2,"")</f>
        <v>48.09778285714286</v>
      </c>
      <c r="AK273" s="14" t="s">
        <v>62</v>
      </c>
      <c r="AL273" s="14" t="s">
        <v>62</v>
      </c>
      <c r="AM273" s="14" t="s">
        <v>62</v>
      </c>
      <c r="AN273" s="14">
        <f>IF(Distances!FM112&lt;&gt;0,(CZ273+Distances!FM112*3)*FL273*AN265*2,"")</f>
        <v>538.78496914285711</v>
      </c>
      <c r="AO273" s="14" t="s">
        <v>62</v>
      </c>
      <c r="AP273" s="14" t="s">
        <v>62</v>
      </c>
      <c r="AQ273" s="14" t="s">
        <v>62</v>
      </c>
      <c r="AR273" s="14" t="s">
        <v>62</v>
      </c>
      <c r="AS273" s="14" t="s">
        <v>62</v>
      </c>
      <c r="AT273" s="14" t="s">
        <v>62</v>
      </c>
      <c r="AU273" s="14">
        <f>IF(Distances!FT112&lt;&gt;0,(DG273+Distances!FT112*3)*FS273*AU265*2,"")</f>
        <v>204.06028799999999</v>
      </c>
      <c r="AV273" s="14">
        <f>IF(Distances!FU112&lt;&gt;0,(DH273+Distances!FU112*3)*FT273*AV265*2,"")</f>
        <v>225.07694117647054</v>
      </c>
      <c r="AW273" s="14">
        <f>IF(Distances!FV112&lt;&gt;0,(DI273+Distances!FV112*3)*FU273*AW265*2,"")</f>
        <v>859.97759999999982</v>
      </c>
      <c r="AX273" s="14" t="s">
        <v>62</v>
      </c>
      <c r="AY273" s="14" t="s">
        <v>62</v>
      </c>
      <c r="AZ273" s="14">
        <f>IF(Distances!FY112&lt;&gt;0,(DL273+Distances!FY112*3)*FX273*AZ265*2,"")</f>
        <v>176.79525818181821</v>
      </c>
      <c r="BA273" s="14" t="s">
        <v>62</v>
      </c>
      <c r="BB273" s="14" t="s">
        <v>62</v>
      </c>
      <c r="BC273" s="14" t="s">
        <v>62</v>
      </c>
      <c r="BD273" s="14">
        <f>IF(Distances!GC112&lt;&gt;0,(DP273+Distances!GC112*3)*GB273*BD265*2,"")</f>
        <v>554.14535314285718</v>
      </c>
      <c r="BE273" s="14" t="s">
        <v>62</v>
      </c>
      <c r="BF273" s="14">
        <f>IF(Distances!GE112&lt;&gt;0,(DR273+Distances!GE112*3)*GD273*BF265*2,"")</f>
        <v>287.18859428571432</v>
      </c>
      <c r="BG273" s="14" t="s">
        <v>62</v>
      </c>
      <c r="BH273" s="14" t="s">
        <v>62</v>
      </c>
      <c r="BI273" s="14" t="s">
        <v>62</v>
      </c>
      <c r="BJ273" s="15" t="s">
        <v>62</v>
      </c>
      <c r="BM273" s="35" t="s">
        <v>8</v>
      </c>
      <c r="BN273" s="11">
        <v>2318.7864</v>
      </c>
      <c r="BO273" s="13">
        <v>1608.2051999999999</v>
      </c>
      <c r="BP273" s="13">
        <v>2449.1543999999999</v>
      </c>
      <c r="BQ273" s="13">
        <v>2449.1543999999999</v>
      </c>
      <c r="BR273" s="13">
        <v>2594.5920000000001</v>
      </c>
      <c r="BS273" s="13">
        <v>0</v>
      </c>
      <c r="BT273" s="13">
        <v>554.92919999999992</v>
      </c>
      <c r="BU273" s="12">
        <v>0</v>
      </c>
      <c r="BV273" s="13">
        <v>2609.1156000000001</v>
      </c>
      <c r="BW273" s="13">
        <v>2609.1156000000001</v>
      </c>
      <c r="BX273" s="13">
        <v>536.91119999999989</v>
      </c>
      <c r="BY273" s="13">
        <v>536.91119999999989</v>
      </c>
      <c r="BZ273" s="13">
        <v>1074.8555999999999</v>
      </c>
      <c r="CA273" s="14">
        <v>1547.4564</v>
      </c>
      <c r="CB273" s="14">
        <v>2196.0036</v>
      </c>
      <c r="CC273" s="14">
        <v>2594.7431999999999</v>
      </c>
      <c r="CD273" s="14">
        <v>2570.2739999999999</v>
      </c>
      <c r="CE273" s="14">
        <v>2643.6815999999999</v>
      </c>
      <c r="CF273" s="14">
        <v>2521.3355999999999</v>
      </c>
      <c r="CG273" s="14">
        <v>1900.6343999999999</v>
      </c>
      <c r="CH273" s="14">
        <v>2937.5135999999998</v>
      </c>
      <c r="CI273" s="14">
        <v>2545.8047999999999</v>
      </c>
      <c r="CJ273" s="14">
        <v>2245.4375999999997</v>
      </c>
      <c r="CK273" s="14">
        <v>2521.3355999999999</v>
      </c>
      <c r="CL273" s="14">
        <v>2435.8488000000002</v>
      </c>
      <c r="CM273" s="14">
        <v>2391.5807999999997</v>
      </c>
      <c r="CN273" s="14">
        <v>2303.0364</v>
      </c>
      <c r="CO273" s="14">
        <v>2280.9023999999999</v>
      </c>
      <c r="CP273" s="14">
        <v>2245.4375999999997</v>
      </c>
      <c r="CQ273" s="14">
        <v>2937.5135999999998</v>
      </c>
      <c r="CR273" s="14">
        <v>2937.5135999999998</v>
      </c>
      <c r="CS273" s="14">
        <v>2937.5135999999998</v>
      </c>
      <c r="CT273" s="14">
        <v>1260.7560000000001</v>
      </c>
      <c r="CU273" s="14">
        <v>1640.8812</v>
      </c>
      <c r="CV273" s="14">
        <v>1260.7560000000001</v>
      </c>
      <c r="CW273" s="14">
        <v>1688.6435999999999</v>
      </c>
      <c r="CX273" s="14">
        <v>409.2312</v>
      </c>
      <c r="CY273" s="14">
        <v>409.2312</v>
      </c>
      <c r="CZ273" s="14">
        <v>409.2312</v>
      </c>
      <c r="DA273" s="14">
        <v>1002.54</v>
      </c>
      <c r="DB273" s="14">
        <v>1021.986</v>
      </c>
      <c r="DC273" s="14">
        <v>1116.8471999999999</v>
      </c>
      <c r="DD273" s="14">
        <v>1543.962</v>
      </c>
      <c r="DE273" s="14">
        <v>1543.962</v>
      </c>
      <c r="DF273" s="14">
        <v>1543.962</v>
      </c>
      <c r="DG273" s="14">
        <v>1143.6768</v>
      </c>
      <c r="DH273" s="14">
        <v>1891.0079999999998</v>
      </c>
      <c r="DI273" s="14">
        <v>1891.0079999999998</v>
      </c>
      <c r="DJ273" s="14">
        <v>1165.4412</v>
      </c>
      <c r="DK273" s="14">
        <v>0</v>
      </c>
      <c r="DL273" s="14">
        <v>3473.7695999999996</v>
      </c>
      <c r="DM273" s="14">
        <v>1524.9695999999999</v>
      </c>
      <c r="DN273" s="14">
        <v>1855.6859999999999</v>
      </c>
      <c r="DO273" s="14">
        <v>1089.2616</v>
      </c>
      <c r="DP273" s="14">
        <v>1165.4412</v>
      </c>
      <c r="DQ273" s="14">
        <v>1154.5632000000001</v>
      </c>
      <c r="DR273" s="14">
        <v>2130.5003999999999</v>
      </c>
      <c r="DS273" s="14">
        <v>1599.7716</v>
      </c>
      <c r="DT273" s="14">
        <v>1210.4651999999999</v>
      </c>
      <c r="DU273" s="14">
        <v>1724.0328</v>
      </c>
      <c r="DV273" s="15">
        <v>1724.0328</v>
      </c>
      <c r="DY273" s="35" t="s">
        <v>8</v>
      </c>
      <c r="DZ273" s="11">
        <f t="shared" si="99"/>
        <v>1.6666666666666666E-2</v>
      </c>
      <c r="EA273" s="13">
        <f t="shared" si="99"/>
        <v>1.6666666666666666E-2</v>
      </c>
      <c r="EB273" s="13">
        <f t="shared" si="99"/>
        <v>1.6666666666666666E-2</v>
      </c>
      <c r="EC273" s="13">
        <f t="shared" si="99"/>
        <v>1.6666666666666666E-2</v>
      </c>
      <c r="ED273" s="13">
        <f t="shared" si="99"/>
        <v>1.6666666666666666E-2</v>
      </c>
      <c r="EE273" s="13">
        <f t="shared" si="99"/>
        <v>1.6666666666666666E-2</v>
      </c>
      <c r="EF273" s="13">
        <f t="shared" si="99"/>
        <v>1.6666666666666666E-2</v>
      </c>
      <c r="EG273" s="12">
        <v>0.6</v>
      </c>
      <c r="EH273" s="13">
        <f t="shared" si="99"/>
        <v>1.6666666666666666E-2</v>
      </c>
      <c r="EI273" s="13">
        <f t="shared" si="99"/>
        <v>1.6666666666666666E-2</v>
      </c>
      <c r="EJ273" s="13">
        <f t="shared" si="99"/>
        <v>1.6666666666666666E-2</v>
      </c>
      <c r="EK273" s="13">
        <f t="shared" si="99"/>
        <v>1.6666666666666666E-2</v>
      </c>
      <c r="EL273" s="13">
        <f t="shared" si="99"/>
        <v>1.6666666666666666E-2</v>
      </c>
      <c r="EM273" s="14">
        <v>4.6511627906976744E-3</v>
      </c>
      <c r="EN273" s="14">
        <v>4.6511627906976744E-3</v>
      </c>
      <c r="EO273" s="14">
        <v>7.1428571428571435E-3</v>
      </c>
      <c r="EP273" s="14">
        <v>7.1428571428571435E-3</v>
      </c>
      <c r="EQ273" s="14">
        <v>7.1428571428571435E-3</v>
      </c>
      <c r="ER273" s="14">
        <v>7.1428571428571435E-3</v>
      </c>
      <c r="ES273" s="14">
        <v>7.1428571428571435E-3</v>
      </c>
      <c r="ET273" s="14">
        <v>7.1428571428571435E-3</v>
      </c>
      <c r="EU273" s="14">
        <v>7.1428571428571435E-3</v>
      </c>
      <c r="EV273" s="14">
        <v>7.1428571428571435E-3</v>
      </c>
      <c r="EW273" s="14">
        <v>7.1428571428571435E-3</v>
      </c>
      <c r="EX273" s="14">
        <v>7.1428571428571435E-3</v>
      </c>
      <c r="EY273" s="14">
        <v>7.1428571428571435E-3</v>
      </c>
      <c r="EZ273" s="14">
        <v>7.1428571428571435E-3</v>
      </c>
      <c r="FA273" s="14">
        <v>7.1428571428571435E-3</v>
      </c>
      <c r="FB273" s="14">
        <v>7.1428571428571435E-3</v>
      </c>
      <c r="FC273" s="14">
        <v>7.1428571428571435E-3</v>
      </c>
      <c r="FD273" s="14">
        <v>7.1428571428571435E-3</v>
      </c>
      <c r="FE273" s="14">
        <v>7.1428571428571435E-3</v>
      </c>
      <c r="FF273" s="14">
        <v>5.7142857142857143E-3</v>
      </c>
      <c r="FG273" s="14">
        <v>5.7142857142857143E-3</v>
      </c>
      <c r="FH273" s="14">
        <v>5.7142857142857143E-3</v>
      </c>
      <c r="FI273" s="14">
        <v>5.7142857142857143E-3</v>
      </c>
      <c r="FJ273" s="14">
        <v>5.7142857142857143E-3</v>
      </c>
      <c r="FK273" s="14">
        <v>5.7142857142857143E-3</v>
      </c>
      <c r="FL273" s="14">
        <v>5.7142857142857143E-3</v>
      </c>
      <c r="FM273" s="14">
        <v>4.7619047619047623E-3</v>
      </c>
      <c r="FN273" s="14">
        <v>4.7619047619047623E-3</v>
      </c>
      <c r="FO273" s="14">
        <v>4.7619047619047623E-3</v>
      </c>
      <c r="FP273" s="14">
        <v>5.7142857142857143E-3</v>
      </c>
      <c r="FQ273" s="14">
        <v>5.7142857142857143E-3</v>
      </c>
      <c r="FR273" s="14">
        <v>5.7142857142857143E-3</v>
      </c>
      <c r="FS273" s="14">
        <v>5.7142857142857143E-3</v>
      </c>
      <c r="FT273" s="14">
        <v>5.8823529411764705E-3</v>
      </c>
      <c r="FU273" s="14">
        <v>5.7142857142857143E-3</v>
      </c>
      <c r="FV273" s="14">
        <v>5.7142857142857143E-3</v>
      </c>
      <c r="FW273" s="14">
        <v>4.5454545454545461E-3</v>
      </c>
      <c r="FX273" s="14">
        <v>4.5454545454545461E-3</v>
      </c>
      <c r="FY273" s="14">
        <v>5.7142857142857143E-3</v>
      </c>
      <c r="FZ273" s="14">
        <v>7.1428571428571435E-3</v>
      </c>
      <c r="GA273" s="14">
        <v>5.7142857142857143E-3</v>
      </c>
      <c r="GB273" s="14">
        <v>5.7142857142857143E-3</v>
      </c>
      <c r="GC273" s="14">
        <v>5.7142857142857143E-3</v>
      </c>
      <c r="GD273" s="14">
        <v>7.1428571428571435E-3</v>
      </c>
      <c r="GE273" s="14">
        <v>7.1428571428571435E-3</v>
      </c>
      <c r="GF273" s="14">
        <v>4.6511627906976744E-3</v>
      </c>
      <c r="GG273" s="14">
        <v>4.6511627906976744E-3</v>
      </c>
      <c r="GH273" s="15">
        <v>4.6511627906976744E-3</v>
      </c>
    </row>
    <row r="274" spans="1:190" x14ac:dyDescent="0.3">
      <c r="A274" s="35" t="s">
        <v>64</v>
      </c>
      <c r="B274" s="11">
        <f>IF(Distances!EA113&lt;&gt;0,(BN274+Distances!EA113*3)*DZ274*B265*2,"")</f>
        <v>14390.488079999999</v>
      </c>
      <c r="C274" s="13">
        <f>IF(Distances!EB113&lt;&gt;0,(BO274+Distances!EB113*3)*EA274*C265*2,"")</f>
        <v>16393.164560000001</v>
      </c>
      <c r="D274" s="13">
        <f>IF(Distances!EC113&lt;&gt;0,(BP274+Distances!EC113*3)*EB274*D265*2,"")</f>
        <v>58189.606720000003</v>
      </c>
      <c r="E274" s="13">
        <f>IF(Distances!ED113&lt;&gt;0,(BQ274+Distances!ED113*3)*EC274*E265*2,"")</f>
        <v>13806.166720000001</v>
      </c>
      <c r="F274" s="13">
        <f>IF(Distances!EE113&lt;&gt;0,(BR274+Distances!EE113*3)*ED274*F265*2,"")</f>
        <v>15284.079519999999</v>
      </c>
      <c r="G274" s="13">
        <f>IF(Distances!EF113&lt;&gt;0,(BS274+Distances!EF113*3)*EE274*G265*2,"")</f>
        <v>88142.805039999992</v>
      </c>
      <c r="H274" s="13">
        <f>IF(Distances!EG113&lt;&gt;0,(BT274+Distances!EG113*3)*EF274*H265*2,"")</f>
        <v>30150.253359999999</v>
      </c>
      <c r="I274" s="13">
        <f>IF(Distances!EH113&lt;&gt;0,(BU274+Distances!EH113*3)*EG274*I265*2,"")</f>
        <v>28387.16504</v>
      </c>
      <c r="J274" s="12" t="s">
        <v>62</v>
      </c>
      <c r="K274" s="13">
        <f>IF(Distances!EJ113&lt;&gt;0,(BW274+Distances!EJ113*3)*EI274*K265*2,"")</f>
        <v>214.24</v>
      </c>
      <c r="L274" s="13">
        <f>IF(Distances!EK113&lt;&gt;0,(BX274+Distances!EK113*3)*EJ274*L265*2,"")</f>
        <v>588.93376000000001</v>
      </c>
      <c r="M274" s="13">
        <f>IF(Distances!EL113&lt;&gt;0,(BY274+Distances!EL113*3)*EK274*M265*2,"")</f>
        <v>588.93376000000001</v>
      </c>
      <c r="N274" s="13">
        <f>IF(Distances!EM113&lt;&gt;0,(BZ274+Distances!EM113*3)*EL274*N265*2,"")</f>
        <v>361.76864</v>
      </c>
      <c r="O274" s="14">
        <f>IF(Distances!EN113&lt;&gt;0,(CA274+Distances!EN113*3)*EM274*O265*2,"")</f>
        <v>216.73609674418606</v>
      </c>
      <c r="P274" s="14">
        <f>IF(Distances!EO113&lt;&gt;0,(CB274+Distances!EO113*3)*EN274*P265*2,"")</f>
        <v>197.64879627906976</v>
      </c>
      <c r="Q274" s="14">
        <f>IF(Distances!EP113&lt;&gt;0,(CC274+Distances!EP113*3)*EO274*Q265*2,"")</f>
        <v>1728.2922857142858</v>
      </c>
      <c r="R274" s="14">
        <f>IF(Distances!EQ113&lt;&gt;0,(CD274+Distances!EQ113*3)*EP274*R265*2,"")</f>
        <v>1722.820285714286</v>
      </c>
      <c r="S274" s="14">
        <f>IF(Distances!ER113&lt;&gt;0,(CE274+Distances!ER113*3)*EQ274*S265*2,"")</f>
        <v>1739.2302857142863</v>
      </c>
      <c r="T274" s="14">
        <f>IF(Distances!ES113&lt;&gt;0,(CF274+Distances!ES113*3)*ER274*T265*2,"")</f>
        <v>307.67352</v>
      </c>
      <c r="U274" s="14">
        <f>IF(Distances!ET113&lt;&gt;0,(CG274+Distances!ET113*3)*ES274*U265*2,"")</f>
        <v>346.42176000000006</v>
      </c>
      <c r="V274" s="14">
        <f>IF(Distances!EU113&lt;&gt;0,(CH274+Distances!EU113*3)*ET274*V265*2,"")</f>
        <v>3578.0922514285717</v>
      </c>
      <c r="W274" s="14">
        <f>IF(Distances!EV113&lt;&gt;0,(CI274+Distances!EV113*3)*EU274*W265*2,"")</f>
        <v>1992.1240114285715</v>
      </c>
      <c r="X274" s="14">
        <f>IF(Distances!EW113&lt;&gt;0,(CJ274+Distances!EW113*3)*EV274*X265*2,"")</f>
        <v>2446.7780571428575</v>
      </c>
      <c r="Y274" s="14">
        <f>IF(Distances!EX113&lt;&gt;0,(CK274+Distances!EX113*3)*EW274*Y265*2,"")</f>
        <v>2639.7748800000004</v>
      </c>
      <c r="Z274" s="14">
        <f>IF(Distances!EY113&lt;&gt;0,(CL274+Distances!EY113*3)*EX274*Z265*2,"")</f>
        <v>80.555074285714298</v>
      </c>
      <c r="AA274" s="14">
        <f>IF(Distances!EZ113&lt;&gt;0,(CM274+Distances!EZ113*3)*EY274*AA265*2,"")</f>
        <v>85.481520000000017</v>
      </c>
      <c r="AB274" s="14">
        <f>IF(Distances!FA113&lt;&gt;0,(CN274+Distances!FA113*3)*EZ274*AB265*2,"")</f>
        <v>105.75678857142857</v>
      </c>
      <c r="AC274" s="14">
        <f>IF(Distances!FB113&lt;&gt;0,(CO274+Distances!FB113*3)*FA274*AC265*2,"")</f>
        <v>72.100011428571435</v>
      </c>
      <c r="AD274" s="14">
        <f>IF(Distances!FC113&lt;&gt;0,(CP274+Distances!FC113*3)*FB274*AD265*2,"")</f>
        <v>72.757371428571446</v>
      </c>
      <c r="AE274" s="14">
        <f>IF(Distances!FD113&lt;&gt;0,(CQ274+Distances!FD113*3)*FC274*AE265*2,"")</f>
        <v>164.61963428571431</v>
      </c>
      <c r="AF274" s="14">
        <f>IF(Distances!FE113&lt;&gt;0,(CR274+Distances!FE113*3)*FD274*AF265*2,"")</f>
        <v>323.4106971428572</v>
      </c>
      <c r="AG274" s="14">
        <f>IF(Distances!FF113&lt;&gt;0,(CS274+Distances!FF113*3)*FE274*AG265*2,"")</f>
        <v>265.74212571428569</v>
      </c>
      <c r="AH274" s="14">
        <f>IF(Distances!FG113&lt;&gt;0,(CT274+Distances!FG113*3)*FF274*AH265*2,"")</f>
        <v>88.380301714285721</v>
      </c>
      <c r="AI274" s="14">
        <f>IF(Distances!FH113&lt;&gt;0,(CU274+Distances!FH113*3)*FG274*AI265*2,"")</f>
        <v>38.74269257142857</v>
      </c>
      <c r="AJ274" s="14">
        <f>IF(Distances!FI113&lt;&gt;0,(CV274+Distances!FI113*3)*FH274*AJ265*2,"")</f>
        <v>74.542587428571437</v>
      </c>
      <c r="AK274" s="14">
        <f>IF(Distances!FJ113&lt;&gt;0,(CW274+Distances!FJ113*3)*FI274*AK265*2,"")</f>
        <v>39.335972571428577</v>
      </c>
      <c r="AL274" s="14">
        <f>IF(Distances!FK113&lt;&gt;0,(CX274+Distances!FK113*3)*FJ274*AL265*2,"")</f>
        <v>2015.7295268571429</v>
      </c>
      <c r="AM274" s="14">
        <f>IF(Distances!FL113&lt;&gt;0,(CY274+Distances!FL113*3)*FK274*AM265*2,"")</f>
        <v>2015.7295268571429</v>
      </c>
      <c r="AN274" s="14">
        <f>IF(Distances!FM113&lt;&gt;0,(CZ274+Distances!FM113*3)*FL274*AN265*2,"")</f>
        <v>2301.9603840000004</v>
      </c>
      <c r="AO274" s="14">
        <f>IF(Distances!FN113&lt;&gt;0,(DA274+Distances!FN113*3)*FM274*AO265*2,"")</f>
        <v>77.935954285714288</v>
      </c>
      <c r="AP274" s="14">
        <f>IF(Distances!FO113&lt;&gt;0,(DB274+Distances!FO113*3)*FN274*AP265*2,"")</f>
        <v>78.854674285714296</v>
      </c>
      <c r="AQ274" s="14">
        <f>IF(Distances!FP113&lt;&gt;0,(DC274+Distances!FP113*3)*FO274*AQ265*2,"")</f>
        <v>75.337394285714296</v>
      </c>
      <c r="AR274" s="14">
        <f>IF(Distances!FQ113&lt;&gt;0,(DD274+Distances!FQ113*3)*FP274*AR265*2,"")</f>
        <v>84.653129142857139</v>
      </c>
      <c r="AS274" s="14">
        <f>IF(Distances!FR113&lt;&gt;0,(DE274+Distances!FR113*3)*FQ274*AS265*2,"")</f>
        <v>84.653129142857139</v>
      </c>
      <c r="AT274" s="14">
        <f>IF(Distances!FS113&lt;&gt;0,(DF274+Distances!FS113*3)*FR274*AT265*2,"")</f>
        <v>84.653129142857139</v>
      </c>
      <c r="AU274" s="14">
        <f>IF(Distances!FT113&lt;&gt;0,(DG274+Distances!FT113*3)*FS274*AU265*2,"")</f>
        <v>637.560384</v>
      </c>
      <c r="AV274" s="14">
        <f>IF(Distances!FU113&lt;&gt;0,(DH274+Distances!FU113*3)*FT274*AV265*2,"")</f>
        <v>327.34383529411764</v>
      </c>
      <c r="AW274" s="14">
        <f>IF(Distances!FV113&lt;&gt;0,(DI274+Distances!FV113*3)*FU274*AW265*2,"")</f>
        <v>959.32258285714295</v>
      </c>
      <c r="AX274" s="14">
        <f>IF(Distances!FW113&lt;&gt;0,(DJ274+Distances!FW113*3)*FV274*AX265*2,"")</f>
        <v>222.61810285714287</v>
      </c>
      <c r="AY274" s="14">
        <f>IF(Distances!FX113&lt;&gt;0,(DK274+Distances!FX113*3)*FW274*AY265*2,"")</f>
        <v>58.429090909090924</v>
      </c>
      <c r="AZ274" s="14">
        <f>IF(Distances!FY113&lt;&gt;0,(DL274+Distances!FY113*3)*FX274*AZ265*2,"")</f>
        <v>255.99312</v>
      </c>
      <c r="BA274" s="14">
        <f>IF(Distances!FZ113&lt;&gt;0,(DM274+Distances!FZ113*3)*FY274*BA265*2,"")</f>
        <v>168.19227428571429</v>
      </c>
      <c r="BB274" s="14">
        <f>IF(Distances!GA113&lt;&gt;0,(DN274+Distances!GA113*3)*FZ274*BB265*2,"")</f>
        <v>205.24306285714289</v>
      </c>
      <c r="BC274" s="14">
        <f>IF(Distances!GB113&lt;&gt;0,(DO274+Distances!GB113*3)*GA274*BC265*2,"")</f>
        <v>1370.0158902857142</v>
      </c>
      <c r="BD274" s="14">
        <f>IF(Distances!GC113&lt;&gt;0,(DP274+Distances!GC113*3)*GB274*BD265*2,"")</f>
        <v>1552.6827154285713</v>
      </c>
      <c r="BE274" s="14">
        <f>IF(Distances!GD113&lt;&gt;0,(DQ274+Distances!GD113*3)*GC274*BE265*2,"")</f>
        <v>1416.9376182857145</v>
      </c>
      <c r="BF274" s="14">
        <f>IF(Distances!GE113&lt;&gt;0,(DR274+Distances!GE113*3)*GD274*BF265*2,"")</f>
        <v>373.66957714285718</v>
      </c>
      <c r="BG274" s="14">
        <f>IF(Distances!GF113&lt;&gt;0,(DS274+Distances!GF113*3)*GE274*BG265*2,"")</f>
        <v>178.20562285714286</v>
      </c>
      <c r="BH274" s="14">
        <f>IF(Distances!GG113&lt;&gt;0,(DT274+Distances!GG113*3)*GF274*BH265*2,"")</f>
        <v>137.8933730232558</v>
      </c>
      <c r="BI274" s="14">
        <f>IF(Distances!GH113&lt;&gt;0,(DU274+Distances!GH113*3)*GG274*BI265*2,"")</f>
        <v>145.55448558139534</v>
      </c>
      <c r="BJ274" s="15">
        <f>IF(Distances!GI113&lt;&gt;0,(DV274+Distances!GI113*3)*GH274*BJ265*2,"")</f>
        <v>145.55448558139534</v>
      </c>
      <c r="BM274" s="35" t="s">
        <v>64</v>
      </c>
      <c r="BN274" s="11">
        <v>530.4011999999999</v>
      </c>
      <c r="BO274" s="13">
        <v>827.82839999999999</v>
      </c>
      <c r="BP274" s="13">
        <v>443.62079999999997</v>
      </c>
      <c r="BQ274" s="13">
        <v>443.62079999999997</v>
      </c>
      <c r="BR274" s="13">
        <v>469.91279999999995</v>
      </c>
      <c r="BS274" s="13">
        <v>2609.1156000000001</v>
      </c>
      <c r="BT274" s="13">
        <v>2870.9603999999999</v>
      </c>
      <c r="BU274" s="13">
        <v>2609.1156000000001</v>
      </c>
      <c r="BV274" s="12">
        <v>0</v>
      </c>
      <c r="BW274" s="13">
        <v>0</v>
      </c>
      <c r="BX274" s="13">
        <v>2810.2031999999999</v>
      </c>
      <c r="BY274" s="13">
        <v>2810.2031999999999</v>
      </c>
      <c r="BZ274" s="13">
        <v>1106.4648</v>
      </c>
      <c r="CA274" s="14">
        <v>1721.6471999999999</v>
      </c>
      <c r="CB274" s="14">
        <v>1428.5207999999998</v>
      </c>
      <c r="CC274" s="14">
        <v>812.80919999999992</v>
      </c>
      <c r="CD274" s="14">
        <v>805.14839999999992</v>
      </c>
      <c r="CE274" s="14">
        <v>828.12239999999997</v>
      </c>
      <c r="CF274" s="14">
        <v>789.83519999999999</v>
      </c>
      <c r="CG274" s="14">
        <v>898.91760000000011</v>
      </c>
      <c r="CH274" s="14">
        <v>1170.1871999999998</v>
      </c>
      <c r="CI274" s="14">
        <v>797.48759999999993</v>
      </c>
      <c r="CJ274" s="14">
        <v>939.70799999999997</v>
      </c>
      <c r="CK274" s="14">
        <v>789.83519999999999</v>
      </c>
      <c r="CL274" s="14">
        <v>978.9276000000001</v>
      </c>
      <c r="CM274" s="14">
        <v>961.15319999999997</v>
      </c>
      <c r="CN274" s="14">
        <v>925.58760000000007</v>
      </c>
      <c r="CO274" s="14">
        <v>916.70039999999995</v>
      </c>
      <c r="CP274" s="14">
        <v>939.70799999999997</v>
      </c>
      <c r="CQ274" s="14">
        <v>1170.1871999999998</v>
      </c>
      <c r="CR274" s="14">
        <v>1170.1871999999998</v>
      </c>
      <c r="CS274" s="14">
        <v>1170.1871999999998</v>
      </c>
      <c r="CT274" s="14">
        <v>1967.8763999999999</v>
      </c>
      <c r="CU274" s="14">
        <v>1783.1856</v>
      </c>
      <c r="CV274" s="14">
        <v>1967.8763999999999</v>
      </c>
      <c r="CW274" s="14">
        <v>1835.0975999999998</v>
      </c>
      <c r="CX274" s="14">
        <v>1659.4284</v>
      </c>
      <c r="CY274" s="14">
        <v>1659.4284</v>
      </c>
      <c r="CZ274" s="14">
        <v>1659.4284</v>
      </c>
      <c r="DA274" s="14">
        <v>2484.8375999999998</v>
      </c>
      <c r="DB274" s="14">
        <v>2533.0704000000001</v>
      </c>
      <c r="DC274" s="14">
        <v>2348.4132</v>
      </c>
      <c r="DD274" s="14">
        <v>2096.7743999999998</v>
      </c>
      <c r="DE274" s="14">
        <v>2096.7743999999998</v>
      </c>
      <c r="DF274" s="14">
        <v>2096.7743999999998</v>
      </c>
      <c r="DG274" s="14">
        <v>2246.2523999999999</v>
      </c>
      <c r="DH274" s="14">
        <v>2022.7452000000001</v>
      </c>
      <c r="DI274" s="14">
        <v>2022.7452000000001</v>
      </c>
      <c r="DJ274" s="14">
        <v>2289.0167999999999</v>
      </c>
      <c r="DK274" s="14">
        <v>0</v>
      </c>
      <c r="DL274" s="14">
        <v>4044.9107999999997</v>
      </c>
      <c r="DM274" s="14">
        <v>2072.4059999999999</v>
      </c>
      <c r="DN274" s="14">
        <v>1984.9535999999998</v>
      </c>
      <c r="DO274" s="14">
        <v>2139.3371999999999</v>
      </c>
      <c r="DP274" s="14">
        <v>2289.0167999999999</v>
      </c>
      <c r="DQ274" s="14">
        <v>2267.6388000000002</v>
      </c>
      <c r="DR274" s="14">
        <v>2037.1175999999998</v>
      </c>
      <c r="DS274" s="14">
        <v>1511.7983999999999</v>
      </c>
      <c r="DT274" s="14">
        <v>2099.0843999999997</v>
      </c>
      <c r="DU274" s="14">
        <v>2304.9767999999999</v>
      </c>
      <c r="DV274" s="15">
        <v>2304.9767999999999</v>
      </c>
      <c r="DY274" s="35" t="s">
        <v>64</v>
      </c>
      <c r="DZ274" s="11">
        <f t="shared" si="99"/>
        <v>1.6666666666666666E-2</v>
      </c>
      <c r="EA274" s="13">
        <f t="shared" si="99"/>
        <v>1.6666666666666666E-2</v>
      </c>
      <c r="EB274" s="13">
        <f t="shared" si="99"/>
        <v>1.6666666666666666E-2</v>
      </c>
      <c r="EC274" s="13">
        <f t="shared" si="99"/>
        <v>1.6666666666666666E-2</v>
      </c>
      <c r="ED274" s="13">
        <f t="shared" si="99"/>
        <v>1.6666666666666666E-2</v>
      </c>
      <c r="EE274" s="13">
        <f t="shared" si="99"/>
        <v>1.6666666666666666E-2</v>
      </c>
      <c r="EF274" s="13">
        <f t="shared" si="99"/>
        <v>1.6666666666666666E-2</v>
      </c>
      <c r="EG274" s="13">
        <f t="shared" si="99"/>
        <v>1.6666666666666666E-2</v>
      </c>
      <c r="EH274" s="12">
        <v>0.6</v>
      </c>
      <c r="EI274" s="13">
        <f t="shared" si="99"/>
        <v>1.6666666666666666E-2</v>
      </c>
      <c r="EJ274" s="13">
        <f t="shared" si="99"/>
        <v>1.6666666666666666E-2</v>
      </c>
      <c r="EK274" s="13">
        <f t="shared" si="99"/>
        <v>1.6666666666666666E-2</v>
      </c>
      <c r="EL274" s="13">
        <f t="shared" si="99"/>
        <v>1.6666666666666666E-2</v>
      </c>
      <c r="EM274" s="14">
        <v>4.6511627906976744E-3</v>
      </c>
      <c r="EN274" s="14">
        <v>4.6511627906976744E-3</v>
      </c>
      <c r="EO274" s="14">
        <v>7.1428571428571435E-3</v>
      </c>
      <c r="EP274" s="14">
        <v>7.1428571428571435E-3</v>
      </c>
      <c r="EQ274" s="14">
        <v>7.1428571428571435E-3</v>
      </c>
      <c r="ER274" s="14">
        <v>7.1428571428571435E-3</v>
      </c>
      <c r="ES274" s="14">
        <v>7.1428571428571435E-3</v>
      </c>
      <c r="ET274" s="14">
        <v>7.1428571428571435E-3</v>
      </c>
      <c r="EU274" s="14">
        <v>7.1428571428571435E-3</v>
      </c>
      <c r="EV274" s="14">
        <v>7.1428571428571435E-3</v>
      </c>
      <c r="EW274" s="14">
        <v>7.1428571428571435E-3</v>
      </c>
      <c r="EX274" s="14">
        <v>7.1428571428571435E-3</v>
      </c>
      <c r="EY274" s="14">
        <v>7.1428571428571435E-3</v>
      </c>
      <c r="EZ274" s="14">
        <v>7.1428571428571435E-3</v>
      </c>
      <c r="FA274" s="14">
        <v>7.1428571428571435E-3</v>
      </c>
      <c r="FB274" s="14">
        <v>7.1428571428571435E-3</v>
      </c>
      <c r="FC274" s="14">
        <v>7.1428571428571435E-3</v>
      </c>
      <c r="FD274" s="14">
        <v>7.1428571428571435E-3</v>
      </c>
      <c r="FE274" s="14">
        <v>7.1428571428571435E-3</v>
      </c>
      <c r="FF274" s="14">
        <v>5.7142857142857143E-3</v>
      </c>
      <c r="FG274" s="14">
        <v>5.7142857142857143E-3</v>
      </c>
      <c r="FH274" s="14">
        <v>5.7142857142857143E-3</v>
      </c>
      <c r="FI274" s="14">
        <v>5.7142857142857143E-3</v>
      </c>
      <c r="FJ274" s="14">
        <v>5.7142857142857143E-3</v>
      </c>
      <c r="FK274" s="14">
        <v>5.7142857142857143E-3</v>
      </c>
      <c r="FL274" s="14">
        <v>5.7142857142857143E-3</v>
      </c>
      <c r="FM274" s="14">
        <v>4.7619047619047623E-3</v>
      </c>
      <c r="FN274" s="14">
        <v>4.7619047619047623E-3</v>
      </c>
      <c r="FO274" s="14">
        <v>4.7619047619047623E-3</v>
      </c>
      <c r="FP274" s="14">
        <v>5.7142857142857143E-3</v>
      </c>
      <c r="FQ274" s="14">
        <v>5.7142857142857143E-3</v>
      </c>
      <c r="FR274" s="14">
        <v>5.7142857142857143E-3</v>
      </c>
      <c r="FS274" s="14">
        <v>5.7142857142857143E-3</v>
      </c>
      <c r="FT274" s="14">
        <v>5.8823529411764705E-3</v>
      </c>
      <c r="FU274" s="14">
        <v>5.7142857142857143E-3</v>
      </c>
      <c r="FV274" s="14">
        <v>5.7142857142857143E-3</v>
      </c>
      <c r="FW274" s="14">
        <v>4.5454545454545461E-3</v>
      </c>
      <c r="FX274" s="14">
        <v>4.5454545454545461E-3</v>
      </c>
      <c r="FY274" s="14">
        <v>5.7142857142857143E-3</v>
      </c>
      <c r="FZ274" s="14">
        <v>7.1428571428571435E-3</v>
      </c>
      <c r="GA274" s="14">
        <v>5.7142857142857143E-3</v>
      </c>
      <c r="GB274" s="14">
        <v>5.7142857142857143E-3</v>
      </c>
      <c r="GC274" s="14">
        <v>5.7142857142857143E-3</v>
      </c>
      <c r="GD274" s="14">
        <v>7.1428571428571435E-3</v>
      </c>
      <c r="GE274" s="14">
        <v>7.1428571428571435E-3</v>
      </c>
      <c r="GF274" s="14">
        <v>4.6511627906976744E-3</v>
      </c>
      <c r="GG274" s="14">
        <v>4.6511627906976744E-3</v>
      </c>
      <c r="GH274" s="15">
        <v>4.6511627906976744E-3</v>
      </c>
    </row>
    <row r="275" spans="1:190" x14ac:dyDescent="0.3">
      <c r="A275" s="35" t="s">
        <v>10</v>
      </c>
      <c r="B275" s="11" t="s">
        <v>62</v>
      </c>
      <c r="C275" s="13" t="s">
        <v>62</v>
      </c>
      <c r="D275" s="13">
        <f>IF(Distances!EC114&lt;&gt;0,(BP275+Distances!EC114*3)*EB275*D265*2,"")</f>
        <v>47370.486719999994</v>
      </c>
      <c r="E275" s="13" t="s">
        <v>62</v>
      </c>
      <c r="F275" s="13">
        <f>IF(Distances!EE114&lt;&gt;0,(BR275+Distances!EE114*3)*ED275*F265*2,"")</f>
        <v>4464.9595200000003</v>
      </c>
      <c r="G275" s="13">
        <f>IF(Distances!EF114&lt;&gt;0,(BS275+Distances!EF114*3)*EE275*G265*2,"")</f>
        <v>77323.685039999997</v>
      </c>
      <c r="H275" s="13" t="s">
        <v>62</v>
      </c>
      <c r="I275" s="13" t="s">
        <v>62</v>
      </c>
      <c r="J275" s="13">
        <f>IF(Distances!EI114&lt;&gt;0,(BV275+Distances!EI114*3)*EH275*J265*2,"")</f>
        <v>214.24</v>
      </c>
      <c r="K275" s="12" t="s">
        <v>62</v>
      </c>
      <c r="L275" s="13" t="s">
        <v>62</v>
      </c>
      <c r="M275" s="13" t="s">
        <v>62</v>
      </c>
      <c r="N275" s="13" t="s">
        <v>62</v>
      </c>
      <c r="O275" s="14" t="s">
        <v>62</v>
      </c>
      <c r="P275" s="14" t="s">
        <v>62</v>
      </c>
      <c r="Q275" s="14" t="s">
        <v>62</v>
      </c>
      <c r="R275" s="14" t="s">
        <v>62</v>
      </c>
      <c r="S275" s="14" t="s">
        <v>62</v>
      </c>
      <c r="T275" s="14">
        <f>IF(Distances!ES114&lt;&gt;0,(CF275+Distances!ES114*3)*ER275*T265*2,"")</f>
        <v>146.99351999999999</v>
      </c>
      <c r="U275" s="14">
        <f>IF(Distances!ET114&lt;&gt;0,(CG275+Distances!ET114*3)*ES275*U265*2,"")</f>
        <v>185.74176000000003</v>
      </c>
      <c r="V275" s="14">
        <f>IF(Distances!EU114&lt;&gt;0,(CH275+Distances!EU114*3)*ET275*V265*2,"")</f>
        <v>2246.74368</v>
      </c>
      <c r="W275" s="14" t="s">
        <v>62</v>
      </c>
      <c r="X275" s="14">
        <f>IF(Distances!EW114&lt;&gt;0,(CJ275+Distances!EW114*3)*EV275*X265*2,"")</f>
        <v>1115.4294857142859</v>
      </c>
      <c r="Y275" s="14">
        <f>IF(Distances!EX114&lt;&gt;0,(CK275+Distances!EX114*3)*EW275*Y265*2,"")</f>
        <v>1308.4263085714288</v>
      </c>
      <c r="Z275" s="14">
        <f>IF(Distances!EY114&lt;&gt;0,(CL275+Distances!EY114*3)*EX275*Z265*2,"")</f>
        <v>34.646502857142863</v>
      </c>
      <c r="AA275" s="14">
        <f>IF(Distances!EZ114&lt;&gt;0,(CM275+Distances!EZ114*3)*EY275*AA265*2,"")</f>
        <v>39.572948571428576</v>
      </c>
      <c r="AB275" s="14">
        <f>IF(Distances!FA114&lt;&gt;0,(CN275+Distances!FA114*3)*EZ275*AB265*2,"")</f>
        <v>59.848217142857152</v>
      </c>
      <c r="AC275" s="14" t="s">
        <v>62</v>
      </c>
      <c r="AD275" s="14" t="s">
        <v>62</v>
      </c>
      <c r="AE275" s="14">
        <f>IF(Distances!FD114&lt;&gt;0,(CQ275+Distances!FD114*3)*FC275*AE265*2,"")</f>
        <v>118.71106285714285</v>
      </c>
      <c r="AF275" s="14">
        <f>IF(Distances!FE114&lt;&gt;0,(CR275+Distances!FE114*3)*FD275*AF265*2,"")</f>
        <v>231.59355428571428</v>
      </c>
      <c r="AG275" s="14">
        <f>IF(Distances!FF114&lt;&gt;0,(CS275+Distances!FF114*3)*FE275*AG265*2,"")</f>
        <v>173.92498285714285</v>
      </c>
      <c r="AH275" s="14">
        <f>IF(Distances!FG114&lt;&gt;0,(CT275+Distances!FG114*3)*FF275*AH265*2,"")</f>
        <v>70.01687314285715</v>
      </c>
      <c r="AI275" s="14" t="s">
        <v>62</v>
      </c>
      <c r="AJ275" s="14">
        <f>IF(Distances!FI114&lt;&gt;0,(CV275+Distances!FI114*3)*FH275*AJ265*2,"")</f>
        <v>56.179158857142859</v>
      </c>
      <c r="AK275" s="14" t="s">
        <v>62</v>
      </c>
      <c r="AL275" s="14" t="s">
        <v>62</v>
      </c>
      <c r="AM275" s="14" t="s">
        <v>62</v>
      </c>
      <c r="AN275" s="14">
        <f>IF(Distances!FM114&lt;&gt;0,(CZ275+Distances!FM114*3)*FL275*AN265*2,"")</f>
        <v>1310.3352411428571</v>
      </c>
      <c r="AO275" s="14" t="s">
        <v>62</v>
      </c>
      <c r="AP275" s="14" t="s">
        <v>62</v>
      </c>
      <c r="AQ275" s="14" t="s">
        <v>62</v>
      </c>
      <c r="AR275" s="14" t="s">
        <v>62</v>
      </c>
      <c r="AS275" s="14" t="s">
        <v>62</v>
      </c>
      <c r="AT275" s="14" t="s">
        <v>62</v>
      </c>
      <c r="AU275" s="14">
        <f>IF(Distances!FT114&lt;&gt;0,(DG275+Distances!FT114*3)*FS275*AU265*2,"")</f>
        <v>380.47238399999992</v>
      </c>
      <c r="AV275" s="14">
        <f>IF(Distances!FU114&lt;&gt;0,(DH275+Distances!FU114*3)*FT275*AV265*2,"")</f>
        <v>232.82618823529407</v>
      </c>
      <c r="AW275" s="14">
        <f>IF(Distances!FV114&lt;&gt;0,(DI275+Distances!FV114*3)*FU275*AW265*2,"")</f>
        <v>867.50543999999991</v>
      </c>
      <c r="AX275" s="14" t="s">
        <v>62</v>
      </c>
      <c r="AY275" s="14" t="s">
        <v>62</v>
      </c>
      <c r="AZ275" s="14">
        <f>IF(Distances!FY114&lt;&gt;0,(DL275+Distances!FY114*3)*FX275*AZ265*2,"")</f>
        <v>197.56402909090912</v>
      </c>
      <c r="BA275" s="14" t="s">
        <v>62</v>
      </c>
      <c r="BB275" s="14" t="s">
        <v>62</v>
      </c>
      <c r="BC275" s="14" t="s">
        <v>62</v>
      </c>
      <c r="BD275" s="14">
        <f>IF(Distances!GC114&lt;&gt;0,(DP275+Distances!GC114*3)*GB275*BD265*2,"")</f>
        <v>965.05300114285694</v>
      </c>
      <c r="BE275" s="14" t="s">
        <v>62</v>
      </c>
      <c r="BF275" s="14">
        <f>IF(Distances!GE114&lt;&gt;0,(DR275+Distances!GE114*3)*GD275*BF265*2,"")</f>
        <v>281.85243428571431</v>
      </c>
      <c r="BG275" s="14" t="s">
        <v>62</v>
      </c>
      <c r="BH275" s="14" t="s">
        <v>62</v>
      </c>
      <c r="BI275" s="14" t="s">
        <v>62</v>
      </c>
      <c r="BJ275" s="15" t="s">
        <v>62</v>
      </c>
      <c r="BM275" s="35" t="s">
        <v>10</v>
      </c>
      <c r="BN275" s="11">
        <v>530.4011999999999</v>
      </c>
      <c r="BO275" s="13">
        <v>827.82839999999999</v>
      </c>
      <c r="BP275" s="13">
        <v>443.62079999999997</v>
      </c>
      <c r="BQ275" s="13">
        <v>443.62079999999997</v>
      </c>
      <c r="BR275" s="13">
        <v>469.91279999999995</v>
      </c>
      <c r="BS275" s="13">
        <v>2609.1156000000001</v>
      </c>
      <c r="BT275" s="13">
        <v>2870.9603999999999</v>
      </c>
      <c r="BU275" s="13">
        <v>2609.1156000000001</v>
      </c>
      <c r="BV275" s="13">
        <v>0</v>
      </c>
      <c r="BW275" s="12">
        <v>0</v>
      </c>
      <c r="BX275" s="13">
        <v>2810.2031999999999</v>
      </c>
      <c r="BY275" s="13">
        <v>2810.2031999999999</v>
      </c>
      <c r="BZ275" s="13">
        <v>1106.4648</v>
      </c>
      <c r="CA275" s="14">
        <v>1721.6471999999999</v>
      </c>
      <c r="CB275" s="14">
        <v>1428.5207999999998</v>
      </c>
      <c r="CC275" s="14">
        <v>812.80919999999992</v>
      </c>
      <c r="CD275" s="14">
        <v>805.14839999999992</v>
      </c>
      <c r="CE275" s="14">
        <v>828.12239999999997</v>
      </c>
      <c r="CF275" s="14">
        <v>789.83519999999999</v>
      </c>
      <c r="CG275" s="14">
        <v>898.91760000000011</v>
      </c>
      <c r="CH275" s="14">
        <v>1170.1871999999998</v>
      </c>
      <c r="CI275" s="14">
        <v>797.48759999999993</v>
      </c>
      <c r="CJ275" s="14">
        <v>939.70799999999997</v>
      </c>
      <c r="CK275" s="14">
        <v>789.83519999999999</v>
      </c>
      <c r="CL275" s="14">
        <v>978.9276000000001</v>
      </c>
      <c r="CM275" s="14">
        <v>961.15319999999997</v>
      </c>
      <c r="CN275" s="14">
        <v>925.58760000000007</v>
      </c>
      <c r="CO275" s="14">
        <v>916.70039999999995</v>
      </c>
      <c r="CP275" s="14">
        <v>939.70799999999997</v>
      </c>
      <c r="CQ275" s="14">
        <v>1170.1871999999998</v>
      </c>
      <c r="CR275" s="14">
        <v>1170.1871999999998</v>
      </c>
      <c r="CS275" s="14">
        <v>1170.1871999999998</v>
      </c>
      <c r="CT275" s="14">
        <v>1967.8763999999999</v>
      </c>
      <c r="CU275" s="14">
        <v>1783.1856</v>
      </c>
      <c r="CV275" s="14">
        <v>1967.8763999999999</v>
      </c>
      <c r="CW275" s="14">
        <v>1835.0975999999998</v>
      </c>
      <c r="CX275" s="14">
        <v>1659.4284</v>
      </c>
      <c r="CY275" s="14">
        <v>1659.4284</v>
      </c>
      <c r="CZ275" s="14">
        <v>1659.4284</v>
      </c>
      <c r="DA275" s="14">
        <v>2484.8375999999998</v>
      </c>
      <c r="DB275" s="14">
        <v>2533.0704000000001</v>
      </c>
      <c r="DC275" s="14">
        <v>2348.4132</v>
      </c>
      <c r="DD275" s="14">
        <v>2096.7743999999998</v>
      </c>
      <c r="DE275" s="14">
        <v>2096.7743999999998</v>
      </c>
      <c r="DF275" s="14">
        <v>2096.7743999999998</v>
      </c>
      <c r="DG275" s="14">
        <v>2246.2523999999999</v>
      </c>
      <c r="DH275" s="14">
        <v>2022.7452000000001</v>
      </c>
      <c r="DI275" s="14">
        <v>2022.7452000000001</v>
      </c>
      <c r="DJ275" s="14">
        <v>2289.0167999999999</v>
      </c>
      <c r="DK275" s="14">
        <v>0</v>
      </c>
      <c r="DL275" s="14">
        <v>4044.9107999999997</v>
      </c>
      <c r="DM275" s="14">
        <v>2072.4059999999999</v>
      </c>
      <c r="DN275" s="14">
        <v>1984.9535999999998</v>
      </c>
      <c r="DO275" s="14">
        <v>2139.3371999999999</v>
      </c>
      <c r="DP275" s="14">
        <v>2289.0167999999999</v>
      </c>
      <c r="DQ275" s="14">
        <v>2267.6388000000002</v>
      </c>
      <c r="DR275" s="14">
        <v>2037.1175999999998</v>
      </c>
      <c r="DS275" s="14">
        <v>1511.7983999999999</v>
      </c>
      <c r="DT275" s="14">
        <v>2099.0843999999997</v>
      </c>
      <c r="DU275" s="14">
        <v>2304.9767999999999</v>
      </c>
      <c r="DV275" s="15">
        <v>2304.9767999999999</v>
      </c>
      <c r="DY275" s="35" t="s">
        <v>10</v>
      </c>
      <c r="DZ275" s="11">
        <f t="shared" si="99"/>
        <v>1.6666666666666666E-2</v>
      </c>
      <c r="EA275" s="13">
        <f t="shared" si="99"/>
        <v>1.6666666666666666E-2</v>
      </c>
      <c r="EB275" s="13">
        <f t="shared" si="99"/>
        <v>1.6666666666666666E-2</v>
      </c>
      <c r="EC275" s="13">
        <f t="shared" si="99"/>
        <v>1.6666666666666666E-2</v>
      </c>
      <c r="ED275" s="13">
        <f t="shared" si="99"/>
        <v>1.6666666666666666E-2</v>
      </c>
      <c r="EE275" s="13">
        <f t="shared" si="99"/>
        <v>1.6666666666666666E-2</v>
      </c>
      <c r="EF275" s="13">
        <f t="shared" si="99"/>
        <v>1.6666666666666666E-2</v>
      </c>
      <c r="EG275" s="13">
        <f t="shared" si="99"/>
        <v>1.6666666666666666E-2</v>
      </c>
      <c r="EH275" s="13">
        <f t="shared" si="99"/>
        <v>1.6666666666666666E-2</v>
      </c>
      <c r="EI275" s="12">
        <v>0.6</v>
      </c>
      <c r="EJ275" s="13">
        <f t="shared" si="99"/>
        <v>1.6666666666666666E-2</v>
      </c>
      <c r="EK275" s="13">
        <f t="shared" si="99"/>
        <v>1.6666666666666666E-2</v>
      </c>
      <c r="EL275" s="13">
        <f t="shared" si="99"/>
        <v>1.6666666666666666E-2</v>
      </c>
      <c r="EM275" s="14">
        <v>4.6511627906976744E-3</v>
      </c>
      <c r="EN275" s="14">
        <v>4.6511627906976744E-3</v>
      </c>
      <c r="EO275" s="14">
        <v>7.1428571428571435E-3</v>
      </c>
      <c r="EP275" s="14">
        <v>7.1428571428571435E-3</v>
      </c>
      <c r="EQ275" s="14">
        <v>7.1428571428571435E-3</v>
      </c>
      <c r="ER275" s="14">
        <v>7.1428571428571435E-3</v>
      </c>
      <c r="ES275" s="14">
        <v>7.1428571428571435E-3</v>
      </c>
      <c r="ET275" s="14">
        <v>7.1428571428571435E-3</v>
      </c>
      <c r="EU275" s="14">
        <v>7.1428571428571435E-3</v>
      </c>
      <c r="EV275" s="14">
        <v>7.1428571428571435E-3</v>
      </c>
      <c r="EW275" s="14">
        <v>7.1428571428571435E-3</v>
      </c>
      <c r="EX275" s="14">
        <v>7.1428571428571435E-3</v>
      </c>
      <c r="EY275" s="14">
        <v>7.1428571428571435E-3</v>
      </c>
      <c r="EZ275" s="14">
        <v>7.1428571428571435E-3</v>
      </c>
      <c r="FA275" s="14">
        <v>7.1428571428571435E-3</v>
      </c>
      <c r="FB275" s="14">
        <v>7.1428571428571435E-3</v>
      </c>
      <c r="FC275" s="14">
        <v>7.1428571428571435E-3</v>
      </c>
      <c r="FD275" s="14">
        <v>7.1428571428571435E-3</v>
      </c>
      <c r="FE275" s="14">
        <v>7.1428571428571435E-3</v>
      </c>
      <c r="FF275" s="14">
        <v>5.7142857142857143E-3</v>
      </c>
      <c r="FG275" s="14">
        <v>5.7142857142857143E-3</v>
      </c>
      <c r="FH275" s="14">
        <v>5.7142857142857143E-3</v>
      </c>
      <c r="FI275" s="14">
        <v>5.7142857142857143E-3</v>
      </c>
      <c r="FJ275" s="14">
        <v>5.7142857142857143E-3</v>
      </c>
      <c r="FK275" s="14">
        <v>5.7142857142857143E-3</v>
      </c>
      <c r="FL275" s="14">
        <v>5.7142857142857143E-3</v>
      </c>
      <c r="FM275" s="14">
        <v>4.7619047619047623E-3</v>
      </c>
      <c r="FN275" s="14">
        <v>4.7619047619047623E-3</v>
      </c>
      <c r="FO275" s="14">
        <v>4.7619047619047623E-3</v>
      </c>
      <c r="FP275" s="14">
        <v>5.7142857142857143E-3</v>
      </c>
      <c r="FQ275" s="14">
        <v>5.7142857142857143E-3</v>
      </c>
      <c r="FR275" s="14">
        <v>5.7142857142857143E-3</v>
      </c>
      <c r="FS275" s="14">
        <v>5.7142857142857143E-3</v>
      </c>
      <c r="FT275" s="14">
        <v>5.8823529411764705E-3</v>
      </c>
      <c r="FU275" s="14">
        <v>5.7142857142857143E-3</v>
      </c>
      <c r="FV275" s="14">
        <v>5.7142857142857143E-3</v>
      </c>
      <c r="FW275" s="14">
        <v>4.5454545454545461E-3</v>
      </c>
      <c r="FX275" s="14">
        <v>4.5454545454545461E-3</v>
      </c>
      <c r="FY275" s="14">
        <v>5.7142857142857143E-3</v>
      </c>
      <c r="FZ275" s="14">
        <v>7.1428571428571435E-3</v>
      </c>
      <c r="GA275" s="14">
        <v>5.7142857142857143E-3</v>
      </c>
      <c r="GB275" s="14">
        <v>5.7142857142857143E-3</v>
      </c>
      <c r="GC275" s="14">
        <v>5.7142857142857143E-3</v>
      </c>
      <c r="GD275" s="14">
        <v>7.1428571428571435E-3</v>
      </c>
      <c r="GE275" s="14">
        <v>7.1428571428571435E-3</v>
      </c>
      <c r="GF275" s="14">
        <v>4.6511627906976744E-3</v>
      </c>
      <c r="GG275" s="14">
        <v>4.6511627906976744E-3</v>
      </c>
      <c r="GH275" s="15">
        <v>4.6511627906976744E-3</v>
      </c>
    </row>
    <row r="276" spans="1:190" x14ac:dyDescent="0.3">
      <c r="A276" s="35" t="s">
        <v>11</v>
      </c>
      <c r="B276" s="11" t="s">
        <v>62</v>
      </c>
      <c r="C276" s="13" t="s">
        <v>62</v>
      </c>
      <c r="D276" s="13">
        <f>IF(Distances!EC115&lt;&gt;0,(BP276+Distances!EC115*3)*EB276*D265*2,"")</f>
        <v>62584.900479999997</v>
      </c>
      <c r="E276" s="13" t="s">
        <v>62</v>
      </c>
      <c r="F276" s="13">
        <f>IF(Distances!EE115&lt;&gt;0,(BR276+Distances!EE115*3)*ED276*F265*2,"")</f>
        <v>20583.202079999999</v>
      </c>
      <c r="G276" s="13">
        <f>IF(Distances!EF115&lt;&gt;0,(BS276+Distances!EF115*3)*EE276*G265*2,"")</f>
        <v>63370.842079999988</v>
      </c>
      <c r="H276" s="13" t="s">
        <v>62</v>
      </c>
      <c r="I276" s="13" t="s">
        <v>62</v>
      </c>
      <c r="J276" s="13">
        <f>IF(Distances!EI115&lt;&gt;0,(BV276+Distances!EI115*3)*EH276*J265*2,"")</f>
        <v>588.93376000000001</v>
      </c>
      <c r="K276" s="13" t="s">
        <v>62</v>
      </c>
      <c r="L276" s="12" t="s">
        <v>62</v>
      </c>
      <c r="M276" s="13" t="s">
        <v>62</v>
      </c>
      <c r="N276" s="13" t="s">
        <v>62</v>
      </c>
      <c r="O276" s="14" t="s">
        <v>62</v>
      </c>
      <c r="P276" s="14" t="s">
        <v>62</v>
      </c>
      <c r="Q276" s="14" t="s">
        <v>62</v>
      </c>
      <c r="R276" s="14" t="s">
        <v>62</v>
      </c>
      <c r="S276" s="14" t="s">
        <v>62</v>
      </c>
      <c r="T276" s="14">
        <f>IF(Distances!ES115&lt;&gt;0,(CF276+Distances!ES115*3)*ER276*T265*2,"")</f>
        <v>332.16564000000005</v>
      </c>
      <c r="U276" s="14">
        <f>IF(Distances!ET115&lt;&gt;0,(CG276+Distances!ET115*3)*ES276*U265*2,"")</f>
        <v>331.30200000000002</v>
      </c>
      <c r="V276" s="14">
        <f>IF(Distances!EU115&lt;&gt;0,(CH276+Distances!EU115*3)*ET276*V265*2,"")</f>
        <v>3814.80384</v>
      </c>
      <c r="W276" s="14" t="s">
        <v>62</v>
      </c>
      <c r="X276" s="14">
        <f>IF(Distances!EW115&lt;&gt;0,(CJ276+Distances!EW115*3)*EV276*X265*2,"")</f>
        <v>2300.0702057142857</v>
      </c>
      <c r="Y276" s="14">
        <f>IF(Distances!EX115&lt;&gt;0,(CK276+Distances!EX115*3)*EW276*Y265*2,"")</f>
        <v>2842.7095885714289</v>
      </c>
      <c r="Z276" s="14">
        <f>IF(Distances!EY115&lt;&gt;0,(CL276+Distances!EY115*3)*EX276*Z265*2,"")</f>
        <v>79.988982857142844</v>
      </c>
      <c r="AA276" s="14">
        <f>IF(Distances!EZ115&lt;&gt;0,(CM276+Distances!EZ115*3)*EY276*AA265*2,"")</f>
        <v>84.04374857142858</v>
      </c>
      <c r="AB276" s="14">
        <f>IF(Distances!FA115&lt;&gt;0,(CN276+Distances!FA115*3)*EZ276*AB265*2,"")</f>
        <v>102.67213714285714</v>
      </c>
      <c r="AC276" s="14" t="s">
        <v>62</v>
      </c>
      <c r="AD276" s="14" t="s">
        <v>62</v>
      </c>
      <c r="AE276" s="14">
        <f>IF(Distances!FD115&lt;&gt;0,(CQ276+Distances!FD115*3)*FC276*AE265*2,"")</f>
        <v>172.78210285714286</v>
      </c>
      <c r="AF276" s="14">
        <f>IF(Distances!FE115&lt;&gt;0,(CR276+Distances!FE115*3)*FD276*AF265*2,"")</f>
        <v>339.7356342857143</v>
      </c>
      <c r="AG276" s="14">
        <f>IF(Distances!FF115&lt;&gt;0,(CS276+Distances!FF115*3)*FE276*AG265*2,"")</f>
        <v>282.0670628571429</v>
      </c>
      <c r="AH276" s="14">
        <f>IF(Distances!FG115&lt;&gt;0,(CT276+Distances!FG115*3)*FF276*AH265*2,"")</f>
        <v>68.33092114285715</v>
      </c>
      <c r="AI276" s="14" t="s">
        <v>62</v>
      </c>
      <c r="AJ276" s="14">
        <f>IF(Distances!FI115&lt;&gt;0,(CV276+Distances!FI115*3)*FH276*AJ265*2,"")</f>
        <v>54.493206857142859</v>
      </c>
      <c r="AK276" s="14" t="s">
        <v>62</v>
      </c>
      <c r="AL276" s="14" t="s">
        <v>62</v>
      </c>
      <c r="AM276" s="14" t="s">
        <v>62</v>
      </c>
      <c r="AN276" s="14">
        <f>IF(Distances!FM115&lt;&gt;0,(CZ276+Distances!FM115*3)*FL276*AN265*2,"")</f>
        <v>563.81850514285713</v>
      </c>
      <c r="AO276" s="14" t="s">
        <v>62</v>
      </c>
      <c r="AP276" s="14" t="s">
        <v>62</v>
      </c>
      <c r="AQ276" s="14" t="s">
        <v>62</v>
      </c>
      <c r="AR276" s="14" t="s">
        <v>62</v>
      </c>
      <c r="AS276" s="14" t="s">
        <v>62</v>
      </c>
      <c r="AT276" s="14" t="s">
        <v>62</v>
      </c>
      <c r="AU276" s="14">
        <f>IF(Distances!FT115&lt;&gt;0,(DG276+Distances!FT115*3)*FS276*AU265*2,"")</f>
        <v>230.02099200000004</v>
      </c>
      <c r="AV276" s="14">
        <f>IF(Distances!FU115&lt;&gt;0,(DH276+Distances!FU115*3)*FT276*AV265*2,"")</f>
        <v>232.94082352941174</v>
      </c>
      <c r="AW276" s="14">
        <f>IF(Distances!FV115&lt;&gt;0,(DI276+Distances!FV115*3)*FU276*AW265*2,"")</f>
        <v>867.61679999999978</v>
      </c>
      <c r="AX276" s="14" t="s">
        <v>62</v>
      </c>
      <c r="AY276" s="14" t="s">
        <v>62</v>
      </c>
      <c r="AZ276" s="14">
        <f>IF(Distances!FY115&lt;&gt;0,(DL276+Distances!FY115*3)*FX276*AZ265*2,"")</f>
        <v>180.57800727272726</v>
      </c>
      <c r="BA276" s="14" t="s">
        <v>62</v>
      </c>
      <c r="BB276" s="14" t="s">
        <v>62</v>
      </c>
      <c r="BC276" s="14" t="s">
        <v>62</v>
      </c>
      <c r="BD276" s="14">
        <f>IF(Distances!GC115&lt;&gt;0,(DP276+Distances!GC115*3)*GB276*BD265*2,"")</f>
        <v>614.61460114285705</v>
      </c>
      <c r="BE276" s="14" t="s">
        <v>62</v>
      </c>
      <c r="BF276" s="14">
        <f>IF(Distances!GE115&lt;&gt;0,(DR276+Distances!GE115*3)*GD276*BF265*2,"")</f>
        <v>296.20635428571427</v>
      </c>
      <c r="BG276" s="14" t="s">
        <v>62</v>
      </c>
      <c r="BH276" s="14" t="s">
        <v>62</v>
      </c>
      <c r="BI276" s="14" t="s">
        <v>62</v>
      </c>
      <c r="BJ276" s="15" t="s">
        <v>62</v>
      </c>
      <c r="BM276" s="35" t="s">
        <v>11</v>
      </c>
      <c r="BN276" s="11">
        <v>2721.8015999999998</v>
      </c>
      <c r="BO276" s="13">
        <v>1947.7415999999998</v>
      </c>
      <c r="BP276" s="13">
        <v>2703.1871999999998</v>
      </c>
      <c r="BQ276" s="13">
        <v>2703.1871999999998</v>
      </c>
      <c r="BR276" s="13">
        <v>2863.7111999999997</v>
      </c>
      <c r="BS276" s="13">
        <v>536.91119999999989</v>
      </c>
      <c r="BT276" s="13">
        <v>456.25439999999998</v>
      </c>
      <c r="BU276" s="13">
        <v>536.91119999999989</v>
      </c>
      <c r="BV276" s="13">
        <v>2810.2031999999999</v>
      </c>
      <c r="BW276" s="13">
        <v>2810.2031999999999</v>
      </c>
      <c r="BX276" s="12">
        <v>0</v>
      </c>
      <c r="BY276" s="13">
        <v>0</v>
      </c>
      <c r="BZ276" s="13">
        <v>1194.4631999999999</v>
      </c>
      <c r="CA276" s="14">
        <v>1456.2239999999999</v>
      </c>
      <c r="CB276" s="14">
        <v>1266.4176</v>
      </c>
      <c r="CC276" s="14">
        <v>2718.4667999999997</v>
      </c>
      <c r="CD276" s="14">
        <v>2692.83</v>
      </c>
      <c r="CE276" s="14">
        <v>2769.7403999999997</v>
      </c>
      <c r="CF276" s="14">
        <v>2641.5563999999999</v>
      </c>
      <c r="CG276" s="14">
        <v>2354.52</v>
      </c>
      <c r="CH276" s="14">
        <v>3062.6736000000001</v>
      </c>
      <c r="CI276" s="14">
        <v>2667.1931999999997</v>
      </c>
      <c r="CJ276" s="14">
        <v>2369.4467999999997</v>
      </c>
      <c r="CK276" s="14">
        <v>2641.5563999999999</v>
      </c>
      <c r="CL276" s="14">
        <v>2565.9143999999997</v>
      </c>
      <c r="CM276" s="14">
        <v>2517.6311999999998</v>
      </c>
      <c r="CN276" s="14">
        <v>2424.4247999999998</v>
      </c>
      <c r="CO276" s="14">
        <v>2401.1232</v>
      </c>
      <c r="CP276" s="14">
        <v>2369.4467999999997</v>
      </c>
      <c r="CQ276" s="14">
        <v>3062.6736000000001</v>
      </c>
      <c r="CR276" s="14">
        <v>3062.6736000000001</v>
      </c>
      <c r="CS276" s="14">
        <v>3062.6736000000001</v>
      </c>
      <c r="CT276" s="14">
        <v>1820.3556000000001</v>
      </c>
      <c r="CU276" s="14">
        <v>2161.5383999999999</v>
      </c>
      <c r="CV276" s="14">
        <v>1820.3556000000001</v>
      </c>
      <c r="CW276" s="14">
        <v>2224.4627999999998</v>
      </c>
      <c r="CX276" s="14">
        <v>449.79480000000001</v>
      </c>
      <c r="CY276" s="14">
        <v>449.79480000000001</v>
      </c>
      <c r="CZ276" s="14">
        <v>449.79480000000001</v>
      </c>
      <c r="DA276" s="14">
        <v>1122.7607999999998</v>
      </c>
      <c r="DB276" s="14">
        <v>1144.5419999999999</v>
      </c>
      <c r="DC276" s="14">
        <v>1242.9059999999999</v>
      </c>
      <c r="DD276" s="14">
        <v>1665.3503999999998</v>
      </c>
      <c r="DE276" s="14">
        <v>1665.3503999999998</v>
      </c>
      <c r="DF276" s="14">
        <v>1665.3503999999998</v>
      </c>
      <c r="DG276" s="14">
        <v>1305.9312</v>
      </c>
      <c r="DH276" s="14">
        <v>2024.694</v>
      </c>
      <c r="DI276" s="14">
        <v>2024.694</v>
      </c>
      <c r="DJ276" s="14">
        <v>1330.7867999999999</v>
      </c>
      <c r="DK276" s="14">
        <v>0</v>
      </c>
      <c r="DL276" s="14">
        <v>3577.7951999999996</v>
      </c>
      <c r="DM276" s="14">
        <v>1561.7028</v>
      </c>
      <c r="DN276" s="14">
        <v>1986.8603999999998</v>
      </c>
      <c r="DO276" s="14">
        <v>1243.788</v>
      </c>
      <c r="DP276" s="14">
        <v>1330.7867999999999</v>
      </c>
      <c r="DQ276" s="14">
        <v>1318.3548000000001</v>
      </c>
      <c r="DR276" s="14">
        <v>2288.3111999999996</v>
      </c>
      <c r="DS276" s="14">
        <v>1739.1695999999999</v>
      </c>
      <c r="DT276" s="14">
        <v>1421.9015999999999</v>
      </c>
      <c r="DU276" s="14">
        <v>2047.1556</v>
      </c>
      <c r="DV276" s="15">
        <v>2047.1556</v>
      </c>
      <c r="DY276" s="35" t="s">
        <v>11</v>
      </c>
      <c r="DZ276" s="11">
        <f t="shared" si="99"/>
        <v>1.6666666666666666E-2</v>
      </c>
      <c r="EA276" s="13">
        <f t="shared" si="99"/>
        <v>1.6666666666666666E-2</v>
      </c>
      <c r="EB276" s="13">
        <f t="shared" si="99"/>
        <v>1.6666666666666666E-2</v>
      </c>
      <c r="EC276" s="13">
        <f t="shared" si="99"/>
        <v>1.6666666666666666E-2</v>
      </c>
      <c r="ED276" s="13">
        <f t="shared" si="99"/>
        <v>1.6666666666666666E-2</v>
      </c>
      <c r="EE276" s="13">
        <f t="shared" si="99"/>
        <v>1.6666666666666666E-2</v>
      </c>
      <c r="EF276" s="13">
        <f t="shared" si="99"/>
        <v>1.6666666666666666E-2</v>
      </c>
      <c r="EG276" s="13">
        <f t="shared" si="99"/>
        <v>1.6666666666666666E-2</v>
      </c>
      <c r="EH276" s="13">
        <f t="shared" si="99"/>
        <v>1.6666666666666666E-2</v>
      </c>
      <c r="EI276" s="13">
        <f t="shared" si="99"/>
        <v>1.6666666666666666E-2</v>
      </c>
      <c r="EJ276" s="12">
        <v>0.6</v>
      </c>
      <c r="EK276" s="13">
        <f t="shared" si="99"/>
        <v>1.6666666666666666E-2</v>
      </c>
      <c r="EL276" s="13">
        <f t="shared" si="99"/>
        <v>1.6666666666666666E-2</v>
      </c>
      <c r="EM276" s="14">
        <v>4.6511627906976744E-3</v>
      </c>
      <c r="EN276" s="14">
        <v>4.6511627906976744E-3</v>
      </c>
      <c r="EO276" s="14">
        <v>7.1428571428571435E-3</v>
      </c>
      <c r="EP276" s="14">
        <v>7.1428571428571435E-3</v>
      </c>
      <c r="EQ276" s="14">
        <v>7.1428571428571435E-3</v>
      </c>
      <c r="ER276" s="14">
        <v>7.1428571428571435E-3</v>
      </c>
      <c r="ES276" s="14">
        <v>7.1428571428571435E-3</v>
      </c>
      <c r="ET276" s="14">
        <v>7.1428571428571435E-3</v>
      </c>
      <c r="EU276" s="14">
        <v>7.1428571428571435E-3</v>
      </c>
      <c r="EV276" s="14">
        <v>7.1428571428571435E-3</v>
      </c>
      <c r="EW276" s="14">
        <v>7.1428571428571435E-3</v>
      </c>
      <c r="EX276" s="14">
        <v>7.1428571428571435E-3</v>
      </c>
      <c r="EY276" s="14">
        <v>7.1428571428571435E-3</v>
      </c>
      <c r="EZ276" s="14">
        <v>7.1428571428571435E-3</v>
      </c>
      <c r="FA276" s="14">
        <v>7.1428571428571435E-3</v>
      </c>
      <c r="FB276" s="14">
        <v>7.1428571428571435E-3</v>
      </c>
      <c r="FC276" s="14">
        <v>7.1428571428571435E-3</v>
      </c>
      <c r="FD276" s="14">
        <v>7.1428571428571435E-3</v>
      </c>
      <c r="FE276" s="14">
        <v>7.1428571428571435E-3</v>
      </c>
      <c r="FF276" s="14">
        <v>5.7142857142857143E-3</v>
      </c>
      <c r="FG276" s="14">
        <v>5.7142857142857143E-3</v>
      </c>
      <c r="FH276" s="14">
        <v>5.7142857142857143E-3</v>
      </c>
      <c r="FI276" s="14">
        <v>5.7142857142857143E-3</v>
      </c>
      <c r="FJ276" s="14">
        <v>5.7142857142857143E-3</v>
      </c>
      <c r="FK276" s="14">
        <v>5.7142857142857143E-3</v>
      </c>
      <c r="FL276" s="14">
        <v>5.7142857142857143E-3</v>
      </c>
      <c r="FM276" s="14">
        <v>4.7619047619047623E-3</v>
      </c>
      <c r="FN276" s="14">
        <v>4.7619047619047623E-3</v>
      </c>
      <c r="FO276" s="14">
        <v>4.7619047619047623E-3</v>
      </c>
      <c r="FP276" s="14">
        <v>5.7142857142857143E-3</v>
      </c>
      <c r="FQ276" s="14">
        <v>5.7142857142857143E-3</v>
      </c>
      <c r="FR276" s="14">
        <v>5.7142857142857143E-3</v>
      </c>
      <c r="FS276" s="14">
        <v>5.7142857142857143E-3</v>
      </c>
      <c r="FT276" s="14">
        <v>5.8823529411764705E-3</v>
      </c>
      <c r="FU276" s="14">
        <v>5.7142857142857143E-3</v>
      </c>
      <c r="FV276" s="14">
        <v>5.7142857142857143E-3</v>
      </c>
      <c r="FW276" s="14">
        <v>4.5454545454545461E-3</v>
      </c>
      <c r="FX276" s="14">
        <v>4.5454545454545461E-3</v>
      </c>
      <c r="FY276" s="14">
        <v>5.7142857142857143E-3</v>
      </c>
      <c r="FZ276" s="14">
        <v>7.1428571428571435E-3</v>
      </c>
      <c r="GA276" s="14">
        <v>5.7142857142857143E-3</v>
      </c>
      <c r="GB276" s="14">
        <v>5.7142857142857143E-3</v>
      </c>
      <c r="GC276" s="14">
        <v>5.7142857142857143E-3</v>
      </c>
      <c r="GD276" s="14">
        <v>7.1428571428571435E-3</v>
      </c>
      <c r="GE276" s="14">
        <v>7.1428571428571435E-3</v>
      </c>
      <c r="GF276" s="14">
        <v>4.6511627906976744E-3</v>
      </c>
      <c r="GG276" s="14">
        <v>4.6511627906976744E-3</v>
      </c>
      <c r="GH276" s="15">
        <v>4.6511627906976744E-3</v>
      </c>
    </row>
    <row r="277" spans="1:190" x14ac:dyDescent="0.3">
      <c r="A277" s="35" t="s">
        <v>12</v>
      </c>
      <c r="B277" s="11" t="s">
        <v>62</v>
      </c>
      <c r="C277" s="13" t="s">
        <v>62</v>
      </c>
      <c r="D277" s="13">
        <f>IF(Distances!EC116&lt;&gt;0,(BP277+Distances!EC116*3)*EB277*D265*2,"")</f>
        <v>62584.900479999997</v>
      </c>
      <c r="E277" s="13" t="s">
        <v>62</v>
      </c>
      <c r="F277" s="13">
        <f>IF(Distances!EE116&lt;&gt;0,(BR277+Distances!EE116*3)*ED277*F265*2,"")</f>
        <v>20583.202079999999</v>
      </c>
      <c r="G277" s="13">
        <f>IF(Distances!EF116&lt;&gt;0,(BS277+Distances!EF116*3)*EE277*G265*2,"")</f>
        <v>63370.842079999988</v>
      </c>
      <c r="H277" s="13" t="s">
        <v>62</v>
      </c>
      <c r="I277" s="13" t="s">
        <v>62</v>
      </c>
      <c r="J277" s="13">
        <f>IF(Distances!EI116&lt;&gt;0,(BV277+Distances!EI116*3)*EH277*J265*2,"")</f>
        <v>588.93376000000001</v>
      </c>
      <c r="K277" s="13" t="s">
        <v>62</v>
      </c>
      <c r="L277" s="13" t="s">
        <v>62</v>
      </c>
      <c r="M277" s="12" t="s">
        <v>62</v>
      </c>
      <c r="N277" s="13" t="s">
        <v>62</v>
      </c>
      <c r="O277" s="14" t="s">
        <v>62</v>
      </c>
      <c r="P277" s="14" t="s">
        <v>62</v>
      </c>
      <c r="Q277" s="14" t="s">
        <v>62</v>
      </c>
      <c r="R277" s="14" t="s">
        <v>62</v>
      </c>
      <c r="S277" s="14" t="s">
        <v>62</v>
      </c>
      <c r="T277" s="14">
        <f>IF(Distances!ES116&lt;&gt;0,(CF277+Distances!ES116*3)*ER277*T265*2,"")</f>
        <v>332.16564000000005</v>
      </c>
      <c r="U277" s="14">
        <f>IF(Distances!ET116&lt;&gt;0,(CG277+Distances!ET116*3)*ES277*U265*2,"")</f>
        <v>331.30200000000002</v>
      </c>
      <c r="V277" s="14">
        <f>IF(Distances!EU116&lt;&gt;0,(CH277+Distances!EU116*3)*ET277*V265*2,"")</f>
        <v>3814.80384</v>
      </c>
      <c r="W277" s="14" t="s">
        <v>62</v>
      </c>
      <c r="X277" s="14">
        <f>IF(Distances!EW116&lt;&gt;0,(CJ277+Distances!EW116*3)*EV277*X265*2,"")</f>
        <v>2300.0702057142857</v>
      </c>
      <c r="Y277" s="14">
        <f>IF(Distances!EX116&lt;&gt;0,(CK277+Distances!EX116*3)*EW277*Y265*2,"")</f>
        <v>2842.7095885714289</v>
      </c>
      <c r="Z277" s="14">
        <f>IF(Distances!EY116&lt;&gt;0,(CL277+Distances!EY116*3)*EX277*Z265*2,"")</f>
        <v>79.988982857142844</v>
      </c>
      <c r="AA277" s="14">
        <f>IF(Distances!EZ116&lt;&gt;0,(CM277+Distances!EZ116*3)*EY277*AA265*2,"")</f>
        <v>84.04374857142858</v>
      </c>
      <c r="AB277" s="14">
        <f>IF(Distances!FA116&lt;&gt;0,(CN277+Distances!FA116*3)*EZ277*AB265*2,"")</f>
        <v>102.67213714285714</v>
      </c>
      <c r="AC277" s="14" t="s">
        <v>62</v>
      </c>
      <c r="AD277" s="14" t="s">
        <v>62</v>
      </c>
      <c r="AE277" s="14">
        <f>IF(Distances!FD116&lt;&gt;0,(CQ277+Distances!FD116*3)*FC277*AE265*2,"")</f>
        <v>172.78210285714286</v>
      </c>
      <c r="AF277" s="14">
        <f>IF(Distances!FE116&lt;&gt;0,(CR277+Distances!FE116*3)*FD277*AF265*2,"")</f>
        <v>339.7356342857143</v>
      </c>
      <c r="AG277" s="14">
        <f>IF(Distances!FF116&lt;&gt;0,(CS277+Distances!FF116*3)*FE277*AG265*2,"")</f>
        <v>282.0670628571429</v>
      </c>
      <c r="AH277" s="14">
        <f>IF(Distances!FG116&lt;&gt;0,(CT277+Distances!FG116*3)*FF277*AH265*2,"")</f>
        <v>68.33092114285715</v>
      </c>
      <c r="AI277" s="14" t="s">
        <v>62</v>
      </c>
      <c r="AJ277" s="14">
        <f>IF(Distances!FI116&lt;&gt;0,(CV277+Distances!FI116*3)*FH277*AJ265*2,"")</f>
        <v>54.493206857142859</v>
      </c>
      <c r="AK277" s="14" t="s">
        <v>62</v>
      </c>
      <c r="AL277" s="14" t="s">
        <v>62</v>
      </c>
      <c r="AM277" s="14" t="s">
        <v>62</v>
      </c>
      <c r="AN277" s="14">
        <f>IF(Distances!FM116&lt;&gt;0,(CZ277+Distances!FM116*3)*FL277*AN265*2,"")</f>
        <v>563.81850514285713</v>
      </c>
      <c r="AO277" s="14" t="s">
        <v>62</v>
      </c>
      <c r="AP277" s="14" t="s">
        <v>62</v>
      </c>
      <c r="AQ277" s="14" t="s">
        <v>62</v>
      </c>
      <c r="AR277" s="14" t="s">
        <v>62</v>
      </c>
      <c r="AS277" s="14" t="s">
        <v>62</v>
      </c>
      <c r="AT277" s="14" t="s">
        <v>62</v>
      </c>
      <c r="AU277" s="14">
        <f>IF(Distances!FT116&lt;&gt;0,(DG277+Distances!FT116*3)*FS277*AU265*2,"")</f>
        <v>230.02099200000004</v>
      </c>
      <c r="AV277" s="14">
        <f>IF(Distances!FU116&lt;&gt;0,(DH277+Distances!FU116*3)*FT277*AV265*2,"")</f>
        <v>232.94082352941174</v>
      </c>
      <c r="AW277" s="14">
        <f>IF(Distances!FV116&lt;&gt;0,(DI277+Distances!FV116*3)*FU277*AW265*2,"")</f>
        <v>867.61679999999978</v>
      </c>
      <c r="AX277" s="14" t="s">
        <v>62</v>
      </c>
      <c r="AY277" s="14" t="s">
        <v>62</v>
      </c>
      <c r="AZ277" s="14">
        <f>IF(Distances!FY116&lt;&gt;0,(DL277+Distances!FY116*3)*FX277*AZ265*2,"")</f>
        <v>180.57800727272726</v>
      </c>
      <c r="BA277" s="14" t="s">
        <v>62</v>
      </c>
      <c r="BB277" s="14" t="s">
        <v>62</v>
      </c>
      <c r="BC277" s="14" t="s">
        <v>62</v>
      </c>
      <c r="BD277" s="14">
        <f>IF(Distances!GC116&lt;&gt;0,(DP277+Distances!GC116*3)*GB277*BD265*2,"")</f>
        <v>614.61460114285705</v>
      </c>
      <c r="BE277" s="14" t="s">
        <v>62</v>
      </c>
      <c r="BF277" s="14">
        <f>IF(Distances!GE116&lt;&gt;0,(DR277+Distances!GE116*3)*GD277*BF265*2,"")</f>
        <v>296.20635428571427</v>
      </c>
      <c r="BG277" s="14" t="s">
        <v>62</v>
      </c>
      <c r="BH277" s="14" t="s">
        <v>62</v>
      </c>
      <c r="BI277" s="14" t="s">
        <v>62</v>
      </c>
      <c r="BJ277" s="15" t="s">
        <v>62</v>
      </c>
      <c r="BM277" s="35" t="s">
        <v>12</v>
      </c>
      <c r="BN277" s="11">
        <v>2721.8015999999998</v>
      </c>
      <c r="BO277" s="13">
        <v>1947.7415999999998</v>
      </c>
      <c r="BP277" s="13">
        <v>2703.1871999999998</v>
      </c>
      <c r="BQ277" s="13">
        <v>2703.1871999999998</v>
      </c>
      <c r="BR277" s="13">
        <v>2863.7111999999997</v>
      </c>
      <c r="BS277" s="13">
        <v>536.91119999999989</v>
      </c>
      <c r="BT277" s="13">
        <v>456.25439999999998</v>
      </c>
      <c r="BU277" s="13">
        <v>536.91119999999989</v>
      </c>
      <c r="BV277" s="13">
        <v>2810.2031999999999</v>
      </c>
      <c r="BW277" s="13">
        <v>2810.2031999999999</v>
      </c>
      <c r="BX277" s="13">
        <v>0</v>
      </c>
      <c r="BY277" s="12">
        <v>0</v>
      </c>
      <c r="BZ277" s="13">
        <v>1194.4631999999999</v>
      </c>
      <c r="CA277" s="14">
        <v>1456.2239999999999</v>
      </c>
      <c r="CB277" s="14">
        <v>1266.4176</v>
      </c>
      <c r="CC277" s="14">
        <v>2718.4667999999997</v>
      </c>
      <c r="CD277" s="14">
        <v>2692.83</v>
      </c>
      <c r="CE277" s="14">
        <v>2769.7403999999997</v>
      </c>
      <c r="CF277" s="14">
        <v>2641.5563999999999</v>
      </c>
      <c r="CG277" s="14">
        <v>2354.52</v>
      </c>
      <c r="CH277" s="14">
        <v>3062.6736000000001</v>
      </c>
      <c r="CI277" s="14">
        <v>2667.1931999999997</v>
      </c>
      <c r="CJ277" s="14">
        <v>2369.4467999999997</v>
      </c>
      <c r="CK277" s="14">
        <v>2641.5563999999999</v>
      </c>
      <c r="CL277" s="14">
        <v>2565.9143999999997</v>
      </c>
      <c r="CM277" s="14">
        <v>2517.6311999999998</v>
      </c>
      <c r="CN277" s="14">
        <v>2424.4247999999998</v>
      </c>
      <c r="CO277" s="14">
        <v>2401.1232</v>
      </c>
      <c r="CP277" s="14">
        <v>2369.4467999999997</v>
      </c>
      <c r="CQ277" s="14">
        <v>3062.6736000000001</v>
      </c>
      <c r="CR277" s="14">
        <v>3062.6736000000001</v>
      </c>
      <c r="CS277" s="14">
        <v>3062.6736000000001</v>
      </c>
      <c r="CT277" s="14">
        <v>1820.3556000000001</v>
      </c>
      <c r="CU277" s="14">
        <v>2161.5383999999999</v>
      </c>
      <c r="CV277" s="14">
        <v>1820.3556000000001</v>
      </c>
      <c r="CW277" s="14">
        <v>2224.4627999999998</v>
      </c>
      <c r="CX277" s="14">
        <v>449.79480000000001</v>
      </c>
      <c r="CY277" s="14">
        <v>449.79480000000001</v>
      </c>
      <c r="CZ277" s="14">
        <v>449.79480000000001</v>
      </c>
      <c r="DA277" s="14">
        <v>1122.7607999999998</v>
      </c>
      <c r="DB277" s="14">
        <v>1144.5419999999999</v>
      </c>
      <c r="DC277" s="14">
        <v>1242.9059999999999</v>
      </c>
      <c r="DD277" s="14">
        <v>1665.3503999999998</v>
      </c>
      <c r="DE277" s="14">
        <v>1665.3503999999998</v>
      </c>
      <c r="DF277" s="14">
        <v>1665.3503999999998</v>
      </c>
      <c r="DG277" s="14">
        <v>1305.9312</v>
      </c>
      <c r="DH277" s="14">
        <v>2024.694</v>
      </c>
      <c r="DI277" s="14">
        <v>2024.694</v>
      </c>
      <c r="DJ277" s="14">
        <v>1330.7867999999999</v>
      </c>
      <c r="DK277" s="14">
        <v>0</v>
      </c>
      <c r="DL277" s="14">
        <v>3577.7951999999996</v>
      </c>
      <c r="DM277" s="14">
        <v>1561.7028</v>
      </c>
      <c r="DN277" s="14">
        <v>1986.8603999999998</v>
      </c>
      <c r="DO277" s="14">
        <v>1243.788</v>
      </c>
      <c r="DP277" s="14">
        <v>1330.7867999999999</v>
      </c>
      <c r="DQ277" s="14">
        <v>1318.3548000000001</v>
      </c>
      <c r="DR277" s="14">
        <v>2288.3111999999996</v>
      </c>
      <c r="DS277" s="14">
        <v>1739.1695999999999</v>
      </c>
      <c r="DT277" s="14">
        <v>1421.9015999999999</v>
      </c>
      <c r="DU277" s="14">
        <v>2047.1556</v>
      </c>
      <c r="DV277" s="15">
        <v>2047.1556</v>
      </c>
      <c r="DY277" s="35" t="s">
        <v>12</v>
      </c>
      <c r="DZ277" s="11">
        <f t="shared" si="99"/>
        <v>1.6666666666666666E-2</v>
      </c>
      <c r="EA277" s="13">
        <f t="shared" si="99"/>
        <v>1.6666666666666666E-2</v>
      </c>
      <c r="EB277" s="13">
        <f t="shared" si="99"/>
        <v>1.6666666666666666E-2</v>
      </c>
      <c r="EC277" s="13">
        <f t="shared" si="99"/>
        <v>1.6666666666666666E-2</v>
      </c>
      <c r="ED277" s="13">
        <f t="shared" si="99"/>
        <v>1.6666666666666666E-2</v>
      </c>
      <c r="EE277" s="13">
        <f t="shared" si="99"/>
        <v>1.6666666666666666E-2</v>
      </c>
      <c r="EF277" s="13">
        <f t="shared" si="99"/>
        <v>1.6666666666666666E-2</v>
      </c>
      <c r="EG277" s="13">
        <f t="shared" si="99"/>
        <v>1.6666666666666666E-2</v>
      </c>
      <c r="EH277" s="13">
        <f t="shared" si="99"/>
        <v>1.6666666666666666E-2</v>
      </c>
      <c r="EI277" s="13">
        <f t="shared" si="99"/>
        <v>1.6666666666666666E-2</v>
      </c>
      <c r="EJ277" s="13">
        <f t="shared" si="99"/>
        <v>1.6666666666666666E-2</v>
      </c>
      <c r="EK277" s="12">
        <v>0.6</v>
      </c>
      <c r="EL277" s="13">
        <f t="shared" si="99"/>
        <v>1.6666666666666666E-2</v>
      </c>
      <c r="EM277" s="14">
        <v>4.6511627906976744E-3</v>
      </c>
      <c r="EN277" s="14">
        <v>4.6511627906976744E-3</v>
      </c>
      <c r="EO277" s="14">
        <v>7.1428571428571435E-3</v>
      </c>
      <c r="EP277" s="14">
        <v>7.1428571428571435E-3</v>
      </c>
      <c r="EQ277" s="14">
        <v>7.1428571428571435E-3</v>
      </c>
      <c r="ER277" s="14">
        <v>7.1428571428571435E-3</v>
      </c>
      <c r="ES277" s="14">
        <v>7.1428571428571435E-3</v>
      </c>
      <c r="ET277" s="14">
        <v>7.1428571428571435E-3</v>
      </c>
      <c r="EU277" s="14">
        <v>7.1428571428571435E-3</v>
      </c>
      <c r="EV277" s="14">
        <v>7.1428571428571435E-3</v>
      </c>
      <c r="EW277" s="14">
        <v>7.1428571428571435E-3</v>
      </c>
      <c r="EX277" s="14">
        <v>7.1428571428571435E-3</v>
      </c>
      <c r="EY277" s="14">
        <v>7.1428571428571435E-3</v>
      </c>
      <c r="EZ277" s="14">
        <v>7.1428571428571435E-3</v>
      </c>
      <c r="FA277" s="14">
        <v>7.1428571428571435E-3</v>
      </c>
      <c r="FB277" s="14">
        <v>7.1428571428571435E-3</v>
      </c>
      <c r="FC277" s="14">
        <v>7.1428571428571435E-3</v>
      </c>
      <c r="FD277" s="14">
        <v>7.1428571428571435E-3</v>
      </c>
      <c r="FE277" s="14">
        <v>7.1428571428571435E-3</v>
      </c>
      <c r="FF277" s="14">
        <v>5.7142857142857143E-3</v>
      </c>
      <c r="FG277" s="14">
        <v>5.7142857142857143E-3</v>
      </c>
      <c r="FH277" s="14">
        <v>5.7142857142857143E-3</v>
      </c>
      <c r="FI277" s="14">
        <v>5.7142857142857143E-3</v>
      </c>
      <c r="FJ277" s="14">
        <v>5.7142857142857143E-3</v>
      </c>
      <c r="FK277" s="14">
        <v>5.7142857142857143E-3</v>
      </c>
      <c r="FL277" s="14">
        <v>5.7142857142857143E-3</v>
      </c>
      <c r="FM277" s="14">
        <v>4.7619047619047623E-3</v>
      </c>
      <c r="FN277" s="14">
        <v>4.7619047619047623E-3</v>
      </c>
      <c r="FO277" s="14">
        <v>4.7619047619047623E-3</v>
      </c>
      <c r="FP277" s="14">
        <v>5.7142857142857143E-3</v>
      </c>
      <c r="FQ277" s="14">
        <v>5.7142857142857143E-3</v>
      </c>
      <c r="FR277" s="14">
        <v>5.7142857142857143E-3</v>
      </c>
      <c r="FS277" s="14">
        <v>5.7142857142857143E-3</v>
      </c>
      <c r="FT277" s="14">
        <v>5.8823529411764705E-3</v>
      </c>
      <c r="FU277" s="14">
        <v>5.7142857142857143E-3</v>
      </c>
      <c r="FV277" s="14">
        <v>5.7142857142857143E-3</v>
      </c>
      <c r="FW277" s="14">
        <v>4.5454545454545461E-3</v>
      </c>
      <c r="FX277" s="14">
        <v>4.5454545454545461E-3</v>
      </c>
      <c r="FY277" s="14">
        <v>5.7142857142857143E-3</v>
      </c>
      <c r="FZ277" s="14">
        <v>7.1428571428571435E-3</v>
      </c>
      <c r="GA277" s="14">
        <v>5.7142857142857143E-3</v>
      </c>
      <c r="GB277" s="14">
        <v>5.7142857142857143E-3</v>
      </c>
      <c r="GC277" s="14">
        <v>5.7142857142857143E-3</v>
      </c>
      <c r="GD277" s="14">
        <v>7.1428571428571435E-3</v>
      </c>
      <c r="GE277" s="14">
        <v>7.1428571428571435E-3</v>
      </c>
      <c r="GF277" s="14">
        <v>4.6511627906976744E-3</v>
      </c>
      <c r="GG277" s="14">
        <v>4.6511627906976744E-3</v>
      </c>
      <c r="GH277" s="15">
        <v>4.6511627906976744E-3</v>
      </c>
    </row>
    <row r="278" spans="1:190" x14ac:dyDescent="0.3">
      <c r="A278" s="35" t="s">
        <v>13</v>
      </c>
      <c r="B278" s="11" t="s">
        <v>62</v>
      </c>
      <c r="C278" s="13" t="s">
        <v>62</v>
      </c>
      <c r="D278" s="13">
        <f>IF(Distances!EC117&lt;&gt;0,(BP278+Distances!EC117*3)*EB278*D265*2,"")</f>
        <v>51550.101039999994</v>
      </c>
      <c r="E278" s="13" t="s">
        <v>62</v>
      </c>
      <c r="F278" s="13">
        <f>IF(Distances!EE117&lt;&gt;0,(BR278+Distances!EE117*3)*ED278*F265*2,"")</f>
        <v>8892.8722400000006</v>
      </c>
      <c r="G278" s="13">
        <f>IF(Distances!EF117&lt;&gt;0,(BS278+Distances!EF117*3)*EE278*G265*2,"")</f>
        <v>66993.001039999974</v>
      </c>
      <c r="H278" s="13" t="s">
        <v>62</v>
      </c>
      <c r="I278" s="13" t="s">
        <v>62</v>
      </c>
      <c r="J278" s="13">
        <f>IF(Distances!EI117&lt;&gt;0,(BV278+Distances!EI117*3)*EH278*J265*2,"")</f>
        <v>361.76864</v>
      </c>
      <c r="K278" s="13" t="s">
        <v>62</v>
      </c>
      <c r="L278" s="13" t="s">
        <v>62</v>
      </c>
      <c r="M278" s="13" t="s">
        <v>62</v>
      </c>
      <c r="N278" s="12" t="s">
        <v>62</v>
      </c>
      <c r="O278" s="14" t="s">
        <v>62</v>
      </c>
      <c r="P278" s="14" t="s">
        <v>62</v>
      </c>
      <c r="Q278" s="14" t="s">
        <v>62</v>
      </c>
      <c r="R278" s="14" t="s">
        <v>62</v>
      </c>
      <c r="S278" s="14" t="s">
        <v>62</v>
      </c>
      <c r="T278" s="14">
        <f>IF(Distances!ES117&lt;&gt;0,(CF278+Distances!ES117*3)*ER278*T265*2,"")</f>
        <v>199.24152000000001</v>
      </c>
      <c r="U278" s="14">
        <f>IF(Distances!ET117&lt;&gt;0,(CG278+Distances!ET117*3)*ES278*U265*2,"")</f>
        <v>260.84196000000003</v>
      </c>
      <c r="V278" s="14">
        <f>IF(Distances!EU117&lt;&gt;0,(CH278+Distances!EU117*3)*ET278*V265*2,"")</f>
        <v>2914.6670399999998</v>
      </c>
      <c r="W278" s="14" t="s">
        <v>62</v>
      </c>
      <c r="X278" s="14">
        <f>IF(Distances!EW117&lt;&gt;0,(CJ278+Distances!EW117*3)*EV278*X265*2,"")</f>
        <v>1623.8157257142859</v>
      </c>
      <c r="Y278" s="14">
        <f>IF(Distances!EX117&lt;&gt;0,(CK278+Distances!EX117*3)*EW278*Y265*2,"")</f>
        <v>1741.3383085714288</v>
      </c>
      <c r="Z278" s="14">
        <f>IF(Distances!EY117&lt;&gt;0,(CL278+Distances!EY117*3)*EX278*Z265*2,"")</f>
        <v>58.015782857142867</v>
      </c>
      <c r="AA278" s="14">
        <f>IF(Distances!EZ117&lt;&gt;0,(CM278+Distances!EZ117*3)*EY278*AA265*2,"")</f>
        <v>62.517188571428562</v>
      </c>
      <c r="AB278" s="14">
        <f>IF(Distances!FA117&lt;&gt;0,(CN278+Distances!FA117*3)*EZ278*AB265*2,"")</f>
        <v>81.94285714285715</v>
      </c>
      <c r="AC278" s="14" t="s">
        <v>62</v>
      </c>
      <c r="AD278" s="14" t="s">
        <v>62</v>
      </c>
      <c r="AE278" s="14">
        <f>IF(Distances!FD117&lt;&gt;0,(CQ278+Distances!FD117*3)*FC278*AE265*2,"")</f>
        <v>141.74290285714287</v>
      </c>
      <c r="AF278" s="14">
        <f>IF(Distances!FE117&lt;&gt;0,(CR278+Distances!FE117*3)*FD278*AF265*2,"")</f>
        <v>277.65723428571431</v>
      </c>
      <c r="AG278" s="14">
        <f>IF(Distances!FF117&lt;&gt;0,(CS278+Distances!FF117*3)*FE278*AG265*2,"")</f>
        <v>219.98866285714286</v>
      </c>
      <c r="AH278" s="14">
        <f>IF(Distances!FG117&lt;&gt;0,(CT278+Distances!FG117*3)*FF278*AH265*2,"")</f>
        <v>81.72244114285715</v>
      </c>
      <c r="AI278" s="14" t="s">
        <v>62</v>
      </c>
      <c r="AJ278" s="14">
        <f>IF(Distances!FI117&lt;&gt;0,(CV278+Distances!FI117*3)*FH278*AJ265*2,"")</f>
        <v>67.884726857142851</v>
      </c>
      <c r="AK278" s="14" t="s">
        <v>62</v>
      </c>
      <c r="AL278" s="14" t="s">
        <v>62</v>
      </c>
      <c r="AM278" s="14" t="s">
        <v>62</v>
      </c>
      <c r="AN278" s="14">
        <f>IF(Distances!FM117&lt;&gt;0,(CZ278+Distances!FM117*3)*FL278*AN265*2,"")</f>
        <v>1619.7630171428573</v>
      </c>
      <c r="AO278" s="14" t="s">
        <v>62</v>
      </c>
      <c r="AP278" s="14" t="s">
        <v>62</v>
      </c>
      <c r="AQ278" s="14" t="s">
        <v>62</v>
      </c>
      <c r="AR278" s="14" t="s">
        <v>62</v>
      </c>
      <c r="AS278" s="14" t="s">
        <v>62</v>
      </c>
      <c r="AT278" s="14" t="s">
        <v>62</v>
      </c>
      <c r="AU278" s="14">
        <f>IF(Distances!FT117&lt;&gt;0,(DG278+Distances!FT117*3)*FS278*AU265*2,"")</f>
        <v>335.81663999999995</v>
      </c>
      <c r="AV278" s="14">
        <f>IF(Distances!FU117&lt;&gt;0,(DH278+Distances!FU117*3)*FT278*AV265*2,"")</f>
        <v>213.16425882352939</v>
      </c>
      <c r="AW278" s="14">
        <f>IF(Distances!FV117&lt;&gt;0,(DI278+Distances!FV117*3)*FU278*AW265*2,"")</f>
        <v>848.40527999999995</v>
      </c>
      <c r="AX278" s="14" t="s">
        <v>62</v>
      </c>
      <c r="AY278" s="14" t="s">
        <v>62</v>
      </c>
      <c r="AZ278" s="14">
        <f>IF(Distances!FY117&lt;&gt;0,(DL278+Distances!FY117*3)*FX278*AZ265*2,"")</f>
        <v>214.7855563636364</v>
      </c>
      <c r="BA278" s="14" t="s">
        <v>62</v>
      </c>
      <c r="BB278" s="14" t="s">
        <v>62</v>
      </c>
      <c r="BC278" s="14" t="s">
        <v>62</v>
      </c>
      <c r="BD278" s="14">
        <f>IF(Distances!GC117&lt;&gt;0,(DP278+Distances!GC117*3)*GB278*BD265*2,"")</f>
        <v>861.04122514285712</v>
      </c>
      <c r="BE278" s="14" t="s">
        <v>62</v>
      </c>
      <c r="BF278" s="14">
        <f>IF(Distances!GE117&lt;&gt;0,(DR278+Distances!GE117*3)*GD278*BF265*2,"")</f>
        <v>306.20043428571432</v>
      </c>
      <c r="BG278" s="14" t="s">
        <v>62</v>
      </c>
      <c r="BH278" s="14" t="s">
        <v>62</v>
      </c>
      <c r="BI278" s="14" t="s">
        <v>62</v>
      </c>
      <c r="BJ278" s="15" t="s">
        <v>62</v>
      </c>
      <c r="BM278" s="35" t="s">
        <v>13</v>
      </c>
      <c r="BN278" s="11">
        <v>803.30039999999997</v>
      </c>
      <c r="BO278" s="13">
        <v>891.01319999999998</v>
      </c>
      <c r="BP278" s="13">
        <v>1064.3555999999999</v>
      </c>
      <c r="BQ278" s="13">
        <v>1064.3555999999999</v>
      </c>
      <c r="BR278" s="13">
        <v>1127.5236</v>
      </c>
      <c r="BS278" s="13">
        <v>1074.8555999999999</v>
      </c>
      <c r="BT278" s="13">
        <v>1182.8796</v>
      </c>
      <c r="BU278" s="13">
        <v>1074.8555999999999</v>
      </c>
      <c r="BV278" s="13">
        <v>1106.4648</v>
      </c>
      <c r="BW278" s="13">
        <v>1106.4648</v>
      </c>
      <c r="BX278" s="13">
        <v>1194.4631999999999</v>
      </c>
      <c r="BY278" s="13">
        <v>1194.4631999999999</v>
      </c>
      <c r="BZ278" s="12">
        <v>0</v>
      </c>
      <c r="CA278" s="14">
        <v>858.76559999999995</v>
      </c>
      <c r="CB278" s="14">
        <v>1634.4048</v>
      </c>
      <c r="CC278" s="14">
        <v>1350.51</v>
      </c>
      <c r="CD278" s="14">
        <v>1337.7755999999999</v>
      </c>
      <c r="CE278" s="14">
        <v>1375.9703999999999</v>
      </c>
      <c r="CF278" s="14">
        <v>1312.3152</v>
      </c>
      <c r="CG278" s="14">
        <v>1649.9195999999999</v>
      </c>
      <c r="CH278" s="14">
        <v>1976.3015999999998</v>
      </c>
      <c r="CI278" s="14">
        <v>1325.0496000000001</v>
      </c>
      <c r="CJ278" s="14">
        <v>1553.2776000000001</v>
      </c>
      <c r="CK278" s="14">
        <v>1312.3152</v>
      </c>
      <c r="CL278" s="14">
        <v>1796.8524</v>
      </c>
      <c r="CM278" s="14">
        <v>1764.2015999999996</v>
      </c>
      <c r="CN278" s="14">
        <v>1698.8999999999999</v>
      </c>
      <c r="CO278" s="14">
        <v>1682.5703999999998</v>
      </c>
      <c r="CP278" s="14">
        <v>1553.2776000000001</v>
      </c>
      <c r="CQ278" s="14">
        <v>1976.3015999999998</v>
      </c>
      <c r="CR278" s="14">
        <v>1976.3015999999998</v>
      </c>
      <c r="CS278" s="14">
        <v>1976.3015999999998</v>
      </c>
      <c r="CT278" s="14">
        <v>2992.1135999999997</v>
      </c>
      <c r="CU278" s="14">
        <v>3408.9888000000001</v>
      </c>
      <c r="CV278" s="14">
        <v>2992.1135999999997</v>
      </c>
      <c r="CW278" s="14">
        <v>3508.2431999999994</v>
      </c>
      <c r="CX278" s="14">
        <v>2160.8159999999998</v>
      </c>
      <c r="CY278" s="14">
        <v>2160.8159999999998</v>
      </c>
      <c r="CZ278" s="14">
        <v>2160.8159999999998</v>
      </c>
      <c r="DA278" s="14">
        <v>2717.7192</v>
      </c>
      <c r="DB278" s="14">
        <v>2770.4712</v>
      </c>
      <c r="DC278" s="14">
        <v>2902.1579999999999</v>
      </c>
      <c r="DD278" s="14">
        <v>1993.7231999999999</v>
      </c>
      <c r="DE278" s="14">
        <v>1993.7231999999999</v>
      </c>
      <c r="DF278" s="14">
        <v>1993.7231999999999</v>
      </c>
      <c r="DG278" s="14">
        <v>1967.1539999999998</v>
      </c>
      <c r="DH278" s="14">
        <v>1688.4923999999999</v>
      </c>
      <c r="DI278" s="14">
        <v>1688.4923999999999</v>
      </c>
      <c r="DJ278" s="14">
        <v>2004.6096</v>
      </c>
      <c r="DK278" s="14">
        <v>0</v>
      </c>
      <c r="DL278" s="14">
        <v>4518.5028000000002</v>
      </c>
      <c r="DM278" s="14">
        <v>2256.1224000000002</v>
      </c>
      <c r="DN278" s="14">
        <v>1656.9503999999999</v>
      </c>
      <c r="DO278" s="14">
        <v>1873.5275999999999</v>
      </c>
      <c r="DP278" s="14">
        <v>2004.6096</v>
      </c>
      <c r="DQ278" s="14">
        <v>1985.886</v>
      </c>
      <c r="DR278" s="14">
        <v>2463.2075999999997</v>
      </c>
      <c r="DS278" s="14">
        <v>1882.7003999999999</v>
      </c>
      <c r="DT278" s="14">
        <v>1854.9132</v>
      </c>
      <c r="DU278" s="14">
        <v>2153.3568</v>
      </c>
      <c r="DV278" s="15">
        <v>2153.3568</v>
      </c>
      <c r="DY278" s="35" t="s">
        <v>13</v>
      </c>
      <c r="DZ278" s="11">
        <f t="shared" si="99"/>
        <v>1.6666666666666666E-2</v>
      </c>
      <c r="EA278" s="13">
        <f t="shared" si="99"/>
        <v>1.6666666666666666E-2</v>
      </c>
      <c r="EB278" s="13">
        <f t="shared" si="99"/>
        <v>1.6666666666666666E-2</v>
      </c>
      <c r="EC278" s="13">
        <f t="shared" si="99"/>
        <v>1.6666666666666666E-2</v>
      </c>
      <c r="ED278" s="13">
        <f t="shared" si="99"/>
        <v>1.6666666666666666E-2</v>
      </c>
      <c r="EE278" s="13">
        <f t="shared" si="99"/>
        <v>1.6666666666666666E-2</v>
      </c>
      <c r="EF278" s="13">
        <f t="shared" si="99"/>
        <v>1.6666666666666666E-2</v>
      </c>
      <c r="EG278" s="13">
        <f t="shared" si="99"/>
        <v>1.6666666666666666E-2</v>
      </c>
      <c r="EH278" s="13">
        <f t="shared" si="99"/>
        <v>1.6666666666666666E-2</v>
      </c>
      <c r="EI278" s="13">
        <f t="shared" si="99"/>
        <v>1.6666666666666666E-2</v>
      </c>
      <c r="EJ278" s="13">
        <f t="shared" si="99"/>
        <v>1.6666666666666666E-2</v>
      </c>
      <c r="EK278" s="13">
        <f t="shared" si="99"/>
        <v>1.6666666666666666E-2</v>
      </c>
      <c r="EL278" s="12">
        <v>0.6</v>
      </c>
      <c r="EM278" s="14">
        <v>4.6511627906976744E-3</v>
      </c>
      <c r="EN278" s="14">
        <v>4.6511627906976744E-3</v>
      </c>
      <c r="EO278" s="14">
        <v>7.1428571428571435E-3</v>
      </c>
      <c r="EP278" s="14">
        <v>7.1428571428571435E-3</v>
      </c>
      <c r="EQ278" s="14">
        <v>7.1428571428571435E-3</v>
      </c>
      <c r="ER278" s="14">
        <v>7.1428571428571435E-3</v>
      </c>
      <c r="ES278" s="14">
        <v>7.1428571428571435E-3</v>
      </c>
      <c r="ET278" s="14">
        <v>7.1428571428571435E-3</v>
      </c>
      <c r="EU278" s="14">
        <v>7.1428571428571435E-3</v>
      </c>
      <c r="EV278" s="14">
        <v>7.1428571428571435E-3</v>
      </c>
      <c r="EW278" s="14">
        <v>7.1428571428571435E-3</v>
      </c>
      <c r="EX278" s="14">
        <v>7.1428571428571435E-3</v>
      </c>
      <c r="EY278" s="14">
        <v>7.1428571428571435E-3</v>
      </c>
      <c r="EZ278" s="14">
        <v>7.1428571428571435E-3</v>
      </c>
      <c r="FA278" s="14">
        <v>7.1428571428571435E-3</v>
      </c>
      <c r="FB278" s="14">
        <v>7.1428571428571435E-3</v>
      </c>
      <c r="FC278" s="14">
        <v>7.1428571428571435E-3</v>
      </c>
      <c r="FD278" s="14">
        <v>7.1428571428571435E-3</v>
      </c>
      <c r="FE278" s="14">
        <v>7.1428571428571435E-3</v>
      </c>
      <c r="FF278" s="14">
        <v>5.7142857142857143E-3</v>
      </c>
      <c r="FG278" s="14">
        <v>5.7142857142857143E-3</v>
      </c>
      <c r="FH278" s="14">
        <v>5.7142857142857143E-3</v>
      </c>
      <c r="FI278" s="14">
        <v>5.7142857142857143E-3</v>
      </c>
      <c r="FJ278" s="14">
        <v>5.7142857142857143E-3</v>
      </c>
      <c r="FK278" s="14">
        <v>5.7142857142857143E-3</v>
      </c>
      <c r="FL278" s="14">
        <v>5.7142857142857143E-3</v>
      </c>
      <c r="FM278" s="14">
        <v>4.7619047619047623E-3</v>
      </c>
      <c r="FN278" s="14">
        <v>4.7619047619047623E-3</v>
      </c>
      <c r="FO278" s="14">
        <v>4.7619047619047623E-3</v>
      </c>
      <c r="FP278" s="14">
        <v>5.7142857142857143E-3</v>
      </c>
      <c r="FQ278" s="14">
        <v>5.7142857142857143E-3</v>
      </c>
      <c r="FR278" s="14">
        <v>5.7142857142857143E-3</v>
      </c>
      <c r="FS278" s="14">
        <v>5.7142857142857143E-3</v>
      </c>
      <c r="FT278" s="14">
        <v>5.8823529411764705E-3</v>
      </c>
      <c r="FU278" s="14">
        <v>5.7142857142857143E-3</v>
      </c>
      <c r="FV278" s="14">
        <v>5.7142857142857143E-3</v>
      </c>
      <c r="FW278" s="14">
        <v>4.5454545454545461E-3</v>
      </c>
      <c r="FX278" s="14">
        <v>4.5454545454545461E-3</v>
      </c>
      <c r="FY278" s="14">
        <v>5.7142857142857143E-3</v>
      </c>
      <c r="FZ278" s="14">
        <v>7.1428571428571435E-3</v>
      </c>
      <c r="GA278" s="14">
        <v>5.7142857142857143E-3</v>
      </c>
      <c r="GB278" s="14">
        <v>5.7142857142857143E-3</v>
      </c>
      <c r="GC278" s="14">
        <v>5.7142857142857143E-3</v>
      </c>
      <c r="GD278" s="14">
        <v>7.1428571428571435E-3</v>
      </c>
      <c r="GE278" s="14">
        <v>7.1428571428571435E-3</v>
      </c>
      <c r="GF278" s="14">
        <v>4.6511627906976744E-3</v>
      </c>
      <c r="GG278" s="14">
        <v>4.6511627906976744E-3</v>
      </c>
      <c r="GH278" s="15">
        <v>4.6511627906976744E-3</v>
      </c>
    </row>
    <row r="279" spans="1:190" x14ac:dyDescent="0.3">
      <c r="A279" s="35" t="s">
        <v>14</v>
      </c>
      <c r="B279" s="16" t="s">
        <v>62</v>
      </c>
      <c r="C279" s="14" t="s">
        <v>62</v>
      </c>
      <c r="D279" s="14">
        <f>IF(Distances!EC118&lt;&gt;0,(BP279+Distances!EC118*3)*EB279*D265*2,"")</f>
        <v>20825.426339999998</v>
      </c>
      <c r="E279" s="14" t="s">
        <v>62</v>
      </c>
      <c r="F279" s="14">
        <f>IF(Distances!EE118&lt;&gt;0,(BR279+Distances!EE118*3)*ED279*F265*2,"")</f>
        <v>4917.7293900000004</v>
      </c>
      <c r="G279" s="14">
        <f>IF(Distances!EF118&lt;&gt;0,(BS279+Distances!EF118*3)*EE279*G265*2,"")</f>
        <v>26315.692409999996</v>
      </c>
      <c r="H279" s="14" t="s">
        <v>62</v>
      </c>
      <c r="I279" s="14" t="s">
        <v>62</v>
      </c>
      <c r="J279" s="14">
        <f>IF(Distances!EI118&lt;&gt;0,(BV279+Distances!EI118*3)*EH279*J265*2,"")</f>
        <v>166.42236000000003</v>
      </c>
      <c r="K279" s="14" t="s">
        <v>62</v>
      </c>
      <c r="L279" s="14" t="s">
        <v>62</v>
      </c>
      <c r="M279" s="14" t="s">
        <v>62</v>
      </c>
      <c r="N279" s="14" t="s">
        <v>62</v>
      </c>
      <c r="O279" s="12" t="s">
        <v>62</v>
      </c>
      <c r="P279" s="13" t="s">
        <v>62</v>
      </c>
      <c r="Q279" s="14" t="s">
        <v>62</v>
      </c>
      <c r="R279" s="14" t="s">
        <v>62</v>
      </c>
      <c r="S279" s="14" t="s">
        <v>62</v>
      </c>
      <c r="T279" s="14">
        <f>IF(Distances!ES118&lt;&gt;0,(CF279+Distances!ES118*3)*ER279*T265*2,"")</f>
        <v>214.72691999999998</v>
      </c>
      <c r="U279" s="14">
        <f>IF(Distances!ET118&lt;&gt;0,(CG279+Distances!ET118*3)*ES279*U265*2,"")</f>
        <v>201.60852</v>
      </c>
      <c r="V279" s="14">
        <f>IF(Distances!EU118&lt;&gt;0,(CH279+Distances!EU118*3)*ET279*V265*2,"")</f>
        <v>2773.7200800000001</v>
      </c>
      <c r="W279" s="14" t="s">
        <v>62</v>
      </c>
      <c r="X279" s="14">
        <f>IF(Distances!EW118&lt;&gt;0,(CJ279+Distances!EW118*3)*EV279*X265*2,"")</f>
        <v>1784.9745257142856</v>
      </c>
      <c r="Y279" s="14">
        <f>IF(Distances!EX118&lt;&gt;0,(CK279+Distances!EX118*3)*EW279*Y265*2,"")</f>
        <v>1869.6459085714289</v>
      </c>
      <c r="Z279" s="14">
        <f>IF(Distances!EY118&lt;&gt;0,(CL279+Distances!EY118*3)*EX279*Z265*2,"")</f>
        <v>39.583782857142857</v>
      </c>
      <c r="AA279" s="14">
        <f>IF(Distances!EZ118&lt;&gt;0,(CM279+Distances!EZ118*3)*EY279*AA265*2,"")</f>
        <v>44.420228571428581</v>
      </c>
      <c r="AB279" s="14">
        <f>IF(Distances!FA118&lt;&gt;0,(CN279+Distances!FA118*3)*EZ279*AB265*2,"")</f>
        <v>64.516217142857144</v>
      </c>
      <c r="AC279" s="14" t="s">
        <v>62</v>
      </c>
      <c r="AD279" s="14" t="s">
        <v>62</v>
      </c>
      <c r="AE279" s="14">
        <f>IF(Distances!FD118&lt;&gt;0,(CQ279+Distances!FD118*3)*FC279*AE265*2,"")</f>
        <v>136.88266285714286</v>
      </c>
      <c r="AF279" s="14">
        <f>IF(Distances!FE118&lt;&gt;0,(CR279+Distances!FE118*3)*FD279*AF265*2,"")</f>
        <v>267.9367542857143</v>
      </c>
      <c r="AG279" s="14">
        <f>IF(Distances!FF118&lt;&gt;0,(CS279+Distances!FF118*3)*FE279*AG265*2,"")</f>
        <v>210.26818285714285</v>
      </c>
      <c r="AH279" s="14">
        <f>IF(Distances!FG118&lt;&gt;0,(CT279+Distances!FG118*3)*FF279*AH265*2,"")</f>
        <v>65.618729142857148</v>
      </c>
      <c r="AI279" s="14" t="s">
        <v>62</v>
      </c>
      <c r="AJ279" s="14">
        <f>IF(Distances!FI118&lt;&gt;0,(CV279+Distances!FI118*3)*FH279*AJ265*2,"")</f>
        <v>51.78101485714285</v>
      </c>
      <c r="AK279" s="14" t="s">
        <v>62</v>
      </c>
      <c r="AL279" s="14" t="s">
        <v>62</v>
      </c>
      <c r="AM279" s="14" t="s">
        <v>62</v>
      </c>
      <c r="AN279" s="14">
        <f>IF(Distances!FM118&lt;&gt;0,(CZ279+Distances!FM118*3)*FL279*AN265*2,"")</f>
        <v>1561.6814811428574</v>
      </c>
      <c r="AO279" s="14" t="s">
        <v>62</v>
      </c>
      <c r="AP279" s="14" t="s">
        <v>62</v>
      </c>
      <c r="AQ279" s="14" t="s">
        <v>62</v>
      </c>
      <c r="AR279" s="14" t="s">
        <v>62</v>
      </c>
      <c r="AS279" s="14" t="s">
        <v>62</v>
      </c>
      <c r="AT279" s="14" t="s">
        <v>62</v>
      </c>
      <c r="AU279" s="14">
        <f>IF(Distances!FT118&lt;&gt;0,(DG279+Distances!FT118*3)*FS279*AU265*2,"")</f>
        <v>181.65311999999997</v>
      </c>
      <c r="AV279" s="14">
        <f>IF(Distances!FU118&lt;&gt;0,(DH279+Distances!FU118*3)*FT279*AV265*2,"")</f>
        <v>169.98727058823528</v>
      </c>
      <c r="AW279" s="14">
        <f>IF(Distances!FV118&lt;&gt;0,(DI279+Distances!FV118*3)*FU279*AW265*2,"")</f>
        <v>806.46191999999985</v>
      </c>
      <c r="AX279" s="14" t="s">
        <v>62</v>
      </c>
      <c r="AY279" s="14" t="s">
        <v>62</v>
      </c>
      <c r="AZ279" s="14">
        <f>IF(Distances!FY118&lt;&gt;0,(DL279+Distances!FY118*3)*FX279*AZ265*2,"")</f>
        <v>159.23223272727273</v>
      </c>
      <c r="BA279" s="14" t="s">
        <v>62</v>
      </c>
      <c r="BB279" s="14" t="s">
        <v>62</v>
      </c>
      <c r="BC279" s="14" t="s">
        <v>62</v>
      </c>
      <c r="BD279" s="14">
        <f>IF(Distances!GC118&lt;&gt;0,(DP279+Distances!GC118*3)*GB279*BD265*2,"")</f>
        <v>501.95207314285716</v>
      </c>
      <c r="BE279" s="14" t="s">
        <v>62</v>
      </c>
      <c r="BF279" s="14">
        <f>IF(Distances!GE118&lt;&gt;0,(DR279+Distances!GE118*3)*GD279*BF265*2,"")</f>
        <v>225.9391542857143</v>
      </c>
      <c r="BG279" s="14" t="s">
        <v>62</v>
      </c>
      <c r="BH279" s="12" t="s">
        <v>62</v>
      </c>
      <c r="BI279" s="12" t="s">
        <v>62</v>
      </c>
      <c r="BJ279" s="17" t="s">
        <v>62</v>
      </c>
      <c r="BM279" s="35" t="s">
        <v>14</v>
      </c>
      <c r="BN279" s="16">
        <v>814.16160000000002</v>
      </c>
      <c r="BO279" s="14">
        <v>810.66719999999998</v>
      </c>
      <c r="BP279" s="14">
        <v>1656.0935999999999</v>
      </c>
      <c r="BQ279" s="14">
        <v>1656.0935999999999</v>
      </c>
      <c r="BR279" s="14">
        <v>1754.4156</v>
      </c>
      <c r="BS279" s="14">
        <v>1547.4564</v>
      </c>
      <c r="BT279" s="14">
        <v>1442.0952</v>
      </c>
      <c r="BU279" s="14">
        <v>1547.4564</v>
      </c>
      <c r="BV279" s="14">
        <v>1721.6471999999999</v>
      </c>
      <c r="BW279" s="14">
        <v>1721.6471999999999</v>
      </c>
      <c r="BX279" s="14">
        <v>1456.2239999999999</v>
      </c>
      <c r="BY279" s="14">
        <v>1456.2239999999999</v>
      </c>
      <c r="BZ279" s="14">
        <v>858.76559999999995</v>
      </c>
      <c r="CA279" s="12">
        <v>0</v>
      </c>
      <c r="CB279" s="13">
        <v>876.72479999999996</v>
      </c>
      <c r="CC279" s="14">
        <v>1509.8748000000001</v>
      </c>
      <c r="CD279" s="14">
        <v>1495.6368</v>
      </c>
      <c r="CE279" s="14">
        <v>1538.3423999999998</v>
      </c>
      <c r="CF279" s="14">
        <v>1467.1692</v>
      </c>
      <c r="CG279" s="14">
        <v>1057.5852</v>
      </c>
      <c r="CH279" s="14">
        <v>1806.1931999999999</v>
      </c>
      <c r="CI279" s="14">
        <v>1481.3987999999999</v>
      </c>
      <c r="CJ279" s="14">
        <v>1747.7796000000001</v>
      </c>
      <c r="CK279" s="14">
        <v>1467.1692</v>
      </c>
      <c r="CL279" s="14">
        <v>1151.7323999999999</v>
      </c>
      <c r="CM279" s="14">
        <v>1130.808</v>
      </c>
      <c r="CN279" s="14">
        <v>1088.9675999999999</v>
      </c>
      <c r="CO279" s="14">
        <v>1078.5096000000001</v>
      </c>
      <c r="CP279" s="14">
        <v>1747.7796000000001</v>
      </c>
      <c r="CQ279" s="14">
        <v>1806.1931999999999</v>
      </c>
      <c r="CR279" s="14">
        <v>1806.1931999999999</v>
      </c>
      <c r="CS279" s="14">
        <v>1806.1931999999999</v>
      </c>
      <c r="CT279" s="14">
        <v>1583.0387999999998</v>
      </c>
      <c r="CU279" s="14">
        <v>1294.7339999999999</v>
      </c>
      <c r="CV279" s="14">
        <v>1583.0387999999998</v>
      </c>
      <c r="CW279" s="14">
        <v>1332.4164000000001</v>
      </c>
      <c r="CX279" s="14">
        <v>2066.7024000000001</v>
      </c>
      <c r="CY279" s="14">
        <v>2066.7024000000001</v>
      </c>
      <c r="CZ279" s="14">
        <v>2066.7024000000001</v>
      </c>
      <c r="DA279" s="14">
        <v>1639.6043999999999</v>
      </c>
      <c r="DB279" s="14">
        <v>1671.4235999999999</v>
      </c>
      <c r="DC279" s="14">
        <v>1790.8968</v>
      </c>
      <c r="DD279" s="14">
        <v>1481.3987999999999</v>
      </c>
      <c r="DE279" s="14">
        <v>1481.3987999999999</v>
      </c>
      <c r="DF279" s="14">
        <v>1481.3987999999999</v>
      </c>
      <c r="DG279" s="14">
        <v>1003.6319999999999</v>
      </c>
      <c r="DH279" s="14">
        <v>954.48359999999991</v>
      </c>
      <c r="DI279" s="14">
        <v>954.48359999999991</v>
      </c>
      <c r="DJ279" s="14">
        <v>1022.7252</v>
      </c>
      <c r="DK279" s="14">
        <v>0</v>
      </c>
      <c r="DL279" s="14">
        <v>2990.7864</v>
      </c>
      <c r="DM279" s="14">
        <v>1040.8607999999999</v>
      </c>
      <c r="DN279" s="14">
        <v>936.66719999999987</v>
      </c>
      <c r="DO279" s="14">
        <v>955.00440000000003</v>
      </c>
      <c r="DP279" s="14">
        <v>1022.7252</v>
      </c>
      <c r="DQ279" s="14">
        <v>1013.1828</v>
      </c>
      <c r="DR279" s="14">
        <v>1058.6351999999999</v>
      </c>
      <c r="DS279" s="14">
        <v>963.41280000000006</v>
      </c>
      <c r="DT279" s="12">
        <v>678.31679999999994</v>
      </c>
      <c r="DU279" s="12">
        <v>499.43039999999996</v>
      </c>
      <c r="DV279" s="17">
        <v>499.43039999999996</v>
      </c>
      <c r="DY279" s="35" t="s">
        <v>14</v>
      </c>
      <c r="DZ279" s="16">
        <f>0.2/32</f>
        <v>6.2500000000000003E-3</v>
      </c>
      <c r="EA279" s="14">
        <v>6.2500000000000003E-3</v>
      </c>
      <c r="EB279" s="14">
        <v>6.2500000000000003E-3</v>
      </c>
      <c r="EC279" s="14">
        <v>6.2500000000000003E-3</v>
      </c>
      <c r="ED279" s="14">
        <v>6.2500000000000003E-3</v>
      </c>
      <c r="EE279" s="14">
        <v>6.2500000000000003E-3</v>
      </c>
      <c r="EF279" s="14">
        <v>6.2500000000000003E-3</v>
      </c>
      <c r="EG279" s="14">
        <v>6.2500000000000003E-3</v>
      </c>
      <c r="EH279" s="14">
        <v>6.2500000000000003E-3</v>
      </c>
      <c r="EI279" s="14">
        <v>6.2500000000000003E-3</v>
      </c>
      <c r="EJ279" s="14">
        <v>6.2500000000000003E-3</v>
      </c>
      <c r="EK279" s="14">
        <v>6.2500000000000003E-3</v>
      </c>
      <c r="EL279" s="14">
        <v>6.2500000000000003E-3</v>
      </c>
      <c r="EM279" s="12">
        <v>0.6</v>
      </c>
      <c r="EN279" s="13">
        <v>0.2</v>
      </c>
      <c r="EO279" s="14">
        <v>7.1428571428571435E-3</v>
      </c>
      <c r="EP279" s="14">
        <v>7.1428571428571435E-3</v>
      </c>
      <c r="EQ279" s="14">
        <v>7.1428571428571435E-3</v>
      </c>
      <c r="ER279" s="14">
        <v>7.1428571428571435E-3</v>
      </c>
      <c r="ES279" s="14">
        <v>7.1428571428571435E-3</v>
      </c>
      <c r="ET279" s="14">
        <v>7.1428571428571435E-3</v>
      </c>
      <c r="EU279" s="14">
        <v>7.1428571428571435E-3</v>
      </c>
      <c r="EV279" s="14">
        <v>7.1428571428571435E-3</v>
      </c>
      <c r="EW279" s="14">
        <v>7.1428571428571435E-3</v>
      </c>
      <c r="EX279" s="14">
        <v>7.1428571428571435E-3</v>
      </c>
      <c r="EY279" s="14">
        <v>7.1428571428571435E-3</v>
      </c>
      <c r="EZ279" s="14">
        <v>7.1428571428571435E-3</v>
      </c>
      <c r="FA279" s="14">
        <v>7.1428571428571435E-3</v>
      </c>
      <c r="FB279" s="14">
        <v>7.1428571428571435E-3</v>
      </c>
      <c r="FC279" s="14">
        <v>7.1428571428571435E-3</v>
      </c>
      <c r="FD279" s="14">
        <v>7.1428571428571435E-3</v>
      </c>
      <c r="FE279" s="14">
        <v>7.1428571428571435E-3</v>
      </c>
      <c r="FF279" s="14">
        <v>5.7142857142857143E-3</v>
      </c>
      <c r="FG279" s="14">
        <v>5.7142857142857143E-3</v>
      </c>
      <c r="FH279" s="14">
        <v>5.7142857142857143E-3</v>
      </c>
      <c r="FI279" s="14">
        <v>5.7142857142857143E-3</v>
      </c>
      <c r="FJ279" s="14">
        <v>5.7142857142857143E-3</v>
      </c>
      <c r="FK279" s="14">
        <v>5.7142857142857143E-3</v>
      </c>
      <c r="FL279" s="14">
        <v>5.7142857142857143E-3</v>
      </c>
      <c r="FM279" s="14">
        <v>4.7619047619047623E-3</v>
      </c>
      <c r="FN279" s="14">
        <v>4.7619047619047623E-3</v>
      </c>
      <c r="FO279" s="14">
        <v>4.7619047619047623E-3</v>
      </c>
      <c r="FP279" s="14">
        <v>5.7142857142857143E-3</v>
      </c>
      <c r="FQ279" s="14">
        <v>5.7142857142857143E-3</v>
      </c>
      <c r="FR279" s="14">
        <v>5.7142857142857143E-3</v>
      </c>
      <c r="FS279" s="14">
        <v>5.7142857142857143E-3</v>
      </c>
      <c r="FT279" s="14">
        <v>5.8823529411764705E-3</v>
      </c>
      <c r="FU279" s="14">
        <v>5.7142857142857143E-3</v>
      </c>
      <c r="FV279" s="14">
        <v>5.7142857142857143E-3</v>
      </c>
      <c r="FW279" s="14">
        <v>4.5454545454545461E-3</v>
      </c>
      <c r="FX279" s="14">
        <v>4.5454545454545461E-3</v>
      </c>
      <c r="FY279" s="14">
        <v>5.7142857142857143E-3</v>
      </c>
      <c r="FZ279" s="14">
        <v>7.1428571428571435E-3</v>
      </c>
      <c r="GA279" s="14">
        <v>5.7142857142857143E-3</v>
      </c>
      <c r="GB279" s="14">
        <v>5.7142857142857143E-3</v>
      </c>
      <c r="GC279" s="14">
        <v>5.7142857142857143E-3</v>
      </c>
      <c r="GD279" s="14">
        <v>7.1428571428571435E-3</v>
      </c>
      <c r="GE279" s="14">
        <v>7.1428571428571435E-3</v>
      </c>
      <c r="GF279" s="12">
        <v>0.6</v>
      </c>
      <c r="GG279" s="12">
        <v>0.6</v>
      </c>
      <c r="GH279" s="17">
        <v>0.6</v>
      </c>
    </row>
    <row r="280" spans="1:190" x14ac:dyDescent="0.3">
      <c r="A280" s="35" t="s">
        <v>15</v>
      </c>
      <c r="B280" s="16" t="s">
        <v>62</v>
      </c>
      <c r="C280" s="14" t="s">
        <v>62</v>
      </c>
      <c r="D280" s="14">
        <f>IF(Distances!EC119&lt;&gt;0,(BP280+Distances!EC119*3)*EB280*D265*2,"")</f>
        <v>20113.491480000001</v>
      </c>
      <c r="E280" s="14" t="s">
        <v>62</v>
      </c>
      <c r="F280" s="14">
        <f>IF(Distances!EE119&lt;&gt;0,(BR280+Distances!EE119*3)*ED280*F265*2,"")</f>
        <v>4163.5017900000003</v>
      </c>
      <c r="G280" s="14">
        <f>IF(Distances!EF119&lt;&gt;0,(BS280+Distances!EF119*3)*EE280*G265*2,"")</f>
        <v>27953.274089999999</v>
      </c>
      <c r="H280" s="14" t="s">
        <v>62</v>
      </c>
      <c r="I280" s="14" t="s">
        <v>62</v>
      </c>
      <c r="J280" s="14">
        <f>IF(Distances!EI119&lt;&gt;0,(BV280+Distances!EI119*3)*EH280*J265*2,"")</f>
        <v>151.76604</v>
      </c>
      <c r="K280" s="14" t="s">
        <v>62</v>
      </c>
      <c r="L280" s="14" t="s">
        <v>62</v>
      </c>
      <c r="M280" s="14" t="s">
        <v>62</v>
      </c>
      <c r="N280" s="14" t="s">
        <v>62</v>
      </c>
      <c r="O280" s="13" t="s">
        <v>62</v>
      </c>
      <c r="P280" s="12" t="s">
        <v>62</v>
      </c>
      <c r="Q280" s="14" t="s">
        <v>62</v>
      </c>
      <c r="R280" s="14" t="s">
        <v>62</v>
      </c>
      <c r="S280" s="14" t="s">
        <v>62</v>
      </c>
      <c r="T280" s="14">
        <f>IF(Distances!ES119&lt;&gt;0,(CF280+Distances!ES119*3)*ER280*T265*2,"")</f>
        <v>271.75283999999999</v>
      </c>
      <c r="U280" s="14">
        <f>IF(Distances!ET119&lt;&gt;0,(CG280+Distances!ET119*3)*ES280*U265*2,"")</f>
        <v>253.73388000000006</v>
      </c>
      <c r="V280" s="14">
        <f>IF(Distances!EU119&lt;&gt;0,(CH280+Distances!EU119*3)*ET280*V265*2,"")</f>
        <v>2879.1014399999999</v>
      </c>
      <c r="W280" s="14" t="s">
        <v>62</v>
      </c>
      <c r="X280" s="14">
        <f>IF(Distances!EW119&lt;&gt;0,(CJ280+Distances!EW119*3)*EV280*X265*2,"")</f>
        <v>2378.9130857142859</v>
      </c>
      <c r="Y280" s="14">
        <f>IF(Distances!EX119&lt;&gt;0,(CK280+Distances!EX119*3)*EW280*Y265*2,"")</f>
        <v>2342.1463885714288</v>
      </c>
      <c r="Z280" s="14">
        <f>IF(Distances!EY119&lt;&gt;0,(CL280+Distances!EY119*3)*EX280*Z265*2,"")</f>
        <v>55.803702857142859</v>
      </c>
      <c r="AA280" s="14">
        <f>IF(Distances!EZ119&lt;&gt;0,(CM280+Distances!EZ119*3)*EY280*AA265*2,"")</f>
        <v>60.34542857142857</v>
      </c>
      <c r="AB280" s="14">
        <f>IF(Distances!FA119&lt;&gt;0,(CN280+Distances!FA119*3)*EZ280*AB265*2,"")</f>
        <v>79.851497142857141</v>
      </c>
      <c r="AC280" s="14" t="s">
        <v>62</v>
      </c>
      <c r="AD280" s="14" t="s">
        <v>62</v>
      </c>
      <c r="AE280" s="14">
        <f>IF(Distances!FD119&lt;&gt;0,(CQ280+Distances!FD119*3)*FC280*AE265*2,"")</f>
        <v>140.51650285714285</v>
      </c>
      <c r="AF280" s="14">
        <f>IF(Distances!FE119&lt;&gt;0,(CR280+Distances!FE119*3)*FD280*AF265*2,"")</f>
        <v>275.20443428571429</v>
      </c>
      <c r="AG280" s="14">
        <f>IF(Distances!FF119&lt;&gt;0,(CS280+Distances!FF119*3)*FE280*AG265*2,"")</f>
        <v>217.53586285714286</v>
      </c>
      <c r="AH280" s="14">
        <f>IF(Distances!FG119&lt;&gt;0,(CT280+Distances!FG119*3)*FF280*AH265*2,"")</f>
        <v>66.142793142857144</v>
      </c>
      <c r="AI280" s="14" t="s">
        <v>62</v>
      </c>
      <c r="AJ280" s="14">
        <f>IF(Distances!FI119&lt;&gt;0,(CV280+Distances!FI119*3)*FH280*AJ265*2,"")</f>
        <v>52.30507885714286</v>
      </c>
      <c r="AK280" s="14" t="s">
        <v>62</v>
      </c>
      <c r="AL280" s="14" t="s">
        <v>62</v>
      </c>
      <c r="AM280" s="14" t="s">
        <v>62</v>
      </c>
      <c r="AN280" s="14">
        <f>IF(Distances!FM119&lt;&gt;0,(CZ280+Distances!FM119*3)*FL280*AN265*2,"")</f>
        <v>1602.4018011428568</v>
      </c>
      <c r="AO280" s="14" t="s">
        <v>62</v>
      </c>
      <c r="AP280" s="14" t="s">
        <v>62</v>
      </c>
      <c r="AQ280" s="14" t="s">
        <v>62</v>
      </c>
      <c r="AR280" s="14" t="s">
        <v>62</v>
      </c>
      <c r="AS280" s="14" t="s">
        <v>62</v>
      </c>
      <c r="AT280" s="14" t="s">
        <v>62</v>
      </c>
      <c r="AU280" s="14">
        <f>IF(Distances!FT119&lt;&gt;0,(DG280+Distances!FT119*3)*FS280*AU265*2,"")</f>
        <v>324.45446399999997</v>
      </c>
      <c r="AV280" s="14">
        <f>IF(Distances!FU119&lt;&gt;0,(DH280+Distances!FU119*3)*FT280*AV265*2,"")</f>
        <v>222.30098823529408</v>
      </c>
      <c r="AW280" s="14">
        <f>IF(Distances!FV119&lt;&gt;0,(DI280+Distances!FV119*3)*FU280*AW265*2,"")</f>
        <v>857.28095999999994</v>
      </c>
      <c r="AX280" s="14" t="s">
        <v>62</v>
      </c>
      <c r="AY280" s="14" t="s">
        <v>62</v>
      </c>
      <c r="AZ280" s="14">
        <f>IF(Distances!FY119&lt;&gt;0,(DL280+Distances!FY119*3)*FX280*AZ265*2,"")</f>
        <v>163.1353309090909</v>
      </c>
      <c r="BA280" s="14" t="s">
        <v>62</v>
      </c>
      <c r="BB280" s="14" t="s">
        <v>62</v>
      </c>
      <c r="BC280" s="14" t="s">
        <v>62</v>
      </c>
      <c r="BD280" s="14">
        <f>IF(Distances!GC119&lt;&gt;0,(DP280+Distances!GC119*3)*GB280*BD265*2,"")</f>
        <v>834.57287314285725</v>
      </c>
      <c r="BE280" s="14" t="s">
        <v>62</v>
      </c>
      <c r="BF280" s="14">
        <f>IF(Distances!GE119&lt;&gt;0,(DR280+Distances!GE119*3)*GD280*BF265*2,"")</f>
        <v>279.36555428571432</v>
      </c>
      <c r="BG280" s="14" t="s">
        <v>62</v>
      </c>
      <c r="BH280" s="13" t="s">
        <v>62</v>
      </c>
      <c r="BI280" s="13" t="s">
        <v>62</v>
      </c>
      <c r="BJ280" s="18" t="s">
        <v>62</v>
      </c>
      <c r="BM280" s="35" t="s">
        <v>15</v>
      </c>
      <c r="BN280" s="16">
        <v>1551.0347999999999</v>
      </c>
      <c r="BO280" s="14">
        <v>1542.8196</v>
      </c>
      <c r="BP280" s="14">
        <v>1374.1392000000001</v>
      </c>
      <c r="BQ280" s="14">
        <v>1374.1392000000001</v>
      </c>
      <c r="BR280" s="14">
        <v>1455.7115999999999</v>
      </c>
      <c r="BS280" s="14">
        <v>2196.0036</v>
      </c>
      <c r="BT280" s="14">
        <v>2085.9720000000002</v>
      </c>
      <c r="BU280" s="14">
        <v>2196.0036</v>
      </c>
      <c r="BV280" s="14">
        <v>1428.5207999999998</v>
      </c>
      <c r="BW280" s="14">
        <v>1428.5207999999998</v>
      </c>
      <c r="BX280" s="14">
        <v>1266.4176</v>
      </c>
      <c r="BY280" s="14">
        <v>1266.4176</v>
      </c>
      <c r="BZ280" s="14">
        <v>1634.4048</v>
      </c>
      <c r="CA280" s="13">
        <v>876.72479999999996</v>
      </c>
      <c r="CB280" s="12">
        <v>0</v>
      </c>
      <c r="CC280" s="14">
        <v>2096.7408</v>
      </c>
      <c r="CD280" s="14">
        <v>2076.9756000000002</v>
      </c>
      <c r="CE280" s="14">
        <v>2136.2879999999996</v>
      </c>
      <c r="CF280" s="14">
        <v>2037.4284</v>
      </c>
      <c r="CG280" s="14">
        <v>1578.8388</v>
      </c>
      <c r="CH280" s="14">
        <v>1933.3775999999998</v>
      </c>
      <c r="CI280" s="14">
        <v>2057.2020000000002</v>
      </c>
      <c r="CJ280" s="14">
        <v>2464.6019999999999</v>
      </c>
      <c r="CK280" s="14">
        <v>2037.4284</v>
      </c>
      <c r="CL280" s="14">
        <v>1719.4295999999999</v>
      </c>
      <c r="CM280" s="14">
        <v>1688.1899999999998</v>
      </c>
      <c r="CN280" s="14">
        <v>1625.7023999999999</v>
      </c>
      <c r="CO280" s="14">
        <v>1610.0783999999999</v>
      </c>
      <c r="CP280" s="14">
        <v>2464.6019999999999</v>
      </c>
      <c r="CQ280" s="14">
        <v>1933.3775999999998</v>
      </c>
      <c r="CR280" s="14">
        <v>1933.3775999999998</v>
      </c>
      <c r="CS280" s="14">
        <v>1933.3775999999998</v>
      </c>
      <c r="CT280" s="14">
        <v>1628.8943999999999</v>
      </c>
      <c r="CU280" s="14">
        <v>1329.6528000000001</v>
      </c>
      <c r="CV280" s="14">
        <v>1628.8943999999999</v>
      </c>
      <c r="CW280" s="14">
        <v>1368.36</v>
      </c>
      <c r="CX280" s="14">
        <v>2132.6843999999996</v>
      </c>
      <c r="CY280" s="14">
        <v>2132.6843999999996</v>
      </c>
      <c r="CZ280" s="14">
        <v>2132.6843999999996</v>
      </c>
      <c r="DA280" s="14">
        <v>2423.5679999999998</v>
      </c>
      <c r="DB280" s="14">
        <v>2470.6079999999997</v>
      </c>
      <c r="DC280" s="14">
        <v>2227.0668000000001</v>
      </c>
      <c r="DD280" s="14">
        <v>2803.5084000000002</v>
      </c>
      <c r="DE280" s="14">
        <v>2803.5084000000002</v>
      </c>
      <c r="DF280" s="14">
        <v>2803.5084000000002</v>
      </c>
      <c r="DG280" s="14">
        <v>1896.1403999999998</v>
      </c>
      <c r="DH280" s="14">
        <v>1843.8167999999998</v>
      </c>
      <c r="DI280" s="14">
        <v>1843.8167999999998</v>
      </c>
      <c r="DJ280" s="14">
        <v>1932.2352000000001</v>
      </c>
      <c r="DK280" s="14">
        <v>0</v>
      </c>
      <c r="DL280" s="14">
        <v>3098.1215999999995</v>
      </c>
      <c r="DM280" s="14">
        <v>1849.8227999999999</v>
      </c>
      <c r="DN280" s="14">
        <v>1809.3684000000001</v>
      </c>
      <c r="DO280" s="14">
        <v>1805.8907999999999</v>
      </c>
      <c r="DP280" s="14">
        <v>1932.2352000000001</v>
      </c>
      <c r="DQ280" s="14">
        <v>1913.7636</v>
      </c>
      <c r="DR280" s="14">
        <v>1993.5971999999999</v>
      </c>
      <c r="DS280" s="14">
        <v>1772.3832</v>
      </c>
      <c r="DT280" s="13">
        <v>1489.278</v>
      </c>
      <c r="DU280" s="13">
        <v>1172.4551999999999</v>
      </c>
      <c r="DV280" s="18">
        <v>1172.4551999999999</v>
      </c>
      <c r="DY280" s="35" t="s">
        <v>15</v>
      </c>
      <c r="DZ280" s="16">
        <v>6.2500000000000003E-3</v>
      </c>
      <c r="EA280" s="14">
        <v>6.2500000000000003E-3</v>
      </c>
      <c r="EB280" s="14">
        <v>6.2500000000000003E-3</v>
      </c>
      <c r="EC280" s="14">
        <v>6.2500000000000003E-3</v>
      </c>
      <c r="ED280" s="14">
        <v>6.2500000000000003E-3</v>
      </c>
      <c r="EE280" s="14">
        <v>6.2500000000000003E-3</v>
      </c>
      <c r="EF280" s="14">
        <v>6.2500000000000003E-3</v>
      </c>
      <c r="EG280" s="14">
        <v>6.2500000000000003E-3</v>
      </c>
      <c r="EH280" s="14">
        <v>6.2500000000000003E-3</v>
      </c>
      <c r="EI280" s="14">
        <v>6.2500000000000003E-3</v>
      </c>
      <c r="EJ280" s="14">
        <v>6.2500000000000003E-3</v>
      </c>
      <c r="EK280" s="14">
        <v>6.2500000000000003E-3</v>
      </c>
      <c r="EL280" s="14">
        <v>6.2500000000000003E-3</v>
      </c>
      <c r="EM280" s="13">
        <v>0.2</v>
      </c>
      <c r="EN280" s="12">
        <v>0.6</v>
      </c>
      <c r="EO280" s="14">
        <v>7.1428571428571435E-3</v>
      </c>
      <c r="EP280" s="14">
        <v>7.1428571428571435E-3</v>
      </c>
      <c r="EQ280" s="14">
        <v>7.1428571428571435E-3</v>
      </c>
      <c r="ER280" s="14">
        <v>7.1428571428571435E-3</v>
      </c>
      <c r="ES280" s="14">
        <v>7.1428571428571435E-3</v>
      </c>
      <c r="ET280" s="14">
        <v>7.1428571428571435E-3</v>
      </c>
      <c r="EU280" s="14">
        <v>7.1428571428571435E-3</v>
      </c>
      <c r="EV280" s="14">
        <v>7.1428571428571435E-3</v>
      </c>
      <c r="EW280" s="14">
        <v>7.1428571428571435E-3</v>
      </c>
      <c r="EX280" s="14">
        <v>7.1428571428571435E-3</v>
      </c>
      <c r="EY280" s="14">
        <v>7.1428571428571435E-3</v>
      </c>
      <c r="EZ280" s="14">
        <v>7.1428571428571435E-3</v>
      </c>
      <c r="FA280" s="14">
        <v>7.1428571428571435E-3</v>
      </c>
      <c r="FB280" s="14">
        <v>7.1428571428571435E-3</v>
      </c>
      <c r="FC280" s="14">
        <v>7.1428571428571435E-3</v>
      </c>
      <c r="FD280" s="14">
        <v>7.1428571428571435E-3</v>
      </c>
      <c r="FE280" s="14">
        <v>7.1428571428571435E-3</v>
      </c>
      <c r="FF280" s="14">
        <v>5.7142857142857143E-3</v>
      </c>
      <c r="FG280" s="14">
        <v>5.7142857142857143E-3</v>
      </c>
      <c r="FH280" s="14">
        <v>5.7142857142857143E-3</v>
      </c>
      <c r="FI280" s="14">
        <v>5.7142857142857143E-3</v>
      </c>
      <c r="FJ280" s="14">
        <v>5.7142857142857143E-3</v>
      </c>
      <c r="FK280" s="14">
        <v>5.7142857142857143E-3</v>
      </c>
      <c r="FL280" s="14">
        <v>5.7142857142857143E-3</v>
      </c>
      <c r="FM280" s="14">
        <v>4.7619047619047623E-3</v>
      </c>
      <c r="FN280" s="14">
        <v>4.7619047619047623E-3</v>
      </c>
      <c r="FO280" s="14">
        <v>4.7619047619047623E-3</v>
      </c>
      <c r="FP280" s="14">
        <v>5.7142857142857143E-3</v>
      </c>
      <c r="FQ280" s="14">
        <v>5.7142857142857143E-3</v>
      </c>
      <c r="FR280" s="14">
        <v>5.7142857142857143E-3</v>
      </c>
      <c r="FS280" s="14">
        <v>5.7142857142857143E-3</v>
      </c>
      <c r="FT280" s="14">
        <v>5.8823529411764705E-3</v>
      </c>
      <c r="FU280" s="14">
        <v>5.7142857142857143E-3</v>
      </c>
      <c r="FV280" s="14">
        <v>5.7142857142857143E-3</v>
      </c>
      <c r="FW280" s="14">
        <v>4.5454545454545461E-3</v>
      </c>
      <c r="FX280" s="14">
        <v>4.5454545454545461E-3</v>
      </c>
      <c r="FY280" s="14">
        <v>5.7142857142857143E-3</v>
      </c>
      <c r="FZ280" s="14">
        <v>7.1428571428571435E-3</v>
      </c>
      <c r="GA280" s="14">
        <v>5.7142857142857143E-3</v>
      </c>
      <c r="GB280" s="14">
        <v>5.7142857142857143E-3</v>
      </c>
      <c r="GC280" s="14">
        <v>5.7142857142857143E-3</v>
      </c>
      <c r="GD280" s="14">
        <v>7.1428571428571435E-3</v>
      </c>
      <c r="GE280" s="14">
        <v>7.1428571428571435E-3</v>
      </c>
      <c r="GF280" s="13">
        <v>0.2</v>
      </c>
      <c r="GG280" s="13">
        <v>0.2</v>
      </c>
      <c r="GH280" s="18">
        <v>0.2</v>
      </c>
    </row>
    <row r="281" spans="1:190" x14ac:dyDescent="0.3">
      <c r="A281" s="35" t="s">
        <v>16</v>
      </c>
      <c r="B281" s="16" t="s">
        <v>62</v>
      </c>
      <c r="C281" s="14" t="s">
        <v>62</v>
      </c>
      <c r="D281" s="14">
        <f>IF(Distances!EC120&lt;&gt;0,(BP281+Distances!EC120*3)*EB281*D265*2,"")</f>
        <v>18618.03801</v>
      </c>
      <c r="E281" s="14" t="s">
        <v>62</v>
      </c>
      <c r="F281" s="14">
        <f>IF(Distances!EE120&lt;&gt;0,(BR281+Distances!EE120*3)*ED281*F265*2,"")</f>
        <v>2579.22084</v>
      </c>
      <c r="G281" s="14">
        <f>IF(Distances!EF120&lt;&gt;0,(BS281+Distances!EF120*3)*EE281*G265*2,"")</f>
        <v>28960.09158</v>
      </c>
      <c r="H281" s="14" t="s">
        <v>62</v>
      </c>
      <c r="I281" s="14" t="s">
        <v>62</v>
      </c>
      <c r="J281" s="14">
        <f>IF(Distances!EI120&lt;&gt;0,(BV281+Distances!EI120*3)*EH281*J265*2,"")</f>
        <v>120.98045999999999</v>
      </c>
      <c r="K281" s="14" t="s">
        <v>62</v>
      </c>
      <c r="L281" s="14" t="s">
        <v>62</v>
      </c>
      <c r="M281" s="14" t="s">
        <v>62</v>
      </c>
      <c r="N281" s="14" t="s">
        <v>62</v>
      </c>
      <c r="O281" s="14" t="s">
        <v>62</v>
      </c>
      <c r="P281" s="14" t="s">
        <v>62</v>
      </c>
      <c r="Q281" s="12" t="s">
        <v>62</v>
      </c>
      <c r="R281" s="13" t="s">
        <v>62</v>
      </c>
      <c r="S281" s="13" t="s">
        <v>62</v>
      </c>
      <c r="T281" s="13">
        <f>IF(Distances!ES120&lt;&gt;0,(CF281+Distances!ES120*3)*ER281*T265*2,"")</f>
        <v>241.32443999999998</v>
      </c>
      <c r="U281" s="13">
        <f>IF(Distances!ET120&lt;&gt;0,(CG281+Distances!ET120*3)*ES281*U265*2,"")</f>
        <v>302.32482000000005</v>
      </c>
      <c r="V281" s="13">
        <f>IF(Distances!EU120&lt;&gt;0,(CH281+Distances!EU120*3)*ET281*V265*2,"")</f>
        <v>3651.2229599999996</v>
      </c>
      <c r="W281" s="13" t="s">
        <v>62</v>
      </c>
      <c r="X281" s="13">
        <f>IF(Distances!EW120&lt;&gt;0,(CJ281+Distances!EW120*3)*EV281*X265*2,"")</f>
        <v>1303.5262200000002</v>
      </c>
      <c r="Y281" s="13">
        <f>IF(Distances!EX120&lt;&gt;0,(CK281+Distances!EX120*3)*EW281*Y265*2,"")</f>
        <v>2157.8853600000007</v>
      </c>
      <c r="Z281" s="13">
        <f>IF(Distances!EY120&lt;&gt;0,(CL281+Distances!EY120*3)*EX281*Z265*2,"")</f>
        <v>53.56026</v>
      </c>
      <c r="AA281" s="13">
        <f>IF(Distances!EZ120&lt;&gt;0,(CM281+Distances!EZ120*3)*EY281*AA265*2,"")</f>
        <v>62.31006</v>
      </c>
      <c r="AB281" s="13">
        <f>IF(Distances!FA120&lt;&gt;0,(CN281+Distances!FA120*3)*EZ281*AB265*2,"")</f>
        <v>98.048820000000006</v>
      </c>
      <c r="AC281" s="13" t="s">
        <v>62</v>
      </c>
      <c r="AD281" s="13" t="s">
        <v>62</v>
      </c>
      <c r="AE281" s="13">
        <f>IF(Distances!FD120&lt;&gt;0,(CQ281+Distances!FD120*3)*FC281*AE265*2,"")</f>
        <v>198.06924000000001</v>
      </c>
      <c r="AF281" s="13">
        <f>IF(Distances!FE120&lt;&gt;0,(CR281+Distances!FE120*3)*FD281*AF265*2,"")</f>
        <v>385.93848000000003</v>
      </c>
      <c r="AG281" s="13">
        <f>IF(Distances!FF120&lt;&gt;0,(CS281+Distances!FF120*3)*FE281*AG265*2,"")</f>
        <v>285.01848000000001</v>
      </c>
      <c r="AH281" s="14">
        <f>IF(Distances!FG120&lt;&gt;0,(CT281+Distances!FG120*3)*FF281*AH265*2,"")</f>
        <v>66.019049142857142</v>
      </c>
      <c r="AI281" s="14" t="s">
        <v>62</v>
      </c>
      <c r="AJ281" s="14">
        <f>IF(Distances!FI120&lt;&gt;0,(CV281+Distances!FI120*3)*FH281*AJ265*2,"")</f>
        <v>52.181334857142858</v>
      </c>
      <c r="AK281" s="14" t="s">
        <v>62</v>
      </c>
      <c r="AL281" s="14" t="s">
        <v>62</v>
      </c>
      <c r="AM281" s="14" t="s">
        <v>62</v>
      </c>
      <c r="AN281" s="14">
        <f>IF(Distances!FM120&lt;&gt;0,(CZ281+Distances!FM120*3)*FL281*AN265*2,"")</f>
        <v>1224.7111131428569</v>
      </c>
      <c r="AO281" s="14" t="s">
        <v>62</v>
      </c>
      <c r="AP281" s="14" t="s">
        <v>62</v>
      </c>
      <c r="AQ281" s="14" t="s">
        <v>62</v>
      </c>
      <c r="AR281" s="14" t="s">
        <v>62</v>
      </c>
      <c r="AS281" s="14" t="s">
        <v>62</v>
      </c>
      <c r="AT281" s="14" t="s">
        <v>62</v>
      </c>
      <c r="AU281" s="14">
        <f>IF(Distances!FT120&lt;&gt;0,(DG281+Distances!FT120*3)*FS281*AU265*2,"")</f>
        <v>229.422912</v>
      </c>
      <c r="AV281" s="14">
        <f>IF(Distances!FU120&lt;&gt;0,(DH281+Distances!FU120*3)*FT281*AV265*2,"")</f>
        <v>167.72717647058823</v>
      </c>
      <c r="AW281" s="14">
        <f>IF(Distances!FV120&lt;&gt;0,(DI281+Distances!FV120*3)*FU281*AW265*2,"")</f>
        <v>804.26639999999998</v>
      </c>
      <c r="AX281" s="14" t="s">
        <v>62</v>
      </c>
      <c r="AY281" s="14" t="s">
        <v>62</v>
      </c>
      <c r="AZ281" s="14">
        <f>IF(Distances!FY120&lt;&gt;0,(DL281+Distances!FY120*3)*FX281*AZ265*2,"")</f>
        <v>189.09346909090914</v>
      </c>
      <c r="BA281" s="14" t="s">
        <v>62</v>
      </c>
      <c r="BB281" s="13" t="s">
        <v>62</v>
      </c>
      <c r="BC281" s="14" t="s">
        <v>62</v>
      </c>
      <c r="BD281" s="14">
        <f>IF(Distances!GC120&lt;&gt;0,(DP281+Distances!GC120*3)*GB281*BD265*2,"")</f>
        <v>613.21991314285708</v>
      </c>
      <c r="BE281" s="14" t="s">
        <v>62</v>
      </c>
      <c r="BF281" s="13">
        <f>IF(Distances!GE120&lt;&gt;0,(DR281+Distances!GE120*3)*GD281*BF265*2,"")</f>
        <v>441.99168000000003</v>
      </c>
      <c r="BG281" s="13" t="s">
        <v>62</v>
      </c>
      <c r="BH281" s="14" t="s">
        <v>62</v>
      </c>
      <c r="BI281" s="14" t="s">
        <v>62</v>
      </c>
      <c r="BJ281" s="15" t="s">
        <v>62</v>
      </c>
      <c r="BM281" s="35" t="s">
        <v>16</v>
      </c>
      <c r="BN281" s="16">
        <v>974.86199999999997</v>
      </c>
      <c r="BO281" s="14">
        <v>1274.8344</v>
      </c>
      <c r="BP281" s="14">
        <v>781.8803999999999</v>
      </c>
      <c r="BQ281" s="14">
        <v>781.8803999999999</v>
      </c>
      <c r="BR281" s="14">
        <v>828.27359999999999</v>
      </c>
      <c r="BS281" s="14">
        <v>2594.7431999999999</v>
      </c>
      <c r="BT281" s="14">
        <v>2692.0824000000002</v>
      </c>
      <c r="BU281" s="14">
        <v>2594.7431999999999</v>
      </c>
      <c r="BV281" s="14">
        <v>812.80919999999992</v>
      </c>
      <c r="BW281" s="14">
        <v>812.80919999999992</v>
      </c>
      <c r="BX281" s="14">
        <v>2718.4667999999997</v>
      </c>
      <c r="BY281" s="14">
        <v>2718.4667999999997</v>
      </c>
      <c r="BZ281" s="14">
        <v>1350.51</v>
      </c>
      <c r="CA281" s="14">
        <v>1509.8748000000001</v>
      </c>
      <c r="CB281" s="14">
        <v>2096.7408</v>
      </c>
      <c r="CC281" s="12">
        <v>0</v>
      </c>
      <c r="CD281" s="13">
        <v>712.44599999999991</v>
      </c>
      <c r="CE281" s="13">
        <v>732.774</v>
      </c>
      <c r="CF281" s="13">
        <v>698.89679999999998</v>
      </c>
      <c r="CG281" s="13">
        <v>769.07039999999995</v>
      </c>
      <c r="CH281" s="13">
        <v>976.6848</v>
      </c>
      <c r="CI281" s="13">
        <v>705.66719999999998</v>
      </c>
      <c r="CJ281" s="13">
        <v>492.48359999999997</v>
      </c>
      <c r="CK281" s="13">
        <v>698.89679999999998</v>
      </c>
      <c r="CL281" s="13">
        <v>837.50519999999995</v>
      </c>
      <c r="CM281" s="13">
        <v>822.30119999999988</v>
      </c>
      <c r="CN281" s="13">
        <v>791.87639999999999</v>
      </c>
      <c r="CO281" s="13">
        <v>784.2743999999999</v>
      </c>
      <c r="CP281" s="13">
        <v>492.48359999999997</v>
      </c>
      <c r="CQ281" s="13">
        <v>976.6848</v>
      </c>
      <c r="CR281" s="13">
        <v>976.6848</v>
      </c>
      <c r="CS281" s="13">
        <v>976.6848</v>
      </c>
      <c r="CT281" s="14">
        <v>1618.0667999999998</v>
      </c>
      <c r="CU281" s="14">
        <v>1829.7803999999999</v>
      </c>
      <c r="CV281" s="14">
        <v>1618.0667999999998</v>
      </c>
      <c r="CW281" s="14">
        <v>1883.0447999999997</v>
      </c>
      <c r="CX281" s="14">
        <v>1520.6855999999998</v>
      </c>
      <c r="CY281" s="14">
        <v>1520.6855999999998</v>
      </c>
      <c r="CZ281" s="14">
        <v>1520.6855999999998</v>
      </c>
      <c r="DA281" s="14">
        <v>1278.2783999999999</v>
      </c>
      <c r="DB281" s="14">
        <v>1303.0835999999999</v>
      </c>
      <c r="DC281" s="14">
        <v>1512.0251999999998</v>
      </c>
      <c r="DD281" s="14">
        <v>1253.7336</v>
      </c>
      <c r="DE281" s="14">
        <v>1253.7336</v>
      </c>
      <c r="DF281" s="14">
        <v>1253.7336</v>
      </c>
      <c r="DG281" s="14">
        <v>1302.1931999999999</v>
      </c>
      <c r="DH281" s="14">
        <v>916.0619999999999</v>
      </c>
      <c r="DI281" s="14">
        <v>916.0619999999999</v>
      </c>
      <c r="DJ281" s="14">
        <v>1326.9731999999999</v>
      </c>
      <c r="DK281" s="14">
        <v>0</v>
      </c>
      <c r="DL281" s="14">
        <v>3811.9704000000002</v>
      </c>
      <c r="DM281" s="14">
        <v>1046.5727999999999</v>
      </c>
      <c r="DN281" s="13">
        <v>898.95960000000002</v>
      </c>
      <c r="DO281" s="14">
        <v>1240.2348</v>
      </c>
      <c r="DP281" s="14">
        <v>1326.9731999999999</v>
      </c>
      <c r="DQ281" s="14">
        <v>1314.5832</v>
      </c>
      <c r="DR281" s="13">
        <v>1524.6168</v>
      </c>
      <c r="DS281" s="13">
        <v>1056.3503999999998</v>
      </c>
      <c r="DT281" s="14">
        <v>2858.6879999999996</v>
      </c>
      <c r="DU281" s="14">
        <v>2142.3779999999997</v>
      </c>
      <c r="DV281" s="15">
        <v>2142.3779999999997</v>
      </c>
      <c r="DY281" s="35" t="s">
        <v>16</v>
      </c>
      <c r="DZ281" s="16">
        <v>6.2500000000000003E-3</v>
      </c>
      <c r="EA281" s="14">
        <v>6.2500000000000003E-3</v>
      </c>
      <c r="EB281" s="14">
        <v>6.2500000000000003E-3</v>
      </c>
      <c r="EC281" s="14">
        <v>6.2500000000000003E-3</v>
      </c>
      <c r="ED281" s="14">
        <v>6.2500000000000003E-3</v>
      </c>
      <c r="EE281" s="14">
        <v>6.2500000000000003E-3</v>
      </c>
      <c r="EF281" s="14">
        <v>6.2500000000000003E-3</v>
      </c>
      <c r="EG281" s="14">
        <v>6.2500000000000003E-3</v>
      </c>
      <c r="EH281" s="14">
        <v>6.2500000000000003E-3</v>
      </c>
      <c r="EI281" s="14">
        <v>6.2500000000000003E-3</v>
      </c>
      <c r="EJ281" s="14">
        <v>6.2500000000000003E-3</v>
      </c>
      <c r="EK281" s="14">
        <v>6.2500000000000003E-3</v>
      </c>
      <c r="EL281" s="14">
        <v>6.2500000000000003E-3</v>
      </c>
      <c r="EM281" s="14">
        <v>4.6511627906976744E-3</v>
      </c>
      <c r="EN281" s="14">
        <v>4.6511627906976744E-3</v>
      </c>
      <c r="EO281" s="12">
        <v>0.6</v>
      </c>
      <c r="EP281" s="13">
        <f t="shared" ref="EP281:FE296" si="100">0.2/16</f>
        <v>1.2500000000000001E-2</v>
      </c>
      <c r="EQ281" s="13">
        <f t="shared" si="100"/>
        <v>1.2500000000000001E-2</v>
      </c>
      <c r="ER281" s="13">
        <f t="shared" si="100"/>
        <v>1.2500000000000001E-2</v>
      </c>
      <c r="ES281" s="13">
        <f t="shared" si="100"/>
        <v>1.2500000000000001E-2</v>
      </c>
      <c r="ET281" s="13">
        <f t="shared" si="100"/>
        <v>1.2500000000000001E-2</v>
      </c>
      <c r="EU281" s="13">
        <f t="shared" si="100"/>
        <v>1.2500000000000001E-2</v>
      </c>
      <c r="EV281" s="13">
        <f t="shared" si="100"/>
        <v>1.2500000000000001E-2</v>
      </c>
      <c r="EW281" s="13">
        <f t="shared" si="100"/>
        <v>1.2500000000000001E-2</v>
      </c>
      <c r="EX281" s="13">
        <f t="shared" si="100"/>
        <v>1.2500000000000001E-2</v>
      </c>
      <c r="EY281" s="13">
        <f t="shared" si="100"/>
        <v>1.2500000000000001E-2</v>
      </c>
      <c r="EZ281" s="13">
        <f t="shared" si="100"/>
        <v>1.2500000000000001E-2</v>
      </c>
      <c r="FA281" s="13">
        <f t="shared" si="100"/>
        <v>1.2500000000000001E-2</v>
      </c>
      <c r="FB281" s="13">
        <f t="shared" si="100"/>
        <v>1.2500000000000001E-2</v>
      </c>
      <c r="FC281" s="13">
        <f t="shared" si="100"/>
        <v>1.2500000000000001E-2</v>
      </c>
      <c r="FD281" s="13">
        <f t="shared" si="100"/>
        <v>1.2500000000000001E-2</v>
      </c>
      <c r="FE281" s="13">
        <f t="shared" si="100"/>
        <v>1.2500000000000001E-2</v>
      </c>
      <c r="FF281" s="14">
        <v>5.7142857142857143E-3</v>
      </c>
      <c r="FG281" s="14">
        <v>5.7142857142857143E-3</v>
      </c>
      <c r="FH281" s="14">
        <v>5.7142857142857143E-3</v>
      </c>
      <c r="FI281" s="14">
        <v>5.7142857142857143E-3</v>
      </c>
      <c r="FJ281" s="14">
        <v>5.7142857142857143E-3</v>
      </c>
      <c r="FK281" s="14">
        <v>5.7142857142857143E-3</v>
      </c>
      <c r="FL281" s="14">
        <v>5.7142857142857143E-3</v>
      </c>
      <c r="FM281" s="14">
        <v>4.7619047619047623E-3</v>
      </c>
      <c r="FN281" s="14">
        <v>4.7619047619047623E-3</v>
      </c>
      <c r="FO281" s="14">
        <v>4.7619047619047623E-3</v>
      </c>
      <c r="FP281" s="14">
        <v>5.7142857142857143E-3</v>
      </c>
      <c r="FQ281" s="14">
        <v>5.7142857142857143E-3</v>
      </c>
      <c r="FR281" s="14">
        <v>5.7142857142857143E-3</v>
      </c>
      <c r="FS281" s="14">
        <v>5.7142857142857143E-3</v>
      </c>
      <c r="FT281" s="14">
        <v>5.8823529411764705E-3</v>
      </c>
      <c r="FU281" s="14">
        <v>5.7142857142857143E-3</v>
      </c>
      <c r="FV281" s="14">
        <v>5.7142857142857143E-3</v>
      </c>
      <c r="FW281" s="14">
        <v>4.5454545454545461E-3</v>
      </c>
      <c r="FX281" s="14">
        <v>4.5454545454545461E-3</v>
      </c>
      <c r="FY281" s="14">
        <v>5.7142857142857143E-3</v>
      </c>
      <c r="FZ281" s="13">
        <f t="shared" ref="FZ281:FZ286" si="101">0.2/16</f>
        <v>1.2500000000000001E-2</v>
      </c>
      <c r="GA281" s="14">
        <v>5.7142857142857143E-3</v>
      </c>
      <c r="GB281" s="14">
        <v>5.7142857142857143E-3</v>
      </c>
      <c r="GC281" s="14">
        <v>5.7142857142857143E-3</v>
      </c>
      <c r="GD281" s="13">
        <f t="shared" ref="GD281:GE296" si="102">0.2/16</f>
        <v>1.2500000000000001E-2</v>
      </c>
      <c r="GE281" s="13">
        <f t="shared" si="102"/>
        <v>1.2500000000000001E-2</v>
      </c>
      <c r="GF281" s="14">
        <v>4.6511627906976744E-3</v>
      </c>
      <c r="GG281" s="14">
        <v>4.6511627906976744E-3</v>
      </c>
      <c r="GH281" s="15">
        <v>4.6511627906976744E-3</v>
      </c>
    </row>
    <row r="282" spans="1:190" x14ac:dyDescent="0.3">
      <c r="A282" s="35" t="s">
        <v>17</v>
      </c>
      <c r="B282" s="16" t="s">
        <v>62</v>
      </c>
      <c r="C282" s="14" t="s">
        <v>62</v>
      </c>
      <c r="D282" s="14">
        <f>IF(Distances!EC121&lt;&gt;0,(BP282+Distances!EC121*3)*EB282*D265*2,"")</f>
        <v>18599.436839999998</v>
      </c>
      <c r="E282" s="14" t="s">
        <v>62</v>
      </c>
      <c r="F282" s="14">
        <f>IF(Distances!EE121&lt;&gt;0,(BR282+Distances!EE121*3)*ED282*F265*2,"")</f>
        <v>2559.5167500000002</v>
      </c>
      <c r="G282" s="14">
        <f>IF(Distances!EF121&lt;&gt;0,(BS282+Distances!EF121*3)*EE282*G265*2,"")</f>
        <v>28898.306849999994</v>
      </c>
      <c r="H282" s="14" t="s">
        <v>62</v>
      </c>
      <c r="I282" s="14" t="s">
        <v>62</v>
      </c>
      <c r="J282" s="14">
        <f>IF(Distances!EI121&lt;&gt;0,(BV282+Distances!EI121*3)*EH282*J265*2,"")</f>
        <v>120.59742000000001</v>
      </c>
      <c r="K282" s="14" t="s">
        <v>62</v>
      </c>
      <c r="L282" s="14" t="s">
        <v>62</v>
      </c>
      <c r="M282" s="14" t="s">
        <v>62</v>
      </c>
      <c r="N282" s="14" t="s">
        <v>62</v>
      </c>
      <c r="O282" s="14" t="s">
        <v>62</v>
      </c>
      <c r="P282" s="14" t="s">
        <v>62</v>
      </c>
      <c r="Q282" s="13" t="s">
        <v>62</v>
      </c>
      <c r="R282" s="12" t="s">
        <v>62</v>
      </c>
      <c r="S282" s="13" t="s">
        <v>62</v>
      </c>
      <c r="T282" s="13">
        <f>IF(Distances!ES121&lt;&gt;0,(CF282+Distances!ES121*3)*ER282*T265*2,"")</f>
        <v>240.17195999999998</v>
      </c>
      <c r="U282" s="13">
        <f>IF(Distances!ET121&lt;&gt;0,(CG282+Distances!ET121*3)*ES282*U265*2,"")</f>
        <v>301.05620999999996</v>
      </c>
      <c r="V282" s="13">
        <f>IF(Distances!EU121&lt;&gt;0,(CH282+Distances!EU121*3)*ET282*V265*2,"")</f>
        <v>3637.8858599999999</v>
      </c>
      <c r="W282" s="13" t="s">
        <v>62</v>
      </c>
      <c r="X282" s="13">
        <f>IF(Distances!EW121&lt;&gt;0,(CJ282+Distances!EW121*3)*EV282*X265*2,"")</f>
        <v>1296.8028600000002</v>
      </c>
      <c r="Y282" s="13">
        <f>IF(Distances!EX121&lt;&gt;0,(CK282+Distances!EX121*3)*EW282*Y265*2,"")</f>
        <v>2148.3362400000001</v>
      </c>
      <c r="Z282" s="13">
        <f>IF(Distances!EY121&lt;&gt;0,(CL282+Distances!EY121*3)*EX282*Z265*2,"")</f>
        <v>53.165879999999994</v>
      </c>
      <c r="AA282" s="13">
        <f>IF(Distances!EZ121&lt;&gt;0,(CM282+Distances!EZ121*3)*EY282*AA265*2,"")</f>
        <v>61.92240000000001</v>
      </c>
      <c r="AB282" s="13">
        <f>IF(Distances!FA121&lt;&gt;0,(CN282+Distances!FA121*3)*EZ282*AB265*2,"")</f>
        <v>97.67586</v>
      </c>
      <c r="AC282" s="13" t="s">
        <v>62</v>
      </c>
      <c r="AD282" s="13" t="s">
        <v>62</v>
      </c>
      <c r="AE282" s="13">
        <f>IF(Distances!FD121&lt;&gt;0,(CQ282+Distances!FD121*3)*FC282*AE265*2,"")</f>
        <v>197.60933999999997</v>
      </c>
      <c r="AF282" s="13">
        <f>IF(Distances!FE121&lt;&gt;0,(CR282+Distances!FE121*3)*FD282*AF265*2,"")</f>
        <v>385.01867999999996</v>
      </c>
      <c r="AG282" s="13">
        <f>IF(Distances!FF121&lt;&gt;0,(CS282+Distances!FF121*3)*FE282*AG265*2,"")</f>
        <v>284.09868</v>
      </c>
      <c r="AH282" s="14">
        <f>IF(Distances!FG121&lt;&gt;0,(CT282+Distances!FG121*3)*FF282*AH265*2,"")</f>
        <v>65.844713142857145</v>
      </c>
      <c r="AI282" s="14" t="s">
        <v>62</v>
      </c>
      <c r="AJ282" s="14">
        <f>IF(Distances!FI121&lt;&gt;0,(CV282+Distances!FI121*3)*FH282*AJ265*2,"")</f>
        <v>52.006998857142854</v>
      </c>
      <c r="AK282" s="14" t="s">
        <v>62</v>
      </c>
      <c r="AL282" s="14" t="s">
        <v>62</v>
      </c>
      <c r="AM282" s="14" t="s">
        <v>62</v>
      </c>
      <c r="AN282" s="14">
        <f>IF(Distances!FM121&lt;&gt;0,(CZ282+Distances!FM121*3)*FL282*AN265*2,"")</f>
        <v>1215.8620251428572</v>
      </c>
      <c r="AO282" s="14" t="s">
        <v>62</v>
      </c>
      <c r="AP282" s="14" t="s">
        <v>62</v>
      </c>
      <c r="AQ282" s="14" t="s">
        <v>62</v>
      </c>
      <c r="AR282" s="14" t="s">
        <v>62</v>
      </c>
      <c r="AS282" s="14" t="s">
        <v>62</v>
      </c>
      <c r="AT282" s="14" t="s">
        <v>62</v>
      </c>
      <c r="AU282" s="14">
        <f>IF(Distances!FT121&lt;&gt;0,(DG282+Distances!FT121*3)*FS282*AU265*2,"")</f>
        <v>227.45798399999998</v>
      </c>
      <c r="AV282" s="14">
        <f>IF(Distances!FU121&lt;&gt;0,(DH282+Distances!FU121*3)*FT282*AV265*2,"")</f>
        <v>167.21971764705881</v>
      </c>
      <c r="AW282" s="14">
        <f>IF(Distances!FV121&lt;&gt;0,(DI282+Distances!FV121*3)*FU282*AW265*2,"")</f>
        <v>803.77343999999994</v>
      </c>
      <c r="AX282" s="14" t="s">
        <v>62</v>
      </c>
      <c r="AY282" s="14" t="s">
        <v>62</v>
      </c>
      <c r="AZ282" s="14">
        <f>IF(Distances!FY121&lt;&gt;0,(DL282+Distances!FY121*3)*FX282*AZ265*2,"")</f>
        <v>187.78612363636364</v>
      </c>
      <c r="BA282" s="14" t="s">
        <v>62</v>
      </c>
      <c r="BB282" s="13" t="s">
        <v>62</v>
      </c>
      <c r="BC282" s="14" t="s">
        <v>62</v>
      </c>
      <c r="BD282" s="14">
        <f>IF(Distances!GC121&lt;&gt;0,(DP282+Distances!GC121*3)*GB282*BD265*2,"")</f>
        <v>608.64570514285708</v>
      </c>
      <c r="BE282" s="14" t="s">
        <v>62</v>
      </c>
      <c r="BF282" s="13">
        <f>IF(Distances!GE121&lt;&gt;0,(DR282+Distances!GE121*3)*GD282*BF265*2,"")</f>
        <v>440.55444000000011</v>
      </c>
      <c r="BG282" s="13" t="s">
        <v>62</v>
      </c>
      <c r="BH282" s="14" t="s">
        <v>62</v>
      </c>
      <c r="BI282" s="14" t="s">
        <v>62</v>
      </c>
      <c r="BJ282" s="15" t="s">
        <v>62</v>
      </c>
      <c r="BM282" s="35" t="s">
        <v>17</v>
      </c>
      <c r="BN282" s="16">
        <v>965.67239999999993</v>
      </c>
      <c r="BO282" s="14">
        <v>1262.8223999999998</v>
      </c>
      <c r="BP282" s="14">
        <v>774.5136</v>
      </c>
      <c r="BQ282" s="14">
        <v>774.5136</v>
      </c>
      <c r="BR282" s="14">
        <v>820.46999999999991</v>
      </c>
      <c r="BS282" s="14">
        <v>2570.2739999999999</v>
      </c>
      <c r="BT282" s="14">
        <v>2666.6976</v>
      </c>
      <c r="BU282" s="14">
        <v>2570.2739999999999</v>
      </c>
      <c r="BV282" s="14">
        <v>805.14839999999992</v>
      </c>
      <c r="BW282" s="14">
        <v>805.14839999999992</v>
      </c>
      <c r="BX282" s="14">
        <v>2692.83</v>
      </c>
      <c r="BY282" s="14">
        <v>2692.83</v>
      </c>
      <c r="BZ282" s="14">
        <v>1337.7755999999999</v>
      </c>
      <c r="CA282" s="14">
        <v>1495.6368</v>
      </c>
      <c r="CB282" s="14">
        <v>2076.9756000000002</v>
      </c>
      <c r="CC282" s="13">
        <v>712.44599999999991</v>
      </c>
      <c r="CD282" s="12">
        <v>0</v>
      </c>
      <c r="CE282" s="13">
        <v>725.86919999999998</v>
      </c>
      <c r="CF282" s="13">
        <v>692.31119999999999</v>
      </c>
      <c r="CG282" s="13">
        <v>761.82119999999998</v>
      </c>
      <c r="CH282" s="13">
        <v>967.4867999999999</v>
      </c>
      <c r="CI282" s="13">
        <v>701.54279999999994</v>
      </c>
      <c r="CJ282" s="13">
        <v>487.84679999999997</v>
      </c>
      <c r="CK282" s="13">
        <v>692.31119999999999</v>
      </c>
      <c r="CL282" s="13">
        <v>829.61759999999992</v>
      </c>
      <c r="CM282" s="13">
        <v>814.548</v>
      </c>
      <c r="CN282" s="13">
        <v>784.41719999999998</v>
      </c>
      <c r="CO282" s="13">
        <v>776.89080000000001</v>
      </c>
      <c r="CP282" s="13">
        <v>487.84679999999997</v>
      </c>
      <c r="CQ282" s="13">
        <v>967.4867999999999</v>
      </c>
      <c r="CR282" s="13">
        <v>967.4867999999999</v>
      </c>
      <c r="CS282" s="13">
        <v>967.4867999999999</v>
      </c>
      <c r="CT282" s="14">
        <v>1602.8123999999998</v>
      </c>
      <c r="CU282" s="14">
        <v>1812.5352</v>
      </c>
      <c r="CV282" s="14">
        <v>1602.8123999999998</v>
      </c>
      <c r="CW282" s="14">
        <v>1865.2956000000001</v>
      </c>
      <c r="CX282" s="14">
        <v>1506.3468</v>
      </c>
      <c r="CY282" s="14">
        <v>1506.3468</v>
      </c>
      <c r="CZ282" s="14">
        <v>1506.3468</v>
      </c>
      <c r="DA282" s="14">
        <v>1266.2328</v>
      </c>
      <c r="DB282" s="14">
        <v>1290.7944</v>
      </c>
      <c r="DC282" s="14">
        <v>1497.7703999999999</v>
      </c>
      <c r="DD282" s="14">
        <v>1241.9148</v>
      </c>
      <c r="DE282" s="14">
        <v>1241.9148</v>
      </c>
      <c r="DF282" s="14">
        <v>1241.9148</v>
      </c>
      <c r="DG282" s="14">
        <v>1289.9123999999999</v>
      </c>
      <c r="DH282" s="14">
        <v>907.4351999999999</v>
      </c>
      <c r="DI282" s="14">
        <v>907.4351999999999</v>
      </c>
      <c r="DJ282" s="14">
        <v>1314.4656</v>
      </c>
      <c r="DK282" s="14">
        <v>0</v>
      </c>
      <c r="DL282" s="14">
        <v>3776.0183999999999</v>
      </c>
      <c r="DM282" s="14">
        <v>1036.7112</v>
      </c>
      <c r="DN282" s="13">
        <v>890.49239999999986</v>
      </c>
      <c r="DO282" s="14">
        <v>1228.5419999999999</v>
      </c>
      <c r="DP282" s="14">
        <v>1314.4656</v>
      </c>
      <c r="DQ282" s="14">
        <v>1302.1931999999999</v>
      </c>
      <c r="DR282" s="13">
        <v>1510.2444</v>
      </c>
      <c r="DS282" s="13">
        <v>1046.3964000000001</v>
      </c>
      <c r="DT282" s="14">
        <v>2831.7239999999997</v>
      </c>
      <c r="DU282" s="14">
        <v>2122.1759999999999</v>
      </c>
      <c r="DV282" s="15">
        <v>2122.1759999999999</v>
      </c>
      <c r="DY282" s="35" t="s">
        <v>17</v>
      </c>
      <c r="DZ282" s="16">
        <v>6.2500000000000003E-3</v>
      </c>
      <c r="EA282" s="14">
        <v>6.2500000000000003E-3</v>
      </c>
      <c r="EB282" s="14">
        <v>6.2500000000000003E-3</v>
      </c>
      <c r="EC282" s="14">
        <v>6.2500000000000003E-3</v>
      </c>
      <c r="ED282" s="14">
        <v>6.2500000000000003E-3</v>
      </c>
      <c r="EE282" s="14">
        <v>6.2500000000000003E-3</v>
      </c>
      <c r="EF282" s="14">
        <v>6.2500000000000003E-3</v>
      </c>
      <c r="EG282" s="14">
        <v>6.2500000000000003E-3</v>
      </c>
      <c r="EH282" s="14">
        <v>6.2500000000000003E-3</v>
      </c>
      <c r="EI282" s="14">
        <v>6.2500000000000003E-3</v>
      </c>
      <c r="EJ282" s="14">
        <v>6.2500000000000003E-3</v>
      </c>
      <c r="EK282" s="14">
        <v>6.2500000000000003E-3</v>
      </c>
      <c r="EL282" s="14">
        <v>6.2500000000000003E-3</v>
      </c>
      <c r="EM282" s="14">
        <v>4.6511627906976744E-3</v>
      </c>
      <c r="EN282" s="14">
        <v>4.6511627906976744E-3</v>
      </c>
      <c r="EO282" s="13">
        <f>0.2/16</f>
        <v>1.2500000000000001E-2</v>
      </c>
      <c r="EP282" s="12">
        <v>0.6</v>
      </c>
      <c r="EQ282" s="13">
        <f t="shared" si="100"/>
        <v>1.2500000000000001E-2</v>
      </c>
      <c r="ER282" s="13">
        <f t="shared" si="100"/>
        <v>1.2500000000000001E-2</v>
      </c>
      <c r="ES282" s="13">
        <f t="shared" si="100"/>
        <v>1.2500000000000001E-2</v>
      </c>
      <c r="ET282" s="13">
        <f t="shared" si="100"/>
        <v>1.2500000000000001E-2</v>
      </c>
      <c r="EU282" s="13">
        <f t="shared" si="100"/>
        <v>1.2500000000000001E-2</v>
      </c>
      <c r="EV282" s="13">
        <f t="shared" si="100"/>
        <v>1.2500000000000001E-2</v>
      </c>
      <c r="EW282" s="13">
        <f t="shared" si="100"/>
        <v>1.2500000000000001E-2</v>
      </c>
      <c r="EX282" s="13">
        <f t="shared" si="100"/>
        <v>1.2500000000000001E-2</v>
      </c>
      <c r="EY282" s="13">
        <f t="shared" si="100"/>
        <v>1.2500000000000001E-2</v>
      </c>
      <c r="EZ282" s="13">
        <f t="shared" si="100"/>
        <v>1.2500000000000001E-2</v>
      </c>
      <c r="FA282" s="13">
        <f t="shared" si="100"/>
        <v>1.2500000000000001E-2</v>
      </c>
      <c r="FB282" s="13">
        <f t="shared" si="100"/>
        <v>1.2500000000000001E-2</v>
      </c>
      <c r="FC282" s="13">
        <f t="shared" si="100"/>
        <v>1.2500000000000001E-2</v>
      </c>
      <c r="FD282" s="13">
        <f t="shared" si="100"/>
        <v>1.2500000000000001E-2</v>
      </c>
      <c r="FE282" s="13">
        <f t="shared" si="100"/>
        <v>1.2500000000000001E-2</v>
      </c>
      <c r="FF282" s="14">
        <v>5.7142857142857143E-3</v>
      </c>
      <c r="FG282" s="14">
        <v>5.7142857142857143E-3</v>
      </c>
      <c r="FH282" s="14">
        <v>5.7142857142857143E-3</v>
      </c>
      <c r="FI282" s="14">
        <v>5.7142857142857143E-3</v>
      </c>
      <c r="FJ282" s="14">
        <v>5.7142857142857143E-3</v>
      </c>
      <c r="FK282" s="14">
        <v>5.7142857142857143E-3</v>
      </c>
      <c r="FL282" s="14">
        <v>5.7142857142857143E-3</v>
      </c>
      <c r="FM282" s="14">
        <v>4.7619047619047623E-3</v>
      </c>
      <c r="FN282" s="14">
        <v>4.7619047619047623E-3</v>
      </c>
      <c r="FO282" s="14">
        <v>4.7619047619047623E-3</v>
      </c>
      <c r="FP282" s="14">
        <v>5.7142857142857143E-3</v>
      </c>
      <c r="FQ282" s="14">
        <v>5.7142857142857143E-3</v>
      </c>
      <c r="FR282" s="14">
        <v>5.7142857142857143E-3</v>
      </c>
      <c r="FS282" s="14">
        <v>5.7142857142857143E-3</v>
      </c>
      <c r="FT282" s="14">
        <v>5.8823529411764705E-3</v>
      </c>
      <c r="FU282" s="14">
        <v>5.7142857142857143E-3</v>
      </c>
      <c r="FV282" s="14">
        <v>5.7142857142857143E-3</v>
      </c>
      <c r="FW282" s="14">
        <v>4.5454545454545461E-3</v>
      </c>
      <c r="FX282" s="14">
        <v>4.5454545454545461E-3</v>
      </c>
      <c r="FY282" s="14">
        <v>5.7142857142857143E-3</v>
      </c>
      <c r="FZ282" s="13">
        <f t="shared" si="101"/>
        <v>1.2500000000000001E-2</v>
      </c>
      <c r="GA282" s="14">
        <v>5.7142857142857143E-3</v>
      </c>
      <c r="GB282" s="14">
        <v>5.7142857142857143E-3</v>
      </c>
      <c r="GC282" s="14">
        <v>5.7142857142857143E-3</v>
      </c>
      <c r="GD282" s="13">
        <f t="shared" si="102"/>
        <v>1.2500000000000001E-2</v>
      </c>
      <c r="GE282" s="13">
        <f t="shared" si="102"/>
        <v>1.2500000000000001E-2</v>
      </c>
      <c r="GF282" s="14">
        <v>4.6511627906976744E-3</v>
      </c>
      <c r="GG282" s="14">
        <v>4.6511627906976744E-3</v>
      </c>
      <c r="GH282" s="15">
        <v>4.6511627906976744E-3</v>
      </c>
    </row>
    <row r="283" spans="1:190" x14ac:dyDescent="0.3">
      <c r="A283" s="35" t="s">
        <v>18</v>
      </c>
      <c r="B283" s="16" t="s">
        <v>62</v>
      </c>
      <c r="C283" s="14" t="s">
        <v>62</v>
      </c>
      <c r="D283" s="14">
        <f>IF(Distances!EC122&lt;&gt;0,(BP283+Distances!EC122*3)*EB283*D265*2,"")</f>
        <v>18655.24035</v>
      </c>
      <c r="E283" s="14" t="s">
        <v>62</v>
      </c>
      <c r="F283" s="14">
        <f>IF(Distances!EE122&lt;&gt;0,(BR283+Distances!EE122*3)*ED283*F265*2,"")</f>
        <v>2618.6290199999999</v>
      </c>
      <c r="G283" s="14">
        <f>IF(Distances!EF122&lt;&gt;0,(BS283+Distances!EF122*3)*EE283*G265*2,"")</f>
        <v>29083.661039999995</v>
      </c>
      <c r="H283" s="14" t="s">
        <v>62</v>
      </c>
      <c r="I283" s="14" t="s">
        <v>62</v>
      </c>
      <c r="J283" s="14">
        <f>IF(Distances!EI122&lt;&gt;0,(BV283+Distances!EI122*3)*EH283*J265*2,"")</f>
        <v>121.74612000000002</v>
      </c>
      <c r="K283" s="14" t="s">
        <v>62</v>
      </c>
      <c r="L283" s="14" t="s">
        <v>62</v>
      </c>
      <c r="M283" s="14" t="s">
        <v>62</v>
      </c>
      <c r="N283" s="14" t="s">
        <v>62</v>
      </c>
      <c r="O283" s="14" t="s">
        <v>62</v>
      </c>
      <c r="P283" s="14" t="s">
        <v>62</v>
      </c>
      <c r="Q283" s="13" t="s">
        <v>62</v>
      </c>
      <c r="R283" s="13" t="s">
        <v>62</v>
      </c>
      <c r="S283" s="12" t="s">
        <v>62</v>
      </c>
      <c r="T283" s="13">
        <f>IF(Distances!ES122&lt;&gt;0,(CF283+Distances!ES122*3)*ER283*T265*2,"")</f>
        <v>243.62792999999999</v>
      </c>
      <c r="U283" s="13">
        <f>IF(Distances!ET122&lt;&gt;0,(CG283+Distances!ET122*3)*ES283*U265*2,"")</f>
        <v>304.86057</v>
      </c>
      <c r="V283" s="13">
        <f>IF(Distances!EU122&lt;&gt;0,(CH283+Distances!EU122*3)*ET283*V265*2,"")</f>
        <v>3677.9215199999999</v>
      </c>
      <c r="W283" s="13" t="s">
        <v>62</v>
      </c>
      <c r="X283" s="13">
        <f>IF(Distances!EW122&lt;&gt;0,(CJ283+Distances!EW122*3)*EV283*X265*2,"")</f>
        <v>1316.9729400000001</v>
      </c>
      <c r="Y283" s="13">
        <f>IF(Distances!EX122&lt;&gt;0,(CK283+Distances!EX122*3)*EW283*Y265*2,"")</f>
        <v>2176.9714200000008</v>
      </c>
      <c r="Z283" s="13">
        <f>IF(Distances!EY122&lt;&gt;0,(CL283+Distances!EY122*3)*EX283*Z265*2,"")</f>
        <v>54.349440000000008</v>
      </c>
      <c r="AA283" s="13">
        <f>IF(Distances!EZ122&lt;&gt;0,(CM283+Distances!EZ122*3)*EY283*AA265*2,"")</f>
        <v>63.084540000000004</v>
      </c>
      <c r="AB283" s="13">
        <f>IF(Distances!FA122&lt;&gt;0,(CN283+Distances!FA122*3)*EZ283*AB265*2,"")</f>
        <v>98.795159999999996</v>
      </c>
      <c r="AC283" s="13" t="s">
        <v>62</v>
      </c>
      <c r="AD283" s="13" t="s">
        <v>62</v>
      </c>
      <c r="AE283" s="13">
        <f>IF(Distances!FD122&lt;&gt;0,(CQ283+Distances!FD122*3)*FC283*AE265*2,"")</f>
        <v>198.98988</v>
      </c>
      <c r="AF283" s="13">
        <f>IF(Distances!FE122&lt;&gt;0,(CR283+Distances!FE122*3)*FD283*AF265*2,"")</f>
        <v>387.77976000000001</v>
      </c>
      <c r="AG283" s="13">
        <f>IF(Distances!FF122&lt;&gt;0,(CS283+Distances!FF122*3)*FE283*AG265*2,"")</f>
        <v>286.85975999999999</v>
      </c>
      <c r="AH283" s="14">
        <f>IF(Distances!FG122&lt;&gt;0,(CT283+Distances!FG122*3)*FF283*AH265*2,"")</f>
        <v>66.36772114285715</v>
      </c>
      <c r="AI283" s="14" t="s">
        <v>62</v>
      </c>
      <c r="AJ283" s="14">
        <f>IF(Distances!FI122&lt;&gt;0,(CV283+Distances!FI122*3)*FH283*AJ265*2,"")</f>
        <v>52.530006857142858</v>
      </c>
      <c r="AK283" s="14" t="s">
        <v>62</v>
      </c>
      <c r="AL283" s="14" t="s">
        <v>62</v>
      </c>
      <c r="AM283" s="14" t="s">
        <v>62</v>
      </c>
      <c r="AN283" s="14">
        <f>IF(Distances!FM122&lt;&gt;0,(CZ283+Distances!FM122*3)*FL283*AN265*2,"")</f>
        <v>1242.4041051428571</v>
      </c>
      <c r="AO283" s="14" t="s">
        <v>62</v>
      </c>
      <c r="AP283" s="14" t="s">
        <v>62</v>
      </c>
      <c r="AQ283" s="14" t="s">
        <v>62</v>
      </c>
      <c r="AR283" s="14" t="s">
        <v>62</v>
      </c>
      <c r="AS283" s="14" t="s">
        <v>62</v>
      </c>
      <c r="AT283" s="14" t="s">
        <v>62</v>
      </c>
      <c r="AU283" s="14">
        <f>IF(Distances!FT122&lt;&gt;0,(DG283+Distances!FT122*3)*FS283*AU265*2,"")</f>
        <v>233.35007999999999</v>
      </c>
      <c r="AV283" s="14">
        <f>IF(Distances!FU122&lt;&gt;0,(DH283+Distances!FU122*3)*FT283*AV265*2,"")</f>
        <v>168.74308235294114</v>
      </c>
      <c r="AW283" s="14">
        <f>IF(Distances!FV122&lt;&gt;0,(DI283+Distances!FV122*3)*FU283*AW265*2,"")</f>
        <v>805.2532799999999</v>
      </c>
      <c r="AX283" s="14" t="s">
        <v>62</v>
      </c>
      <c r="AY283" s="14" t="s">
        <v>62</v>
      </c>
      <c r="AZ283" s="14">
        <f>IF(Distances!FY122&lt;&gt;0,(DL283+Distances!FY122*3)*FX283*AZ265*2,"")</f>
        <v>191.70815999999999</v>
      </c>
      <c r="BA283" s="14" t="s">
        <v>62</v>
      </c>
      <c r="BB283" s="13" t="s">
        <v>62</v>
      </c>
      <c r="BC283" s="14" t="s">
        <v>62</v>
      </c>
      <c r="BD283" s="14">
        <f>IF(Distances!GC122&lt;&gt;0,(DP283+Distances!GC122*3)*GB283*BD265*2,"")</f>
        <v>622.37140114285705</v>
      </c>
      <c r="BE283" s="14" t="s">
        <v>62</v>
      </c>
      <c r="BF283" s="13">
        <f>IF(Distances!GE122&lt;&gt;0,(DR283+Distances!GE122*3)*GD283*BF265*2,"")</f>
        <v>444.86616000000004</v>
      </c>
      <c r="BG283" s="13" t="s">
        <v>62</v>
      </c>
      <c r="BH283" s="14" t="s">
        <v>62</v>
      </c>
      <c r="BI283" s="14" t="s">
        <v>62</v>
      </c>
      <c r="BJ283" s="15" t="s">
        <v>62</v>
      </c>
      <c r="BM283" s="35" t="s">
        <v>18</v>
      </c>
      <c r="BN283" s="16">
        <v>993.2328</v>
      </c>
      <c r="BO283" s="14">
        <v>1298.8668</v>
      </c>
      <c r="BP283" s="14">
        <v>796.61400000000003</v>
      </c>
      <c r="BQ283" s="14">
        <v>796.61400000000003</v>
      </c>
      <c r="BR283" s="14">
        <v>843.88080000000002</v>
      </c>
      <c r="BS283" s="14">
        <v>2643.6815999999999</v>
      </c>
      <c r="BT283" s="14">
        <v>2742.8604</v>
      </c>
      <c r="BU283" s="14">
        <v>2643.6815999999999</v>
      </c>
      <c r="BV283" s="14">
        <v>828.12239999999997</v>
      </c>
      <c r="BW283" s="14">
        <v>828.12239999999997</v>
      </c>
      <c r="BX283" s="14">
        <v>2769.7403999999997</v>
      </c>
      <c r="BY283" s="14">
        <v>2769.7403999999997</v>
      </c>
      <c r="BZ283" s="14">
        <v>1375.9703999999999</v>
      </c>
      <c r="CA283" s="14">
        <v>1538.3423999999998</v>
      </c>
      <c r="CB283" s="14">
        <v>2136.2879999999996</v>
      </c>
      <c r="CC283" s="13">
        <v>732.774</v>
      </c>
      <c r="CD283" s="13">
        <v>725.86919999999998</v>
      </c>
      <c r="CE283" s="12">
        <v>0</v>
      </c>
      <c r="CF283" s="13">
        <v>712.05960000000005</v>
      </c>
      <c r="CG283" s="13">
        <v>783.56039999999996</v>
      </c>
      <c r="CH283" s="13">
        <v>995.09760000000006</v>
      </c>
      <c r="CI283" s="13">
        <v>718.96439999999996</v>
      </c>
      <c r="CJ283" s="13">
        <v>501.75720000000001</v>
      </c>
      <c r="CK283" s="13">
        <v>712.05960000000005</v>
      </c>
      <c r="CL283" s="13">
        <v>853.28880000000004</v>
      </c>
      <c r="CM283" s="13">
        <v>837.79079999999999</v>
      </c>
      <c r="CN283" s="13">
        <v>806.80319999999995</v>
      </c>
      <c r="CO283" s="13">
        <v>799.05840000000001</v>
      </c>
      <c r="CP283" s="13">
        <v>501.75720000000001</v>
      </c>
      <c r="CQ283" s="13">
        <v>995.09760000000006</v>
      </c>
      <c r="CR283" s="13">
        <v>995.09760000000006</v>
      </c>
      <c r="CS283" s="13">
        <v>995.09760000000006</v>
      </c>
      <c r="CT283" s="14">
        <v>1648.5755999999999</v>
      </c>
      <c r="CU283" s="14">
        <v>1864.2875999999999</v>
      </c>
      <c r="CV283" s="14">
        <v>1648.5755999999999</v>
      </c>
      <c r="CW283" s="14">
        <v>1918.56</v>
      </c>
      <c r="CX283" s="14">
        <v>1549.3548000000001</v>
      </c>
      <c r="CY283" s="14">
        <v>1549.3548000000001</v>
      </c>
      <c r="CZ283" s="14">
        <v>1549.3548000000001</v>
      </c>
      <c r="DA283" s="14">
        <v>1302.3779999999999</v>
      </c>
      <c r="DB283" s="14">
        <v>1327.6451999999999</v>
      </c>
      <c r="DC283" s="14">
        <v>1540.5347999999999</v>
      </c>
      <c r="DD283" s="14">
        <v>1277.3628000000001</v>
      </c>
      <c r="DE283" s="14">
        <v>1277.3628000000001</v>
      </c>
      <c r="DF283" s="14">
        <v>1277.3628000000001</v>
      </c>
      <c r="DG283" s="14">
        <v>1326.7380000000001</v>
      </c>
      <c r="DH283" s="14">
        <v>933.33239999999989</v>
      </c>
      <c r="DI283" s="14">
        <v>933.33239999999989</v>
      </c>
      <c r="DJ283" s="14">
        <v>1351.9967999999999</v>
      </c>
      <c r="DK283" s="14">
        <v>0</v>
      </c>
      <c r="DL283" s="14">
        <v>3883.8743999999997</v>
      </c>
      <c r="DM283" s="14">
        <v>1066.3044</v>
      </c>
      <c r="DN283" s="13">
        <v>915.90239999999983</v>
      </c>
      <c r="DO283" s="14">
        <v>1263.6119999999999</v>
      </c>
      <c r="DP283" s="14">
        <v>1351.9967999999999</v>
      </c>
      <c r="DQ283" s="14">
        <v>1339.3715999999999</v>
      </c>
      <c r="DR283" s="13">
        <v>1553.3616</v>
      </c>
      <c r="DS283" s="13">
        <v>1076.2667999999999</v>
      </c>
      <c r="DT283" s="14">
        <v>2912.6075999999998</v>
      </c>
      <c r="DU283" s="14">
        <v>2182.7820000000002</v>
      </c>
      <c r="DV283" s="15">
        <v>2182.7820000000002</v>
      </c>
      <c r="DY283" s="35" t="s">
        <v>18</v>
      </c>
      <c r="DZ283" s="16">
        <v>6.2500000000000003E-3</v>
      </c>
      <c r="EA283" s="14">
        <v>6.2500000000000003E-3</v>
      </c>
      <c r="EB283" s="14">
        <v>6.2500000000000003E-3</v>
      </c>
      <c r="EC283" s="14">
        <v>6.2500000000000003E-3</v>
      </c>
      <c r="ED283" s="14">
        <v>6.2500000000000003E-3</v>
      </c>
      <c r="EE283" s="14">
        <v>6.2500000000000003E-3</v>
      </c>
      <c r="EF283" s="14">
        <v>6.2500000000000003E-3</v>
      </c>
      <c r="EG283" s="14">
        <v>6.2500000000000003E-3</v>
      </c>
      <c r="EH283" s="14">
        <v>6.2500000000000003E-3</v>
      </c>
      <c r="EI283" s="14">
        <v>6.2500000000000003E-3</v>
      </c>
      <c r="EJ283" s="14">
        <v>6.2500000000000003E-3</v>
      </c>
      <c r="EK283" s="14">
        <v>6.2500000000000003E-3</v>
      </c>
      <c r="EL283" s="14">
        <v>6.2500000000000003E-3</v>
      </c>
      <c r="EM283" s="14">
        <v>4.6511627906976744E-3</v>
      </c>
      <c r="EN283" s="14">
        <v>4.6511627906976744E-3</v>
      </c>
      <c r="EO283" s="13">
        <f t="shared" ref="EO283:FC297" si="103">0.2/16</f>
        <v>1.2500000000000001E-2</v>
      </c>
      <c r="EP283" s="13">
        <f t="shared" si="103"/>
        <v>1.2500000000000001E-2</v>
      </c>
      <c r="EQ283" s="12">
        <v>0.6</v>
      </c>
      <c r="ER283" s="13">
        <f t="shared" si="100"/>
        <v>1.2500000000000001E-2</v>
      </c>
      <c r="ES283" s="13">
        <f t="shared" si="100"/>
        <v>1.2500000000000001E-2</v>
      </c>
      <c r="ET283" s="13">
        <f t="shared" si="100"/>
        <v>1.2500000000000001E-2</v>
      </c>
      <c r="EU283" s="13">
        <f t="shared" si="100"/>
        <v>1.2500000000000001E-2</v>
      </c>
      <c r="EV283" s="13">
        <f t="shared" si="100"/>
        <v>1.2500000000000001E-2</v>
      </c>
      <c r="EW283" s="13">
        <f t="shared" si="100"/>
        <v>1.2500000000000001E-2</v>
      </c>
      <c r="EX283" s="13">
        <f t="shared" si="100"/>
        <v>1.2500000000000001E-2</v>
      </c>
      <c r="EY283" s="13">
        <f t="shared" si="100"/>
        <v>1.2500000000000001E-2</v>
      </c>
      <c r="EZ283" s="13">
        <f t="shared" si="100"/>
        <v>1.2500000000000001E-2</v>
      </c>
      <c r="FA283" s="13">
        <f t="shared" si="100"/>
        <v>1.2500000000000001E-2</v>
      </c>
      <c r="FB283" s="13">
        <f t="shared" si="100"/>
        <v>1.2500000000000001E-2</v>
      </c>
      <c r="FC283" s="13">
        <f t="shared" si="100"/>
        <v>1.2500000000000001E-2</v>
      </c>
      <c r="FD283" s="13">
        <f t="shared" si="100"/>
        <v>1.2500000000000001E-2</v>
      </c>
      <c r="FE283" s="13">
        <f t="shared" si="100"/>
        <v>1.2500000000000001E-2</v>
      </c>
      <c r="FF283" s="14">
        <v>5.7142857142857143E-3</v>
      </c>
      <c r="FG283" s="14">
        <v>5.7142857142857143E-3</v>
      </c>
      <c r="FH283" s="14">
        <v>5.7142857142857143E-3</v>
      </c>
      <c r="FI283" s="14">
        <v>5.7142857142857143E-3</v>
      </c>
      <c r="FJ283" s="14">
        <v>5.7142857142857143E-3</v>
      </c>
      <c r="FK283" s="14">
        <v>5.7142857142857143E-3</v>
      </c>
      <c r="FL283" s="14">
        <v>5.7142857142857143E-3</v>
      </c>
      <c r="FM283" s="14">
        <v>4.7619047619047623E-3</v>
      </c>
      <c r="FN283" s="14">
        <v>4.7619047619047623E-3</v>
      </c>
      <c r="FO283" s="14">
        <v>4.7619047619047623E-3</v>
      </c>
      <c r="FP283" s="14">
        <v>5.7142857142857143E-3</v>
      </c>
      <c r="FQ283" s="14">
        <v>5.7142857142857143E-3</v>
      </c>
      <c r="FR283" s="14">
        <v>5.7142857142857143E-3</v>
      </c>
      <c r="FS283" s="14">
        <v>5.7142857142857143E-3</v>
      </c>
      <c r="FT283" s="14">
        <v>5.8823529411764705E-3</v>
      </c>
      <c r="FU283" s="14">
        <v>5.7142857142857143E-3</v>
      </c>
      <c r="FV283" s="14">
        <v>5.7142857142857143E-3</v>
      </c>
      <c r="FW283" s="14">
        <v>4.5454545454545461E-3</v>
      </c>
      <c r="FX283" s="14">
        <v>4.5454545454545461E-3</v>
      </c>
      <c r="FY283" s="14">
        <v>5.7142857142857143E-3</v>
      </c>
      <c r="FZ283" s="13">
        <f t="shared" si="101"/>
        <v>1.2500000000000001E-2</v>
      </c>
      <c r="GA283" s="14">
        <v>5.7142857142857143E-3</v>
      </c>
      <c r="GB283" s="14">
        <v>5.7142857142857143E-3</v>
      </c>
      <c r="GC283" s="14">
        <v>5.7142857142857143E-3</v>
      </c>
      <c r="GD283" s="13">
        <f t="shared" si="102"/>
        <v>1.2500000000000001E-2</v>
      </c>
      <c r="GE283" s="13">
        <f t="shared" si="102"/>
        <v>1.2500000000000001E-2</v>
      </c>
      <c r="GF283" s="14">
        <v>4.6511627906976744E-3</v>
      </c>
      <c r="GG283" s="14">
        <v>4.6511627906976744E-3</v>
      </c>
      <c r="GH283" s="15">
        <v>4.6511627906976744E-3</v>
      </c>
    </row>
    <row r="284" spans="1:190" x14ac:dyDescent="0.3">
      <c r="A284" s="35" t="s">
        <v>19</v>
      </c>
      <c r="B284" s="16">
        <f>IF(Distances!EA123&lt;&gt;0,(BN284+Distances!EA123*3)*DZ284*B265*2,"")</f>
        <v>4109.1890400000002</v>
      </c>
      <c r="C284" s="14">
        <f>IF(Distances!EB123&lt;&gt;0,(BO284+Distances!EB123*3)*EA284*C265*2,"")</f>
        <v>4845.1760400000003</v>
      </c>
      <c r="D284" s="14">
        <f>IF(Distances!EC123&lt;&gt;0,(BP284+Distances!EC123*3)*EB284*D265*2,"")</f>
        <v>20279.486999999997</v>
      </c>
      <c r="E284" s="14">
        <f>IF(Distances!ED123&lt;&gt;0,(BQ284+Distances!ED123*3)*EC284*E265*2,"")</f>
        <v>3635.6970000000001</v>
      </c>
      <c r="F284" s="14">
        <f>IF(Distances!EE123&lt;&gt;0,(BR284+Distances!EE123*3)*ED284*F265*2,"")</f>
        <v>4237.33986</v>
      </c>
      <c r="G284" s="14">
        <f>IF(Distances!EF123&lt;&gt;0,(BS284+Distances!EF123*3)*EE284*G265*2,"")</f>
        <v>30491.989890000001</v>
      </c>
      <c r="H284" s="14">
        <f>IF(Distances!EG123&lt;&gt;0,(BT284+Distances!EG123*3)*EF284*H265*2,"")</f>
        <v>8323.085790000001</v>
      </c>
      <c r="I284" s="14">
        <f>IF(Distances!EH123&lt;&gt;0,(BU284+Distances!EH123*3)*EG284*I265*2,"")</f>
        <v>8083.6248899999991</v>
      </c>
      <c r="J284" s="14">
        <f>IF(Distances!EI123&lt;&gt;0,(BV284+Distances!EI123*3)*EH284*J265*2,"")</f>
        <v>153.83676</v>
      </c>
      <c r="K284" s="14">
        <f>IF(Distances!EJ123&lt;&gt;0,(BW284+Distances!EJ123*3)*EI284*K265*2,"")</f>
        <v>73.496759999999995</v>
      </c>
      <c r="L284" s="14">
        <f>IF(Distances!EK123&lt;&gt;0,(BX284+Distances!EK123*3)*EJ284*L265*2,"")</f>
        <v>166.08282</v>
      </c>
      <c r="M284" s="14">
        <f>IF(Distances!EL123&lt;&gt;0,(BY284+Distances!EL123*3)*EK284*M265*2,"")</f>
        <v>166.08282</v>
      </c>
      <c r="N284" s="14">
        <f>IF(Distances!EM123&lt;&gt;0,(BZ284+Distances!EM123*3)*EL284*N265*2,"")</f>
        <v>99.620760000000004</v>
      </c>
      <c r="O284" s="14">
        <f>IF(Distances!EN123&lt;&gt;0,(CA284+Distances!EN123*3)*EM284*O265*2,"")</f>
        <v>139.82218046511628</v>
      </c>
      <c r="P284" s="14">
        <f>IF(Distances!EO123&lt;&gt;0,(CB284+Distances!EO123*3)*EN284*P265*2,"")</f>
        <v>176.95533767441862</v>
      </c>
      <c r="Q284" s="13">
        <f>IF(Distances!EP123&lt;&gt;0,(CC284+Distances!EP123*3)*EO284*Q265*2,"")</f>
        <v>1723.7459999999999</v>
      </c>
      <c r="R284" s="13">
        <f>IF(Distances!EQ123&lt;&gt;0,(CD284+Distances!EQ123*3)*EP284*R265*2,"")</f>
        <v>1715.5139999999999</v>
      </c>
      <c r="S284" s="13">
        <f>IF(Distances!ER123&lt;&gt;0,(CE284+Distances!ER123*3)*EQ284*S265*2,"")</f>
        <v>1740.1994999999999</v>
      </c>
      <c r="T284" s="12" t="s">
        <v>62</v>
      </c>
      <c r="U284" s="13">
        <f>IF(Distances!ET123&lt;&gt;0,(CG284+Distances!ET123*3)*ES284*U265*2,"")</f>
        <v>417.53796</v>
      </c>
      <c r="V284" s="13">
        <f>IF(Distances!EU123&lt;&gt;0,(CH284+Distances!EU123*3)*ET284*V265*2,"")</f>
        <v>4597.3323</v>
      </c>
      <c r="W284" s="13">
        <f>IF(Distances!EV123&lt;&gt;0,(CI284+Distances!EV123*3)*EU284*W265*2,"")</f>
        <v>1980.44712</v>
      </c>
      <c r="X284" s="13">
        <f>IF(Distances!EW123&lt;&gt;0,(CJ284+Distances!EW123*3)*EV284*X265*2,"")</f>
        <v>2269.5011400000003</v>
      </c>
      <c r="Y284" s="13">
        <f>IF(Distances!EX123&lt;&gt;0,(CK284+Distances!EX123*3)*EW284*Y265*2,"")</f>
        <v>3115.3830000000003</v>
      </c>
      <c r="Z284" s="13">
        <f>IF(Distances!EY123&lt;&gt;0,(CL284+Distances!EY123*3)*EX284*Z265*2,"")</f>
        <v>86.381700000000009</v>
      </c>
      <c r="AA284" s="13">
        <f>IF(Distances!EZ123&lt;&gt;0,(CM284+Distances!EZ123*3)*EY284*AA265*2,"")</f>
        <v>95.152919999999995</v>
      </c>
      <c r="AB284" s="13">
        <f>IF(Distances!FA123&lt;&gt;0,(CN284+Distances!FA123*3)*EZ284*AB265*2,"")</f>
        <v>130.93493999999998</v>
      </c>
      <c r="AC284" s="13">
        <f>IF(Distances!FB123&lt;&gt;0,(CO284+Distances!FB123*3)*FA284*AC265*2,"")</f>
        <v>72.110339999999994</v>
      </c>
      <c r="AD284" s="13">
        <f>IF(Distances!FC123&lt;&gt;0,(CP284+Distances!FC123*3)*FB284*AD265*2,"")</f>
        <v>57.933660000000003</v>
      </c>
      <c r="AE284" s="13">
        <f>IF(Distances!FD123&lt;&gt;0,(CQ284+Distances!FD123*3)*FC284*AE265*2,"")</f>
        <v>230.69370000000001</v>
      </c>
      <c r="AF284" s="13">
        <f>IF(Distances!FE123&lt;&gt;0,(CR284+Distances!FE123*3)*FD284*AF265*2,"")</f>
        <v>451.18740000000003</v>
      </c>
      <c r="AG284" s="13">
        <f>IF(Distances!FF123&lt;&gt;0,(CS284+Distances!FF123*3)*FE284*AG265*2,"")</f>
        <v>350.26740000000001</v>
      </c>
      <c r="AH284" s="14">
        <f>IF(Distances!FG123&lt;&gt;0,(CT284+Distances!FG123*3)*FF284*AH265*2,"")</f>
        <v>73.268612571428577</v>
      </c>
      <c r="AI284" s="14">
        <f>IF(Distances!FH123&lt;&gt;0,(CU284+Distances!FH123*3)*FG284*AI265*2,"")</f>
        <v>28.092891428571424</v>
      </c>
      <c r="AJ284" s="14">
        <f>IF(Distances!FI123&lt;&gt;0,(CV284+Distances!FI123*3)*FH284*AJ265*2,"")</f>
        <v>59.430898285714285</v>
      </c>
      <c r="AK284" s="14">
        <f>IF(Distances!FJ123&lt;&gt;0,(CW284+Distances!FJ123*3)*FI284*AK265*2,"")</f>
        <v>28.684347428571428</v>
      </c>
      <c r="AL284" s="14">
        <f>IF(Distances!FK123&lt;&gt;0,(CX284+Distances!FK123*3)*FJ284*AL265*2,"")</f>
        <v>1331.6518491428571</v>
      </c>
      <c r="AM284" s="14">
        <f>IF(Distances!FL123&lt;&gt;0,(CY284+Distances!FL123*3)*FK284*AM265*2,"")</f>
        <v>1331.6518491428571</v>
      </c>
      <c r="AN284" s="14">
        <f>IF(Distances!FM123&lt;&gt;0,(CZ284+Distances!FM123*3)*FL284*AN265*2,"")</f>
        <v>1617.8827062857142</v>
      </c>
      <c r="AO284" s="14">
        <f>IF(Distances!FN123&lt;&gt;0,(DA284+Distances!FN123*3)*FM284*AO265*2,"")</f>
        <v>36.613965714285719</v>
      </c>
      <c r="AP284" s="14">
        <f>IF(Distances!FO123&lt;&gt;0,(DB284+Distances!FO123*3)*FN284*AP265*2,"")</f>
        <v>37.073005714285713</v>
      </c>
      <c r="AQ284" s="14">
        <f>IF(Distances!FP123&lt;&gt;0,(DC284+Distances!FP123*3)*FO284*AQ265*2,"")</f>
        <v>40.94020571428571</v>
      </c>
      <c r="AR284" s="14">
        <f>IF(Distances!FQ123&lt;&gt;0,(DD284+Distances!FQ123*3)*FP284*AR265*2,"")</f>
        <v>43.391478857142857</v>
      </c>
      <c r="AS284" s="14">
        <f>IF(Distances!FR123&lt;&gt;0,(DE284+Distances!FR123*3)*FQ284*AS265*2,"")</f>
        <v>43.391478857142857</v>
      </c>
      <c r="AT284" s="14">
        <f>IF(Distances!FS123&lt;&gt;0,(DF284+Distances!FS123*3)*FR284*AT265*2,"")</f>
        <v>43.391478857142857</v>
      </c>
      <c r="AU284" s="14">
        <f>IF(Distances!FT123&lt;&gt;0,(DG284+Distances!FT123*3)*FS284*AU265*2,"")</f>
        <v>332.34681599999993</v>
      </c>
      <c r="AV284" s="14">
        <f>IF(Distances!FU123&lt;&gt;0,(DH284+Distances!FU123*3)*FT284*AV265*2,"")</f>
        <v>206.20969411764705</v>
      </c>
      <c r="AW284" s="14">
        <f>IF(Distances!FV123&lt;&gt;0,(DI284+Distances!FV123*3)*FU284*AW265*2,"")</f>
        <v>841.64941714285715</v>
      </c>
      <c r="AX284" s="14">
        <f>IF(Distances!FW123&lt;&gt;0,(DJ284+Distances!FW123*3)*FV284*AX265*2,"")</f>
        <v>112.54573714285713</v>
      </c>
      <c r="AY284" s="14">
        <f>IF(Distances!FX123&lt;&gt;0,(DK284+Distances!FX123*3)*FW284*AY265*2,"")</f>
        <v>24.730909090909091</v>
      </c>
      <c r="AZ284" s="14">
        <f>IF(Distances!FY123&lt;&gt;0,(DL284+Distances!FY123*3)*FX284*AZ265*2,"")</f>
        <v>209.90234181818181</v>
      </c>
      <c r="BA284" s="14">
        <f>IF(Distances!FZ123&lt;&gt;0,(DM284+Distances!FZ123*3)*FY284*BA265*2,"")</f>
        <v>77.58078171428572</v>
      </c>
      <c r="BB284" s="13">
        <f>IF(Distances!GA123&lt;&gt;0,(DN284+Distances!GA123*3)*FZ284*BB265*2,"")</f>
        <v>155.36496</v>
      </c>
      <c r="BC284" s="14">
        <f>IF(Distances!GB123&lt;&gt;0,(DO284+Distances!GB123*3)*GA284*BC265*2,"")</f>
        <v>689.46519771428575</v>
      </c>
      <c r="BD284" s="14">
        <f>IF(Distances!GC123&lt;&gt;0,(DP284+Distances!GC123*3)*GB284*BD265*2,"")</f>
        <v>848.21957485714279</v>
      </c>
      <c r="BE284" s="14">
        <f>IF(Distances!GD123&lt;&gt;0,(DQ284+Distances!GD123*3)*GC284*BE265*2,"")</f>
        <v>715.88746971428566</v>
      </c>
      <c r="BF284" s="13">
        <f>IF(Distances!GE123&lt;&gt;0,(DR284+Distances!GE123*3)*GD284*BF265*2,"")</f>
        <v>505.68912</v>
      </c>
      <c r="BG284" s="13">
        <f>IF(Distances!GF123&lt;&gt;0,(DS284+Distances!GF123*3)*GE284*BG265*2,"")</f>
        <v>170.65884</v>
      </c>
      <c r="BH284" s="14">
        <f>IF(Distances!GG123&lt;&gt;0,(DT284+Distances!GG123*3)*GF284*BH265*2,"")</f>
        <v>128.66652279069768</v>
      </c>
      <c r="BI284" s="14">
        <f>IF(Distances!GH123&lt;&gt;0,(DU284+Distances!GH123*3)*GG284*BI265*2,"")</f>
        <v>102.76733023255814</v>
      </c>
      <c r="BJ284" s="15">
        <f>IF(Distances!GI123&lt;&gt;0,(DV284+Distances!GI123*3)*GH284*BJ265*2,"")</f>
        <v>102.76733023255814</v>
      </c>
      <c r="BM284" s="35" t="s">
        <v>19</v>
      </c>
      <c r="BN284" s="16">
        <v>947.30160000000001</v>
      </c>
      <c r="BO284" s="14">
        <v>1238.7816</v>
      </c>
      <c r="BP284" s="14">
        <v>759.78</v>
      </c>
      <c r="BQ284" s="14">
        <v>759.78</v>
      </c>
      <c r="BR284" s="14">
        <v>804.85439999999994</v>
      </c>
      <c r="BS284" s="14">
        <v>2521.3355999999999</v>
      </c>
      <c r="BT284" s="14">
        <v>2616.1715999999997</v>
      </c>
      <c r="BU284" s="14">
        <v>2521.3355999999999</v>
      </c>
      <c r="BV284" s="14">
        <v>789.83519999999999</v>
      </c>
      <c r="BW284" s="14">
        <v>789.83519999999999</v>
      </c>
      <c r="BX284" s="14">
        <v>2641.5563999999999</v>
      </c>
      <c r="BY284" s="14">
        <v>2641.5563999999999</v>
      </c>
      <c r="BZ284" s="14">
        <v>1312.3152</v>
      </c>
      <c r="CA284" s="14">
        <v>1467.1692</v>
      </c>
      <c r="CB284" s="14">
        <v>2037.4284</v>
      </c>
      <c r="CC284" s="13">
        <v>698.89679999999998</v>
      </c>
      <c r="CD284" s="13">
        <v>692.31119999999999</v>
      </c>
      <c r="CE284" s="13">
        <v>712.05960000000005</v>
      </c>
      <c r="CF284" s="12">
        <v>0</v>
      </c>
      <c r="CG284" s="13">
        <v>747.33119999999997</v>
      </c>
      <c r="CH284" s="13">
        <v>949.07399999999984</v>
      </c>
      <c r="CI284" s="13">
        <v>685.72559999999999</v>
      </c>
      <c r="CJ284" s="13">
        <v>478.57319999999999</v>
      </c>
      <c r="CK284" s="13">
        <v>679.14</v>
      </c>
      <c r="CL284" s="13">
        <v>813.83399999999995</v>
      </c>
      <c r="CM284" s="13">
        <v>799.05840000000001</v>
      </c>
      <c r="CN284" s="13">
        <v>769.49879999999996</v>
      </c>
      <c r="CO284" s="13">
        <v>762.10679999999991</v>
      </c>
      <c r="CP284" s="13">
        <v>478.57319999999999</v>
      </c>
      <c r="CQ284" s="13">
        <v>949.07399999999984</v>
      </c>
      <c r="CR284" s="13">
        <v>949.07399999999984</v>
      </c>
      <c r="CS284" s="13">
        <v>949.07399999999984</v>
      </c>
      <c r="CT284" s="14">
        <v>1572.3036</v>
      </c>
      <c r="CU284" s="14">
        <v>1778.0279999999998</v>
      </c>
      <c r="CV284" s="14">
        <v>1572.3036</v>
      </c>
      <c r="CW284" s="14">
        <v>1829.7803999999999</v>
      </c>
      <c r="CX284" s="14">
        <v>1477.6692</v>
      </c>
      <c r="CY284" s="14">
        <v>1477.6692</v>
      </c>
      <c r="CZ284" s="14">
        <v>1477.6692</v>
      </c>
      <c r="DA284" s="14">
        <v>1242.1332</v>
      </c>
      <c r="DB284" s="14">
        <v>1266.2328</v>
      </c>
      <c r="DC284" s="14">
        <v>1469.2607999999998</v>
      </c>
      <c r="DD284" s="14">
        <v>1218.2772</v>
      </c>
      <c r="DE284" s="14">
        <v>1218.2772</v>
      </c>
      <c r="DF284" s="14">
        <v>1218.2772</v>
      </c>
      <c r="DG284" s="14">
        <v>1265.3676</v>
      </c>
      <c r="DH284" s="14">
        <v>890.16480000000001</v>
      </c>
      <c r="DI284" s="14">
        <v>890.16480000000001</v>
      </c>
      <c r="DJ284" s="14">
        <v>1289.4503999999999</v>
      </c>
      <c r="DK284" s="14">
        <v>0</v>
      </c>
      <c r="DL284" s="14">
        <v>3704.1143999999999</v>
      </c>
      <c r="DM284" s="14">
        <v>1016.9796</v>
      </c>
      <c r="DN284" s="13">
        <v>873.54960000000005</v>
      </c>
      <c r="DO284" s="14">
        <v>1205.1564000000001</v>
      </c>
      <c r="DP284" s="14">
        <v>1289.4503999999999</v>
      </c>
      <c r="DQ284" s="14">
        <v>1277.4048</v>
      </c>
      <c r="DR284" s="13">
        <v>1481.4911999999999</v>
      </c>
      <c r="DS284" s="13">
        <v>1026.4884</v>
      </c>
      <c r="DT284" s="14">
        <v>2777.8128000000002</v>
      </c>
      <c r="DU284" s="14">
        <v>2081.7719999999999</v>
      </c>
      <c r="DV284" s="15">
        <v>2081.7719999999999</v>
      </c>
      <c r="DY284" s="35" t="s">
        <v>19</v>
      </c>
      <c r="DZ284" s="16">
        <v>6.2500000000000003E-3</v>
      </c>
      <c r="EA284" s="14">
        <v>6.2500000000000003E-3</v>
      </c>
      <c r="EB284" s="14">
        <v>6.2500000000000003E-3</v>
      </c>
      <c r="EC284" s="14">
        <v>6.2500000000000003E-3</v>
      </c>
      <c r="ED284" s="14">
        <v>6.2500000000000003E-3</v>
      </c>
      <c r="EE284" s="14">
        <v>6.2500000000000003E-3</v>
      </c>
      <c r="EF284" s="14">
        <v>6.2500000000000003E-3</v>
      </c>
      <c r="EG284" s="14">
        <v>6.2500000000000003E-3</v>
      </c>
      <c r="EH284" s="14">
        <v>6.2500000000000003E-3</v>
      </c>
      <c r="EI284" s="14">
        <v>6.2500000000000003E-3</v>
      </c>
      <c r="EJ284" s="14">
        <v>6.2500000000000003E-3</v>
      </c>
      <c r="EK284" s="14">
        <v>6.2500000000000003E-3</v>
      </c>
      <c r="EL284" s="14">
        <v>6.2500000000000003E-3</v>
      </c>
      <c r="EM284" s="14">
        <v>4.6511627906976744E-3</v>
      </c>
      <c r="EN284" s="14">
        <v>4.6511627906976744E-3</v>
      </c>
      <c r="EO284" s="13">
        <f t="shared" si="103"/>
        <v>1.2500000000000001E-2</v>
      </c>
      <c r="EP284" s="13">
        <f t="shared" si="103"/>
        <v>1.2500000000000001E-2</v>
      </c>
      <c r="EQ284" s="13">
        <f t="shared" si="103"/>
        <v>1.2500000000000001E-2</v>
      </c>
      <c r="ER284" s="12">
        <v>0.6</v>
      </c>
      <c r="ES284" s="13">
        <f t="shared" si="100"/>
        <v>1.2500000000000001E-2</v>
      </c>
      <c r="ET284" s="13">
        <f t="shared" si="100"/>
        <v>1.2500000000000001E-2</v>
      </c>
      <c r="EU284" s="13">
        <f t="shared" si="100"/>
        <v>1.2500000000000001E-2</v>
      </c>
      <c r="EV284" s="13">
        <f t="shared" si="100"/>
        <v>1.2500000000000001E-2</v>
      </c>
      <c r="EW284" s="13">
        <f t="shared" si="100"/>
        <v>1.2500000000000001E-2</v>
      </c>
      <c r="EX284" s="13">
        <f t="shared" si="100"/>
        <v>1.2500000000000001E-2</v>
      </c>
      <c r="EY284" s="13">
        <f t="shared" si="100"/>
        <v>1.2500000000000001E-2</v>
      </c>
      <c r="EZ284" s="13">
        <f t="shared" si="100"/>
        <v>1.2500000000000001E-2</v>
      </c>
      <c r="FA284" s="13">
        <f t="shared" si="100"/>
        <v>1.2500000000000001E-2</v>
      </c>
      <c r="FB284" s="13">
        <f t="shared" si="100"/>
        <v>1.2500000000000001E-2</v>
      </c>
      <c r="FC284" s="13">
        <f t="shared" si="100"/>
        <v>1.2500000000000001E-2</v>
      </c>
      <c r="FD284" s="13">
        <f t="shared" si="100"/>
        <v>1.2500000000000001E-2</v>
      </c>
      <c r="FE284" s="13">
        <f t="shared" si="100"/>
        <v>1.2500000000000001E-2</v>
      </c>
      <c r="FF284" s="14">
        <v>5.7142857142857143E-3</v>
      </c>
      <c r="FG284" s="14">
        <v>5.7142857142857143E-3</v>
      </c>
      <c r="FH284" s="14">
        <v>5.7142857142857143E-3</v>
      </c>
      <c r="FI284" s="14">
        <v>5.7142857142857143E-3</v>
      </c>
      <c r="FJ284" s="14">
        <v>5.7142857142857143E-3</v>
      </c>
      <c r="FK284" s="14">
        <v>5.7142857142857143E-3</v>
      </c>
      <c r="FL284" s="14">
        <v>5.7142857142857143E-3</v>
      </c>
      <c r="FM284" s="14">
        <v>4.7619047619047623E-3</v>
      </c>
      <c r="FN284" s="14">
        <v>4.7619047619047623E-3</v>
      </c>
      <c r="FO284" s="14">
        <v>4.7619047619047623E-3</v>
      </c>
      <c r="FP284" s="14">
        <v>5.7142857142857143E-3</v>
      </c>
      <c r="FQ284" s="14">
        <v>5.7142857142857143E-3</v>
      </c>
      <c r="FR284" s="14">
        <v>5.7142857142857143E-3</v>
      </c>
      <c r="FS284" s="14">
        <v>5.7142857142857143E-3</v>
      </c>
      <c r="FT284" s="14">
        <v>5.8823529411764705E-3</v>
      </c>
      <c r="FU284" s="14">
        <v>5.7142857142857143E-3</v>
      </c>
      <c r="FV284" s="14">
        <v>5.7142857142857143E-3</v>
      </c>
      <c r="FW284" s="14">
        <v>4.5454545454545461E-3</v>
      </c>
      <c r="FX284" s="14">
        <v>4.5454545454545461E-3</v>
      </c>
      <c r="FY284" s="14">
        <v>5.7142857142857143E-3</v>
      </c>
      <c r="FZ284" s="13">
        <f t="shared" si="101"/>
        <v>1.2500000000000001E-2</v>
      </c>
      <c r="GA284" s="14">
        <v>5.7142857142857143E-3</v>
      </c>
      <c r="GB284" s="14">
        <v>5.7142857142857143E-3</v>
      </c>
      <c r="GC284" s="14">
        <v>5.7142857142857143E-3</v>
      </c>
      <c r="GD284" s="13">
        <f t="shared" si="102"/>
        <v>1.2500000000000001E-2</v>
      </c>
      <c r="GE284" s="13">
        <f t="shared" si="102"/>
        <v>1.2500000000000001E-2</v>
      </c>
      <c r="GF284" s="14">
        <v>4.6511627906976744E-3</v>
      </c>
      <c r="GG284" s="14">
        <v>4.6511627906976744E-3</v>
      </c>
      <c r="GH284" s="15">
        <v>4.6511627906976744E-3</v>
      </c>
    </row>
    <row r="285" spans="1:190" x14ac:dyDescent="0.3">
      <c r="A285" s="35" t="s">
        <v>20</v>
      </c>
      <c r="B285" s="16">
        <f>IF(Distances!EA124&lt;&gt;0,(BN285+Distances!EA124*3)*DZ285*B265*2,"")</f>
        <v>5688.8643899999997</v>
      </c>
      <c r="C285" s="14">
        <f>IF(Distances!EB124&lt;&gt;0,(BO285+Distances!EB124*3)*EA285*C265*2,"")</f>
        <v>6352.8010199999999</v>
      </c>
      <c r="D285" s="14">
        <f>IF(Distances!EC124&lt;&gt;0,(BP285+Distances!EC124*3)*EB285*D265*2,"")</f>
        <v>21247.402320000001</v>
      </c>
      <c r="E285" s="14">
        <f>IF(Distances!ED124&lt;&gt;0,(BQ285+Distances!ED124*3)*EC285*E265*2,"")</f>
        <v>4603.6123200000002</v>
      </c>
      <c r="F285" s="14">
        <f>IF(Distances!EE124&lt;&gt;0,(BR285+Distances!EE124*3)*ED285*F265*2,"")</f>
        <v>5220.9929999999995</v>
      </c>
      <c r="G285" s="14">
        <f>IF(Distances!EF124&lt;&gt;0,(BS285+Distances!EF124*3)*EE285*G265*2,"")</f>
        <v>29627.679359999995</v>
      </c>
      <c r="H285" s="14">
        <f>IF(Distances!EG124&lt;&gt;0,(BT285+Distances!EG124*3)*EF285*H265*2,"")</f>
        <v>8307.6843000000008</v>
      </c>
      <c r="I285" s="14">
        <f>IF(Distances!EH124&lt;&gt;0,(BU285+Distances!EH124*3)*EG285*I265*2,"")</f>
        <v>7219.3143599999994</v>
      </c>
      <c r="J285" s="14">
        <f>IF(Distances!EI124&lt;&gt;0,(BV285+Distances!EI124*3)*EH285*J265*2,"")</f>
        <v>173.21088000000003</v>
      </c>
      <c r="K285" s="14">
        <f>IF(Distances!EJ124&lt;&gt;0,(BW285+Distances!EJ124*3)*EI285*K265*2,"")</f>
        <v>92.870880000000014</v>
      </c>
      <c r="L285" s="14">
        <f>IF(Distances!EK124&lt;&gt;0,(BX285+Distances!EK124*3)*EJ285*L265*2,"")</f>
        <v>165.65100000000001</v>
      </c>
      <c r="M285" s="14">
        <f>IF(Distances!EL124&lt;&gt;0,(BY285+Distances!EL124*3)*EK285*M265*2,"")</f>
        <v>165.65100000000001</v>
      </c>
      <c r="N285" s="14">
        <f>IF(Distances!EM124&lt;&gt;0,(BZ285+Distances!EM124*3)*EL285*N265*2,"")</f>
        <v>130.42098000000001</v>
      </c>
      <c r="O285" s="14">
        <f>IF(Distances!EN124&lt;&gt;0,(CA285+Distances!EN124*3)*EM285*O265*2,"")</f>
        <v>131.27996651162789</v>
      </c>
      <c r="P285" s="14">
        <f>IF(Distances!EO124&lt;&gt;0,(CB285+Distances!EO124*3)*EN285*P265*2,"")</f>
        <v>165.22206139534882</v>
      </c>
      <c r="Q285" s="13">
        <f>IF(Distances!EP124&lt;&gt;0,(CC285+Distances!EP124*3)*EO285*Q265*2,"")</f>
        <v>2159.4630000000002</v>
      </c>
      <c r="R285" s="13">
        <f>IF(Distances!EQ124&lt;&gt;0,(CD285+Distances!EQ124*3)*EP285*R265*2,"")</f>
        <v>2150.4014999999999</v>
      </c>
      <c r="S285" s="13">
        <f>IF(Distances!ER124&lt;&gt;0,(CE285+Distances!ER124*3)*EQ285*S265*2,"")</f>
        <v>2177.5754999999999</v>
      </c>
      <c r="T285" s="13">
        <f>IF(Distances!ES124&lt;&gt;0,(CF285+Distances!ES124*3)*ER285*T265*2,"")</f>
        <v>417.53796</v>
      </c>
      <c r="U285" s="12" t="s">
        <v>62</v>
      </c>
      <c r="V285" s="13">
        <f>IF(Distances!EU124&lt;&gt;0,(CH285+Distances!EU124*3)*ET285*V265*2,"")</f>
        <v>4869.56574</v>
      </c>
      <c r="W285" s="13">
        <f>IF(Distances!EV124&lt;&gt;0,(CI285+Distances!EV124*3)*EU285*W265*2,"")</f>
        <v>2403.7369200000003</v>
      </c>
      <c r="X285" s="13">
        <f>IF(Distances!EW124&lt;&gt;0,(CJ285+Distances!EW124*3)*EV285*X265*2,"")</f>
        <v>3411.26478</v>
      </c>
      <c r="Y285" s="13">
        <f>IF(Distances!EX124&lt;&gt;0,(CK285+Distances!EX124*3)*EW285*Y265*2,"")</f>
        <v>3538.4901000000004</v>
      </c>
      <c r="Z285" s="13">
        <f>IF(Distances!EY124&lt;&gt;0,(CL285+Distances!EY124*3)*EX285*Z265*2,"")</f>
        <v>94.94502</v>
      </c>
      <c r="AA285" s="13">
        <f>IF(Distances!EZ124&lt;&gt;0,(CM285+Distances!EZ124*3)*EY285*AA265*2,"")</f>
        <v>103.81494000000001</v>
      </c>
      <c r="AB285" s="13">
        <f>IF(Distances!FA124&lt;&gt;0,(CN285+Distances!FA124*3)*EZ285*AB265*2,"")</f>
        <v>139.79226000000003</v>
      </c>
      <c r="AC285" s="13">
        <f>IF(Distances!FB124&lt;&gt;0,(CO285+Distances!FB124*3)*FA285*AC265*2,"")</f>
        <v>81.015960000000007</v>
      </c>
      <c r="AD285" s="13">
        <f>IF(Distances!FC124&lt;&gt;0,(CP285+Distances!FC124*3)*FB285*AD265*2,"")</f>
        <v>97.304820000000007</v>
      </c>
      <c r="AE285" s="13">
        <f>IF(Distances!FD124&lt;&gt;0,(CQ285+Distances!FD124*3)*FC285*AE265*2,"")</f>
        <v>240.08106000000004</v>
      </c>
      <c r="AF285" s="13">
        <f>IF(Distances!FE124&lt;&gt;0,(CR285+Distances!FE124*3)*FD285*AF265*2,"")</f>
        <v>469.96212000000008</v>
      </c>
      <c r="AG285" s="13">
        <f>IF(Distances!FF124&lt;&gt;0,(CS285+Distances!FF124*3)*FE285*AG265*2,"")</f>
        <v>369.04212000000001</v>
      </c>
      <c r="AH285" s="14">
        <f>IF(Distances!FG124&lt;&gt;0,(CT285+Distances!FG124*3)*FF285*AH265*2,"")</f>
        <v>67.230774857142862</v>
      </c>
      <c r="AI285" s="14">
        <f>IF(Distances!FH124&lt;&gt;0,(CU285+Distances!FH124*3)*FG285*AI265*2,"")</f>
        <v>24.770221714285714</v>
      </c>
      <c r="AJ285" s="14">
        <f>IF(Distances!FI124&lt;&gt;0,(CV285+Distances!FI124*3)*FH285*AJ265*2,"")</f>
        <v>53.39306057142857</v>
      </c>
      <c r="AK285" s="14">
        <f>IF(Distances!FJ124&lt;&gt;0,(CW285+Distances!FJ124*3)*FI285*AK265*2,"")</f>
        <v>25.172365714285714</v>
      </c>
      <c r="AL285" s="14">
        <f>IF(Distances!FK124&lt;&gt;0,(CX285+Distances!FK124*3)*FJ285*AL265*2,"")</f>
        <v>863.74326857142864</v>
      </c>
      <c r="AM285" s="14">
        <f>IF(Distances!FL124&lt;&gt;0,(CY285+Distances!FL124*3)*FK285*AM265*2,"")</f>
        <v>863.74326857142864</v>
      </c>
      <c r="AN285" s="14">
        <f>IF(Distances!FM124&lt;&gt;0,(CZ285+Distances!FM124*3)*FL285*AN265*2,"")</f>
        <v>1149.9741257142859</v>
      </c>
      <c r="AO285" s="14">
        <f>IF(Distances!FN124&lt;&gt;0,(DA285+Distances!FN124*3)*FM285*AO265*2,"")</f>
        <v>36.951062857142858</v>
      </c>
      <c r="AP285" s="14">
        <f>IF(Distances!FO124&lt;&gt;0,(DB285+Distances!FO124*3)*FN285*AP265*2,"")</f>
        <v>37.313782857142854</v>
      </c>
      <c r="AQ285" s="14">
        <f>IF(Distances!FP124&lt;&gt;0,(DC285+Distances!FP124*3)*FO285*AQ265*2,"")</f>
        <v>42.566422857142854</v>
      </c>
      <c r="AR285" s="14">
        <f>IF(Distances!FQ124&lt;&gt;0,(DD285+Distances!FQ124*3)*FP285*AR265*2,"")</f>
        <v>45.401883428571423</v>
      </c>
      <c r="AS285" s="14">
        <f>IF(Distances!FR124&lt;&gt;0,(DE285+Distances!FR124*3)*FQ285*AS265*2,"")</f>
        <v>45.401883428571423</v>
      </c>
      <c r="AT285" s="14">
        <f>IF(Distances!FS124&lt;&gt;0,(DF285+Distances!FS124*3)*FR285*AT265*2,"")</f>
        <v>45.401883428571423</v>
      </c>
      <c r="AU285" s="14">
        <f>IF(Distances!FT124&lt;&gt;0,(DG285+Distances!FT124*3)*FS285*AU265*2,"")</f>
        <v>334.50777599999992</v>
      </c>
      <c r="AV285" s="14">
        <f>IF(Distances!FU124&lt;&gt;0,(DH285+Distances!FU124*3)*FT285*AV265*2,"")</f>
        <v>226.49117647058819</v>
      </c>
      <c r="AW285" s="14">
        <f>IF(Distances!FV124&lt;&gt;0,(DI285+Distances!FV124*3)*FU285*AW265*2,"")</f>
        <v>861.35142857142841</v>
      </c>
      <c r="AX285" s="14">
        <f>IF(Distances!FW124&lt;&gt;0,(DJ285+Distances!FW124*3)*FV285*AX265*2,"")</f>
        <v>113.02902857142857</v>
      </c>
      <c r="AY285" s="14">
        <f>IF(Distances!FX124&lt;&gt;0,(DK285+Distances!FX124*3)*FW285*AY265*2,"")</f>
        <v>34.854545454545459</v>
      </c>
      <c r="AZ285" s="14">
        <f>IF(Distances!FY124&lt;&gt;0,(DL285+Distances!FY124*3)*FX285*AZ265*2,"")</f>
        <v>194.65889454545459</v>
      </c>
      <c r="BA285" s="14">
        <f>IF(Distances!FZ124&lt;&gt;0,(DM285+Distances!FZ124*3)*FY285*BA265*2,"")</f>
        <v>78.803382857142864</v>
      </c>
      <c r="BB285" s="13">
        <f>IF(Distances!GA124&lt;&gt;0,(DN285+Distances!GA124*3)*FZ285*BB265*2,"")</f>
        <v>189.71916000000002</v>
      </c>
      <c r="BC285" s="14">
        <f>IF(Distances!GB124&lt;&gt;0,(DO285+Distances!GB124*3)*GA285*BC265*2,"")</f>
        <v>699.01867885714285</v>
      </c>
      <c r="BD285" s="14">
        <f>IF(Distances!GC124&lt;&gt;0,(DP285+Distances!GC124*3)*GB285*BD265*2,"")</f>
        <v>851.31263999999999</v>
      </c>
      <c r="BE285" s="14">
        <f>IF(Distances!GD124&lt;&gt;0,(DQ285+Distances!GD124*3)*GC285*BE265*2,"")</f>
        <v>719.90520685714284</v>
      </c>
      <c r="BF285" s="13">
        <f>IF(Distances!GE124&lt;&gt;0,(DR285+Distances!GE124*3)*GD285*BF265*2,"")</f>
        <v>493.80552</v>
      </c>
      <c r="BG285" s="13">
        <f>IF(Distances!GF124&lt;&gt;0,(DS285+Distances!GF124*3)*GE285*BG265*2,"")</f>
        <v>163.9572</v>
      </c>
      <c r="BH285" s="14">
        <f>IF(Distances!GG124&lt;&gt;0,(DT285+Distances!GG124*3)*GF285*BH265*2,"")</f>
        <v>121.97929674418604</v>
      </c>
      <c r="BI285" s="14">
        <f>IF(Distances!GH124&lt;&gt;0,(DU285+Distances!GH124*3)*GG285*BI265*2,"")</f>
        <v>97.825428837209301</v>
      </c>
      <c r="BJ285" s="15">
        <f>IF(Distances!GI124&lt;&gt;0,(DV285+Distances!GI124*3)*GH285*BJ265*2,"")</f>
        <v>97.825428837209301</v>
      </c>
      <c r="BM285" s="35" t="s">
        <v>20</v>
      </c>
      <c r="BN285" s="16">
        <v>1294.5155999999999</v>
      </c>
      <c r="BO285" s="14">
        <v>1557.4607999999998</v>
      </c>
      <c r="BP285" s="14">
        <v>864.71280000000002</v>
      </c>
      <c r="BQ285" s="14">
        <v>864.71280000000002</v>
      </c>
      <c r="BR285" s="14">
        <v>916.02</v>
      </c>
      <c r="BS285" s="14">
        <v>1900.6343999999999</v>
      </c>
      <c r="BT285" s="14">
        <v>2331.672</v>
      </c>
      <c r="BU285" s="14">
        <v>1900.6343999999999</v>
      </c>
      <c r="BV285" s="14">
        <v>898.91760000000011</v>
      </c>
      <c r="BW285" s="14">
        <v>898.91760000000011</v>
      </c>
      <c r="BX285" s="14">
        <v>2354.52</v>
      </c>
      <c r="BY285" s="14">
        <v>2354.52</v>
      </c>
      <c r="BZ285" s="14">
        <v>1649.9195999999999</v>
      </c>
      <c r="CA285" s="14">
        <v>1057.5852</v>
      </c>
      <c r="CB285" s="14">
        <v>1578.8388</v>
      </c>
      <c r="CC285" s="13">
        <v>769.07039999999995</v>
      </c>
      <c r="CD285" s="13">
        <v>761.82119999999998</v>
      </c>
      <c r="CE285" s="13">
        <v>783.56039999999996</v>
      </c>
      <c r="CF285" s="13">
        <v>747.33119999999997</v>
      </c>
      <c r="CG285" s="12">
        <v>0</v>
      </c>
      <c r="CH285" s="13">
        <v>858.42119999999989</v>
      </c>
      <c r="CI285" s="13">
        <v>699.24959999999999</v>
      </c>
      <c r="CJ285" s="13">
        <v>987.59640000000002</v>
      </c>
      <c r="CK285" s="13">
        <v>692.53800000000001</v>
      </c>
      <c r="CL285" s="13">
        <v>706.70039999999995</v>
      </c>
      <c r="CM285" s="13">
        <v>693.89880000000005</v>
      </c>
      <c r="CN285" s="13">
        <v>668.24519999999995</v>
      </c>
      <c r="CO285" s="13">
        <v>661.81920000000002</v>
      </c>
      <c r="CP285" s="13">
        <v>987.59640000000002</v>
      </c>
      <c r="CQ285" s="13">
        <v>858.42119999999989</v>
      </c>
      <c r="CR285" s="13">
        <v>858.42119999999989</v>
      </c>
      <c r="CS285" s="13">
        <v>858.42119999999989</v>
      </c>
      <c r="CT285" s="14">
        <v>765.5927999999999</v>
      </c>
      <c r="CU285" s="14">
        <v>1208.8944000000001</v>
      </c>
      <c r="CV285" s="14">
        <v>765.5927999999999</v>
      </c>
      <c r="CW285" s="14">
        <v>1244.0819999999999</v>
      </c>
      <c r="CX285" s="14">
        <v>441.084</v>
      </c>
      <c r="CY285" s="14">
        <v>441.084</v>
      </c>
      <c r="CZ285" s="14">
        <v>441.084</v>
      </c>
      <c r="DA285" s="14">
        <v>981.43079999999986</v>
      </c>
      <c r="DB285" s="14">
        <v>1000.4735999999999</v>
      </c>
      <c r="DC285" s="14">
        <v>1276.2371999999998</v>
      </c>
      <c r="DD285" s="14">
        <v>1027.8323999999998</v>
      </c>
      <c r="DE285" s="14">
        <v>1027.8323999999998</v>
      </c>
      <c r="DF285" s="14">
        <v>1027.8323999999998</v>
      </c>
      <c r="DG285" s="14">
        <v>1000.4735999999999</v>
      </c>
      <c r="DH285" s="14">
        <v>956.55</v>
      </c>
      <c r="DI285" s="14">
        <v>956.55</v>
      </c>
      <c r="DJ285" s="14">
        <v>1019.508</v>
      </c>
      <c r="DK285" s="14">
        <v>0</v>
      </c>
      <c r="DL285" s="14">
        <v>3006.5196000000001</v>
      </c>
      <c r="DM285" s="14">
        <v>765.32399999999996</v>
      </c>
      <c r="DN285" s="13">
        <v>938.69159999999999</v>
      </c>
      <c r="DO285" s="14">
        <v>952.87920000000008</v>
      </c>
      <c r="DP285" s="14">
        <v>1019.508</v>
      </c>
      <c r="DQ285" s="14">
        <v>1009.9907999999999</v>
      </c>
      <c r="DR285" s="13">
        <v>1084.2551999999998</v>
      </c>
      <c r="DS285" s="13">
        <v>681.07199999999989</v>
      </c>
      <c r="DT285" s="14">
        <v>2319.6936000000001</v>
      </c>
      <c r="DU285" s="14">
        <v>1670.5583999999999</v>
      </c>
      <c r="DV285" s="15">
        <v>1670.5583999999999</v>
      </c>
      <c r="DY285" s="35" t="s">
        <v>20</v>
      </c>
      <c r="DZ285" s="16">
        <v>6.2500000000000003E-3</v>
      </c>
      <c r="EA285" s="14">
        <v>6.2500000000000003E-3</v>
      </c>
      <c r="EB285" s="14">
        <v>6.2500000000000003E-3</v>
      </c>
      <c r="EC285" s="14">
        <v>6.2500000000000003E-3</v>
      </c>
      <c r="ED285" s="14">
        <v>6.2500000000000003E-3</v>
      </c>
      <c r="EE285" s="14">
        <v>6.2500000000000003E-3</v>
      </c>
      <c r="EF285" s="14">
        <v>6.2500000000000003E-3</v>
      </c>
      <c r="EG285" s="14">
        <v>6.2500000000000003E-3</v>
      </c>
      <c r="EH285" s="14">
        <v>6.2500000000000003E-3</v>
      </c>
      <c r="EI285" s="14">
        <v>6.2500000000000003E-3</v>
      </c>
      <c r="EJ285" s="14">
        <v>6.2500000000000003E-3</v>
      </c>
      <c r="EK285" s="14">
        <v>6.2500000000000003E-3</v>
      </c>
      <c r="EL285" s="14">
        <v>6.2500000000000003E-3</v>
      </c>
      <c r="EM285" s="14">
        <v>4.6511627906976744E-3</v>
      </c>
      <c r="EN285" s="14">
        <v>4.6511627906976744E-3</v>
      </c>
      <c r="EO285" s="13">
        <f t="shared" si="103"/>
        <v>1.2500000000000001E-2</v>
      </c>
      <c r="EP285" s="13">
        <f t="shared" si="103"/>
        <v>1.2500000000000001E-2</v>
      </c>
      <c r="EQ285" s="13">
        <f t="shared" si="103"/>
        <v>1.2500000000000001E-2</v>
      </c>
      <c r="ER285" s="13">
        <f t="shared" si="103"/>
        <v>1.2500000000000001E-2</v>
      </c>
      <c r="ES285" s="12">
        <v>0.6</v>
      </c>
      <c r="ET285" s="13">
        <f t="shared" si="100"/>
        <v>1.2500000000000001E-2</v>
      </c>
      <c r="EU285" s="13">
        <f t="shared" si="100"/>
        <v>1.2500000000000001E-2</v>
      </c>
      <c r="EV285" s="13">
        <f t="shared" si="100"/>
        <v>1.2500000000000001E-2</v>
      </c>
      <c r="EW285" s="13">
        <f t="shared" si="100"/>
        <v>1.2500000000000001E-2</v>
      </c>
      <c r="EX285" s="13">
        <f t="shared" si="100"/>
        <v>1.2500000000000001E-2</v>
      </c>
      <c r="EY285" s="13">
        <f t="shared" si="100"/>
        <v>1.2500000000000001E-2</v>
      </c>
      <c r="EZ285" s="13">
        <f t="shared" si="100"/>
        <v>1.2500000000000001E-2</v>
      </c>
      <c r="FA285" s="13">
        <f t="shared" si="100"/>
        <v>1.2500000000000001E-2</v>
      </c>
      <c r="FB285" s="13">
        <f t="shared" si="100"/>
        <v>1.2500000000000001E-2</v>
      </c>
      <c r="FC285" s="13">
        <f t="shared" si="100"/>
        <v>1.2500000000000001E-2</v>
      </c>
      <c r="FD285" s="13">
        <f t="shared" si="100"/>
        <v>1.2500000000000001E-2</v>
      </c>
      <c r="FE285" s="13">
        <f t="shared" si="100"/>
        <v>1.2500000000000001E-2</v>
      </c>
      <c r="FF285" s="14">
        <v>5.7142857142857143E-3</v>
      </c>
      <c r="FG285" s="14">
        <v>5.7142857142857143E-3</v>
      </c>
      <c r="FH285" s="14">
        <v>5.7142857142857143E-3</v>
      </c>
      <c r="FI285" s="14">
        <v>5.7142857142857143E-3</v>
      </c>
      <c r="FJ285" s="14">
        <v>5.7142857142857143E-3</v>
      </c>
      <c r="FK285" s="14">
        <v>5.7142857142857143E-3</v>
      </c>
      <c r="FL285" s="14">
        <v>5.7142857142857143E-3</v>
      </c>
      <c r="FM285" s="14">
        <v>4.7619047619047623E-3</v>
      </c>
      <c r="FN285" s="14">
        <v>4.7619047619047623E-3</v>
      </c>
      <c r="FO285" s="14">
        <v>4.7619047619047623E-3</v>
      </c>
      <c r="FP285" s="14">
        <v>5.7142857142857143E-3</v>
      </c>
      <c r="FQ285" s="14">
        <v>5.7142857142857143E-3</v>
      </c>
      <c r="FR285" s="14">
        <v>5.7142857142857143E-3</v>
      </c>
      <c r="FS285" s="14">
        <v>5.7142857142857143E-3</v>
      </c>
      <c r="FT285" s="14">
        <v>5.8823529411764705E-3</v>
      </c>
      <c r="FU285" s="14">
        <v>5.7142857142857143E-3</v>
      </c>
      <c r="FV285" s="14">
        <v>5.7142857142857143E-3</v>
      </c>
      <c r="FW285" s="14">
        <v>4.5454545454545461E-3</v>
      </c>
      <c r="FX285" s="14">
        <v>4.5454545454545461E-3</v>
      </c>
      <c r="FY285" s="14">
        <v>5.7142857142857143E-3</v>
      </c>
      <c r="FZ285" s="13">
        <f t="shared" si="101"/>
        <v>1.2500000000000001E-2</v>
      </c>
      <c r="GA285" s="14">
        <v>5.7142857142857143E-3</v>
      </c>
      <c r="GB285" s="14">
        <v>5.7142857142857143E-3</v>
      </c>
      <c r="GC285" s="14">
        <v>5.7142857142857143E-3</v>
      </c>
      <c r="GD285" s="13">
        <f t="shared" si="102"/>
        <v>1.2500000000000001E-2</v>
      </c>
      <c r="GE285" s="13">
        <f t="shared" si="102"/>
        <v>1.2500000000000001E-2</v>
      </c>
      <c r="GF285" s="14">
        <v>4.6511627906976744E-3</v>
      </c>
      <c r="GG285" s="14">
        <v>4.6511627906976744E-3</v>
      </c>
      <c r="GH285" s="15">
        <v>4.6511627906976744E-3</v>
      </c>
    </row>
    <row r="286" spans="1:190" x14ac:dyDescent="0.3">
      <c r="A286" s="35" t="s">
        <v>21</v>
      </c>
      <c r="B286" s="16">
        <f>IF(Distances!EA125&lt;&gt;0,(BN286+Distances!EA125*3)*DZ286*B265*2,"")</f>
        <v>7929.9523800000006</v>
      </c>
      <c r="C286" s="14">
        <f>IF(Distances!EB125&lt;&gt;0,(BO286+Distances!EB125*3)*EA286*C265*2,"")</f>
        <v>8602.5214799999994</v>
      </c>
      <c r="D286" s="14">
        <f>IF(Distances!EC125&lt;&gt;0,(BP286+Distances!EC125*3)*EB286*D265*2,"")</f>
        <v>23378.092260000005</v>
      </c>
      <c r="E286" s="14">
        <f>IF(Distances!ED125&lt;&gt;0,(BQ286+Distances!ED125*3)*EC286*E265*2,"")</f>
        <v>6734.3022599999995</v>
      </c>
      <c r="F286" s="14">
        <f>IF(Distances!EE125&lt;&gt;0,(BR286+Distances!EE125*3)*ED286*F265*2,"")</f>
        <v>7390.8153899999998</v>
      </c>
      <c r="G286" s="14">
        <f>IF(Distances!EF125&lt;&gt;0,(BS286+Distances!EF125*3)*EE286*G265*2,"")</f>
        <v>33717.62184</v>
      </c>
      <c r="H286" s="14">
        <f>IF(Distances!EG125&lt;&gt;0,(BT286+Distances!EG125*3)*EF286*H265*2,"")</f>
        <v>11550.244859999999</v>
      </c>
      <c r="I286" s="14">
        <f>IF(Distances!EH125&lt;&gt;0,(BU286+Distances!EH125*3)*EG286*I265*2,"")</f>
        <v>11309.25684</v>
      </c>
      <c r="J286" s="14">
        <f>IF(Distances!EI125&lt;&gt;0,(BV286+Distances!EI125*3)*EH286*J265*2,"")</f>
        <v>215.91936000000001</v>
      </c>
      <c r="K286" s="14">
        <f>IF(Distances!EJ125&lt;&gt;0,(BW286+Distances!EJ125*3)*EI286*K265*2,"")</f>
        <v>135.57936000000001</v>
      </c>
      <c r="L286" s="14">
        <f>IF(Distances!EK125&lt;&gt;0,(BX286+Distances!EK125*3)*EJ286*L265*2,"")</f>
        <v>230.20367999999999</v>
      </c>
      <c r="M286" s="14">
        <f>IF(Distances!EL125&lt;&gt;0,(BY286+Distances!EL125*3)*EK286*M265*2,"")</f>
        <v>230.20367999999999</v>
      </c>
      <c r="N286" s="14">
        <f>IF(Distances!EM125&lt;&gt;0,(BZ286+Distances!EM125*3)*EL286*N265*2,"")</f>
        <v>175.88507999999999</v>
      </c>
      <c r="O286" s="14">
        <f>IF(Distances!EN125&lt;&gt;0,(CA286+Distances!EN125*3)*EM286*O265*2,"")</f>
        <v>217.9828130232558</v>
      </c>
      <c r="P286" s="14">
        <f>IF(Distances!EO125&lt;&gt;0,(CB286+Distances!EO125*3)*EN286*P265*2,"")</f>
        <v>226.26458790697669</v>
      </c>
      <c r="Q286" s="13">
        <f>IF(Distances!EP125&lt;&gt;0,(CC286+Distances!EP125*3)*EO286*Q265*2,"")</f>
        <v>3147.6059999999998</v>
      </c>
      <c r="R286" s="13">
        <f>IF(Distances!EQ125&lt;&gt;0,(CD286+Distances!EQ125*3)*EP286*R265*2,"")</f>
        <v>3136.1084999999998</v>
      </c>
      <c r="S286" s="13">
        <f>IF(Distances!ER125&lt;&gt;0,(CE286+Distances!ER125*3)*EQ286*S265*2,"")</f>
        <v>3170.6219999999998</v>
      </c>
      <c r="T286" s="13">
        <f>IF(Distances!ES125&lt;&gt;0,(CF286+Distances!ES125*3)*ER286*T265*2,"")</f>
        <v>554.85044999999991</v>
      </c>
      <c r="U286" s="13">
        <f>IF(Distances!ET125&lt;&gt;0,(CG286+Distances!ET125*3)*ES286*U265*2,"")</f>
        <v>587.70620999999994</v>
      </c>
      <c r="V286" s="12" t="s">
        <v>62</v>
      </c>
      <c r="W286" s="13">
        <f>IF(Distances!EV125&lt;&gt;0,(CI286+Distances!EV125*3)*EU286*W265*2,"")</f>
        <v>4095.0621599999995</v>
      </c>
      <c r="X286" s="13">
        <f>IF(Distances!EW125&lt;&gt;0,(CJ286+Distances!EW125*3)*EV286*X265*2,"")</f>
        <v>3963.8330999999998</v>
      </c>
      <c r="Y286" s="13">
        <f>IF(Distances!EX125&lt;&gt;0,(CK286+Distances!EX125*3)*EW286*Y265*2,"")</f>
        <v>4895.97372</v>
      </c>
      <c r="Z286" s="13">
        <f>IF(Distances!EY125&lt;&gt;0,(CL286+Distances!EY125*3)*EX286*Z265*2,"")</f>
        <v>126.53735999999999</v>
      </c>
      <c r="AA286" s="13">
        <f>IF(Distances!EZ125&lt;&gt;0,(CM286+Distances!EZ125*3)*EY286*AA265*2,"")</f>
        <v>135.36107999999999</v>
      </c>
      <c r="AB286" s="13">
        <f>IF(Distances!FA125&lt;&gt;0,(CN286+Distances!FA125*3)*EZ286*AB265*2,"")</f>
        <v>171.24894</v>
      </c>
      <c r="AC286" s="13">
        <f>IF(Distances!FB125&lt;&gt;0,(CO286+Distances!FB125*3)*FA286*AC265*2,"")</f>
        <v>112.45121999999999</v>
      </c>
      <c r="AD286" s="13">
        <f>IF(Distances!FC125&lt;&gt;0,(CP286+Distances!FC125*3)*FB286*AD265*2,"")</f>
        <v>116.35890000000001</v>
      </c>
      <c r="AE286" s="13">
        <f>IF(Distances!FD125&lt;&gt;0,(CQ286+Distances!FD125*3)*FC286*AE265*2,"")</f>
        <v>226.30499999999998</v>
      </c>
      <c r="AF286" s="13">
        <f>IF(Distances!FE125&lt;&gt;0,(CR286+Distances!FE125*3)*FD286*AF265*2,"")</f>
        <v>442.40999999999997</v>
      </c>
      <c r="AG286" s="13">
        <f>IF(Distances!FF125&lt;&gt;0,(CS286+Distances!FF125*3)*FE286*AG265*2,"")</f>
        <v>341.49</v>
      </c>
      <c r="AH286" s="14">
        <f>IF(Distances!FG125&lt;&gt;0,(CT286+Distances!FG125*3)*FF286*AH265*2,"")</f>
        <v>68.603849142857143</v>
      </c>
      <c r="AI286" s="14">
        <f>IF(Distances!FH125&lt;&gt;0,(CU286+Distances!FH125*3)*FG286*AI265*2,"")</f>
        <v>30.511871999999997</v>
      </c>
      <c r="AJ286" s="14">
        <f>IF(Distances!FI125&lt;&gt;0,(CV286+Distances!FI125*3)*FH286*AJ265*2,"")</f>
        <v>54.766134857142866</v>
      </c>
      <c r="AK286" s="14">
        <f>IF(Distances!FJ125&lt;&gt;0,(CW286+Distances!FJ125*3)*FI286*AK265*2,"")</f>
        <v>30.887135999999998</v>
      </c>
      <c r="AL286" s="14">
        <f>IF(Distances!FK125&lt;&gt;0,(CX286+Distances!FK125*3)*FJ286*AL265*2,"")</f>
        <v>1236.7105919999999</v>
      </c>
      <c r="AM286" s="14">
        <f>IF(Distances!FL125&lt;&gt;0,(CY286+Distances!FL125*3)*FK286*AM265*2,"")</f>
        <v>1236.7105919999999</v>
      </c>
      <c r="AN286" s="14">
        <f>IF(Distances!FM125&lt;&gt;0,(CZ286+Distances!FM125*3)*FL286*AN265*2,"")</f>
        <v>1522.941449142857</v>
      </c>
      <c r="AO286" s="14">
        <f>IF(Distances!FN125&lt;&gt;0,(DA286+Distances!FN125*3)*FM286*AO265*2,"")</f>
        <v>47.758880000000005</v>
      </c>
      <c r="AP286" s="14">
        <f>IF(Distances!FO125&lt;&gt;0,(DB286+Distances!FO125*3)*FN286*AP265*2,"")</f>
        <v>48.115840000000006</v>
      </c>
      <c r="AQ286" s="14">
        <f>IF(Distances!FP125&lt;&gt;0,(DC286+Distances!FP125*3)*FO286*AQ265*2,"")</f>
        <v>55.352800000000002</v>
      </c>
      <c r="AR286" s="14">
        <f>IF(Distances!FQ125&lt;&gt;0,(DD286+Distances!FQ125*3)*FP286*AR265*2,"")</f>
        <v>70.022016000000008</v>
      </c>
      <c r="AS286" s="14">
        <f>IF(Distances!FR125&lt;&gt;0,(DE286+Distances!FR125*3)*FQ286*AS265*2,"")</f>
        <v>70.022016000000008</v>
      </c>
      <c r="AT286" s="14">
        <f>IF(Distances!FS125&lt;&gt;0,(DF286+Distances!FS125*3)*FR286*AT265*2,"")</f>
        <v>70.022016000000008</v>
      </c>
      <c r="AU286" s="14">
        <f>IF(Distances!FT125&lt;&gt;0,(DG286+Distances!FT125*3)*FS286*AU265*2,"")</f>
        <v>527.89977599999997</v>
      </c>
      <c r="AV286" s="14">
        <f>IF(Distances!FU125&lt;&gt;0,(DH286+Distances!FU125*3)*FT286*AV265*2,"")</f>
        <v>273.89675294117643</v>
      </c>
      <c r="AW286" s="14">
        <f>IF(Distances!FV125&lt;&gt;0,(DI286+Distances!FV125*3)*FU286*AW265*2,"")</f>
        <v>907.40255999999999</v>
      </c>
      <c r="AX286" s="14">
        <f>IF(Distances!FW125&lt;&gt;0,(DJ286+Distances!FW125*3)*FV286*AX265*2,"")</f>
        <v>182.77871999999999</v>
      </c>
      <c r="AY286" s="14">
        <f>IF(Distances!FX125&lt;&gt;0,(DK286+Distances!FX125*3)*FW286*AY265*2,"")</f>
        <v>56.050909090909094</v>
      </c>
      <c r="AZ286" s="14">
        <f>IF(Distances!FY125&lt;&gt;0,(DL286+Distances!FY125*3)*FX286*AZ265*2,"")</f>
        <v>240.25130181818184</v>
      </c>
      <c r="BA286" s="14">
        <f>IF(Distances!FZ125&lt;&gt;0,(DM286+Distances!FZ125*3)*FY286*BA265*2,"")</f>
        <v>117.19103999999999</v>
      </c>
      <c r="BB286" s="13">
        <f>IF(Distances!GA125&lt;&gt;0,(DN286+Distances!GA125*3)*FZ286*BB265*2,"")</f>
        <v>269.892</v>
      </c>
      <c r="BC286" s="14">
        <f>IF(Distances!GB125&lt;&gt;0,(DO286+Distances!GB125*3)*GA286*BC265*2,"")</f>
        <v>1130.1611519999999</v>
      </c>
      <c r="BD286" s="14">
        <f>IF(Distances!GC125&lt;&gt;0,(DP286+Distances!GC125*3)*GB286*BD265*2,"")</f>
        <v>1297.7106651428571</v>
      </c>
      <c r="BE286" s="14">
        <f>IF(Distances!GD125&lt;&gt;0,(DQ286+Distances!GD125*3)*GC286*BE265*2,"")</f>
        <v>1164.125184</v>
      </c>
      <c r="BF286" s="13">
        <f>IF(Distances!GE125&lt;&gt;0,(DR286+Distances!GE125*3)*GD286*BF265*2,"")</f>
        <v>541.19400000000007</v>
      </c>
      <c r="BG286" s="13">
        <f>IF(Distances!GF125&lt;&gt;0,(DS286+Distances!GF125*3)*GE286*BG265*2,"")</f>
        <v>210.69888000000003</v>
      </c>
      <c r="BH286" s="14">
        <f>IF(Distances!GG125&lt;&gt;0,(DT286+Distances!GG125*3)*GF286*BH265*2,"")</f>
        <v>176.36374325581394</v>
      </c>
      <c r="BI286" s="14">
        <f>IF(Distances!GH125&lt;&gt;0,(DU286+Distances!GH125*3)*GG286*BI265*2,"")</f>
        <v>148.27164279069768</v>
      </c>
      <c r="BJ286" s="15">
        <f>IF(Distances!GI125&lt;&gt;0,(DV286+Distances!GI125*3)*GH286*BJ265*2,"")</f>
        <v>148.27164279069768</v>
      </c>
      <c r="BM286" s="35" t="s">
        <v>21</v>
      </c>
      <c r="BN286" s="16">
        <v>1599.1751999999999</v>
      </c>
      <c r="BO286" s="14">
        <v>1865.5391999999999</v>
      </c>
      <c r="BP286" s="14">
        <v>1125.6504</v>
      </c>
      <c r="BQ286" s="14">
        <v>1125.6504</v>
      </c>
      <c r="BR286" s="14">
        <v>1192.4555999999998</v>
      </c>
      <c r="BS286" s="14">
        <v>2937.5135999999998</v>
      </c>
      <c r="BT286" s="14">
        <v>3032.9543999999996</v>
      </c>
      <c r="BU286" s="14">
        <v>2937.5135999999998</v>
      </c>
      <c r="BV286" s="14">
        <v>1170.1871999999998</v>
      </c>
      <c r="BW286" s="14">
        <v>1170.1871999999998</v>
      </c>
      <c r="BX286" s="14">
        <v>3062.6736000000001</v>
      </c>
      <c r="BY286" s="14">
        <v>3062.6736000000001</v>
      </c>
      <c r="BZ286" s="14">
        <v>1976.3015999999998</v>
      </c>
      <c r="CA286" s="14">
        <v>1806.1931999999999</v>
      </c>
      <c r="CB286" s="14">
        <v>1933.3775999999998</v>
      </c>
      <c r="CC286" s="13">
        <v>976.6848</v>
      </c>
      <c r="CD286" s="13">
        <v>967.4867999999999</v>
      </c>
      <c r="CE286" s="13">
        <v>995.09760000000006</v>
      </c>
      <c r="CF286" s="13">
        <v>949.07399999999984</v>
      </c>
      <c r="CG286" s="13">
        <v>858.42119999999989</v>
      </c>
      <c r="CH286" s="12">
        <v>0</v>
      </c>
      <c r="CI286" s="13">
        <v>1282.7807999999998</v>
      </c>
      <c r="CJ286" s="13">
        <v>785.77800000000002</v>
      </c>
      <c r="CK286" s="13">
        <v>1045.8335999999999</v>
      </c>
      <c r="CL286" s="13">
        <v>755.6472</v>
      </c>
      <c r="CM286" s="13">
        <v>741.92160000000001</v>
      </c>
      <c r="CN286" s="13">
        <v>714.47879999999998</v>
      </c>
      <c r="CO286" s="13">
        <v>707.62439999999992</v>
      </c>
      <c r="CP286" s="13">
        <v>785.77800000000002</v>
      </c>
      <c r="CQ286" s="13">
        <v>0</v>
      </c>
      <c r="CR286" s="13">
        <v>0</v>
      </c>
      <c r="CS286" s="13">
        <v>0</v>
      </c>
      <c r="CT286" s="14">
        <v>302.83679999999998</v>
      </c>
      <c r="CU286" s="14">
        <v>1128.3887999999999</v>
      </c>
      <c r="CV286" s="14">
        <v>302.83679999999998</v>
      </c>
      <c r="CW286" s="14">
        <v>1161.2244000000001</v>
      </c>
      <c r="CX286" s="14">
        <v>462.5292</v>
      </c>
      <c r="CY286" s="14">
        <v>462.5292</v>
      </c>
      <c r="CZ286" s="14">
        <v>462.5292</v>
      </c>
      <c r="DA286" s="14">
        <v>965.94119999999998</v>
      </c>
      <c r="DB286" s="14">
        <v>984.6816</v>
      </c>
      <c r="DC286" s="14">
        <v>1364.6219999999998</v>
      </c>
      <c r="DD286" s="14">
        <v>1522.0632000000001</v>
      </c>
      <c r="DE286" s="14">
        <v>1522.0632000000001</v>
      </c>
      <c r="DF286" s="14">
        <v>1522.0632000000001</v>
      </c>
      <c r="DG286" s="14">
        <v>1626.2736</v>
      </c>
      <c r="DH286" s="14">
        <v>1179.5447999999999</v>
      </c>
      <c r="DI286" s="14">
        <v>1179.5447999999999</v>
      </c>
      <c r="DJ286" s="14">
        <v>1657.2275999999999</v>
      </c>
      <c r="DK286" s="14">
        <v>0</v>
      </c>
      <c r="DL286" s="14">
        <v>3677.4107999999997</v>
      </c>
      <c r="DM286" s="14">
        <v>1022.1539999999999</v>
      </c>
      <c r="DN286" s="13">
        <v>1157.52</v>
      </c>
      <c r="DO286" s="14">
        <v>1548.8843999999999</v>
      </c>
      <c r="DP286" s="14">
        <v>1657.2275999999999</v>
      </c>
      <c r="DQ286" s="14">
        <v>1641.7547999999999</v>
      </c>
      <c r="DR286" s="13">
        <v>975.24</v>
      </c>
      <c r="DS286" s="13">
        <v>565.58879999999999</v>
      </c>
      <c r="DT286" s="14">
        <v>3198.3755999999998</v>
      </c>
      <c r="DU286" s="14">
        <v>2443.4004</v>
      </c>
      <c r="DV286" s="15">
        <v>2443.4004</v>
      </c>
      <c r="DY286" s="35" t="s">
        <v>21</v>
      </c>
      <c r="DZ286" s="16">
        <v>6.2500000000000003E-3</v>
      </c>
      <c r="EA286" s="14">
        <v>6.2500000000000003E-3</v>
      </c>
      <c r="EB286" s="14">
        <v>6.2500000000000003E-3</v>
      </c>
      <c r="EC286" s="14">
        <v>6.2500000000000003E-3</v>
      </c>
      <c r="ED286" s="14">
        <v>6.2500000000000003E-3</v>
      </c>
      <c r="EE286" s="14">
        <v>6.2500000000000003E-3</v>
      </c>
      <c r="EF286" s="14">
        <v>6.2500000000000003E-3</v>
      </c>
      <c r="EG286" s="14">
        <v>6.2500000000000003E-3</v>
      </c>
      <c r="EH286" s="14">
        <v>6.2500000000000003E-3</v>
      </c>
      <c r="EI286" s="14">
        <v>6.2500000000000003E-3</v>
      </c>
      <c r="EJ286" s="14">
        <v>6.2500000000000003E-3</v>
      </c>
      <c r="EK286" s="14">
        <v>6.2500000000000003E-3</v>
      </c>
      <c r="EL286" s="14">
        <v>6.2500000000000003E-3</v>
      </c>
      <c r="EM286" s="14">
        <v>4.6511627906976744E-3</v>
      </c>
      <c r="EN286" s="14">
        <v>4.6511627906976744E-3</v>
      </c>
      <c r="EO286" s="13">
        <f t="shared" si="103"/>
        <v>1.2500000000000001E-2</v>
      </c>
      <c r="EP286" s="13">
        <f t="shared" si="103"/>
        <v>1.2500000000000001E-2</v>
      </c>
      <c r="EQ286" s="13">
        <f t="shared" si="103"/>
        <v>1.2500000000000001E-2</v>
      </c>
      <c r="ER286" s="13">
        <f t="shared" si="103"/>
        <v>1.2500000000000001E-2</v>
      </c>
      <c r="ES286" s="13">
        <f t="shared" si="103"/>
        <v>1.2500000000000001E-2</v>
      </c>
      <c r="ET286" s="12">
        <v>0.6</v>
      </c>
      <c r="EU286" s="13">
        <f t="shared" si="100"/>
        <v>1.2500000000000001E-2</v>
      </c>
      <c r="EV286" s="13">
        <f t="shared" si="100"/>
        <v>1.2500000000000001E-2</v>
      </c>
      <c r="EW286" s="13">
        <f t="shared" si="100"/>
        <v>1.2500000000000001E-2</v>
      </c>
      <c r="EX286" s="13">
        <f t="shared" si="100"/>
        <v>1.2500000000000001E-2</v>
      </c>
      <c r="EY286" s="13">
        <f t="shared" si="100"/>
        <v>1.2500000000000001E-2</v>
      </c>
      <c r="EZ286" s="13">
        <f t="shared" si="100"/>
        <v>1.2500000000000001E-2</v>
      </c>
      <c r="FA286" s="13">
        <f t="shared" si="100"/>
        <v>1.2500000000000001E-2</v>
      </c>
      <c r="FB286" s="13">
        <f t="shared" si="100"/>
        <v>1.2500000000000001E-2</v>
      </c>
      <c r="FC286" s="13">
        <f t="shared" si="100"/>
        <v>1.2500000000000001E-2</v>
      </c>
      <c r="FD286" s="13">
        <f t="shared" si="100"/>
        <v>1.2500000000000001E-2</v>
      </c>
      <c r="FE286" s="13">
        <f t="shared" si="100"/>
        <v>1.2500000000000001E-2</v>
      </c>
      <c r="FF286" s="14">
        <v>5.7142857142857143E-3</v>
      </c>
      <c r="FG286" s="14">
        <v>5.7142857142857143E-3</v>
      </c>
      <c r="FH286" s="14">
        <v>5.7142857142857143E-3</v>
      </c>
      <c r="FI286" s="14">
        <v>5.7142857142857143E-3</v>
      </c>
      <c r="FJ286" s="14">
        <v>5.7142857142857143E-3</v>
      </c>
      <c r="FK286" s="14">
        <v>5.7142857142857143E-3</v>
      </c>
      <c r="FL286" s="14">
        <v>5.7142857142857143E-3</v>
      </c>
      <c r="FM286" s="14">
        <v>4.7619047619047623E-3</v>
      </c>
      <c r="FN286" s="14">
        <v>4.7619047619047623E-3</v>
      </c>
      <c r="FO286" s="14">
        <v>4.7619047619047623E-3</v>
      </c>
      <c r="FP286" s="14">
        <v>5.7142857142857143E-3</v>
      </c>
      <c r="FQ286" s="14">
        <v>5.7142857142857143E-3</v>
      </c>
      <c r="FR286" s="14">
        <v>5.7142857142857143E-3</v>
      </c>
      <c r="FS286" s="14">
        <v>5.7142857142857143E-3</v>
      </c>
      <c r="FT286" s="14">
        <v>5.8823529411764705E-3</v>
      </c>
      <c r="FU286" s="14">
        <v>5.7142857142857143E-3</v>
      </c>
      <c r="FV286" s="14">
        <v>5.7142857142857143E-3</v>
      </c>
      <c r="FW286" s="14">
        <v>4.5454545454545461E-3</v>
      </c>
      <c r="FX286" s="14">
        <v>4.5454545454545461E-3</v>
      </c>
      <c r="FY286" s="14">
        <v>5.7142857142857143E-3</v>
      </c>
      <c r="FZ286" s="13">
        <f t="shared" si="101"/>
        <v>1.2500000000000001E-2</v>
      </c>
      <c r="GA286" s="14">
        <v>5.7142857142857143E-3</v>
      </c>
      <c r="GB286" s="14">
        <v>5.7142857142857143E-3</v>
      </c>
      <c r="GC286" s="14">
        <v>5.7142857142857143E-3</v>
      </c>
      <c r="GD286" s="13">
        <f t="shared" si="102"/>
        <v>1.2500000000000001E-2</v>
      </c>
      <c r="GE286" s="13">
        <f t="shared" si="102"/>
        <v>1.2500000000000001E-2</v>
      </c>
      <c r="GF286" s="14">
        <v>4.6511627906976744E-3</v>
      </c>
      <c r="GG286" s="14">
        <v>4.6511627906976744E-3</v>
      </c>
      <c r="GH286" s="15">
        <v>4.6511627906976744E-3</v>
      </c>
    </row>
    <row r="287" spans="1:190" x14ac:dyDescent="0.3">
      <c r="A287" s="35" t="s">
        <v>22</v>
      </c>
      <c r="B287" s="16" t="s">
        <v>62</v>
      </c>
      <c r="C287" s="14" t="s">
        <v>62</v>
      </c>
      <c r="D287" s="14">
        <f>IF(Distances!EC126&lt;&gt;0,(BP287+Distances!EC126*3)*EB287*D265*2,"")</f>
        <v>18580.835669999997</v>
      </c>
      <c r="E287" s="14" t="s">
        <v>62</v>
      </c>
      <c r="F287" s="14">
        <f>IF(Distances!EE126&lt;&gt;0,(BR287+Distances!EE126*3)*ED287*F265*2,"")</f>
        <v>2539.7914500000002</v>
      </c>
      <c r="G287" s="14">
        <f>IF(Distances!EF126&lt;&gt;0,(BS287+Distances!EF126*3)*EE287*G265*2,"")</f>
        <v>28836.522119999998</v>
      </c>
      <c r="H287" s="14" t="s">
        <v>62</v>
      </c>
      <c r="I287" s="14" t="s">
        <v>62</v>
      </c>
      <c r="J287" s="14">
        <f>IF(Distances!EI126&lt;&gt;0,(BV287+Distances!EI126*3)*EH287*J265*2,"")</f>
        <v>120.21438000000001</v>
      </c>
      <c r="K287" s="14" t="s">
        <v>62</v>
      </c>
      <c r="L287" s="14" t="s">
        <v>62</v>
      </c>
      <c r="M287" s="14" t="s">
        <v>62</v>
      </c>
      <c r="N287" s="14" t="s">
        <v>62</v>
      </c>
      <c r="O287" s="14" t="s">
        <v>62</v>
      </c>
      <c r="P287" s="14" t="s">
        <v>62</v>
      </c>
      <c r="Q287" s="13" t="s">
        <v>62</v>
      </c>
      <c r="R287" s="13" t="s">
        <v>62</v>
      </c>
      <c r="S287" s="13" t="s">
        <v>62</v>
      </c>
      <c r="T287" s="13">
        <f>IF(Distances!ES126&lt;&gt;0,(CF287+Distances!ES126*3)*ER287*T265*2,"")</f>
        <v>239.01947999999999</v>
      </c>
      <c r="U287" s="13">
        <f>IF(Distances!ET126&lt;&gt;0,(CG287+Distances!ET126*3)*ES287*U265*2,"")</f>
        <v>290.10618000000005</v>
      </c>
      <c r="V287" s="13">
        <f>IF(Distances!EU126&lt;&gt;0,(CH287+Distances!EU126*3)*ET287*V265*2,"")</f>
        <v>4095.0621599999995</v>
      </c>
      <c r="W287" s="12" t="s">
        <v>62</v>
      </c>
      <c r="X287" s="13">
        <f>IF(Distances!EW126&lt;&gt;0,(CJ287+Distances!EW126*3)*EV287*X265*2,"")</f>
        <v>1290.0795000000001</v>
      </c>
      <c r="Y287" s="13">
        <f>IF(Distances!EX126&lt;&gt;0,(CK287+Distances!EX126*3)*EW287*Y265*2,"")</f>
        <v>2138.78712</v>
      </c>
      <c r="Z287" s="13">
        <f>IF(Distances!EY126&lt;&gt;0,(CL287+Distances!EY126*3)*EX287*Z265*2,"")</f>
        <v>52.771079999999998</v>
      </c>
      <c r="AA287" s="13">
        <f>IF(Distances!EZ126&lt;&gt;0,(CM287+Distances!EZ126*3)*EY287*AA265*2,"")</f>
        <v>61.535159999999998</v>
      </c>
      <c r="AB287" s="13">
        <f>IF(Distances!FA126&lt;&gt;0,(CN287+Distances!FA126*3)*EZ287*AB265*2,"")</f>
        <v>97.302900000000008</v>
      </c>
      <c r="AC287" s="13" t="s">
        <v>62</v>
      </c>
      <c r="AD287" s="13" t="s">
        <v>62</v>
      </c>
      <c r="AE287" s="13">
        <f>IF(Distances!FD126&lt;&gt;0,(CQ287+Distances!FD126*3)*FC287*AE265*2,"")</f>
        <v>197.14901999999998</v>
      </c>
      <c r="AF287" s="13">
        <f>IF(Distances!FE126&lt;&gt;0,(CR287+Distances!FE126*3)*FD287*AF265*2,"")</f>
        <v>384.09803999999997</v>
      </c>
      <c r="AG287" s="13">
        <f>IF(Distances!FF126&lt;&gt;0,(CS287+Distances!FF126*3)*FE287*AG265*2,"")</f>
        <v>283.17803999999995</v>
      </c>
      <c r="AH287" s="14">
        <f>IF(Distances!FG126&lt;&gt;0,(CT287+Distances!FG126*3)*FF287*AH265*2,"")</f>
        <v>65.670377142857149</v>
      </c>
      <c r="AI287" s="14" t="s">
        <v>62</v>
      </c>
      <c r="AJ287" s="14">
        <f>IF(Distances!FI126&lt;&gt;0,(CV287+Distances!FI126*3)*FH287*AJ265*2,"")</f>
        <v>51.832662857142857</v>
      </c>
      <c r="AK287" s="14" t="s">
        <v>62</v>
      </c>
      <c r="AL287" s="14" t="s">
        <v>62</v>
      </c>
      <c r="AM287" s="14" t="s">
        <v>62</v>
      </c>
      <c r="AN287" s="14">
        <f>IF(Distances!FM126&lt;&gt;0,(CZ287+Distances!FM126*3)*FL287*AN265*2,"")</f>
        <v>1207.012937142857</v>
      </c>
      <c r="AO287" s="14" t="s">
        <v>62</v>
      </c>
      <c r="AP287" s="14" t="s">
        <v>62</v>
      </c>
      <c r="AQ287" s="14" t="s">
        <v>62</v>
      </c>
      <c r="AR287" s="14" t="s">
        <v>62</v>
      </c>
      <c r="AS287" s="14" t="s">
        <v>62</v>
      </c>
      <c r="AT287" s="14" t="s">
        <v>62</v>
      </c>
      <c r="AU287" s="14">
        <f>IF(Distances!FT126&lt;&gt;0,(DG287+Distances!FT126*3)*FS287*AU265*2,"")</f>
        <v>225.49439999999998</v>
      </c>
      <c r="AV287" s="14">
        <f>IF(Distances!FU126&lt;&gt;0,(DH287+Distances!FU126*3)*FT287*AV265*2,"")</f>
        <v>166.71176470588233</v>
      </c>
      <c r="AW287" s="14">
        <f>IF(Distances!FV126&lt;&gt;0,(DI287+Distances!FV126*3)*FU287*AW265*2,"")</f>
        <v>803.27999999999986</v>
      </c>
      <c r="AX287" s="14" t="s">
        <v>62</v>
      </c>
      <c r="AY287" s="14" t="s">
        <v>62</v>
      </c>
      <c r="AZ287" s="14">
        <f>IF(Distances!FY126&lt;&gt;0,(DL287+Distances!FY126*3)*FX287*AZ265*2,"")</f>
        <v>186.4787781818182</v>
      </c>
      <c r="BA287" s="14" t="s">
        <v>62</v>
      </c>
      <c r="BB287" s="12" t="s">
        <v>62</v>
      </c>
      <c r="BC287" s="14" t="s">
        <v>62</v>
      </c>
      <c r="BD287" s="14">
        <f>IF(Distances!GC126&lt;&gt;0,(DP287+Distances!GC126*3)*GB287*BD265*2,"")</f>
        <v>604.0714971428572</v>
      </c>
      <c r="BE287" s="14" t="s">
        <v>62</v>
      </c>
      <c r="BF287" s="13">
        <f>IF(Distances!GE126&lt;&gt;0,(DR287+Distances!GE126*3)*GD287*BF265*2,"")</f>
        <v>439.11720000000008</v>
      </c>
      <c r="BG287" s="13" t="s">
        <v>62</v>
      </c>
      <c r="BH287" s="14" t="s">
        <v>62</v>
      </c>
      <c r="BI287" s="14" t="s">
        <v>62</v>
      </c>
      <c r="BJ287" s="15" t="s">
        <v>62</v>
      </c>
      <c r="BM287" s="35" t="s">
        <v>22</v>
      </c>
      <c r="BN287" s="16">
        <v>956.4828</v>
      </c>
      <c r="BO287" s="14">
        <v>1250.8019999999999</v>
      </c>
      <c r="BP287" s="14">
        <v>767.14679999999998</v>
      </c>
      <c r="BQ287" s="14">
        <v>767.14679999999998</v>
      </c>
      <c r="BR287" s="14">
        <v>812.65800000000002</v>
      </c>
      <c r="BS287" s="14">
        <v>2545.8047999999999</v>
      </c>
      <c r="BT287" s="14">
        <v>2641.3044</v>
      </c>
      <c r="BU287" s="14">
        <v>2545.8047999999999</v>
      </c>
      <c r="BV287" s="14">
        <v>797.48759999999993</v>
      </c>
      <c r="BW287" s="14">
        <v>797.48759999999993</v>
      </c>
      <c r="BX287" s="14">
        <v>2667.1931999999997</v>
      </c>
      <c r="BY287" s="14">
        <v>2667.1931999999997</v>
      </c>
      <c r="BZ287" s="14">
        <v>1325.0496000000001</v>
      </c>
      <c r="CA287" s="14">
        <v>1481.3987999999999</v>
      </c>
      <c r="CB287" s="14">
        <v>2057.2020000000002</v>
      </c>
      <c r="CC287" s="13">
        <v>705.66719999999998</v>
      </c>
      <c r="CD287" s="13">
        <v>701.54279999999994</v>
      </c>
      <c r="CE287" s="13">
        <v>718.96439999999996</v>
      </c>
      <c r="CF287" s="13">
        <v>685.72559999999999</v>
      </c>
      <c r="CG287" s="13">
        <v>699.24959999999999</v>
      </c>
      <c r="CH287" s="13">
        <v>1282.7807999999998</v>
      </c>
      <c r="CI287" s="12">
        <v>0</v>
      </c>
      <c r="CJ287" s="13">
        <v>483.21</v>
      </c>
      <c r="CK287" s="13">
        <v>685.72559999999999</v>
      </c>
      <c r="CL287" s="13">
        <v>821.72159999999997</v>
      </c>
      <c r="CM287" s="13">
        <v>806.80319999999995</v>
      </c>
      <c r="CN287" s="13">
        <v>776.95799999999997</v>
      </c>
      <c r="CO287" s="13">
        <v>769.49879999999996</v>
      </c>
      <c r="CP287" s="13">
        <v>483.21</v>
      </c>
      <c r="CQ287" s="13">
        <v>958.28039999999987</v>
      </c>
      <c r="CR287" s="13">
        <v>958.28039999999987</v>
      </c>
      <c r="CS287" s="13">
        <v>958.28039999999987</v>
      </c>
      <c r="CT287" s="14">
        <v>1587.558</v>
      </c>
      <c r="CU287" s="14">
        <v>1795.2815999999998</v>
      </c>
      <c r="CV287" s="14">
        <v>1587.558</v>
      </c>
      <c r="CW287" s="14">
        <v>1847.5379999999998</v>
      </c>
      <c r="CX287" s="14">
        <v>1492.008</v>
      </c>
      <c r="CY287" s="14">
        <v>1492.008</v>
      </c>
      <c r="CZ287" s="14">
        <v>1492.008</v>
      </c>
      <c r="DA287" s="14">
        <v>1254.1787999999999</v>
      </c>
      <c r="DB287" s="14">
        <v>1278.5136</v>
      </c>
      <c r="DC287" s="14">
        <v>1483.5155999999999</v>
      </c>
      <c r="DD287" s="14">
        <v>1230.096</v>
      </c>
      <c r="DE287" s="14">
        <v>1230.096</v>
      </c>
      <c r="DF287" s="14">
        <v>1230.096</v>
      </c>
      <c r="DG287" s="14">
        <v>1277.6399999999999</v>
      </c>
      <c r="DH287" s="14">
        <v>898.8</v>
      </c>
      <c r="DI287" s="14">
        <v>898.8</v>
      </c>
      <c r="DJ287" s="14">
        <v>1301.9580000000001</v>
      </c>
      <c r="DK287" s="14">
        <v>0</v>
      </c>
      <c r="DL287" s="14">
        <v>3740.0663999999997</v>
      </c>
      <c r="DM287" s="14">
        <v>1026.8496</v>
      </c>
      <c r="DN287" s="12">
        <v>882.01679999999999</v>
      </c>
      <c r="DO287" s="14">
        <v>1216.8492000000001</v>
      </c>
      <c r="DP287" s="14">
        <v>1301.9580000000001</v>
      </c>
      <c r="DQ287" s="14">
        <v>1289.8032000000001</v>
      </c>
      <c r="DR287" s="13">
        <v>1495.8719999999998</v>
      </c>
      <c r="DS287" s="13">
        <v>1036.4423999999999</v>
      </c>
      <c r="DT287" s="14">
        <v>2804.7683999999999</v>
      </c>
      <c r="DU287" s="14">
        <v>2101.9739999999997</v>
      </c>
      <c r="DV287" s="15">
        <v>2101.9739999999997</v>
      </c>
      <c r="DY287" s="35" t="s">
        <v>22</v>
      </c>
      <c r="DZ287" s="16">
        <v>6.2500000000000003E-3</v>
      </c>
      <c r="EA287" s="14">
        <v>6.2500000000000003E-3</v>
      </c>
      <c r="EB287" s="14">
        <v>6.2500000000000003E-3</v>
      </c>
      <c r="EC287" s="14">
        <v>6.2500000000000003E-3</v>
      </c>
      <c r="ED287" s="14">
        <v>6.2500000000000003E-3</v>
      </c>
      <c r="EE287" s="14">
        <v>6.2500000000000003E-3</v>
      </c>
      <c r="EF287" s="14">
        <v>6.2500000000000003E-3</v>
      </c>
      <c r="EG287" s="14">
        <v>6.2500000000000003E-3</v>
      </c>
      <c r="EH287" s="14">
        <v>6.2500000000000003E-3</v>
      </c>
      <c r="EI287" s="14">
        <v>6.2500000000000003E-3</v>
      </c>
      <c r="EJ287" s="14">
        <v>6.2500000000000003E-3</v>
      </c>
      <c r="EK287" s="14">
        <v>6.2500000000000003E-3</v>
      </c>
      <c r="EL287" s="14">
        <v>6.2500000000000003E-3</v>
      </c>
      <c r="EM287" s="14">
        <v>4.6511627906976744E-3</v>
      </c>
      <c r="EN287" s="14">
        <v>4.6511627906976744E-3</v>
      </c>
      <c r="EO287" s="13">
        <f t="shared" si="103"/>
        <v>1.2500000000000001E-2</v>
      </c>
      <c r="EP287" s="13">
        <f t="shared" si="103"/>
        <v>1.2500000000000001E-2</v>
      </c>
      <c r="EQ287" s="13">
        <f t="shared" si="103"/>
        <v>1.2500000000000001E-2</v>
      </c>
      <c r="ER287" s="13">
        <f t="shared" si="103"/>
        <v>1.2500000000000001E-2</v>
      </c>
      <c r="ES287" s="13">
        <f t="shared" si="103"/>
        <v>1.2500000000000001E-2</v>
      </c>
      <c r="ET287" s="13">
        <f t="shared" si="103"/>
        <v>1.2500000000000001E-2</v>
      </c>
      <c r="EU287" s="12">
        <v>0.6</v>
      </c>
      <c r="EV287" s="13">
        <f t="shared" si="100"/>
        <v>1.2500000000000001E-2</v>
      </c>
      <c r="EW287" s="13">
        <f t="shared" si="100"/>
        <v>1.2500000000000001E-2</v>
      </c>
      <c r="EX287" s="13">
        <f t="shared" si="100"/>
        <v>1.2500000000000001E-2</v>
      </c>
      <c r="EY287" s="13">
        <f t="shared" si="100"/>
        <v>1.2500000000000001E-2</v>
      </c>
      <c r="EZ287" s="13">
        <f t="shared" si="100"/>
        <v>1.2500000000000001E-2</v>
      </c>
      <c r="FA287" s="13">
        <f t="shared" si="100"/>
        <v>1.2500000000000001E-2</v>
      </c>
      <c r="FB287" s="13">
        <f t="shared" si="100"/>
        <v>1.2500000000000001E-2</v>
      </c>
      <c r="FC287" s="13">
        <f t="shared" si="100"/>
        <v>1.2500000000000001E-2</v>
      </c>
      <c r="FD287" s="13">
        <f t="shared" si="100"/>
        <v>1.2500000000000001E-2</v>
      </c>
      <c r="FE287" s="13">
        <f t="shared" si="100"/>
        <v>1.2500000000000001E-2</v>
      </c>
      <c r="FF287" s="14">
        <v>5.7142857142857143E-3</v>
      </c>
      <c r="FG287" s="14">
        <v>5.7142857142857143E-3</v>
      </c>
      <c r="FH287" s="14">
        <v>5.7142857142857143E-3</v>
      </c>
      <c r="FI287" s="14">
        <v>5.7142857142857143E-3</v>
      </c>
      <c r="FJ287" s="14">
        <v>5.7142857142857143E-3</v>
      </c>
      <c r="FK287" s="14">
        <v>5.7142857142857143E-3</v>
      </c>
      <c r="FL287" s="14">
        <v>5.7142857142857143E-3</v>
      </c>
      <c r="FM287" s="14">
        <v>4.7619047619047623E-3</v>
      </c>
      <c r="FN287" s="14">
        <v>4.7619047619047623E-3</v>
      </c>
      <c r="FO287" s="14">
        <v>4.7619047619047623E-3</v>
      </c>
      <c r="FP287" s="14">
        <v>5.7142857142857143E-3</v>
      </c>
      <c r="FQ287" s="14">
        <v>5.7142857142857143E-3</v>
      </c>
      <c r="FR287" s="14">
        <v>5.7142857142857143E-3</v>
      </c>
      <c r="FS287" s="14">
        <v>5.7142857142857143E-3</v>
      </c>
      <c r="FT287" s="14">
        <v>5.8823529411764705E-3</v>
      </c>
      <c r="FU287" s="14">
        <v>5.7142857142857143E-3</v>
      </c>
      <c r="FV287" s="14">
        <v>5.7142857142857143E-3</v>
      </c>
      <c r="FW287" s="14">
        <v>4.5454545454545461E-3</v>
      </c>
      <c r="FX287" s="14">
        <v>4.5454545454545461E-3</v>
      </c>
      <c r="FY287" s="14">
        <v>5.7142857142857143E-3</v>
      </c>
      <c r="FZ287" s="12">
        <v>0.6</v>
      </c>
      <c r="GA287" s="14">
        <v>5.7142857142857143E-3</v>
      </c>
      <c r="GB287" s="14">
        <v>5.7142857142857143E-3</v>
      </c>
      <c r="GC287" s="14">
        <v>5.7142857142857143E-3</v>
      </c>
      <c r="GD287" s="13">
        <f t="shared" si="102"/>
        <v>1.2500000000000001E-2</v>
      </c>
      <c r="GE287" s="13">
        <f t="shared" si="102"/>
        <v>1.2500000000000001E-2</v>
      </c>
      <c r="GF287" s="14">
        <v>4.6511627906976744E-3</v>
      </c>
      <c r="GG287" s="14">
        <v>4.6511627906976744E-3</v>
      </c>
      <c r="GH287" s="15">
        <v>4.6511627906976744E-3</v>
      </c>
    </row>
    <row r="288" spans="1:190" x14ac:dyDescent="0.3">
      <c r="A288" s="35" t="s">
        <v>23</v>
      </c>
      <c r="B288" s="16">
        <f>IF(Distances!EA127&lt;&gt;0,(BN288+Distances!EA127*3)*DZ288*B265*2,"")</f>
        <v>3995.4519300000002</v>
      </c>
      <c r="C288" s="14">
        <f>IF(Distances!EB127&lt;&gt;0,(BO288+Distances!EB127*3)*EA288*C265*2,"")</f>
        <v>4728.6392100000003</v>
      </c>
      <c r="D288" s="14">
        <f>IF(Distances!EC127&lt;&gt;0,(BP288+Distances!EC127*3)*EB288*D265*2,"")</f>
        <v>19952.674230000001</v>
      </c>
      <c r="E288" s="14">
        <f>IF(Distances!ED127&lt;&gt;0,(BQ288+Distances!ED127*3)*EC288*E265*2,"")</f>
        <v>3308.8842300000006</v>
      </c>
      <c r="F288" s="14">
        <f>IF(Distances!EE127&lt;&gt;0,(BR288+Distances!EE127*3)*ED288*F265*2,"")</f>
        <v>3932.1400800000006</v>
      </c>
      <c r="G288" s="14">
        <f>IF(Distances!EF127&lt;&gt;0,(BS288+Distances!EF127*3)*EE288*G265*2,"")</f>
        <v>29104.507439999998</v>
      </c>
      <c r="H288" s="14">
        <f>IF(Distances!EG127&lt;&gt;0,(BT288+Distances!EG127*3)*EF288*H265*2,"")</f>
        <v>6951.1926899999999</v>
      </c>
      <c r="I288" s="14">
        <f>IF(Distances!EH127&lt;&gt;0,(BU288+Distances!EH127*3)*EG288*I265*2,"")</f>
        <v>6696.1424399999996</v>
      </c>
      <c r="J288" s="14">
        <f>IF(Distances!EI127&lt;&gt;0,(BV288+Distances!EI127*3)*EH288*J265*2,"")</f>
        <v>147.65040000000002</v>
      </c>
      <c r="K288" s="14">
        <f>IF(Distances!EJ127&lt;&gt;0,(BW288+Distances!EJ127*3)*EI288*K265*2,"")</f>
        <v>67.310400000000001</v>
      </c>
      <c r="L288" s="14">
        <f>IF(Distances!EK127&lt;&gt;0,(BX288+Distances!EK127*3)*EJ288*L265*2,"")</f>
        <v>138.79733999999999</v>
      </c>
      <c r="M288" s="14">
        <f>IF(Distances!EL127&lt;&gt;0,(BY288+Distances!EL127*3)*EK288*M265*2,"")</f>
        <v>138.79733999999999</v>
      </c>
      <c r="N288" s="14">
        <f>IF(Distances!EM127&lt;&gt;0,(BZ288+Distances!EM127*3)*EL288*N265*2,"")</f>
        <v>97.988880000000009</v>
      </c>
      <c r="O288" s="14">
        <f>IF(Distances!EN127&lt;&gt;0,(CA288+Distances!EN127*3)*EM288*O265*2,"")</f>
        <v>140.27867162790699</v>
      </c>
      <c r="P288" s="14">
        <f>IF(Distances!EO127&lt;&gt;0,(CB288+Distances!EO127*3)*EN288*P265*2,"")</f>
        <v>186.95547906976742</v>
      </c>
      <c r="Q288" s="13">
        <f>IF(Distances!EP127&lt;&gt;0,(CC288+Distances!EP127*3)*EO288*Q265*2,"")</f>
        <v>1123.7295000000001</v>
      </c>
      <c r="R288" s="13">
        <f>IF(Distances!EQ127&lt;&gt;0,(CD288+Distances!EQ127*3)*EP288*R265*2,"")</f>
        <v>1117.9335000000001</v>
      </c>
      <c r="S288" s="13">
        <f>IF(Distances!ER127&lt;&gt;0,(CE288+Distances!ER127*3)*EQ288*S265*2,"")</f>
        <v>1135.3215</v>
      </c>
      <c r="T288" s="13">
        <f>IF(Distances!ES127&lt;&gt;0,(CF288+Distances!ES127*3)*ER288*T265*2,"")</f>
        <v>273.90531000000004</v>
      </c>
      <c r="U288" s="13">
        <f>IF(Distances!ET127&lt;&gt;0,(CG288+Distances!ET127*3)*ES288*U265*2,"")</f>
        <v>411.70436999999998</v>
      </c>
      <c r="V288" s="13">
        <f>IF(Distances!EU127&lt;&gt;0,(CH288+Distances!EU127*3)*ET288*V265*2,"")</f>
        <v>3963.8330999999998</v>
      </c>
      <c r="W288" s="13">
        <f>IF(Distances!EV127&lt;&gt;0,(CI288+Distances!EV127*3)*EU288*W265*2,"")</f>
        <v>1290.0795000000001</v>
      </c>
      <c r="X288" s="12" t="s">
        <v>62</v>
      </c>
      <c r="Y288" s="13">
        <f>IF(Distances!EX127&lt;&gt;0,(CK288+Distances!EX127*3)*EW288*Y265*2,"")</f>
        <v>3024.6489600000004</v>
      </c>
      <c r="Z288" s="13">
        <f>IF(Distances!EY127&lt;&gt;0,(CL288+Distances!EY127*3)*EX288*Z265*2,"")</f>
        <v>84.095039999999997</v>
      </c>
      <c r="AA288" s="13">
        <f>IF(Distances!EZ127&lt;&gt;0,(CM288+Distances!EZ127*3)*EY288*AA265*2,"")</f>
        <v>92.658780000000007</v>
      </c>
      <c r="AB288" s="13">
        <f>IF(Distances!FA127&lt;&gt;0,(CN288+Distances!FA127*3)*EZ288*AB265*2,"")</f>
        <v>128.02668000000003</v>
      </c>
      <c r="AC288" s="13">
        <f>IF(Distances!FB127&lt;&gt;0,(CO288+Distances!FB127*3)*FA288*AC265*2,"")</f>
        <v>69.098759999999999</v>
      </c>
      <c r="AD288" s="13">
        <f>IF(Distances!FC127&lt;&gt;0,(CP288+Distances!FC127*3)*FB288*AD265*2,"")</f>
        <v>20.325000000000003</v>
      </c>
      <c r="AE288" s="13">
        <f>IF(Distances!FD127&lt;&gt;0,(CQ288+Distances!FD127*3)*FC288*AE265*2,"")</f>
        <v>228.53724000000003</v>
      </c>
      <c r="AF288" s="13">
        <f>IF(Distances!FE127&lt;&gt;0,(CR288+Distances!FE127*3)*FD288*AF265*2,"")</f>
        <v>446.87448000000006</v>
      </c>
      <c r="AG288" s="13">
        <f>IF(Distances!FF127&lt;&gt;0,(CS288+Distances!FF127*3)*FE288*AG265*2,"")</f>
        <v>345.95447999999999</v>
      </c>
      <c r="AH288" s="14">
        <f>IF(Distances!FG127&lt;&gt;0,(CT288+Distances!FG127*3)*FF288*AH265*2,"")</f>
        <v>69.019899428571435</v>
      </c>
      <c r="AI288" s="14">
        <f>IF(Distances!FH127&lt;&gt;0,(CU288+Distances!FH127*3)*FG288*AI265*2,"")</f>
        <v>23.392786285714287</v>
      </c>
      <c r="AJ288" s="14">
        <f>IF(Distances!FI127&lt;&gt;0,(CV288+Distances!FI127*3)*FH288*AJ265*2,"")</f>
        <v>55.182185142857136</v>
      </c>
      <c r="AK288" s="14">
        <f>IF(Distances!FJ127&lt;&gt;0,(CW288+Distances!FJ127*3)*FI288*AK265*2,"")</f>
        <v>23.938354285714283</v>
      </c>
      <c r="AL288" s="14">
        <f>IF(Distances!FK127&lt;&gt;0,(CX288+Distances!FK127*3)*FJ288*AL265*2,"")</f>
        <v>1314.3869074285715</v>
      </c>
      <c r="AM288" s="14">
        <f>IF(Distances!FL127&lt;&gt;0,(CY288+Distances!FL127*3)*FK288*AM265*2,"")</f>
        <v>1314.3869074285715</v>
      </c>
      <c r="AN288" s="14">
        <f>IF(Distances!FM127&lt;&gt;0,(CZ288+Distances!FM127*3)*FL288*AN265*2,"")</f>
        <v>1600.6177645714288</v>
      </c>
      <c r="AO288" s="14">
        <f>IF(Distances!FN127&lt;&gt;0,(DA288+Distances!FN127*3)*FM288*AO265*2,"")</f>
        <v>35.821737142857145</v>
      </c>
      <c r="AP288" s="14">
        <f>IF(Distances!FO127&lt;&gt;0,(DB288+Distances!FO127*3)*FN288*AP265*2,"")</f>
        <v>36.36653714285714</v>
      </c>
      <c r="AQ288" s="14">
        <f>IF(Distances!FP127&lt;&gt;0,(DC288+Distances!FP127*3)*FO288*AQ265*2,"")</f>
        <v>40.503657142857143</v>
      </c>
      <c r="AR288" s="14">
        <f>IF(Distances!FQ127&lt;&gt;0,(DD288+Distances!FQ127*3)*FP288*AR265*2,"")</f>
        <v>42.460388571428567</v>
      </c>
      <c r="AS288" s="14">
        <f>IF(Distances!FR127&lt;&gt;0,(DE288+Distances!FR127*3)*FQ288*AS265*2,"")</f>
        <v>42.460388571428567</v>
      </c>
      <c r="AT288" s="14">
        <f>IF(Distances!FS127&lt;&gt;0,(DF288+Distances!FS127*3)*FR288*AT265*2,"")</f>
        <v>42.460388571428567</v>
      </c>
      <c r="AU288" s="14">
        <f>IF(Distances!FT127&lt;&gt;0,(DG288+Distances!FT127*3)*FS288*AU265*2,"")</f>
        <v>235.46131199999999</v>
      </c>
      <c r="AV288" s="14">
        <f>IF(Distances!FU127&lt;&gt;0,(DH288+Distances!FU127*3)*FT288*AV265*2,"")</f>
        <v>178.28096470588233</v>
      </c>
      <c r="AW288" s="14">
        <f>IF(Distances!FV127&lt;&gt;0,(DI288+Distances!FV127*3)*FU288*AW265*2,"")</f>
        <v>814.51865142857127</v>
      </c>
      <c r="AX288" s="14">
        <f>IF(Distances!FW127&lt;&gt;0,(DJ288+Distances!FW127*3)*FV288*AX265*2,"")</f>
        <v>77.582331428571422</v>
      </c>
      <c r="AY288" s="14">
        <f>IF(Distances!FX127&lt;&gt;0,(DK288+Distances!FX127*3)*FW288*AY265*2,"")</f>
        <v>14.781818181818183</v>
      </c>
      <c r="AZ288" s="14">
        <f>IF(Distances!FY127&lt;&gt;0,(DL288+Distances!FY127*3)*FX288*AZ265*2,"")</f>
        <v>198.09517090909094</v>
      </c>
      <c r="BA288" s="14">
        <f>IF(Distances!FZ127&lt;&gt;0,(DM288+Distances!FZ127*3)*FY288*BA265*2,"")</f>
        <v>72.620873142857135</v>
      </c>
      <c r="BB288" s="13">
        <f>IF(Distances!GA127&lt;&gt;0,(DN288+Distances!GA127*3)*FZ288*BB265*2,"")</f>
        <v>108.26244</v>
      </c>
      <c r="BC288" s="14">
        <f>IF(Distances!GB127&lt;&gt;0,(DO288+Distances!GB127*3)*GA288*BC265*2,"")</f>
        <v>473.79412114285714</v>
      </c>
      <c r="BD288" s="14">
        <f>IF(Distances!GC127&lt;&gt;0,(DP288+Distances!GC127*3)*GB288*BD265*2,"")</f>
        <v>624.45377828571418</v>
      </c>
      <c r="BE288" s="14">
        <f>IF(Distances!GD127&lt;&gt;0,(DQ288+Distances!GD127*3)*GC288*BE265*2,"")</f>
        <v>493.2798171428571</v>
      </c>
      <c r="BF288" s="13">
        <f>IF(Distances!GE127&lt;&gt;0,(DR288+Distances!GE127*3)*GD288*BF265*2,"")</f>
        <v>450.67631999999998</v>
      </c>
      <c r="BG288" s="13">
        <f>IF(Distances!GF127&lt;&gt;0,(DS288+Distances!GF127*3)*GE288*BG265*2,"")</f>
        <v>117.77460000000002</v>
      </c>
      <c r="BH288" s="14">
        <f>IF(Distances!GG127&lt;&gt;0,(DT288+Distances!GG127*3)*GF288*BH265*2,"")</f>
        <v>131.38376930232559</v>
      </c>
      <c r="BI288" s="14">
        <f>IF(Distances!GH127&lt;&gt;0,(DU288+Distances!GH127*3)*GG288*BI265*2,"")</f>
        <v>103.69174325581395</v>
      </c>
      <c r="BJ288" s="15">
        <f>IF(Distances!GI127&lt;&gt;0,(DV288+Distances!GI127*3)*GH288*BJ265*2,"")</f>
        <v>103.69174325581395</v>
      </c>
      <c r="BM288" s="35" t="s">
        <v>23</v>
      </c>
      <c r="BN288" s="16">
        <v>1175.8571999999999</v>
      </c>
      <c r="BO288" s="14">
        <v>1466.2284</v>
      </c>
      <c r="BP288" s="14">
        <v>903.94920000000002</v>
      </c>
      <c r="BQ288" s="14">
        <v>903.94920000000002</v>
      </c>
      <c r="BR288" s="14">
        <v>957.58320000000003</v>
      </c>
      <c r="BS288" s="14">
        <v>2245.4375999999997</v>
      </c>
      <c r="BT288" s="14">
        <v>2346.4476</v>
      </c>
      <c r="BU288" s="14">
        <v>2245.4375999999997</v>
      </c>
      <c r="BV288" s="14">
        <v>939.70799999999997</v>
      </c>
      <c r="BW288" s="14">
        <v>939.70799999999997</v>
      </c>
      <c r="BX288" s="14">
        <v>2369.4467999999997</v>
      </c>
      <c r="BY288" s="14">
        <v>2369.4467999999997</v>
      </c>
      <c r="BZ288" s="14">
        <v>1553.2776000000001</v>
      </c>
      <c r="CA288" s="14">
        <v>1747.7796000000001</v>
      </c>
      <c r="CB288" s="14">
        <v>2464.6019999999999</v>
      </c>
      <c r="CC288" s="13">
        <v>492.48359999999997</v>
      </c>
      <c r="CD288" s="13">
        <v>487.84679999999997</v>
      </c>
      <c r="CE288" s="13">
        <v>501.75720000000001</v>
      </c>
      <c r="CF288" s="13">
        <v>478.57319999999999</v>
      </c>
      <c r="CG288" s="13">
        <v>987.59640000000002</v>
      </c>
      <c r="CH288" s="13">
        <v>785.77800000000002</v>
      </c>
      <c r="CI288" s="13">
        <v>483.21</v>
      </c>
      <c r="CJ288" s="12">
        <v>0</v>
      </c>
      <c r="CK288" s="13">
        <v>890.16480000000001</v>
      </c>
      <c r="CL288" s="13">
        <v>1041.7007999999998</v>
      </c>
      <c r="CM288" s="13">
        <v>1022.7755999999999</v>
      </c>
      <c r="CN288" s="13">
        <v>984.93359999999996</v>
      </c>
      <c r="CO288" s="13">
        <v>975.47519999999997</v>
      </c>
      <c r="CP288" s="13">
        <v>0</v>
      </c>
      <c r="CQ288" s="13">
        <v>1179.5447999999999</v>
      </c>
      <c r="CR288" s="13">
        <v>1179.5447999999999</v>
      </c>
      <c r="CS288" s="13">
        <v>1179.5447999999999</v>
      </c>
      <c r="CT288" s="14">
        <v>1474.1412</v>
      </c>
      <c r="CU288" s="14">
        <v>1640.3688</v>
      </c>
      <c r="CV288" s="14">
        <v>1474.1412</v>
      </c>
      <c r="CW288" s="14">
        <v>1688.106</v>
      </c>
      <c r="CX288" s="14">
        <v>1723.2936</v>
      </c>
      <c r="CY288" s="14">
        <v>1723.2936</v>
      </c>
      <c r="CZ288" s="14">
        <v>1723.2936</v>
      </c>
      <c r="DA288" s="14">
        <v>1474.1412</v>
      </c>
      <c r="DB288" s="14">
        <v>1502.7431999999999</v>
      </c>
      <c r="DC288" s="14">
        <v>1719.942</v>
      </c>
      <c r="DD288" s="14">
        <v>1451.1419999999998</v>
      </c>
      <c r="DE288" s="14">
        <v>1451.1419999999998</v>
      </c>
      <c r="DF288" s="14">
        <v>1451.1419999999998</v>
      </c>
      <c r="DG288" s="14">
        <v>933.43319999999994</v>
      </c>
      <c r="DH288" s="14">
        <v>688.97640000000001</v>
      </c>
      <c r="DI288" s="14">
        <v>688.97640000000001</v>
      </c>
      <c r="DJ288" s="14">
        <v>951.19079999999985</v>
      </c>
      <c r="DK288" s="14">
        <v>0</v>
      </c>
      <c r="DL288" s="14">
        <v>3653.0171999999998</v>
      </c>
      <c r="DM288" s="14">
        <v>1182.0816</v>
      </c>
      <c r="DN288" s="13">
        <v>676.12439999999992</v>
      </c>
      <c r="DO288" s="14">
        <v>889.03079999999989</v>
      </c>
      <c r="DP288" s="14">
        <v>951.19079999999985</v>
      </c>
      <c r="DQ288" s="14">
        <v>942.3119999999999</v>
      </c>
      <c r="DR288" s="13">
        <v>1204.9631999999999</v>
      </c>
      <c r="DS288" s="13">
        <v>771.24599999999998</v>
      </c>
      <c r="DT288" s="14">
        <v>3124.4387999999999</v>
      </c>
      <c r="DU288" s="14">
        <v>2380.2156</v>
      </c>
      <c r="DV288" s="15">
        <v>2380.2156</v>
      </c>
      <c r="DY288" s="35" t="s">
        <v>23</v>
      </c>
      <c r="DZ288" s="16">
        <v>6.2500000000000003E-3</v>
      </c>
      <c r="EA288" s="14">
        <v>6.2500000000000003E-3</v>
      </c>
      <c r="EB288" s="14">
        <v>6.2500000000000003E-3</v>
      </c>
      <c r="EC288" s="14">
        <v>6.2500000000000003E-3</v>
      </c>
      <c r="ED288" s="14">
        <v>6.2500000000000003E-3</v>
      </c>
      <c r="EE288" s="14">
        <v>6.2500000000000003E-3</v>
      </c>
      <c r="EF288" s="14">
        <v>6.2500000000000003E-3</v>
      </c>
      <c r="EG288" s="14">
        <v>6.2500000000000003E-3</v>
      </c>
      <c r="EH288" s="14">
        <v>6.2500000000000003E-3</v>
      </c>
      <c r="EI288" s="14">
        <v>6.2500000000000003E-3</v>
      </c>
      <c r="EJ288" s="14">
        <v>6.2500000000000003E-3</v>
      </c>
      <c r="EK288" s="14">
        <v>6.2500000000000003E-3</v>
      </c>
      <c r="EL288" s="14">
        <v>6.2500000000000003E-3</v>
      </c>
      <c r="EM288" s="14">
        <v>4.6511627906976744E-3</v>
      </c>
      <c r="EN288" s="14">
        <v>4.6511627906976744E-3</v>
      </c>
      <c r="EO288" s="13">
        <f t="shared" si="103"/>
        <v>1.2500000000000001E-2</v>
      </c>
      <c r="EP288" s="13">
        <f t="shared" si="103"/>
        <v>1.2500000000000001E-2</v>
      </c>
      <c r="EQ288" s="13">
        <f t="shared" si="103"/>
        <v>1.2500000000000001E-2</v>
      </c>
      <c r="ER288" s="13">
        <f t="shared" si="103"/>
        <v>1.2500000000000001E-2</v>
      </c>
      <c r="ES288" s="13">
        <f t="shared" si="103"/>
        <v>1.2500000000000001E-2</v>
      </c>
      <c r="ET288" s="13">
        <f t="shared" si="103"/>
        <v>1.2500000000000001E-2</v>
      </c>
      <c r="EU288" s="13">
        <f t="shared" si="103"/>
        <v>1.2500000000000001E-2</v>
      </c>
      <c r="EV288" s="12">
        <v>0.6</v>
      </c>
      <c r="EW288" s="13">
        <f t="shared" si="100"/>
        <v>1.2500000000000001E-2</v>
      </c>
      <c r="EX288" s="13">
        <f t="shared" si="100"/>
        <v>1.2500000000000001E-2</v>
      </c>
      <c r="EY288" s="13">
        <f t="shared" si="100"/>
        <v>1.2500000000000001E-2</v>
      </c>
      <c r="EZ288" s="13">
        <f t="shared" si="100"/>
        <v>1.2500000000000001E-2</v>
      </c>
      <c r="FA288" s="13">
        <f t="shared" si="100"/>
        <v>1.2500000000000001E-2</v>
      </c>
      <c r="FB288" s="13">
        <f t="shared" si="100"/>
        <v>1.2500000000000001E-2</v>
      </c>
      <c r="FC288" s="13">
        <f t="shared" si="100"/>
        <v>1.2500000000000001E-2</v>
      </c>
      <c r="FD288" s="13">
        <f t="shared" si="100"/>
        <v>1.2500000000000001E-2</v>
      </c>
      <c r="FE288" s="13">
        <f t="shared" si="100"/>
        <v>1.2500000000000001E-2</v>
      </c>
      <c r="FF288" s="14">
        <v>5.7142857142857143E-3</v>
      </c>
      <c r="FG288" s="14">
        <v>5.7142857142857143E-3</v>
      </c>
      <c r="FH288" s="14">
        <v>5.7142857142857143E-3</v>
      </c>
      <c r="FI288" s="14">
        <v>5.7142857142857143E-3</v>
      </c>
      <c r="FJ288" s="14">
        <v>5.7142857142857143E-3</v>
      </c>
      <c r="FK288" s="14">
        <v>5.7142857142857143E-3</v>
      </c>
      <c r="FL288" s="14">
        <v>5.7142857142857143E-3</v>
      </c>
      <c r="FM288" s="14">
        <v>4.7619047619047623E-3</v>
      </c>
      <c r="FN288" s="14">
        <v>4.7619047619047623E-3</v>
      </c>
      <c r="FO288" s="14">
        <v>4.7619047619047623E-3</v>
      </c>
      <c r="FP288" s="14">
        <v>5.7142857142857143E-3</v>
      </c>
      <c r="FQ288" s="14">
        <v>5.7142857142857143E-3</v>
      </c>
      <c r="FR288" s="14">
        <v>5.7142857142857143E-3</v>
      </c>
      <c r="FS288" s="14">
        <v>5.7142857142857143E-3</v>
      </c>
      <c r="FT288" s="14">
        <v>5.8823529411764705E-3</v>
      </c>
      <c r="FU288" s="14">
        <v>5.7142857142857143E-3</v>
      </c>
      <c r="FV288" s="14">
        <v>5.7142857142857143E-3</v>
      </c>
      <c r="FW288" s="14">
        <v>4.5454545454545461E-3</v>
      </c>
      <c r="FX288" s="14">
        <v>4.5454545454545461E-3</v>
      </c>
      <c r="FY288" s="14">
        <v>5.7142857142857143E-3</v>
      </c>
      <c r="FZ288" s="13">
        <f t="shared" ref="FZ288:FZ297" si="104">0.2/16</f>
        <v>1.2500000000000001E-2</v>
      </c>
      <c r="GA288" s="14">
        <v>5.7142857142857143E-3</v>
      </c>
      <c r="GB288" s="14">
        <v>5.7142857142857143E-3</v>
      </c>
      <c r="GC288" s="14">
        <v>5.7142857142857143E-3</v>
      </c>
      <c r="GD288" s="13">
        <f t="shared" si="102"/>
        <v>1.2500000000000001E-2</v>
      </c>
      <c r="GE288" s="13">
        <f t="shared" si="102"/>
        <v>1.2500000000000001E-2</v>
      </c>
      <c r="GF288" s="14">
        <v>4.6511627906976744E-3</v>
      </c>
      <c r="GG288" s="14">
        <v>4.6511627906976744E-3</v>
      </c>
      <c r="GH288" s="15">
        <v>4.6511627906976744E-3</v>
      </c>
    </row>
    <row r="289" spans="1:190" x14ac:dyDescent="0.3">
      <c r="A289" s="35" t="s">
        <v>24</v>
      </c>
      <c r="B289" s="16">
        <f>IF(Distances!EA128&lt;&gt;0,(BN289+Distances!EA128*3)*DZ289*B265*2,"")</f>
        <v>4384.9190400000007</v>
      </c>
      <c r="C289" s="14">
        <f>IF(Distances!EB128&lt;&gt;0,(BO289+Distances!EB128*3)*EA289*C265*2,"")</f>
        <v>5120.9060400000008</v>
      </c>
      <c r="D289" s="14">
        <f>IF(Distances!EC128&lt;&gt;0,(BP289+Distances!EC128*3)*EB289*D265*2,"")</f>
        <v>20555.217000000001</v>
      </c>
      <c r="E289" s="14">
        <f>IF(Distances!ED128&lt;&gt;0,(BQ289+Distances!ED128*3)*EC289*E265*2,"")</f>
        <v>3911.4270000000006</v>
      </c>
      <c r="F289" s="14">
        <f>IF(Distances!EE128&lt;&gt;0,(BR289+Distances!EE128*3)*ED289*F265*2,"")</f>
        <v>4513.0698600000005</v>
      </c>
      <c r="G289" s="14">
        <f>IF(Distances!EF128&lt;&gt;0,(BS289+Distances!EF128*3)*EE289*G265*2,"")</f>
        <v>30767.719890000004</v>
      </c>
      <c r="H289" s="14">
        <f>IF(Distances!EG128&lt;&gt;0,(BT289+Distances!EG128*3)*EF289*H265*2,"")</f>
        <v>8598.1794900000004</v>
      </c>
      <c r="I289" s="14">
        <f>IF(Distances!EH128&lt;&gt;0,(BU289+Distances!EH128*3)*EG289*I265*2,"")</f>
        <v>8359.3548900000005</v>
      </c>
      <c r="J289" s="14">
        <f>IF(Distances!EI128&lt;&gt;0,(BV289+Distances!EI128*3)*EH289*J265*2,"")</f>
        <v>159.29676000000003</v>
      </c>
      <c r="K289" s="14">
        <f>IF(Distances!EJ128&lt;&gt;0,(BW289+Distances!EJ128*3)*EI289*K265*2,"")</f>
        <v>78.956760000000017</v>
      </c>
      <c r="L289" s="14">
        <f>IF(Distances!EK128&lt;&gt;0,(BX289+Distances!EK128*3)*EJ289*L265*2,"")</f>
        <v>171.54282000000001</v>
      </c>
      <c r="M289" s="14">
        <f>IF(Distances!EL128&lt;&gt;0,(BY289+Distances!EL128*3)*EK289*M265*2,"")</f>
        <v>171.54282000000001</v>
      </c>
      <c r="N289" s="14">
        <f>IF(Distances!EM128&lt;&gt;0,(BZ289+Distances!EM128*3)*EL289*N265*2,"")</f>
        <v>105.08076000000001</v>
      </c>
      <c r="O289" s="14">
        <f>IF(Distances!EN128&lt;&gt;0,(CA289+Distances!EN128*3)*EM289*O265*2,"")</f>
        <v>146.93287813953486</v>
      </c>
      <c r="P289" s="14">
        <f>IF(Distances!EO128&lt;&gt;0,(CB289+Distances!EO128*3)*EN289*P265*2,"")</f>
        <v>184.0660353488372</v>
      </c>
      <c r="Q289" s="13">
        <f>IF(Distances!EP128&lt;&gt;0,(CC289+Distances!EP128*3)*EO289*Q265*2,"")</f>
        <v>1860.2460000000003</v>
      </c>
      <c r="R289" s="13">
        <f>IF(Distances!EQ128&lt;&gt;0,(CD289+Distances!EQ128*3)*EP289*R265*2,"")</f>
        <v>1852.0140000000001</v>
      </c>
      <c r="S289" s="13">
        <f>IF(Distances!ER128&lt;&gt;0,(CE289+Distances!ER128*3)*EQ289*S265*2,"")</f>
        <v>1876.6995000000004</v>
      </c>
      <c r="T289" s="13">
        <f>IF(Distances!ES128&lt;&gt;0,(CF289+Distances!ES128*3)*ER289*T265*2,"")</f>
        <v>375.99450000000002</v>
      </c>
      <c r="U289" s="13">
        <f>IF(Distances!ET128&lt;&gt;0,(CG289+Distances!ET128*3)*ES289*U265*2,"")</f>
        <v>427.05915000000005</v>
      </c>
      <c r="V289" s="13">
        <f>IF(Distances!EU128&lt;&gt;0,(CH289+Distances!EU128*3)*ET289*V265*2,"")</f>
        <v>4895.97372</v>
      </c>
      <c r="W289" s="13">
        <f>IF(Distances!EV128&lt;&gt;0,(CI289+Distances!EV128*3)*EU289*W265*2,"")</f>
        <v>2138.78712</v>
      </c>
      <c r="X289" s="13">
        <f>IF(Distances!EW128&lt;&gt;0,(CJ289+Distances!EW128*3)*EV289*X265*2,"")</f>
        <v>3024.6489600000004</v>
      </c>
      <c r="Y289" s="12" t="s">
        <v>62</v>
      </c>
      <c r="Z289" s="13">
        <f>IF(Distances!EY128&lt;&gt;0,(CL289+Distances!EY128*3)*EX289*Z265*2,"")</f>
        <v>91.841700000000003</v>
      </c>
      <c r="AA289" s="13">
        <f>IF(Distances!EZ128&lt;&gt;0,(CM289+Distances!EZ128*3)*EY289*AA265*2,"")</f>
        <v>100.61292000000002</v>
      </c>
      <c r="AB289" s="13">
        <f>IF(Distances!FA128&lt;&gt;0,(CN289+Distances!FA128*3)*EZ289*AB265*2,"")</f>
        <v>136.39493999999999</v>
      </c>
      <c r="AC289" s="13">
        <f>IF(Distances!FB128&lt;&gt;0,(CO289+Distances!FB128*3)*FA289*AC265*2,"")</f>
        <v>77.570340000000002</v>
      </c>
      <c r="AD289" s="13">
        <f>IF(Distances!FC128&lt;&gt;0,(CP289+Distances!FC128*3)*FB289*AD265*2,"")</f>
        <v>63.393660000000004</v>
      </c>
      <c r="AE289" s="13">
        <f>IF(Distances!FD128&lt;&gt;0,(CQ289+Distances!FD128*3)*FC289*AE265*2,"")</f>
        <v>236.15369999999999</v>
      </c>
      <c r="AF289" s="13">
        <f>IF(Distances!FE128&lt;&gt;0,(CR289+Distances!FE128*3)*FD289*AF265*2,"")</f>
        <v>462.10739999999998</v>
      </c>
      <c r="AG289" s="13">
        <f>IF(Distances!FF128&lt;&gt;0,(CS289+Distances!FF128*3)*FE289*AG265*2,"")</f>
        <v>361.18740000000003</v>
      </c>
      <c r="AH289" s="14">
        <f>IF(Distances!FG128&lt;&gt;0,(CT289+Distances!FG128*3)*FF289*AH265*2,"")</f>
        <v>74.516612571428581</v>
      </c>
      <c r="AI289" s="14">
        <f>IF(Distances!FH128&lt;&gt;0,(CU289+Distances!FH128*3)*FG289*AI265*2,"")</f>
        <v>29.340891428571428</v>
      </c>
      <c r="AJ289" s="14">
        <f>IF(Distances!FI128&lt;&gt;0,(CV289+Distances!FI128*3)*FH289*AJ265*2,"")</f>
        <v>60.67889828571429</v>
      </c>
      <c r="AK289" s="14">
        <f>IF(Distances!FJ128&lt;&gt;0,(CW289+Distances!FJ128*3)*FI289*AK265*2,"")</f>
        <v>29.932347428571425</v>
      </c>
      <c r="AL289" s="14">
        <f>IF(Distances!FK128&lt;&gt;0,(CX289+Distances!FK128*3)*FJ289*AL265*2,"")</f>
        <v>1399.0438491428572</v>
      </c>
      <c r="AM289" s="14">
        <f>IF(Distances!FL128&lt;&gt;0,(CY289+Distances!FL128*3)*FK289*AM265*2,"")</f>
        <v>1399.0438491428572</v>
      </c>
      <c r="AN289" s="14">
        <f>IF(Distances!FM128&lt;&gt;0,(CZ289+Distances!FM128*3)*FL289*AN265*2,"")</f>
        <v>1685.2747062857143</v>
      </c>
      <c r="AO289" s="14">
        <f>IF(Distances!FN128&lt;&gt;0,(DA289+Distances!FN128*3)*FM289*AO265*2,"")</f>
        <v>38.693965714285717</v>
      </c>
      <c r="AP289" s="14">
        <f>IF(Distances!FO128&lt;&gt;0,(DB289+Distances!FO128*3)*FN289*AP265*2,"")</f>
        <v>39.153005714285719</v>
      </c>
      <c r="AQ289" s="14">
        <f>IF(Distances!FP128&lt;&gt;0,(DC289+Distances!FP128*3)*FO289*AQ265*2,"")</f>
        <v>43.020205714285716</v>
      </c>
      <c r="AR289" s="14">
        <f>IF(Distances!FQ128&lt;&gt;0,(DD289+Distances!FQ128*3)*FP289*AR265*2,"")</f>
        <v>45.88747885714286</v>
      </c>
      <c r="AS289" s="14">
        <f>IF(Distances!FR128&lt;&gt;0,(DE289+Distances!FR128*3)*FQ289*AS265*2,"")</f>
        <v>45.88747885714286</v>
      </c>
      <c r="AT289" s="14">
        <f>IF(Distances!FS128&lt;&gt;0,(DF289+Distances!FS128*3)*FR289*AT265*2,"")</f>
        <v>45.88747885714286</v>
      </c>
      <c r="AU289" s="14">
        <f>IF(Distances!FT128&lt;&gt;0,(DG289+Distances!FT128*3)*FS289*AU265*2,"")</f>
        <v>349.81881600000003</v>
      </c>
      <c r="AV289" s="14">
        <f>IF(Distances!FU128&lt;&gt;0,(DH289+Distances!FU128*3)*FT289*AV265*2,"")</f>
        <v>212.63322352941177</v>
      </c>
      <c r="AW289" s="14">
        <f>IF(Distances!FV128&lt;&gt;0,(DI289+Distances!FV128*3)*FU289*AW265*2,"")</f>
        <v>847.88941714285727</v>
      </c>
      <c r="AX289" s="14">
        <f>IF(Distances!FW128&lt;&gt;0,(DJ289+Distances!FW128*3)*FV289*AX265*2,"")</f>
        <v>118.78573714285714</v>
      </c>
      <c r="AY289" s="14">
        <f>IF(Distances!FX128&lt;&gt;0,(DK289+Distances!FX128*3)*FW289*AY265*2,"")</f>
        <v>28.70181818181819</v>
      </c>
      <c r="AZ289" s="14">
        <f>IF(Distances!FY128&lt;&gt;0,(DL289+Distances!FY128*3)*FX289*AZ265*2,"")</f>
        <v>213.87325090909093</v>
      </c>
      <c r="BA289" s="14">
        <f>IF(Distances!FZ128&lt;&gt;0,(DM289+Distances!FZ128*3)*FY289*BA265*2,"")</f>
        <v>82.572781714285711</v>
      </c>
      <c r="BB289" s="13">
        <f>IF(Distances!GA128&lt;&gt;0,(DN289+Distances!GA128*3)*FZ289*BB265*2,"")</f>
        <v>166.28496000000001</v>
      </c>
      <c r="BC289" s="14">
        <f>IF(Distances!GB128&lt;&gt;0,(DO289+Distances!GB128*3)*GA289*BC265*2,"")</f>
        <v>729.40119771428567</v>
      </c>
      <c r="BD289" s="14">
        <f>IF(Distances!GC128&lt;&gt;0,(DP289+Distances!GC128*3)*GB289*BD265*2,"")</f>
        <v>888.15557485714294</v>
      </c>
      <c r="BE289" s="14">
        <f>IF(Distances!GD128&lt;&gt;0,(DQ289+Distances!GD128*3)*GC289*BE265*2,"")</f>
        <v>755.82346971428569</v>
      </c>
      <c r="BF289" s="13">
        <f>IF(Distances!GE128&lt;&gt;0,(DR289+Distances!GE128*3)*GD289*BF265*2,"")</f>
        <v>516.60912000000008</v>
      </c>
      <c r="BG289" s="13">
        <f>IF(Distances!GF128&lt;&gt;0,(DS289+Distances!GF128*3)*GE289*BG265*2,"")</f>
        <v>181.57884000000001</v>
      </c>
      <c r="BH289" s="14">
        <f>IF(Distances!GG128&lt;&gt;0,(DT289+Distances!GG128*3)*GF289*BH265*2,"")</f>
        <v>132.72977860465119</v>
      </c>
      <c r="BI289" s="14">
        <f>IF(Distances!GH128&lt;&gt;0,(DU289+Distances!GH128*3)*GG289*BI265*2,"")</f>
        <v>106.83058604651163</v>
      </c>
      <c r="BJ289" s="15">
        <f>IF(Distances!GI128&lt;&gt;0,(DV289+Distances!GI128*3)*GH289*BJ265*2,"")</f>
        <v>106.83058604651163</v>
      </c>
      <c r="BM289" s="35" t="s">
        <v>24</v>
      </c>
      <c r="BN289" s="16">
        <v>947.30160000000001</v>
      </c>
      <c r="BO289" s="14">
        <v>1238.7816</v>
      </c>
      <c r="BP289" s="14">
        <v>759.78</v>
      </c>
      <c r="BQ289" s="14">
        <v>759.78</v>
      </c>
      <c r="BR289" s="14">
        <v>804.85439999999994</v>
      </c>
      <c r="BS289" s="14">
        <v>2521.3355999999999</v>
      </c>
      <c r="BT289" s="14">
        <v>2615.9196000000002</v>
      </c>
      <c r="BU289" s="14">
        <v>2521.3355999999999</v>
      </c>
      <c r="BV289" s="14">
        <v>789.83519999999999</v>
      </c>
      <c r="BW289" s="14">
        <v>789.83519999999999</v>
      </c>
      <c r="BX289" s="14">
        <v>2641.5563999999999</v>
      </c>
      <c r="BY289" s="14">
        <v>2641.5563999999999</v>
      </c>
      <c r="BZ289" s="14">
        <v>1312.3152</v>
      </c>
      <c r="CA289" s="14">
        <v>1467.1692</v>
      </c>
      <c r="CB289" s="14">
        <v>2037.4284</v>
      </c>
      <c r="CC289" s="13">
        <v>698.89679999999998</v>
      </c>
      <c r="CD289" s="13">
        <v>692.31119999999999</v>
      </c>
      <c r="CE289" s="13">
        <v>712.05960000000005</v>
      </c>
      <c r="CF289" s="13">
        <v>679.14</v>
      </c>
      <c r="CG289" s="13">
        <v>692.53800000000001</v>
      </c>
      <c r="CH289" s="13">
        <v>1045.8335999999999</v>
      </c>
      <c r="CI289" s="13">
        <v>685.72559999999999</v>
      </c>
      <c r="CJ289" s="13">
        <v>890.16480000000001</v>
      </c>
      <c r="CK289" s="12">
        <v>0</v>
      </c>
      <c r="CL289" s="13">
        <v>813.83399999999995</v>
      </c>
      <c r="CM289" s="13">
        <v>799.05840000000001</v>
      </c>
      <c r="CN289" s="13">
        <v>769.49879999999996</v>
      </c>
      <c r="CO289" s="13">
        <v>762.10679999999991</v>
      </c>
      <c r="CP289" s="13">
        <v>478.57319999999999</v>
      </c>
      <c r="CQ289" s="13">
        <v>949.07399999999984</v>
      </c>
      <c r="CR289" s="13">
        <v>949.07399999999984</v>
      </c>
      <c r="CS289" s="13">
        <v>949.07399999999984</v>
      </c>
      <c r="CT289" s="14">
        <v>1572.3036</v>
      </c>
      <c r="CU289" s="14">
        <v>1778.0279999999998</v>
      </c>
      <c r="CV289" s="14">
        <v>1572.3036</v>
      </c>
      <c r="CW289" s="14">
        <v>1829.7803999999999</v>
      </c>
      <c r="CX289" s="14">
        <v>1477.6692</v>
      </c>
      <c r="CY289" s="14">
        <v>1477.6692</v>
      </c>
      <c r="CZ289" s="14">
        <v>1477.6692</v>
      </c>
      <c r="DA289" s="14">
        <v>1242.1332</v>
      </c>
      <c r="DB289" s="14">
        <v>1266.2328</v>
      </c>
      <c r="DC289" s="14">
        <v>1469.2607999999998</v>
      </c>
      <c r="DD289" s="14">
        <v>1218.2772</v>
      </c>
      <c r="DE289" s="14">
        <v>1218.2772</v>
      </c>
      <c r="DF289" s="14">
        <v>1218.2772</v>
      </c>
      <c r="DG289" s="14">
        <v>1265.3676</v>
      </c>
      <c r="DH289" s="14">
        <v>890.16480000000001</v>
      </c>
      <c r="DI289" s="14">
        <v>890.16480000000001</v>
      </c>
      <c r="DJ289" s="14">
        <v>1289.4503999999999</v>
      </c>
      <c r="DK289" s="14">
        <v>0</v>
      </c>
      <c r="DL289" s="14">
        <v>3704.1143999999999</v>
      </c>
      <c r="DM289" s="14">
        <v>1016.9796</v>
      </c>
      <c r="DN289" s="13">
        <v>873.54960000000005</v>
      </c>
      <c r="DO289" s="14">
        <v>1205.1564000000001</v>
      </c>
      <c r="DP289" s="14">
        <v>1289.4503999999999</v>
      </c>
      <c r="DQ289" s="14">
        <v>1277.4048</v>
      </c>
      <c r="DR289" s="13">
        <v>1481.4911999999999</v>
      </c>
      <c r="DS289" s="13">
        <v>1026.4884</v>
      </c>
      <c r="DT289" s="14">
        <v>2777.8128000000002</v>
      </c>
      <c r="DU289" s="14">
        <v>2081.7719999999999</v>
      </c>
      <c r="DV289" s="15">
        <v>2081.7719999999999</v>
      </c>
      <c r="DY289" s="35" t="s">
        <v>24</v>
      </c>
      <c r="DZ289" s="16">
        <v>6.2500000000000003E-3</v>
      </c>
      <c r="EA289" s="14">
        <v>6.2500000000000003E-3</v>
      </c>
      <c r="EB289" s="14">
        <v>6.2500000000000003E-3</v>
      </c>
      <c r="EC289" s="14">
        <v>6.2500000000000003E-3</v>
      </c>
      <c r="ED289" s="14">
        <v>6.2500000000000003E-3</v>
      </c>
      <c r="EE289" s="14">
        <v>6.2500000000000003E-3</v>
      </c>
      <c r="EF289" s="14">
        <v>6.2500000000000003E-3</v>
      </c>
      <c r="EG289" s="14">
        <v>6.2500000000000003E-3</v>
      </c>
      <c r="EH289" s="14">
        <v>6.2500000000000003E-3</v>
      </c>
      <c r="EI289" s="14">
        <v>6.2500000000000003E-3</v>
      </c>
      <c r="EJ289" s="14">
        <v>6.2500000000000003E-3</v>
      </c>
      <c r="EK289" s="14">
        <v>6.2500000000000003E-3</v>
      </c>
      <c r="EL289" s="14">
        <v>6.2500000000000003E-3</v>
      </c>
      <c r="EM289" s="14">
        <v>4.6511627906976744E-3</v>
      </c>
      <c r="EN289" s="14">
        <v>4.6511627906976744E-3</v>
      </c>
      <c r="EO289" s="13">
        <f t="shared" si="103"/>
        <v>1.2500000000000001E-2</v>
      </c>
      <c r="EP289" s="13">
        <f t="shared" si="103"/>
        <v>1.2500000000000001E-2</v>
      </c>
      <c r="EQ289" s="13">
        <f t="shared" si="103"/>
        <v>1.2500000000000001E-2</v>
      </c>
      <c r="ER289" s="13">
        <f t="shared" si="103"/>
        <v>1.2500000000000001E-2</v>
      </c>
      <c r="ES289" s="13">
        <f t="shared" si="103"/>
        <v>1.2500000000000001E-2</v>
      </c>
      <c r="ET289" s="13">
        <f t="shared" si="103"/>
        <v>1.2500000000000001E-2</v>
      </c>
      <c r="EU289" s="13">
        <f t="shared" si="103"/>
        <v>1.2500000000000001E-2</v>
      </c>
      <c r="EV289" s="13">
        <f t="shared" si="103"/>
        <v>1.2500000000000001E-2</v>
      </c>
      <c r="EW289" s="12">
        <v>0.6</v>
      </c>
      <c r="EX289" s="13">
        <f t="shared" si="100"/>
        <v>1.2500000000000001E-2</v>
      </c>
      <c r="EY289" s="13">
        <f t="shared" si="100"/>
        <v>1.2500000000000001E-2</v>
      </c>
      <c r="EZ289" s="13">
        <f t="shared" si="100"/>
        <v>1.2500000000000001E-2</v>
      </c>
      <c r="FA289" s="13">
        <f t="shared" si="100"/>
        <v>1.2500000000000001E-2</v>
      </c>
      <c r="FB289" s="13">
        <f t="shared" si="100"/>
        <v>1.2500000000000001E-2</v>
      </c>
      <c r="FC289" s="13">
        <f t="shared" si="100"/>
        <v>1.2500000000000001E-2</v>
      </c>
      <c r="FD289" s="13">
        <f t="shared" si="100"/>
        <v>1.2500000000000001E-2</v>
      </c>
      <c r="FE289" s="13">
        <f t="shared" si="100"/>
        <v>1.2500000000000001E-2</v>
      </c>
      <c r="FF289" s="14">
        <v>5.7142857142857143E-3</v>
      </c>
      <c r="FG289" s="14">
        <v>5.7142857142857143E-3</v>
      </c>
      <c r="FH289" s="14">
        <v>5.7142857142857143E-3</v>
      </c>
      <c r="FI289" s="14">
        <v>5.7142857142857143E-3</v>
      </c>
      <c r="FJ289" s="14">
        <v>5.7142857142857143E-3</v>
      </c>
      <c r="FK289" s="14">
        <v>5.7142857142857143E-3</v>
      </c>
      <c r="FL289" s="14">
        <v>5.7142857142857143E-3</v>
      </c>
      <c r="FM289" s="14">
        <v>4.7619047619047623E-3</v>
      </c>
      <c r="FN289" s="14">
        <v>4.7619047619047623E-3</v>
      </c>
      <c r="FO289" s="14">
        <v>4.7619047619047623E-3</v>
      </c>
      <c r="FP289" s="14">
        <v>5.7142857142857143E-3</v>
      </c>
      <c r="FQ289" s="14">
        <v>5.7142857142857143E-3</v>
      </c>
      <c r="FR289" s="14">
        <v>5.7142857142857143E-3</v>
      </c>
      <c r="FS289" s="14">
        <v>5.7142857142857143E-3</v>
      </c>
      <c r="FT289" s="14">
        <v>5.8823529411764705E-3</v>
      </c>
      <c r="FU289" s="14">
        <v>5.7142857142857143E-3</v>
      </c>
      <c r="FV289" s="14">
        <v>5.7142857142857143E-3</v>
      </c>
      <c r="FW289" s="14">
        <v>4.5454545454545461E-3</v>
      </c>
      <c r="FX289" s="14">
        <v>4.5454545454545461E-3</v>
      </c>
      <c r="FY289" s="14">
        <v>5.7142857142857143E-3</v>
      </c>
      <c r="FZ289" s="13">
        <f t="shared" si="104"/>
        <v>1.2500000000000001E-2</v>
      </c>
      <c r="GA289" s="14">
        <v>5.7142857142857143E-3</v>
      </c>
      <c r="GB289" s="14">
        <v>5.7142857142857143E-3</v>
      </c>
      <c r="GC289" s="14">
        <v>5.7142857142857143E-3</v>
      </c>
      <c r="GD289" s="13">
        <f t="shared" si="102"/>
        <v>1.2500000000000001E-2</v>
      </c>
      <c r="GE289" s="13">
        <f t="shared" si="102"/>
        <v>1.2500000000000001E-2</v>
      </c>
      <c r="GF289" s="14">
        <v>4.6511627906976744E-3</v>
      </c>
      <c r="GG289" s="14">
        <v>4.6511627906976744E-3</v>
      </c>
      <c r="GH289" s="15">
        <v>4.6511627906976744E-3</v>
      </c>
    </row>
    <row r="290" spans="1:190" x14ac:dyDescent="0.3">
      <c r="A290" s="35" t="s">
        <v>25</v>
      </c>
      <c r="B290" s="16">
        <f>IF(Distances!EA129&lt;&gt;0,(BN290+Distances!EA129*3)*DZ290*B265*2,"")</f>
        <v>4149.7880100000002</v>
      </c>
      <c r="C290" s="14">
        <f>IF(Distances!EB129&lt;&gt;0,(BO290+Distances!EB129*3)*EA290*C265*2,"")</f>
        <v>4872.8793299999998</v>
      </c>
      <c r="D290" s="14">
        <f>IF(Distances!EC129&lt;&gt;0,(BP290+Distances!EC129*3)*EB290*D265*2,"")</f>
        <v>19611.608339999999</v>
      </c>
      <c r="E290" s="14">
        <f>IF(Distances!ED129&lt;&gt;0,(BQ290+Distances!ED129*3)*EC290*E265*2,"")</f>
        <v>2967.8183399999998</v>
      </c>
      <c r="F290" s="14">
        <f>IF(Distances!EE129&lt;&gt;0,(BR290+Distances!EE129*3)*ED290*F265*2,"")</f>
        <v>3596.7584699999998</v>
      </c>
      <c r="G290" s="14">
        <f>IF(Distances!EF129&lt;&gt;0,(BS290+Distances!EF129*3)*EE290*G265*2,"")</f>
        <v>29148.975720000002</v>
      </c>
      <c r="H290" s="14">
        <f>IF(Distances!EG129&lt;&gt;0,(BT290+Distances!EG129*3)*EF290*H265*2,"")</f>
        <v>7001.9603400000005</v>
      </c>
      <c r="I290" s="14">
        <f>IF(Distances!EH129&lt;&gt;0,(BU290+Distances!EH129*3)*EG290*I265*2,"")</f>
        <v>6740.6107199999997</v>
      </c>
      <c r="J290" s="14">
        <f>IF(Distances!EI129&lt;&gt;0,(BV290+Distances!EI129*3)*EH290*J265*2,"")</f>
        <v>140.97138000000001</v>
      </c>
      <c r="K290" s="14">
        <f>IF(Distances!EJ129&lt;&gt;0,(BW290+Distances!EJ129*3)*EI290*K265*2,"")</f>
        <v>60.631380000000007</v>
      </c>
      <c r="L290" s="14">
        <f>IF(Distances!EK129&lt;&gt;0,(BX290+Distances!EK129*3)*EJ290*L265*2,"")</f>
        <v>139.98071999999999</v>
      </c>
      <c r="M290" s="14">
        <f>IF(Distances!EL129&lt;&gt;0,(BY290+Distances!EL129*3)*EK290*M265*2,"")</f>
        <v>139.98071999999999</v>
      </c>
      <c r="N290" s="14">
        <f>IF(Distances!EM129&lt;&gt;0,(BZ290+Distances!EM129*3)*EL290*N265*2,"")</f>
        <v>101.52762000000001</v>
      </c>
      <c r="O290" s="14">
        <f>IF(Distances!EN129&lt;&gt;0,(CA290+Distances!EN129*3)*EM290*O265*2,"")</f>
        <v>90.214202790697669</v>
      </c>
      <c r="P290" s="14">
        <f>IF(Distances!EO129&lt;&gt;0,(CB290+Distances!EO129*3)*EN290*P265*2,"")</f>
        <v>127.18053209302326</v>
      </c>
      <c r="Q290" s="13">
        <f>IF(Distances!EP129&lt;&gt;0,(CC290+Distances!EP129*3)*EO290*Q265*2,"")</f>
        <v>1339.0065</v>
      </c>
      <c r="R290" s="13">
        <f>IF(Distances!EQ129&lt;&gt;0,(CD290+Distances!EQ129*3)*EP290*R265*2,"")</f>
        <v>1329.1469999999999</v>
      </c>
      <c r="S290" s="13">
        <f>IF(Distances!ER129&lt;&gt;0,(CE290+Distances!ER129*3)*EQ290*S265*2,"")</f>
        <v>1358.7360000000001</v>
      </c>
      <c r="T290" s="13">
        <f>IF(Distances!ES129&lt;&gt;0,(CF290+Distances!ES129*3)*ER290*T265*2,"")</f>
        <v>302.33595000000003</v>
      </c>
      <c r="U290" s="13">
        <f>IF(Distances!ET129&lt;&gt;0,(CG290+Distances!ET129*3)*ES290*U265*2,"")</f>
        <v>332.30757</v>
      </c>
      <c r="V290" s="13">
        <f>IF(Distances!EU129&lt;&gt;0,(CH290+Distances!EU129*3)*ET290*V265*2,"")</f>
        <v>3669.5834399999999</v>
      </c>
      <c r="W290" s="13">
        <f>IF(Distances!EV129&lt;&gt;0,(CI290+Distances!EV129*3)*EU290*W265*2,"")</f>
        <v>1530.36132</v>
      </c>
      <c r="X290" s="13">
        <f>IF(Distances!EW129&lt;&gt;0,(CJ290+Distances!EW129*3)*EV290*X265*2,"")</f>
        <v>2438.7561599999999</v>
      </c>
      <c r="Y290" s="13">
        <f>IF(Distances!EX129&lt;&gt;0,(CK290+Distances!EX129*3)*EW290*Y265*2,"")</f>
        <v>2663.4093000000003</v>
      </c>
      <c r="Z290" s="12" t="s">
        <v>62</v>
      </c>
      <c r="AA290" s="13">
        <f>IF(Distances!EZ129&lt;&gt;0,(CM290+Distances!EZ129*3)*EY290*AA265*2,"")</f>
        <v>70.662360000000007</v>
      </c>
      <c r="AB290" s="13">
        <f>IF(Distances!FA129&lt;&gt;0,(CN290+Distances!FA129*3)*EZ290*AB265*2,"")</f>
        <v>106.52460000000002</v>
      </c>
      <c r="AC290" s="13">
        <f>IF(Distances!FB129&lt;&gt;0,(CO290+Distances!FB129*3)*FA290*AC265*2,"")</f>
        <v>47.720160000000007</v>
      </c>
      <c r="AD290" s="13">
        <f>IF(Distances!FC129&lt;&gt;0,(CP290+Distances!FC129*3)*FB290*AD265*2,"")</f>
        <v>65.460539999999995</v>
      </c>
      <c r="AE290" s="13">
        <f>IF(Distances!FD129&lt;&gt;0,(CQ290+Distances!FD129*3)*FC290*AE265*2,"")</f>
        <v>207.66095999999999</v>
      </c>
      <c r="AF290" s="13">
        <f>IF(Distances!FE129&lt;&gt;0,(CR290+Distances!FE129*3)*FD290*AF265*2,"")</f>
        <v>405.12191999999999</v>
      </c>
      <c r="AG290" s="13">
        <f>IF(Distances!FF129&lt;&gt;0,(CS290+Distances!FF129*3)*FE290*AG265*2,"")</f>
        <v>304.20191999999997</v>
      </c>
      <c r="AH290" s="14">
        <f>IF(Distances!FG129&lt;&gt;0,(CT290+Distances!FG129*3)*FF290*AH265*2,"")</f>
        <v>59.726002285714287</v>
      </c>
      <c r="AI290" s="14">
        <f>IF(Distances!FH129&lt;&gt;0,(CU290+Distances!FH129*3)*FG290*AI265*2,"")</f>
        <v>17.716937142857141</v>
      </c>
      <c r="AJ290" s="14">
        <f>IF(Distances!FI129&lt;&gt;0,(CV290+Distances!FI129*3)*FH290*AJ265*2,"")</f>
        <v>45.888287999999996</v>
      </c>
      <c r="AK290" s="14">
        <f>IF(Distances!FJ129&lt;&gt;0,(CW290+Distances!FJ129*3)*FI290*AK265*2,"")</f>
        <v>18.154793142857145</v>
      </c>
      <c r="AL290" s="14">
        <f>IF(Distances!FK129&lt;&gt;0,(CX290+Distances!FK129*3)*FJ290*AL265*2,"")</f>
        <v>440.63703771428567</v>
      </c>
      <c r="AM290" s="14">
        <f>IF(Distances!FL129&lt;&gt;0,(CY290+Distances!FL129*3)*FK290*AM265*2,"")</f>
        <v>440.63703771428567</v>
      </c>
      <c r="AN290" s="14">
        <f>IF(Distances!FM129&lt;&gt;0,(CZ290+Distances!FM129*3)*FL290*AN265*2,"")</f>
        <v>726.86789485714291</v>
      </c>
      <c r="AO290" s="14">
        <f>IF(Distances!FN129&lt;&gt;0,(DA290+Distances!FN129*3)*FM290*AO265*2,"")</f>
        <v>24.809508571428577</v>
      </c>
      <c r="AP290" s="14">
        <f>IF(Distances!FO129&lt;&gt;0,(DB290+Distances!FO129*3)*FN290*AP265*2,"")</f>
        <v>25.204388571428574</v>
      </c>
      <c r="AQ290" s="14">
        <f>IF(Distances!FP129&lt;&gt;0,(DC290+Distances!FP129*3)*FO290*AQ265*2,"")</f>
        <v>30.925188571428574</v>
      </c>
      <c r="AR290" s="14">
        <f>IF(Distances!FQ129&lt;&gt;0,(DD290+Distances!FQ129*3)*FP290*AR265*2,"")</f>
        <v>30.926482285714286</v>
      </c>
      <c r="AS290" s="14">
        <f>IF(Distances!FR129&lt;&gt;0,(DE290+Distances!FR129*3)*FQ290*AS265*2,"")</f>
        <v>30.926482285714286</v>
      </c>
      <c r="AT290" s="14">
        <f>IF(Distances!FS129&lt;&gt;0,(DF290+Distances!FS129*3)*FR290*AT265*2,"")</f>
        <v>30.926482285714286</v>
      </c>
      <c r="AU290" s="14">
        <f>IF(Distances!FT129&lt;&gt;0,(DG290+Distances!FT129*3)*FS290*AU265*2,"")</f>
        <v>232.78886400000002</v>
      </c>
      <c r="AV290" s="14">
        <f>IF(Distances!FU129&lt;&gt;0,(DH290+Distances!FU129*3)*FT290*AV265*2,"")</f>
        <v>188.86475294117645</v>
      </c>
      <c r="AW290" s="14">
        <f>IF(Distances!FV129&lt;&gt;0,(DI290+Distances!FV129*3)*FU290*AW265*2,"")</f>
        <v>824.80004571428583</v>
      </c>
      <c r="AX290" s="14">
        <f>IF(Distances!FW129&lt;&gt;0,(DJ290+Distances!FW129*3)*FV290*AX265*2,"")</f>
        <v>76.798285714285711</v>
      </c>
      <c r="AY290" s="14">
        <f>IF(Distances!FX129&lt;&gt;0,(DK290+Distances!FX129*3)*FW290*AY265*2,"")</f>
        <v>8.4981818181818198</v>
      </c>
      <c r="AZ290" s="14">
        <f>IF(Distances!FY129&lt;&gt;0,(DL290+Distances!FY129*3)*FX290*AZ265*2,"")</f>
        <v>178.04133818181822</v>
      </c>
      <c r="BA290" s="14">
        <f>IF(Distances!FZ129&lt;&gt;0,(DM290+Distances!FZ129*3)*FY290*BA265*2,"")</f>
        <v>48.783140571428561</v>
      </c>
      <c r="BB290" s="13">
        <f>IF(Distances!GA129&lt;&gt;0,(DN290+Distances!GA129*3)*FZ290*BB265*2,"")</f>
        <v>125.59464000000001</v>
      </c>
      <c r="BC290" s="14">
        <f>IF(Distances!GB129&lt;&gt;0,(DO290+Distances!GB129*3)*GA290*BC265*2,"")</f>
        <v>464.97002057142856</v>
      </c>
      <c r="BD290" s="14">
        <f>IF(Distances!GC129&lt;&gt;0,(DP290+Distances!GC129*3)*GB290*BD265*2,"")</f>
        <v>619.43588571428575</v>
      </c>
      <c r="BE290" s="14">
        <f>IF(Distances!GD129&lt;&gt;0,(DQ290+Distances!GD129*3)*GC290*BE265*2,"")</f>
        <v>487.71510857142857</v>
      </c>
      <c r="BF290" s="13">
        <f>IF(Distances!GE129&lt;&gt;0,(DR290+Distances!GE129*3)*GD290*BF265*2,"")</f>
        <v>430.97796</v>
      </c>
      <c r="BG290" s="13">
        <f>IF(Distances!GF129&lt;&gt;0,(DS290+Distances!GF129*3)*GE290*BG265*2,"")</f>
        <v>97.536960000000022</v>
      </c>
      <c r="BH290" s="14">
        <f>IF(Distances!GG129&lt;&gt;0,(DT290+Distances!GG129*3)*GF290*BH265*2,"")</f>
        <v>102.69798697674418</v>
      </c>
      <c r="BI290" s="14">
        <f>IF(Distances!GH129&lt;&gt;0,(DU290+Distances!GH129*3)*GG290*BI265*2,"")</f>
        <v>76.391531162790685</v>
      </c>
      <c r="BJ290" s="15">
        <f>IF(Distances!GI129&lt;&gt;0,(DV290+Distances!GI129*3)*GH290*BJ265*2,"")</f>
        <v>76.391531162790685</v>
      </c>
      <c r="BM290" s="35" t="s">
        <v>25</v>
      </c>
      <c r="BN290" s="16">
        <v>1409.7803999999999</v>
      </c>
      <c r="BO290" s="14">
        <v>1696.1532</v>
      </c>
      <c r="BP290" s="14">
        <v>941.67359999999996</v>
      </c>
      <c r="BQ290" s="14">
        <v>941.67359999999996</v>
      </c>
      <c r="BR290" s="14">
        <v>997.55879999999991</v>
      </c>
      <c r="BS290" s="14">
        <v>2435.8488000000002</v>
      </c>
      <c r="BT290" s="14">
        <v>2539.3535999999999</v>
      </c>
      <c r="BU290" s="14">
        <v>2435.8488000000002</v>
      </c>
      <c r="BV290" s="14">
        <v>978.9276000000001</v>
      </c>
      <c r="BW290" s="14">
        <v>978.9276000000001</v>
      </c>
      <c r="BX290" s="14">
        <v>2565.9143999999997</v>
      </c>
      <c r="BY290" s="14">
        <v>2565.9143999999997</v>
      </c>
      <c r="BZ290" s="14">
        <v>1796.8524</v>
      </c>
      <c r="CA290" s="14">
        <v>1151.7323999999999</v>
      </c>
      <c r="CB290" s="14">
        <v>1719.4295999999999</v>
      </c>
      <c r="CC290" s="13">
        <v>837.50519999999995</v>
      </c>
      <c r="CD290" s="13">
        <v>829.61759999999992</v>
      </c>
      <c r="CE290" s="13">
        <v>853.28880000000004</v>
      </c>
      <c r="CF290" s="13">
        <v>813.83399999999995</v>
      </c>
      <c r="CG290" s="13">
        <v>706.70039999999995</v>
      </c>
      <c r="CH290" s="13">
        <v>755.6472</v>
      </c>
      <c r="CI290" s="13">
        <v>821.72159999999997</v>
      </c>
      <c r="CJ290" s="13">
        <v>1041.7007999999998</v>
      </c>
      <c r="CK290" s="13">
        <v>813.83399999999995</v>
      </c>
      <c r="CL290" s="12">
        <v>0</v>
      </c>
      <c r="CM290" s="13">
        <v>755.6472</v>
      </c>
      <c r="CN290" s="13">
        <v>727.69199999999989</v>
      </c>
      <c r="CO290" s="13">
        <v>720.70320000000004</v>
      </c>
      <c r="CP290" s="13">
        <v>1075.5107999999998</v>
      </c>
      <c r="CQ290" s="13">
        <v>934.81920000000002</v>
      </c>
      <c r="CR290" s="13">
        <v>934.81920000000002</v>
      </c>
      <c r="CS290" s="13">
        <v>934.81920000000002</v>
      </c>
      <c r="CT290" s="14">
        <v>833.72519999999997</v>
      </c>
      <c r="CU290" s="14">
        <v>1316.5319999999999</v>
      </c>
      <c r="CV290" s="14">
        <v>833.72519999999997</v>
      </c>
      <c r="CW290" s="14">
        <v>1354.8444</v>
      </c>
      <c r="CX290" s="14">
        <v>480.29519999999997</v>
      </c>
      <c r="CY290" s="14">
        <v>480.29519999999997</v>
      </c>
      <c r="CZ290" s="14">
        <v>480.29519999999997</v>
      </c>
      <c r="DA290" s="14">
        <v>1068.7992000000002</v>
      </c>
      <c r="DB290" s="14">
        <v>1089.5303999999999</v>
      </c>
      <c r="DC290" s="14">
        <v>1389.8724</v>
      </c>
      <c r="DD290" s="14">
        <v>1119.3335999999999</v>
      </c>
      <c r="DE290" s="14">
        <v>1119.3335999999999</v>
      </c>
      <c r="DF290" s="14">
        <v>1119.3335999999999</v>
      </c>
      <c r="DG290" s="14">
        <v>1089.5303999999999</v>
      </c>
      <c r="DH290" s="14">
        <v>1041.7007999999998</v>
      </c>
      <c r="DI290" s="14">
        <v>1041.7007999999998</v>
      </c>
      <c r="DJ290" s="14">
        <v>1110.27</v>
      </c>
      <c r="DK290" s="14">
        <v>0</v>
      </c>
      <c r="DL290" s="14">
        <v>3274.3368</v>
      </c>
      <c r="DM290" s="14">
        <v>833.43119999999988</v>
      </c>
      <c r="DN290" s="13">
        <v>1022.2464</v>
      </c>
      <c r="DO290" s="14">
        <v>1037.7023999999999</v>
      </c>
      <c r="DP290" s="14">
        <v>1110.27</v>
      </c>
      <c r="DQ290" s="14">
        <v>1099.896</v>
      </c>
      <c r="DR290" s="13">
        <v>1180.7796000000001</v>
      </c>
      <c r="DS290" s="13">
        <v>741.66960000000006</v>
      </c>
      <c r="DT290" s="14">
        <v>2526.3083999999999</v>
      </c>
      <c r="DU290" s="14">
        <v>1819.3224</v>
      </c>
      <c r="DV290" s="15">
        <v>1819.3224</v>
      </c>
      <c r="DY290" s="35" t="s">
        <v>25</v>
      </c>
      <c r="DZ290" s="16">
        <v>6.2500000000000003E-3</v>
      </c>
      <c r="EA290" s="14">
        <v>6.2500000000000003E-3</v>
      </c>
      <c r="EB290" s="14">
        <v>6.2500000000000003E-3</v>
      </c>
      <c r="EC290" s="14">
        <v>6.2500000000000003E-3</v>
      </c>
      <c r="ED290" s="14">
        <v>6.2500000000000003E-3</v>
      </c>
      <c r="EE290" s="14">
        <v>6.2500000000000003E-3</v>
      </c>
      <c r="EF290" s="14">
        <v>6.2500000000000003E-3</v>
      </c>
      <c r="EG290" s="14">
        <v>6.2500000000000003E-3</v>
      </c>
      <c r="EH290" s="14">
        <v>6.2500000000000003E-3</v>
      </c>
      <c r="EI290" s="14">
        <v>6.2500000000000003E-3</v>
      </c>
      <c r="EJ290" s="14">
        <v>6.2500000000000003E-3</v>
      </c>
      <c r="EK290" s="14">
        <v>6.2500000000000003E-3</v>
      </c>
      <c r="EL290" s="14">
        <v>6.2500000000000003E-3</v>
      </c>
      <c r="EM290" s="14">
        <v>4.6511627906976744E-3</v>
      </c>
      <c r="EN290" s="14">
        <v>4.6511627906976744E-3</v>
      </c>
      <c r="EO290" s="13">
        <f t="shared" si="103"/>
        <v>1.2500000000000001E-2</v>
      </c>
      <c r="EP290" s="13">
        <f t="shared" si="103"/>
        <v>1.2500000000000001E-2</v>
      </c>
      <c r="EQ290" s="13">
        <f t="shared" si="103"/>
        <v>1.2500000000000001E-2</v>
      </c>
      <c r="ER290" s="13">
        <f t="shared" si="103"/>
        <v>1.2500000000000001E-2</v>
      </c>
      <c r="ES290" s="13">
        <f t="shared" si="103"/>
        <v>1.2500000000000001E-2</v>
      </c>
      <c r="ET290" s="13">
        <f t="shared" si="103"/>
        <v>1.2500000000000001E-2</v>
      </c>
      <c r="EU290" s="13">
        <f t="shared" si="103"/>
        <v>1.2500000000000001E-2</v>
      </c>
      <c r="EV290" s="13">
        <f t="shared" si="103"/>
        <v>1.2500000000000001E-2</v>
      </c>
      <c r="EW290" s="13">
        <f t="shared" si="103"/>
        <v>1.2500000000000001E-2</v>
      </c>
      <c r="EX290" s="12">
        <v>0.6</v>
      </c>
      <c r="EY290" s="13">
        <f t="shared" si="100"/>
        <v>1.2500000000000001E-2</v>
      </c>
      <c r="EZ290" s="13">
        <f t="shared" si="100"/>
        <v>1.2500000000000001E-2</v>
      </c>
      <c r="FA290" s="13">
        <f t="shared" si="100"/>
        <v>1.2500000000000001E-2</v>
      </c>
      <c r="FB290" s="13">
        <f t="shared" si="100"/>
        <v>1.2500000000000001E-2</v>
      </c>
      <c r="FC290" s="13">
        <f t="shared" si="100"/>
        <v>1.2500000000000001E-2</v>
      </c>
      <c r="FD290" s="13">
        <f t="shared" si="100"/>
        <v>1.2500000000000001E-2</v>
      </c>
      <c r="FE290" s="13">
        <f t="shared" si="100"/>
        <v>1.2500000000000001E-2</v>
      </c>
      <c r="FF290" s="14">
        <v>5.7142857142857143E-3</v>
      </c>
      <c r="FG290" s="14">
        <v>5.7142857142857143E-3</v>
      </c>
      <c r="FH290" s="14">
        <v>5.7142857142857143E-3</v>
      </c>
      <c r="FI290" s="14">
        <v>5.7142857142857143E-3</v>
      </c>
      <c r="FJ290" s="14">
        <v>5.7142857142857143E-3</v>
      </c>
      <c r="FK290" s="14">
        <v>5.7142857142857143E-3</v>
      </c>
      <c r="FL290" s="14">
        <v>5.7142857142857143E-3</v>
      </c>
      <c r="FM290" s="14">
        <v>4.7619047619047623E-3</v>
      </c>
      <c r="FN290" s="14">
        <v>4.7619047619047623E-3</v>
      </c>
      <c r="FO290" s="14">
        <v>4.7619047619047623E-3</v>
      </c>
      <c r="FP290" s="14">
        <v>5.7142857142857143E-3</v>
      </c>
      <c r="FQ290" s="14">
        <v>5.7142857142857143E-3</v>
      </c>
      <c r="FR290" s="14">
        <v>5.7142857142857143E-3</v>
      </c>
      <c r="FS290" s="14">
        <v>5.7142857142857143E-3</v>
      </c>
      <c r="FT290" s="14">
        <v>5.8823529411764705E-3</v>
      </c>
      <c r="FU290" s="14">
        <v>5.7142857142857143E-3</v>
      </c>
      <c r="FV290" s="14">
        <v>5.7142857142857143E-3</v>
      </c>
      <c r="FW290" s="14">
        <v>4.5454545454545461E-3</v>
      </c>
      <c r="FX290" s="14">
        <v>4.5454545454545461E-3</v>
      </c>
      <c r="FY290" s="14">
        <v>5.7142857142857143E-3</v>
      </c>
      <c r="FZ290" s="13">
        <f t="shared" si="104"/>
        <v>1.2500000000000001E-2</v>
      </c>
      <c r="GA290" s="14">
        <v>5.7142857142857143E-3</v>
      </c>
      <c r="GB290" s="14">
        <v>5.7142857142857143E-3</v>
      </c>
      <c r="GC290" s="14">
        <v>5.7142857142857143E-3</v>
      </c>
      <c r="GD290" s="13">
        <f t="shared" si="102"/>
        <v>1.2500000000000001E-2</v>
      </c>
      <c r="GE290" s="13">
        <f t="shared" si="102"/>
        <v>1.2500000000000001E-2</v>
      </c>
      <c r="GF290" s="14">
        <v>4.6511627906976744E-3</v>
      </c>
      <c r="GG290" s="14">
        <v>4.6511627906976744E-3</v>
      </c>
      <c r="GH290" s="15">
        <v>4.6511627906976744E-3</v>
      </c>
    </row>
    <row r="291" spans="1:190" x14ac:dyDescent="0.3">
      <c r="A291" s="35" t="s">
        <v>26</v>
      </c>
      <c r="B291" s="16">
        <f>IF(Distances!EA130&lt;&gt;0,(BN291+Distances!EA130*3)*DZ291*B265*2,"")</f>
        <v>4565.3525100000006</v>
      </c>
      <c r="C291" s="14">
        <f>IF(Distances!EB130&lt;&gt;0,(BO291+Distances!EB130*3)*EA291*C265*2,"")</f>
        <v>5275.31484</v>
      </c>
      <c r="D291" s="14">
        <f>IF(Distances!EC130&lt;&gt;0,(BP291+Distances!EC130*3)*EB291*D265*2,"")</f>
        <v>20048.679780000002</v>
      </c>
      <c r="E291" s="14">
        <f>IF(Distances!ED130&lt;&gt;0,(BQ291+Distances!ED130*3)*EC291*E265*2,"")</f>
        <v>3404.8897799999995</v>
      </c>
      <c r="F291" s="14">
        <f>IF(Distances!EE130&lt;&gt;0,(BR291+Distances!EE130*3)*ED291*F265*2,"")</f>
        <v>4031.2635</v>
      </c>
      <c r="G291" s="14">
        <f>IF(Distances!EF130&lt;&gt;0,(BS291+Distances!EF130*3)*EE291*G265*2,"")</f>
        <v>29517.454020000001</v>
      </c>
      <c r="H291" s="14">
        <f>IF(Distances!EG130&lt;&gt;0,(BT291+Distances!EG130*3)*EF291*H265*2,"")</f>
        <v>7365.6663900000003</v>
      </c>
      <c r="I291" s="14">
        <f>IF(Distances!EH130&lt;&gt;0,(BU291+Distances!EH130*3)*EG291*I265*2,"")</f>
        <v>7109.0890199999994</v>
      </c>
      <c r="J291" s="14">
        <f>IF(Distances!EI130&lt;&gt;0,(BV291+Distances!EI130*3)*EH291*J265*2,"")</f>
        <v>149.59266000000002</v>
      </c>
      <c r="K291" s="14">
        <f>IF(Distances!EJ130&lt;&gt;0,(BW291+Distances!EJ130*3)*EI291*K265*2,"")</f>
        <v>69.252660000000006</v>
      </c>
      <c r="L291" s="14">
        <f>IF(Distances!EK130&lt;&gt;0,(BX291+Distances!EK130*3)*EJ291*L265*2,"")</f>
        <v>147.07656</v>
      </c>
      <c r="M291" s="14">
        <f>IF(Distances!EL130&lt;&gt;0,(BY291+Distances!EL130*3)*EK291*M265*2,"")</f>
        <v>147.07656</v>
      </c>
      <c r="N291" s="14">
        <f>IF(Distances!EM130&lt;&gt;0,(BZ291+Distances!EM130*3)*EL291*N265*2,"")</f>
        <v>109.40507999999998</v>
      </c>
      <c r="O291" s="14">
        <f>IF(Distances!EN130&lt;&gt;0,(CA291+Distances!EN130*3)*EM291*O265*2,"")</f>
        <v>101.2368</v>
      </c>
      <c r="P291" s="14">
        <f>IF(Distances!EO130&lt;&gt;0,(CB291+Distances!EO130*3)*EN291*P265*2,"")</f>
        <v>137.53144186046509</v>
      </c>
      <c r="Q291" s="13">
        <f>IF(Distances!EP130&lt;&gt;0,(CC291+Distances!EP130*3)*EO291*Q265*2,"")</f>
        <v>1557.7515000000001</v>
      </c>
      <c r="R291" s="13">
        <f>IF(Distances!EQ130&lt;&gt;0,(CD291+Distances!EQ130*3)*EP291*R265*2,"")</f>
        <v>1548.0600000000002</v>
      </c>
      <c r="S291" s="13">
        <f>IF(Distances!ER130&lt;&gt;0,(CE291+Distances!ER130*3)*EQ291*S265*2,"")</f>
        <v>1577.1135000000002</v>
      </c>
      <c r="T291" s="13">
        <f>IF(Distances!ES130&lt;&gt;0,(CF291+Distances!ES130*3)*ER291*T265*2,"")</f>
        <v>333.03521999999998</v>
      </c>
      <c r="U291" s="13">
        <f>IF(Distances!ET130&lt;&gt;0,(CG291+Distances!ET130*3)*ES291*U265*2,"")</f>
        <v>363.35229000000004</v>
      </c>
      <c r="V291" s="13">
        <f>IF(Distances!EU130&lt;&gt;0,(CH291+Distances!EU130*3)*ET291*V265*2,"")</f>
        <v>3925.4713199999997</v>
      </c>
      <c r="W291" s="13">
        <f>IF(Distances!EV130&lt;&gt;0,(CI291+Distances!EV130*3)*EU291*W265*2,"")</f>
        <v>1784.51964</v>
      </c>
      <c r="X291" s="13">
        <f>IF(Distances!EW130&lt;&gt;0,(CJ291+Distances!EW130*3)*EV291*X265*2,"")</f>
        <v>2687.1046200000001</v>
      </c>
      <c r="Y291" s="13">
        <f>IF(Distances!EX130&lt;&gt;0,(CK291+Distances!EX130*3)*EW291*Y265*2,"")</f>
        <v>2917.7746800000004</v>
      </c>
      <c r="Z291" s="13">
        <f>IF(Distances!EY130&lt;&gt;0,(CL291+Distances!EY130*3)*EX291*Z265*2,"")</f>
        <v>70.662360000000007</v>
      </c>
      <c r="AA291" s="12" t="s">
        <v>62</v>
      </c>
      <c r="AB291" s="13">
        <f>IF(Distances!FA130&lt;&gt;0,(CN291+Distances!FA130*3)*EZ291*AB265*2,"")</f>
        <v>115.37394</v>
      </c>
      <c r="AC291" s="13">
        <f>IF(Distances!FB130&lt;&gt;0,(CO291+Distances!FB130*3)*FA291*AC265*2,"")</f>
        <v>56.576220000000006</v>
      </c>
      <c r="AD291" s="13">
        <f>IF(Distances!FC130&lt;&gt;0,(CP291+Distances!FC130*3)*FB291*AD265*2,"")</f>
        <v>73.994039999999998</v>
      </c>
      <c r="AE291" s="13">
        <f>IF(Distances!FD130&lt;&gt;0,(CQ291+Distances!FD130*3)*FC291*AE265*2,"")</f>
        <v>216.32214000000005</v>
      </c>
      <c r="AF291" s="13">
        <f>IF(Distances!FE130&lt;&gt;0,(CR291+Distances!FE130*3)*FD291*AF265*2,"")</f>
        <v>422.44428000000011</v>
      </c>
      <c r="AG291" s="13">
        <f>IF(Distances!FF130&lt;&gt;0,(CS291+Distances!FF130*3)*FE291*AG265*2,"")</f>
        <v>321.52427999999998</v>
      </c>
      <c r="AH291" s="14">
        <f>IF(Distances!FG130&lt;&gt;0,(CT291+Distances!FG130*3)*FF291*AH265*2,"")</f>
        <v>61.72662857142857</v>
      </c>
      <c r="AI291" s="14">
        <f>IF(Distances!FH130&lt;&gt;0,(CU291+Distances!FH130*3)*FG291*AI265*2,"")</f>
        <v>19.617243428571431</v>
      </c>
      <c r="AJ291" s="14">
        <f>IF(Distances!FI130&lt;&gt;0,(CV291+Distances!FI130*3)*FH291*AJ265*2,"")</f>
        <v>47.888914285714293</v>
      </c>
      <c r="AK291" s="14">
        <f>IF(Distances!FJ130&lt;&gt;0,(CW291+Distances!FJ130*3)*FI291*AK265*2,"")</f>
        <v>20.047227428571428</v>
      </c>
      <c r="AL291" s="14">
        <f>IF(Distances!FK130&lt;&gt;0,(CX291+Distances!FK130*3)*FJ291*AL265*2,"")</f>
        <v>552.64180114285716</v>
      </c>
      <c r="AM291" s="14">
        <f>IF(Distances!FL130&lt;&gt;0,(CY291+Distances!FL130*3)*FK291*AM265*2,"")</f>
        <v>552.64180114285716</v>
      </c>
      <c r="AN291" s="14">
        <f>IF(Distances!FM130&lt;&gt;0,(CZ291+Distances!FM130*3)*FL291*AN265*2,"")</f>
        <v>838.87265828571435</v>
      </c>
      <c r="AO291" s="14">
        <f>IF(Distances!FN130&lt;&gt;0,(DA291+Distances!FN130*3)*FM291*AO265*2,"")</f>
        <v>28.06260571428572</v>
      </c>
      <c r="AP291" s="14">
        <f>IF(Distances!FO130&lt;&gt;0,(DB291+Distances!FO130*3)*FN291*AP265*2,"")</f>
        <v>28.45028571428572</v>
      </c>
      <c r="AQ291" s="14">
        <f>IF(Distances!FP130&lt;&gt;0,(DC291+Distances!FP130*3)*FO291*AQ265*2,"")</f>
        <v>34.067085714285717</v>
      </c>
      <c r="AR291" s="14">
        <f>IF(Distances!FQ130&lt;&gt;0,(DD291+Distances!FQ130*3)*FP291*AR265*2,"")</f>
        <v>34.809078857142858</v>
      </c>
      <c r="AS291" s="14">
        <f>IF(Distances!FR130&lt;&gt;0,(DE291+Distances!FR130*3)*FQ291*AS265*2,"")</f>
        <v>34.809078857142858</v>
      </c>
      <c r="AT291" s="14">
        <f>IF(Distances!FS130&lt;&gt;0,(DF291+Distances!FS130*3)*FR291*AT265*2,"")</f>
        <v>34.809078857142858</v>
      </c>
      <c r="AU291" s="14">
        <f>IF(Distances!FT130&lt;&gt;0,(DG291+Distances!FT130*3)*FS291*AU265*2,"")</f>
        <v>260.05440000000004</v>
      </c>
      <c r="AV291" s="14">
        <f>IF(Distances!FU130&lt;&gt;0,(DH291+Distances!FU130*3)*FT291*AV265*2,"")</f>
        <v>198.93974117647059</v>
      </c>
      <c r="AW291" s="14">
        <f>IF(Distances!FV130&lt;&gt;0,(DI291+Distances!FV130*3)*FU291*AW265*2,"")</f>
        <v>834.58717714285729</v>
      </c>
      <c r="AX291" s="14">
        <f>IF(Distances!FW130&lt;&gt;0,(DJ291+Distances!FW130*3)*FV291*AX265*2,"")</f>
        <v>86.514377142857143</v>
      </c>
      <c r="AY291" s="14">
        <f>IF(Distances!FX130&lt;&gt;0,(DK291+Distances!FX130*3)*FW291*AY265*2,"")</f>
        <v>15.414545454545458</v>
      </c>
      <c r="AZ291" s="14">
        <f>IF(Distances!FY130&lt;&gt;0,(DL291+Distances!FY130*3)*FX291*AZ265*2,"")</f>
        <v>182.79325090909092</v>
      </c>
      <c r="BA291" s="14">
        <f>IF(Distances!FZ130&lt;&gt;0,(DM291+Distances!FZ130*3)*FY291*BA265*2,"")</f>
        <v>56.786413714285715</v>
      </c>
      <c r="BB291" s="13">
        <f>IF(Distances!GA130&lt;&gt;0,(DN291+Distances!GA130*3)*FZ291*BB265*2,"")</f>
        <v>142.75824</v>
      </c>
      <c r="BC291" s="14">
        <f>IF(Distances!GB130&lt;&gt;0,(DO291+Distances!GB130*3)*GA291*BC265*2,"")</f>
        <v>527.63530971428565</v>
      </c>
      <c r="BD291" s="14">
        <f>IF(Distances!GC130&lt;&gt;0,(DP291+Distances!GC130*3)*GB291*BD265*2,"")</f>
        <v>681.61887085714272</v>
      </c>
      <c r="BE291" s="14">
        <f>IF(Distances!GD130&lt;&gt;0,(DQ291+Distances!GD130*3)*GC291*BE265*2,"")</f>
        <v>549.96874971428565</v>
      </c>
      <c r="BF291" s="13">
        <f>IF(Distances!GE130&lt;&gt;0,(DR291+Distances!GE130*3)*GD291*BF265*2,"")</f>
        <v>447.8526</v>
      </c>
      <c r="BG291" s="13">
        <f>IF(Distances!GF130&lt;&gt;0,(DS291+Distances!GF130*3)*GE291*BG265*2,"")</f>
        <v>115.21044000000001</v>
      </c>
      <c r="BH291" s="14">
        <f>IF(Distances!GG130&lt;&gt;0,(DT291+Distances!GG130*3)*GF291*BH265*2,"")</f>
        <v>108.06675348837209</v>
      </c>
      <c r="BI291" s="14">
        <f>IF(Distances!GH130&lt;&gt;0,(DU291+Distances!GH130*3)*GG291*BI265*2,"")</f>
        <v>82.238824186046514</v>
      </c>
      <c r="BJ291" s="15">
        <f>IF(Distances!GI130&lt;&gt;0,(DV291+Distances!GI130*3)*GH291*BJ265*2,"")</f>
        <v>82.238824186046514</v>
      </c>
      <c r="BM291" s="35" t="s">
        <v>26</v>
      </c>
      <c r="BN291" s="16">
        <v>1384.1604</v>
      </c>
      <c r="BO291" s="14">
        <v>1665.3335999999999</v>
      </c>
      <c r="BP291" s="14">
        <v>924.57119999999998</v>
      </c>
      <c r="BQ291" s="14">
        <v>924.57119999999998</v>
      </c>
      <c r="BR291" s="14">
        <v>979.43999999999994</v>
      </c>
      <c r="BS291" s="14">
        <v>2391.5807999999997</v>
      </c>
      <c r="BT291" s="14">
        <v>2493.1956</v>
      </c>
      <c r="BU291" s="14">
        <v>2391.5807999999997</v>
      </c>
      <c r="BV291" s="14">
        <v>961.15319999999997</v>
      </c>
      <c r="BW291" s="14">
        <v>961.15319999999997</v>
      </c>
      <c r="BX291" s="14">
        <v>2517.6311999999998</v>
      </c>
      <c r="BY291" s="14">
        <v>2517.6311999999998</v>
      </c>
      <c r="BZ291" s="14">
        <v>1764.2015999999996</v>
      </c>
      <c r="CA291" s="14">
        <v>1130.808</v>
      </c>
      <c r="CB291" s="14">
        <v>1688.1899999999998</v>
      </c>
      <c r="CC291" s="13">
        <v>822.30119999999988</v>
      </c>
      <c r="CD291" s="13">
        <v>814.548</v>
      </c>
      <c r="CE291" s="13">
        <v>837.79079999999999</v>
      </c>
      <c r="CF291" s="13">
        <v>799.05840000000001</v>
      </c>
      <c r="CG291" s="13">
        <v>693.89880000000005</v>
      </c>
      <c r="CH291" s="13">
        <v>741.92160000000001</v>
      </c>
      <c r="CI291" s="13">
        <v>806.80319999999995</v>
      </c>
      <c r="CJ291" s="13">
        <v>1022.7755999999999</v>
      </c>
      <c r="CK291" s="13">
        <v>799.05840000000001</v>
      </c>
      <c r="CL291" s="13">
        <v>755.6472</v>
      </c>
      <c r="CM291" s="12">
        <v>0</v>
      </c>
      <c r="CN291" s="13">
        <v>714.47879999999998</v>
      </c>
      <c r="CO291" s="13">
        <v>707.62439999999992</v>
      </c>
      <c r="CP291" s="13">
        <v>1055.9807999999998</v>
      </c>
      <c r="CQ291" s="13">
        <v>917.84280000000001</v>
      </c>
      <c r="CR291" s="13">
        <v>917.84280000000001</v>
      </c>
      <c r="CS291" s="13">
        <v>917.84280000000001</v>
      </c>
      <c r="CT291" s="14">
        <v>818.57999999999993</v>
      </c>
      <c r="CU291" s="14">
        <v>1292.6088</v>
      </c>
      <c r="CV291" s="14">
        <v>818.57999999999993</v>
      </c>
      <c r="CW291" s="14">
        <v>1330.2323999999999</v>
      </c>
      <c r="CX291" s="14">
        <v>471.58439999999996</v>
      </c>
      <c r="CY291" s="14">
        <v>471.58439999999996</v>
      </c>
      <c r="CZ291" s="14">
        <v>471.58439999999996</v>
      </c>
      <c r="DA291" s="14">
        <v>1049.3868</v>
      </c>
      <c r="DB291" s="14">
        <v>1069.74</v>
      </c>
      <c r="DC291" s="14">
        <v>1364.6219999999998</v>
      </c>
      <c r="DD291" s="14">
        <v>1098.9971999999998</v>
      </c>
      <c r="DE291" s="14">
        <v>1098.9971999999998</v>
      </c>
      <c r="DF291" s="14">
        <v>1098.9971999999998</v>
      </c>
      <c r="DG291" s="14">
        <v>1069.74</v>
      </c>
      <c r="DH291" s="14">
        <v>1022.7755999999999</v>
      </c>
      <c r="DI291" s="14">
        <v>1022.7755999999999</v>
      </c>
      <c r="DJ291" s="14">
        <v>1090.1016</v>
      </c>
      <c r="DK291" s="14">
        <v>0</v>
      </c>
      <c r="DL291" s="14">
        <v>3214.8143999999998</v>
      </c>
      <c r="DM291" s="14">
        <v>818.30279999999993</v>
      </c>
      <c r="DN291" s="13">
        <v>1003.6823999999999</v>
      </c>
      <c r="DO291" s="14">
        <v>1018.8528</v>
      </c>
      <c r="DP291" s="14">
        <v>1090.1016</v>
      </c>
      <c r="DQ291" s="14">
        <v>1079.9207999999999</v>
      </c>
      <c r="DR291" s="13">
        <v>1159.326</v>
      </c>
      <c r="DS291" s="13">
        <v>728.20439999999996</v>
      </c>
      <c r="DT291" s="14">
        <v>2480.3939999999998</v>
      </c>
      <c r="DU291" s="14">
        <v>1786.2684000000002</v>
      </c>
      <c r="DV291" s="15">
        <v>1786.2684000000002</v>
      </c>
      <c r="DY291" s="35" t="s">
        <v>26</v>
      </c>
      <c r="DZ291" s="16">
        <v>6.2500000000000003E-3</v>
      </c>
      <c r="EA291" s="14">
        <v>6.2500000000000003E-3</v>
      </c>
      <c r="EB291" s="14">
        <v>6.2500000000000003E-3</v>
      </c>
      <c r="EC291" s="14">
        <v>6.2500000000000003E-3</v>
      </c>
      <c r="ED291" s="14">
        <v>6.2500000000000003E-3</v>
      </c>
      <c r="EE291" s="14">
        <v>6.2500000000000003E-3</v>
      </c>
      <c r="EF291" s="14">
        <v>6.2500000000000003E-3</v>
      </c>
      <c r="EG291" s="14">
        <v>6.2500000000000003E-3</v>
      </c>
      <c r="EH291" s="14">
        <v>6.2500000000000003E-3</v>
      </c>
      <c r="EI291" s="14">
        <v>6.2500000000000003E-3</v>
      </c>
      <c r="EJ291" s="14">
        <v>6.2500000000000003E-3</v>
      </c>
      <c r="EK291" s="14">
        <v>6.2500000000000003E-3</v>
      </c>
      <c r="EL291" s="14">
        <v>6.2500000000000003E-3</v>
      </c>
      <c r="EM291" s="14">
        <v>4.6511627906976744E-3</v>
      </c>
      <c r="EN291" s="14">
        <v>4.6511627906976744E-3</v>
      </c>
      <c r="EO291" s="13">
        <f t="shared" si="103"/>
        <v>1.2500000000000001E-2</v>
      </c>
      <c r="EP291" s="13">
        <f t="shared" si="103"/>
        <v>1.2500000000000001E-2</v>
      </c>
      <c r="EQ291" s="13">
        <f t="shared" si="103"/>
        <v>1.2500000000000001E-2</v>
      </c>
      <c r="ER291" s="13">
        <f t="shared" si="103"/>
        <v>1.2500000000000001E-2</v>
      </c>
      <c r="ES291" s="13">
        <f t="shared" si="103"/>
        <v>1.2500000000000001E-2</v>
      </c>
      <c r="ET291" s="13">
        <f t="shared" si="103"/>
        <v>1.2500000000000001E-2</v>
      </c>
      <c r="EU291" s="13">
        <f t="shared" si="103"/>
        <v>1.2500000000000001E-2</v>
      </c>
      <c r="EV291" s="13">
        <f t="shared" si="103"/>
        <v>1.2500000000000001E-2</v>
      </c>
      <c r="EW291" s="13">
        <f t="shared" si="103"/>
        <v>1.2500000000000001E-2</v>
      </c>
      <c r="EX291" s="13">
        <f t="shared" si="103"/>
        <v>1.2500000000000001E-2</v>
      </c>
      <c r="EY291" s="12">
        <v>0.6</v>
      </c>
      <c r="EZ291" s="13">
        <f t="shared" si="100"/>
        <v>1.2500000000000001E-2</v>
      </c>
      <c r="FA291" s="13">
        <f t="shared" si="100"/>
        <v>1.2500000000000001E-2</v>
      </c>
      <c r="FB291" s="13">
        <f t="shared" si="100"/>
        <v>1.2500000000000001E-2</v>
      </c>
      <c r="FC291" s="13">
        <f t="shared" si="100"/>
        <v>1.2500000000000001E-2</v>
      </c>
      <c r="FD291" s="13">
        <f t="shared" si="100"/>
        <v>1.2500000000000001E-2</v>
      </c>
      <c r="FE291" s="13">
        <f t="shared" si="100"/>
        <v>1.2500000000000001E-2</v>
      </c>
      <c r="FF291" s="14">
        <v>5.7142857142857143E-3</v>
      </c>
      <c r="FG291" s="14">
        <v>5.7142857142857143E-3</v>
      </c>
      <c r="FH291" s="14">
        <v>5.7142857142857143E-3</v>
      </c>
      <c r="FI291" s="14">
        <v>5.7142857142857143E-3</v>
      </c>
      <c r="FJ291" s="14">
        <v>5.7142857142857143E-3</v>
      </c>
      <c r="FK291" s="14">
        <v>5.7142857142857143E-3</v>
      </c>
      <c r="FL291" s="14">
        <v>5.7142857142857143E-3</v>
      </c>
      <c r="FM291" s="14">
        <v>4.7619047619047623E-3</v>
      </c>
      <c r="FN291" s="14">
        <v>4.7619047619047623E-3</v>
      </c>
      <c r="FO291" s="14">
        <v>4.7619047619047623E-3</v>
      </c>
      <c r="FP291" s="14">
        <v>5.7142857142857143E-3</v>
      </c>
      <c r="FQ291" s="14">
        <v>5.7142857142857143E-3</v>
      </c>
      <c r="FR291" s="14">
        <v>5.7142857142857143E-3</v>
      </c>
      <c r="FS291" s="14">
        <v>5.7142857142857143E-3</v>
      </c>
      <c r="FT291" s="14">
        <v>5.8823529411764705E-3</v>
      </c>
      <c r="FU291" s="14">
        <v>5.7142857142857143E-3</v>
      </c>
      <c r="FV291" s="14">
        <v>5.7142857142857143E-3</v>
      </c>
      <c r="FW291" s="14">
        <v>4.5454545454545461E-3</v>
      </c>
      <c r="FX291" s="14">
        <v>4.5454545454545461E-3</v>
      </c>
      <c r="FY291" s="14">
        <v>5.7142857142857143E-3</v>
      </c>
      <c r="FZ291" s="13">
        <f t="shared" si="104"/>
        <v>1.2500000000000001E-2</v>
      </c>
      <c r="GA291" s="14">
        <v>5.7142857142857143E-3</v>
      </c>
      <c r="GB291" s="14">
        <v>5.7142857142857143E-3</v>
      </c>
      <c r="GC291" s="14">
        <v>5.7142857142857143E-3</v>
      </c>
      <c r="GD291" s="13">
        <f t="shared" si="102"/>
        <v>1.2500000000000001E-2</v>
      </c>
      <c r="GE291" s="13">
        <f t="shared" si="102"/>
        <v>1.2500000000000001E-2</v>
      </c>
      <c r="GF291" s="14">
        <v>4.6511627906976744E-3</v>
      </c>
      <c r="GG291" s="14">
        <v>4.6511627906976744E-3</v>
      </c>
      <c r="GH291" s="15">
        <v>4.6511627906976744E-3</v>
      </c>
    </row>
    <row r="292" spans="1:190" x14ac:dyDescent="0.3">
      <c r="A292" s="35" t="s">
        <v>27</v>
      </c>
      <c r="B292" s="16">
        <f>IF(Distances!EA131&lt;&gt;0,(BN292+Distances!EA131*3)*DZ292*B265*2,"")</f>
        <v>6317.6439299999993</v>
      </c>
      <c r="C292" s="14">
        <f>IF(Distances!EB131&lt;&gt;0,(BO292+Distances!EB131*3)*EA292*C265*2,"")</f>
        <v>7001.3058599999995</v>
      </c>
      <c r="D292" s="14">
        <f>IF(Distances!EC131&lt;&gt;0,(BP292+Distances!EC131*3)*EB292*D265*2,"")</f>
        <v>21843.942660000001</v>
      </c>
      <c r="E292" s="14">
        <f>IF(Distances!ED131&lt;&gt;0,(BQ292+Distances!ED131*3)*EC292*E265*2,"")</f>
        <v>5200.1526599999997</v>
      </c>
      <c r="F292" s="14">
        <f>IF(Distances!EE131&lt;&gt;0,(BR292+Distances!EE131*3)*ED292*F265*2,"")</f>
        <v>5821.3935600000004</v>
      </c>
      <c r="G292" s="14">
        <f>IF(Distances!EF131&lt;&gt;0,(BS292+Distances!EF131*3)*EE292*G265*2,"")</f>
        <v>31175.509409999999</v>
      </c>
      <c r="H292" s="14">
        <f>IF(Distances!EG131&lt;&gt;0,(BT292+Distances!EG131*3)*EF292*H265*2,"")</f>
        <v>9014.2409100000004</v>
      </c>
      <c r="I292" s="14">
        <f>IF(Distances!EH131&lt;&gt;0,(BU292+Distances!EH131*3)*EG292*I265*2,"")</f>
        <v>8767.1444100000008</v>
      </c>
      <c r="J292" s="14">
        <f>IF(Distances!EI131&lt;&gt;0,(BV292+Distances!EI131*3)*EH292*J265*2,"")</f>
        <v>185.07437999999999</v>
      </c>
      <c r="K292" s="14">
        <f>IF(Distances!EJ131&lt;&gt;0,(BW292+Distances!EJ131*3)*EI292*K265*2,"")</f>
        <v>104.73438000000002</v>
      </c>
      <c r="L292" s="14">
        <f>IF(Distances!EK131&lt;&gt;0,(BX292+Distances!EK131*3)*EJ292*L265*2,"")</f>
        <v>179.67624000000001</v>
      </c>
      <c r="M292" s="14">
        <f>IF(Distances!EL131&lt;&gt;0,(BY292+Distances!EL131*3)*EK292*M265*2,"")</f>
        <v>179.67624000000001</v>
      </c>
      <c r="N292" s="14">
        <f>IF(Distances!EM131&lt;&gt;0,(BZ292+Distances!EM131*3)*EL292*N265*2,"")</f>
        <v>143.4</v>
      </c>
      <c r="O292" s="14">
        <f>IF(Distances!EN131&lt;&gt;0,(CA292+Distances!EN131*3)*EM292*O265*2,"")</f>
        <v>147.03695999999999</v>
      </c>
      <c r="P292" s="14">
        <f>IF(Distances!EO131&lt;&gt;0,(CB292+Distances!EO131*3)*EN292*P265*2,"")</f>
        <v>181.98713302325578</v>
      </c>
      <c r="Q292" s="13">
        <f>IF(Distances!EP131&lt;&gt;0,(CC292+Distances!EP131*3)*EO292*Q265*2,"")</f>
        <v>2451.2205000000004</v>
      </c>
      <c r="R292" s="13">
        <f>IF(Distances!EQ131&lt;&gt;0,(CD292+Distances!EQ131*3)*EP292*R265*2,"")</f>
        <v>2441.8964999999998</v>
      </c>
      <c r="S292" s="13">
        <f>IF(Distances!ER131&lt;&gt;0,(CE292+Distances!ER131*3)*EQ292*S265*2,"")</f>
        <v>2469.8789999999999</v>
      </c>
      <c r="T292" s="13">
        <f>IF(Distances!ES131&lt;&gt;0,(CF292+Distances!ES131*3)*ER292*T265*2,"")</f>
        <v>458.27228999999994</v>
      </c>
      <c r="U292" s="13">
        <f>IF(Distances!ET131&lt;&gt;0,(CG292+Distances!ET131*3)*ES292*U265*2,"")</f>
        <v>489.27291000000008</v>
      </c>
      <c r="V292" s="13">
        <f>IF(Distances!EU131&lt;&gt;0,(CH292+Distances!EU131*3)*ET292*V265*2,"")</f>
        <v>4966.2192599999998</v>
      </c>
      <c r="W292" s="13">
        <f>IF(Distances!EV131&lt;&gt;0,(CI292+Distances!EV131*3)*EU292*W265*2,"")</f>
        <v>2821.7841000000003</v>
      </c>
      <c r="X292" s="13">
        <f>IF(Distances!EW131&lt;&gt;0,(CJ292+Distances!EW131*3)*EV292*X265*2,"")</f>
        <v>3712.7737200000006</v>
      </c>
      <c r="Y292" s="13">
        <f>IF(Distances!EX131&lt;&gt;0,(CK292+Distances!EX131*3)*EW292*Y265*2,"")</f>
        <v>3955.4532599999998</v>
      </c>
      <c r="Z292" s="13">
        <f>IF(Distances!EY131&lt;&gt;0,(CL292+Distances!EY131*3)*EX292*Z265*2,"")</f>
        <v>106.52460000000002</v>
      </c>
      <c r="AA292" s="13">
        <f>IF(Distances!EZ131&lt;&gt;0,(CM292+Distances!EZ131*3)*EY292*AA265*2,"")</f>
        <v>115.37394</v>
      </c>
      <c r="AB292" s="12" t="s">
        <v>62</v>
      </c>
      <c r="AC292" s="13">
        <f>IF(Distances!FB131&lt;&gt;0,(CO292+Distances!FB131*3)*FA292*AC265*2,"")</f>
        <v>92.527499999999989</v>
      </c>
      <c r="AD292" s="13">
        <f>IF(Distances!FC131&lt;&gt;0,(CP292+Distances!FC131*3)*FB292*AD265*2,"")</f>
        <v>109.3002</v>
      </c>
      <c r="AE292" s="13">
        <f>IF(Distances!FD131&lt;&gt;0,(CQ292+Distances!FD131*3)*FC292*AE265*2,"")</f>
        <v>251.88407999999995</v>
      </c>
      <c r="AF292" s="13">
        <f>IF(Distances!FE131&lt;&gt;0,(CR292+Distances!FE131*3)*FD292*AF265*2,"")</f>
        <v>493.56816000000003</v>
      </c>
      <c r="AG292" s="13">
        <f>IF(Distances!FF131&lt;&gt;0,(CS292+Distances!FF131*3)*FE292*AG265*2,"")</f>
        <v>392.64816000000002</v>
      </c>
      <c r="AH292" s="14">
        <f>IF(Distances!FG131&lt;&gt;0,(CT292+Distances!FG131*3)*FF292*AH265*2,"")</f>
        <v>69.897216000000014</v>
      </c>
      <c r="AI292" s="14">
        <f>IF(Distances!FH131&lt;&gt;0,(CU292+Distances!FH131*3)*FG292*AI265*2,"")</f>
        <v>27.587190857142854</v>
      </c>
      <c r="AJ292" s="14">
        <f>IF(Distances!FI131&lt;&gt;0,(CV292+Distances!FI131*3)*FH292*AJ265*2,"")</f>
        <v>56.059501714285716</v>
      </c>
      <c r="AK292" s="14">
        <f>IF(Distances!FJ131&lt;&gt;0,(CW292+Distances!FJ131*3)*FI292*AK265*2,"")</f>
        <v>28.001142857142856</v>
      </c>
      <c r="AL292" s="14">
        <f>IF(Distances!FK131&lt;&gt;0,(CX292+Distances!FK131*3)*FJ292*AL265*2,"")</f>
        <v>1001.7798582857141</v>
      </c>
      <c r="AM292" s="14">
        <f>IF(Distances!FL131&lt;&gt;0,(CY292+Distances!FL131*3)*FK292*AM265*2,"")</f>
        <v>1001.7798582857141</v>
      </c>
      <c r="AN292" s="14">
        <f>IF(Distances!FM131&lt;&gt;0,(CZ292+Distances!FM131*3)*FL292*AN265*2,"")</f>
        <v>1288.0107154285713</v>
      </c>
      <c r="AO292" s="14">
        <f>IF(Distances!FN131&lt;&gt;0,(DA292+Distances!FN131*3)*FM292*AO265*2,"")</f>
        <v>41.517211428571429</v>
      </c>
      <c r="AP292" s="14">
        <f>IF(Distances!FO131&lt;&gt;0,(DB292+Distances!FO131*3)*FN292*AP265*2,"")</f>
        <v>41.890651428571431</v>
      </c>
      <c r="AQ292" s="14">
        <f>IF(Distances!FP131&lt;&gt;0,(DC292+Distances!FP131*3)*FO292*AQ265*2,"")</f>
        <v>47.299291428571436</v>
      </c>
      <c r="AR292" s="14">
        <f>IF(Distances!FQ131&lt;&gt;0,(DD292+Distances!FQ131*3)*FP292*AR265*2,"")</f>
        <v>50.912749714285717</v>
      </c>
      <c r="AS292" s="14">
        <f>IF(Distances!FR131&lt;&gt;0,(DE292+Distances!FR131*3)*FQ292*AS265*2,"")</f>
        <v>50.912749714285717</v>
      </c>
      <c r="AT292" s="14">
        <f>IF(Distances!FS131&lt;&gt;0,(DF292+Distances!FS131*3)*FR292*AT265*2,"")</f>
        <v>50.912749714285717</v>
      </c>
      <c r="AU292" s="14">
        <f>IF(Distances!FT131&lt;&gt;0,(DG292+Distances!FT131*3)*FS292*AU265*2,"")</f>
        <v>372.95347200000003</v>
      </c>
      <c r="AV292" s="14">
        <f>IF(Distances!FU131&lt;&gt;0,(DH292+Distances!FU131*3)*FT292*AV265*2,"")</f>
        <v>240.5490352941176</v>
      </c>
      <c r="AW292" s="14">
        <f>IF(Distances!FV131&lt;&gt;0,(DI292+Distances!FV131*3)*FU292*AW265*2,"")</f>
        <v>875.00763428571418</v>
      </c>
      <c r="AX292" s="14">
        <f>IF(Distances!FW131&lt;&gt;0,(DJ292+Distances!FW131*3)*FV292*AX265*2,"")</f>
        <v>127.27227428571427</v>
      </c>
      <c r="AY292" s="14">
        <f>IF(Distances!FX131&lt;&gt;0,(DK292+Distances!FX131*3)*FW292*AY265*2,"")</f>
        <v>42.512727272727275</v>
      </c>
      <c r="AZ292" s="14">
        <f>IF(Distances!FY131&lt;&gt;0,(DL292+Distances!FY131*3)*FX292*AZ265*2,"")</f>
        <v>205.56314181818183</v>
      </c>
      <c r="BA292" s="14">
        <f>IF(Distances!FZ131&lt;&gt;0,(DM292+Distances!FZ131*3)*FY292*BA265*2,"")</f>
        <v>89.468763428571421</v>
      </c>
      <c r="BB292" s="13">
        <f>IF(Distances!GA131&lt;&gt;0,(DN292+Distances!GA131*3)*FZ292*BB265*2,"")</f>
        <v>213.56459999999998</v>
      </c>
      <c r="BC292" s="14">
        <f>IF(Distances!GB131&lt;&gt;0,(DO292+Distances!GB131*3)*GA292*BC265*2,"")</f>
        <v>786.37845942857143</v>
      </c>
      <c r="BD292" s="14">
        <f>IF(Distances!GC131&lt;&gt;0,(DP292+Distances!GC131*3)*GB292*BD265*2,"")</f>
        <v>939.39741257142839</v>
      </c>
      <c r="BE292" s="14">
        <f>IF(Distances!GD131&lt;&gt;0,(DQ292+Distances!GD131*3)*GC292*BE265*2,"")</f>
        <v>807.88553142857143</v>
      </c>
      <c r="BF292" s="13">
        <f>IF(Distances!GE131&lt;&gt;0,(DR292+Distances!GE131*3)*GD292*BF265*2,"")</f>
        <v>518.08271999999999</v>
      </c>
      <c r="BG292" s="13">
        <f>IF(Distances!GF131&lt;&gt;0,(DS292+Distances!GF131*3)*GE292*BG265*2,"")</f>
        <v>187.03656000000001</v>
      </c>
      <c r="BH292" s="14">
        <f>IF(Distances!GG131&lt;&gt;0,(DT292+Distances!GG131*3)*GF292*BH265*2,"")</f>
        <v>132.37824000000001</v>
      </c>
      <c r="BI292" s="14">
        <f>IF(Distances!GH131&lt;&gt;0,(DU292+Distances!GH131*3)*GG292*BI265*2,"")</f>
        <v>107.81929674418605</v>
      </c>
      <c r="BJ292" s="15">
        <f>IF(Distances!GI131&lt;&gt;0,(DV292+Distances!GI131*3)*GH292*BJ265*2,"")</f>
        <v>107.81929674418605</v>
      </c>
      <c r="BM292" s="35" t="s">
        <v>27</v>
      </c>
      <c r="BN292" s="16">
        <v>1332.9371999999998</v>
      </c>
      <c r="BO292" s="14">
        <v>1603.6944000000001</v>
      </c>
      <c r="BP292" s="14">
        <v>890.3664</v>
      </c>
      <c r="BQ292" s="14">
        <v>890.3664</v>
      </c>
      <c r="BR292" s="14">
        <v>943.2023999999999</v>
      </c>
      <c r="BS292" s="14">
        <v>2303.0364</v>
      </c>
      <c r="BT292" s="14">
        <v>2400.8964000000001</v>
      </c>
      <c r="BU292" s="14">
        <v>2303.0364</v>
      </c>
      <c r="BV292" s="14">
        <v>925.58760000000007</v>
      </c>
      <c r="BW292" s="14">
        <v>925.58760000000007</v>
      </c>
      <c r="BX292" s="14">
        <v>2424.4247999999998</v>
      </c>
      <c r="BY292" s="14">
        <v>2424.4247999999998</v>
      </c>
      <c r="BZ292" s="14">
        <v>1698.8999999999999</v>
      </c>
      <c r="CA292" s="14">
        <v>1088.9675999999999</v>
      </c>
      <c r="CB292" s="14">
        <v>1625.7023999999999</v>
      </c>
      <c r="CC292" s="13">
        <v>791.87639999999999</v>
      </c>
      <c r="CD292" s="13">
        <v>784.41719999999998</v>
      </c>
      <c r="CE292" s="13">
        <v>806.80319999999995</v>
      </c>
      <c r="CF292" s="13">
        <v>769.49879999999996</v>
      </c>
      <c r="CG292" s="13">
        <v>668.24519999999995</v>
      </c>
      <c r="CH292" s="13">
        <v>714.47879999999998</v>
      </c>
      <c r="CI292" s="13">
        <v>776.95799999999997</v>
      </c>
      <c r="CJ292" s="13">
        <v>984.93359999999996</v>
      </c>
      <c r="CK292" s="13">
        <v>769.49879999999996</v>
      </c>
      <c r="CL292" s="13">
        <v>727.69199999999989</v>
      </c>
      <c r="CM292" s="13">
        <v>714.47879999999998</v>
      </c>
      <c r="CN292" s="12">
        <v>0</v>
      </c>
      <c r="CO292" s="13">
        <v>681.44999999999993</v>
      </c>
      <c r="CP292" s="13">
        <v>1016.9039999999999</v>
      </c>
      <c r="CQ292" s="13">
        <v>883.88159999999993</v>
      </c>
      <c r="CR292" s="13">
        <v>883.88159999999993</v>
      </c>
      <c r="CS292" s="13">
        <v>883.88159999999993</v>
      </c>
      <c r="CT292" s="14">
        <v>788.30640000000005</v>
      </c>
      <c r="CU292" s="14">
        <v>1244.7791999999999</v>
      </c>
      <c r="CV292" s="14">
        <v>788.30640000000005</v>
      </c>
      <c r="CW292" s="14">
        <v>1281</v>
      </c>
      <c r="CX292" s="14">
        <v>454.15439999999995</v>
      </c>
      <c r="CY292" s="14">
        <v>454.15439999999995</v>
      </c>
      <c r="CZ292" s="14">
        <v>454.15439999999995</v>
      </c>
      <c r="DA292" s="14">
        <v>1010.5536</v>
      </c>
      <c r="DB292" s="14">
        <v>1030.1592000000001</v>
      </c>
      <c r="DC292" s="14">
        <v>1314.1128000000001</v>
      </c>
      <c r="DD292" s="14">
        <v>1058.3328000000001</v>
      </c>
      <c r="DE292" s="14">
        <v>1058.3328000000001</v>
      </c>
      <c r="DF292" s="14">
        <v>1058.3328000000001</v>
      </c>
      <c r="DG292" s="14">
        <v>1030.1592000000001</v>
      </c>
      <c r="DH292" s="14">
        <v>984.93359999999996</v>
      </c>
      <c r="DI292" s="14">
        <v>984.93359999999996</v>
      </c>
      <c r="DJ292" s="14">
        <v>1058.1648</v>
      </c>
      <c r="DK292" s="14">
        <v>0</v>
      </c>
      <c r="DL292" s="14">
        <v>3095.7864</v>
      </c>
      <c r="DM292" s="14">
        <v>788.02919999999995</v>
      </c>
      <c r="DN292" s="13">
        <v>966.54600000000005</v>
      </c>
      <c r="DO292" s="14">
        <v>981.15359999999998</v>
      </c>
      <c r="DP292" s="14">
        <v>1049.7647999999999</v>
      </c>
      <c r="DQ292" s="14">
        <v>1039.962</v>
      </c>
      <c r="DR292" s="13">
        <v>1116.4271999999999</v>
      </c>
      <c r="DS292" s="13">
        <v>701.26559999999995</v>
      </c>
      <c r="DT292" s="14">
        <v>2388.5652</v>
      </c>
      <c r="DU292" s="14">
        <v>1728.5436</v>
      </c>
      <c r="DV292" s="15">
        <v>1728.5436</v>
      </c>
      <c r="DY292" s="35" t="s">
        <v>27</v>
      </c>
      <c r="DZ292" s="16">
        <v>6.2500000000000003E-3</v>
      </c>
      <c r="EA292" s="14">
        <v>6.2500000000000003E-3</v>
      </c>
      <c r="EB292" s="14">
        <v>6.2500000000000003E-3</v>
      </c>
      <c r="EC292" s="14">
        <v>6.2500000000000003E-3</v>
      </c>
      <c r="ED292" s="14">
        <v>6.2500000000000003E-3</v>
      </c>
      <c r="EE292" s="14">
        <v>6.2500000000000003E-3</v>
      </c>
      <c r="EF292" s="14">
        <v>6.2500000000000003E-3</v>
      </c>
      <c r="EG292" s="14">
        <v>6.2500000000000003E-3</v>
      </c>
      <c r="EH292" s="14">
        <v>6.2500000000000003E-3</v>
      </c>
      <c r="EI292" s="14">
        <v>6.2500000000000003E-3</v>
      </c>
      <c r="EJ292" s="14">
        <v>6.2500000000000003E-3</v>
      </c>
      <c r="EK292" s="14">
        <v>6.2500000000000003E-3</v>
      </c>
      <c r="EL292" s="14">
        <v>6.2500000000000003E-3</v>
      </c>
      <c r="EM292" s="14">
        <v>4.6511627906976744E-3</v>
      </c>
      <c r="EN292" s="14">
        <v>4.6511627906976744E-3</v>
      </c>
      <c r="EO292" s="13">
        <f t="shared" si="103"/>
        <v>1.2500000000000001E-2</v>
      </c>
      <c r="EP292" s="13">
        <f t="shared" si="103"/>
        <v>1.2500000000000001E-2</v>
      </c>
      <c r="EQ292" s="13">
        <f t="shared" si="103"/>
        <v>1.2500000000000001E-2</v>
      </c>
      <c r="ER292" s="13">
        <f t="shared" si="103"/>
        <v>1.2500000000000001E-2</v>
      </c>
      <c r="ES292" s="13">
        <f t="shared" si="103"/>
        <v>1.2500000000000001E-2</v>
      </c>
      <c r="ET292" s="13">
        <f t="shared" si="103"/>
        <v>1.2500000000000001E-2</v>
      </c>
      <c r="EU292" s="13">
        <f t="shared" si="103"/>
        <v>1.2500000000000001E-2</v>
      </c>
      <c r="EV292" s="13">
        <f t="shared" si="103"/>
        <v>1.2500000000000001E-2</v>
      </c>
      <c r="EW292" s="13">
        <f t="shared" si="103"/>
        <v>1.2500000000000001E-2</v>
      </c>
      <c r="EX292" s="13">
        <f t="shared" si="103"/>
        <v>1.2500000000000001E-2</v>
      </c>
      <c r="EY292" s="13">
        <f t="shared" si="103"/>
        <v>1.2500000000000001E-2</v>
      </c>
      <c r="EZ292" s="12">
        <v>0.6</v>
      </c>
      <c r="FA292" s="13">
        <f t="shared" si="100"/>
        <v>1.2500000000000001E-2</v>
      </c>
      <c r="FB292" s="13">
        <f t="shared" si="100"/>
        <v>1.2500000000000001E-2</v>
      </c>
      <c r="FC292" s="13">
        <f t="shared" si="100"/>
        <v>1.2500000000000001E-2</v>
      </c>
      <c r="FD292" s="13">
        <f t="shared" si="100"/>
        <v>1.2500000000000001E-2</v>
      </c>
      <c r="FE292" s="13">
        <f t="shared" si="100"/>
        <v>1.2500000000000001E-2</v>
      </c>
      <c r="FF292" s="14">
        <v>5.7142857142857143E-3</v>
      </c>
      <c r="FG292" s="14">
        <v>5.7142857142857143E-3</v>
      </c>
      <c r="FH292" s="14">
        <v>5.7142857142857143E-3</v>
      </c>
      <c r="FI292" s="14">
        <v>5.7142857142857143E-3</v>
      </c>
      <c r="FJ292" s="14">
        <v>5.7142857142857143E-3</v>
      </c>
      <c r="FK292" s="14">
        <v>5.7142857142857143E-3</v>
      </c>
      <c r="FL292" s="14">
        <v>5.7142857142857143E-3</v>
      </c>
      <c r="FM292" s="14">
        <v>4.7619047619047623E-3</v>
      </c>
      <c r="FN292" s="14">
        <v>4.7619047619047623E-3</v>
      </c>
      <c r="FO292" s="14">
        <v>4.7619047619047623E-3</v>
      </c>
      <c r="FP292" s="14">
        <v>5.7142857142857143E-3</v>
      </c>
      <c r="FQ292" s="14">
        <v>5.7142857142857143E-3</v>
      </c>
      <c r="FR292" s="14">
        <v>5.7142857142857143E-3</v>
      </c>
      <c r="FS292" s="14">
        <v>5.7142857142857143E-3</v>
      </c>
      <c r="FT292" s="14">
        <v>5.8823529411764705E-3</v>
      </c>
      <c r="FU292" s="14">
        <v>5.7142857142857143E-3</v>
      </c>
      <c r="FV292" s="14">
        <v>5.7142857142857143E-3</v>
      </c>
      <c r="FW292" s="14">
        <v>4.5454545454545461E-3</v>
      </c>
      <c r="FX292" s="14">
        <v>4.5454545454545461E-3</v>
      </c>
      <c r="FY292" s="14">
        <v>5.7142857142857143E-3</v>
      </c>
      <c r="FZ292" s="13">
        <f t="shared" si="104"/>
        <v>1.2500000000000001E-2</v>
      </c>
      <c r="GA292" s="14">
        <v>5.7142857142857143E-3</v>
      </c>
      <c r="GB292" s="14">
        <v>5.7142857142857143E-3</v>
      </c>
      <c r="GC292" s="14">
        <v>5.7142857142857143E-3</v>
      </c>
      <c r="GD292" s="13">
        <f t="shared" si="102"/>
        <v>1.2500000000000001E-2</v>
      </c>
      <c r="GE292" s="13">
        <f t="shared" si="102"/>
        <v>1.2500000000000001E-2</v>
      </c>
      <c r="GF292" s="14">
        <v>4.6511627906976744E-3</v>
      </c>
      <c r="GG292" s="14">
        <v>4.6511627906976744E-3</v>
      </c>
      <c r="GH292" s="15">
        <v>4.6511627906976744E-3</v>
      </c>
    </row>
    <row r="293" spans="1:190" x14ac:dyDescent="0.3">
      <c r="A293" s="35" t="s">
        <v>65</v>
      </c>
      <c r="B293" s="16" t="s">
        <v>62</v>
      </c>
      <c r="C293" s="14" t="s">
        <v>62</v>
      </c>
      <c r="D293" s="14">
        <f>IF(Distances!EC132&lt;&gt;0,(BP293+Distances!EC132*3)*EB293*D265*2,"")</f>
        <v>18870.373379999997</v>
      </c>
      <c r="E293" s="14" t="s">
        <v>62</v>
      </c>
      <c r="F293" s="14">
        <f>IF(Distances!EE132&lt;&gt;0,(BR293+Distances!EE132*3)*ED293*F265*2,"")</f>
        <v>2846.5304700000002</v>
      </c>
      <c r="G293" s="14">
        <f>IF(Distances!EF132&lt;&gt;0,(BS293+Distances!EF132*3)*EE293*G265*2,"")</f>
        <v>28167.643559999997</v>
      </c>
      <c r="H293" s="14" t="s">
        <v>62</v>
      </c>
      <c r="I293" s="14" t="s">
        <v>62</v>
      </c>
      <c r="J293" s="14">
        <f>IF(Distances!EI132&lt;&gt;0,(BV293+Distances!EI132*3)*EH293*J265*2,"")</f>
        <v>126.17502</v>
      </c>
      <c r="K293" s="14" t="s">
        <v>62</v>
      </c>
      <c r="L293" s="14" t="s">
        <v>62</v>
      </c>
      <c r="M293" s="14" t="s">
        <v>62</v>
      </c>
      <c r="N293" s="14" t="s">
        <v>62</v>
      </c>
      <c r="O293" s="14" t="s">
        <v>62</v>
      </c>
      <c r="P293" s="14" t="s">
        <v>62</v>
      </c>
      <c r="Q293" s="13" t="s">
        <v>62</v>
      </c>
      <c r="R293" s="13" t="s">
        <v>62</v>
      </c>
      <c r="S293" s="13" t="s">
        <v>62</v>
      </c>
      <c r="T293" s="13">
        <f>IF(Distances!ES132&lt;&gt;0,(CF293+Distances!ES132*3)*ER293*T265*2,"")</f>
        <v>252.38618999999997</v>
      </c>
      <c r="U293" s="13">
        <f>IF(Distances!ET132&lt;&gt;0,(CG293+Distances!ET132*3)*ES293*U265*2,"")</f>
        <v>283.55586000000005</v>
      </c>
      <c r="V293" s="13">
        <f>IF(Distances!EU132&lt;&gt;0,(CH293+Distances!EU132*3)*ET293*V265*2,"")</f>
        <v>3261.08538</v>
      </c>
      <c r="W293" s="13" t="s">
        <v>62</v>
      </c>
      <c r="X293" s="13">
        <f>IF(Distances!EW132&lt;&gt;0,(CJ293+Distances!EW132*3)*EV293*X265*2,"")</f>
        <v>2003.8640399999999</v>
      </c>
      <c r="Y293" s="13">
        <f>IF(Distances!EX132&lt;&gt;0,(CK293+Distances!EX132*3)*EW293*Y265*2,"")</f>
        <v>2249.5398599999999</v>
      </c>
      <c r="Z293" s="13">
        <f>IF(Distances!EY132&lt;&gt;0,(CL293+Distances!EY132*3)*EX293*Z265*2,"")</f>
        <v>47.720160000000007</v>
      </c>
      <c r="AA293" s="13">
        <f>IF(Distances!EZ132&lt;&gt;0,(CM293+Distances!EZ132*3)*EY293*AA265*2,"")</f>
        <v>56.576220000000006</v>
      </c>
      <c r="AB293" s="13">
        <f>IF(Distances!FA132&lt;&gt;0,(CN293+Distances!FA132*3)*EZ293*AB265*2,"")</f>
        <v>92.527499999999989</v>
      </c>
      <c r="AC293" s="12" t="s">
        <v>62</v>
      </c>
      <c r="AD293" s="13" t="s">
        <v>62</v>
      </c>
      <c r="AE293" s="13">
        <f>IF(Distances!FD132&lt;&gt;0,(CQ293+Distances!FD132*3)*FC293*AE265*2,"")</f>
        <v>193.00488000000001</v>
      </c>
      <c r="AF293" s="13">
        <f>IF(Distances!FE132&lt;&gt;0,(CR293+Distances!FE132*3)*FD293*AF265*2,"")</f>
        <v>375.80976000000004</v>
      </c>
      <c r="AG293" s="13">
        <f>IF(Distances!FF132&lt;&gt;0,(CS293+Distances!FF132*3)*FE293*AG265*2,"")</f>
        <v>274.88976000000002</v>
      </c>
      <c r="AH293" s="14">
        <f>IF(Distances!FG132&lt;&gt;0,(CT293+Distances!FG132*3)*FF293*AH265*2,"")</f>
        <v>56.449481142857145</v>
      </c>
      <c r="AI293" s="14" t="s">
        <v>62</v>
      </c>
      <c r="AJ293" s="14">
        <f>IF(Distances!FI132&lt;&gt;0,(CV293+Distances!FI132*3)*FH293*AJ265*2,"")</f>
        <v>42.611766857142861</v>
      </c>
      <c r="AK293" s="14" t="s">
        <v>62</v>
      </c>
      <c r="AL293" s="14" t="s">
        <v>62</v>
      </c>
      <c r="AM293" s="14" t="s">
        <v>62</v>
      </c>
      <c r="AN293" s="14">
        <f>IF(Distances!FM132&lt;&gt;0,(CZ293+Distances!FM132*3)*FL293*AN265*2,"")</f>
        <v>563.81850514285713</v>
      </c>
      <c r="AO293" s="14" t="s">
        <v>62</v>
      </c>
      <c r="AP293" s="14" t="s">
        <v>62</v>
      </c>
      <c r="AQ293" s="14" t="s">
        <v>62</v>
      </c>
      <c r="AR293" s="14" t="s">
        <v>62</v>
      </c>
      <c r="AS293" s="14" t="s">
        <v>62</v>
      </c>
      <c r="AT293" s="14" t="s">
        <v>62</v>
      </c>
      <c r="AU293" s="14">
        <f>IF(Distances!FT132&lt;&gt;0,(DG293+Distances!FT132*3)*FS293*AU265*2,"")</f>
        <v>184.44863999999998</v>
      </c>
      <c r="AV293" s="14">
        <f>IF(Distances!FU132&lt;&gt;0,(DH293+Distances!FU132*3)*FT293*AV265*2,"")</f>
        <v>171.22207058823528</v>
      </c>
      <c r="AW293" s="14">
        <f>IF(Distances!FV132&lt;&gt;0,(DI293+Distances!FV132*3)*FU293*AW265*2,"")</f>
        <v>807.66143999999997</v>
      </c>
      <c r="AX293" s="14" t="s">
        <v>62</v>
      </c>
      <c r="AY293" s="14" t="s">
        <v>62</v>
      </c>
      <c r="AZ293" s="14">
        <f>IF(Distances!FY132&lt;&gt;0,(DL293+Distances!FY132*3)*FX293*AZ265*2,"")</f>
        <v>161.96849454545455</v>
      </c>
      <c r="BA293" s="14" t="s">
        <v>62</v>
      </c>
      <c r="BB293" s="13" t="s">
        <v>62</v>
      </c>
      <c r="BC293" s="14" t="s">
        <v>62</v>
      </c>
      <c r="BD293" s="14">
        <f>IF(Distances!GC132&lt;&gt;0,(DP293+Distances!GC132*3)*GB293*BD265*2,"")</f>
        <v>508.15136914285716</v>
      </c>
      <c r="BE293" s="14" t="s">
        <v>62</v>
      </c>
      <c r="BF293" s="13">
        <f>IF(Distances!GE132&lt;&gt;0,(DR293+Distances!GE132*3)*GD293*BF265*2,"")</f>
        <v>400.10004000000004</v>
      </c>
      <c r="BG293" s="13" t="s">
        <v>62</v>
      </c>
      <c r="BH293" s="14" t="s">
        <v>62</v>
      </c>
      <c r="BI293" s="14" t="s">
        <v>62</v>
      </c>
      <c r="BJ293" s="15" t="s">
        <v>62</v>
      </c>
      <c r="BM293" s="35" t="s">
        <v>65</v>
      </c>
      <c r="BN293" s="16">
        <v>132.37559999999999</v>
      </c>
      <c r="BO293" s="14">
        <v>1588.2803999999999</v>
      </c>
      <c r="BP293" s="14">
        <v>881.81519999999989</v>
      </c>
      <c r="BQ293" s="14">
        <v>881.81519999999989</v>
      </c>
      <c r="BR293" s="14">
        <v>934.13879999999995</v>
      </c>
      <c r="BS293" s="14">
        <v>2280.9023999999999</v>
      </c>
      <c r="BT293" s="14">
        <v>2377.8215999999998</v>
      </c>
      <c r="BU293" s="14">
        <v>2280.9023999999999</v>
      </c>
      <c r="BV293" s="14">
        <v>916.70039999999995</v>
      </c>
      <c r="BW293" s="14">
        <v>916.70039999999995</v>
      </c>
      <c r="BX293" s="14">
        <v>2401.1232</v>
      </c>
      <c r="BY293" s="14">
        <v>2401.1232</v>
      </c>
      <c r="BZ293" s="14">
        <v>1682.5703999999998</v>
      </c>
      <c r="CA293" s="14">
        <v>1078.5096000000001</v>
      </c>
      <c r="CB293" s="14">
        <v>1610.0783999999999</v>
      </c>
      <c r="CC293" s="13">
        <v>784.2743999999999</v>
      </c>
      <c r="CD293" s="13">
        <v>776.89080000000001</v>
      </c>
      <c r="CE293" s="13">
        <v>799.05840000000001</v>
      </c>
      <c r="CF293" s="13">
        <v>762.10679999999991</v>
      </c>
      <c r="CG293" s="13">
        <v>661.81920000000002</v>
      </c>
      <c r="CH293" s="13">
        <v>707.62439999999992</v>
      </c>
      <c r="CI293" s="13">
        <v>769.49879999999996</v>
      </c>
      <c r="CJ293" s="13">
        <v>975.47519999999997</v>
      </c>
      <c r="CK293" s="13">
        <v>762.10679999999991</v>
      </c>
      <c r="CL293" s="13">
        <v>720.70320000000004</v>
      </c>
      <c r="CM293" s="13">
        <v>707.62439999999992</v>
      </c>
      <c r="CN293" s="13">
        <v>681.44999999999993</v>
      </c>
      <c r="CO293" s="12">
        <v>0</v>
      </c>
      <c r="CP293" s="13">
        <v>1007.1348</v>
      </c>
      <c r="CQ293" s="13">
        <v>875.39760000000001</v>
      </c>
      <c r="CR293" s="13">
        <v>875.39760000000001</v>
      </c>
      <c r="CS293" s="13">
        <v>875.39760000000001</v>
      </c>
      <c r="CT293" s="14">
        <v>780.7296</v>
      </c>
      <c r="CU293" s="14">
        <v>1232.8176000000001</v>
      </c>
      <c r="CV293" s="14">
        <v>780.7296</v>
      </c>
      <c r="CW293" s="14">
        <v>1268.694</v>
      </c>
      <c r="CX293" s="14">
        <v>449.79480000000001</v>
      </c>
      <c r="CY293" s="14">
        <v>449.79480000000001</v>
      </c>
      <c r="CZ293" s="14">
        <v>449.79480000000001</v>
      </c>
      <c r="DA293" s="14">
        <v>1000.8516</v>
      </c>
      <c r="DB293" s="14">
        <v>1020.2639999999999</v>
      </c>
      <c r="DC293" s="14">
        <v>1301.4875999999999</v>
      </c>
      <c r="DD293" s="14">
        <v>1048.1687999999999</v>
      </c>
      <c r="DE293" s="14">
        <v>1048.1687999999999</v>
      </c>
      <c r="DF293" s="14">
        <v>1048.1687999999999</v>
      </c>
      <c r="DG293" s="14">
        <v>1021.1039999999999</v>
      </c>
      <c r="DH293" s="14">
        <v>975.47519999999997</v>
      </c>
      <c r="DI293" s="14">
        <v>975.47519999999997</v>
      </c>
      <c r="DJ293" s="14">
        <v>1039.6764000000001</v>
      </c>
      <c r="DK293" s="14">
        <v>0</v>
      </c>
      <c r="DL293" s="14">
        <v>3066.0335999999998</v>
      </c>
      <c r="DM293" s="14">
        <v>780.46079999999995</v>
      </c>
      <c r="DN293" s="13">
        <v>957.2639999999999</v>
      </c>
      <c r="DO293" s="14">
        <v>971.72879999999986</v>
      </c>
      <c r="DP293" s="14">
        <v>1039.6764000000001</v>
      </c>
      <c r="DQ293" s="14">
        <v>1029.9744000000001</v>
      </c>
      <c r="DR293" s="13">
        <v>1105.7003999999999</v>
      </c>
      <c r="DS293" s="13">
        <v>694.53719999999998</v>
      </c>
      <c r="DT293" s="14">
        <v>2365.6079999999997</v>
      </c>
      <c r="DU293" s="14">
        <v>1703.6123999999998</v>
      </c>
      <c r="DV293" s="15">
        <v>1703.6123999999998</v>
      </c>
      <c r="DY293" s="35" t="s">
        <v>65</v>
      </c>
      <c r="DZ293" s="16">
        <v>6.2500000000000003E-3</v>
      </c>
      <c r="EA293" s="14">
        <v>6.2500000000000003E-3</v>
      </c>
      <c r="EB293" s="14">
        <v>6.2500000000000003E-3</v>
      </c>
      <c r="EC293" s="14">
        <v>6.2500000000000003E-3</v>
      </c>
      <c r="ED293" s="14">
        <v>6.2500000000000003E-3</v>
      </c>
      <c r="EE293" s="14">
        <v>6.2500000000000003E-3</v>
      </c>
      <c r="EF293" s="14">
        <v>6.2500000000000003E-3</v>
      </c>
      <c r="EG293" s="14">
        <v>6.2500000000000003E-3</v>
      </c>
      <c r="EH293" s="14">
        <v>6.2500000000000003E-3</v>
      </c>
      <c r="EI293" s="14">
        <v>6.2500000000000003E-3</v>
      </c>
      <c r="EJ293" s="14">
        <v>6.2500000000000003E-3</v>
      </c>
      <c r="EK293" s="14">
        <v>6.2500000000000003E-3</v>
      </c>
      <c r="EL293" s="14">
        <v>6.2500000000000003E-3</v>
      </c>
      <c r="EM293" s="14">
        <v>4.6511627906976744E-3</v>
      </c>
      <c r="EN293" s="14">
        <v>4.6511627906976744E-3</v>
      </c>
      <c r="EO293" s="13">
        <f t="shared" si="103"/>
        <v>1.2500000000000001E-2</v>
      </c>
      <c r="EP293" s="13">
        <f t="shared" si="103"/>
        <v>1.2500000000000001E-2</v>
      </c>
      <c r="EQ293" s="13">
        <f t="shared" si="103"/>
        <v>1.2500000000000001E-2</v>
      </c>
      <c r="ER293" s="13">
        <f t="shared" si="103"/>
        <v>1.2500000000000001E-2</v>
      </c>
      <c r="ES293" s="13">
        <f t="shared" si="103"/>
        <v>1.2500000000000001E-2</v>
      </c>
      <c r="ET293" s="13">
        <f t="shared" si="103"/>
        <v>1.2500000000000001E-2</v>
      </c>
      <c r="EU293" s="13">
        <f t="shared" si="103"/>
        <v>1.2500000000000001E-2</v>
      </c>
      <c r="EV293" s="13">
        <f t="shared" si="103"/>
        <v>1.2500000000000001E-2</v>
      </c>
      <c r="EW293" s="13">
        <f t="shared" si="103"/>
        <v>1.2500000000000001E-2</v>
      </c>
      <c r="EX293" s="13">
        <f t="shared" si="103"/>
        <v>1.2500000000000001E-2</v>
      </c>
      <c r="EY293" s="13">
        <f t="shared" si="103"/>
        <v>1.2500000000000001E-2</v>
      </c>
      <c r="EZ293" s="13">
        <f t="shared" si="103"/>
        <v>1.2500000000000001E-2</v>
      </c>
      <c r="FA293" s="12">
        <v>0.6</v>
      </c>
      <c r="FB293" s="13">
        <f t="shared" si="100"/>
        <v>1.2500000000000001E-2</v>
      </c>
      <c r="FC293" s="13">
        <f t="shared" si="100"/>
        <v>1.2500000000000001E-2</v>
      </c>
      <c r="FD293" s="13">
        <f t="shared" si="100"/>
        <v>1.2500000000000001E-2</v>
      </c>
      <c r="FE293" s="13">
        <f t="shared" si="100"/>
        <v>1.2500000000000001E-2</v>
      </c>
      <c r="FF293" s="14">
        <v>5.7142857142857143E-3</v>
      </c>
      <c r="FG293" s="14">
        <v>5.7142857142857143E-3</v>
      </c>
      <c r="FH293" s="14">
        <v>5.7142857142857143E-3</v>
      </c>
      <c r="FI293" s="14">
        <v>5.7142857142857143E-3</v>
      </c>
      <c r="FJ293" s="14">
        <v>5.7142857142857143E-3</v>
      </c>
      <c r="FK293" s="14">
        <v>5.7142857142857143E-3</v>
      </c>
      <c r="FL293" s="14">
        <v>5.7142857142857143E-3</v>
      </c>
      <c r="FM293" s="14">
        <v>4.7619047619047623E-3</v>
      </c>
      <c r="FN293" s="14">
        <v>4.7619047619047623E-3</v>
      </c>
      <c r="FO293" s="14">
        <v>4.7619047619047623E-3</v>
      </c>
      <c r="FP293" s="14">
        <v>5.7142857142857143E-3</v>
      </c>
      <c r="FQ293" s="14">
        <v>5.7142857142857143E-3</v>
      </c>
      <c r="FR293" s="14">
        <v>5.7142857142857143E-3</v>
      </c>
      <c r="FS293" s="14">
        <v>5.7142857142857143E-3</v>
      </c>
      <c r="FT293" s="14">
        <v>5.8823529411764705E-3</v>
      </c>
      <c r="FU293" s="14">
        <v>5.7142857142857143E-3</v>
      </c>
      <c r="FV293" s="14">
        <v>5.7142857142857143E-3</v>
      </c>
      <c r="FW293" s="14">
        <v>4.5454545454545461E-3</v>
      </c>
      <c r="FX293" s="14">
        <v>4.5454545454545461E-3</v>
      </c>
      <c r="FY293" s="14">
        <v>5.7142857142857143E-3</v>
      </c>
      <c r="FZ293" s="13">
        <f t="shared" si="104"/>
        <v>1.2500000000000001E-2</v>
      </c>
      <c r="GA293" s="14">
        <v>5.7142857142857143E-3</v>
      </c>
      <c r="GB293" s="14">
        <v>5.7142857142857143E-3</v>
      </c>
      <c r="GC293" s="14">
        <v>5.7142857142857143E-3</v>
      </c>
      <c r="GD293" s="13">
        <f t="shared" si="102"/>
        <v>1.2500000000000001E-2</v>
      </c>
      <c r="GE293" s="13">
        <f t="shared" si="102"/>
        <v>1.2500000000000001E-2</v>
      </c>
      <c r="GF293" s="14">
        <v>4.6511627906976744E-3</v>
      </c>
      <c r="GG293" s="14">
        <v>4.6511627906976744E-3</v>
      </c>
      <c r="GH293" s="15">
        <v>4.6511627906976744E-3</v>
      </c>
    </row>
    <row r="294" spans="1:190" x14ac:dyDescent="0.3">
      <c r="A294" s="35" t="s">
        <v>29</v>
      </c>
      <c r="B294" s="16" t="s">
        <v>62</v>
      </c>
      <c r="C294" s="14" t="s">
        <v>62</v>
      </c>
      <c r="D294" s="14">
        <f>IF(Distances!EC133&lt;&gt;0,(BP294+Distances!EC133*3)*EB294*D265*2,"")</f>
        <v>18926.261730000002</v>
      </c>
      <c r="E294" s="14" t="s">
        <v>62</v>
      </c>
      <c r="F294" s="14">
        <f>IF(Distances!EE133&lt;&gt;0,(BR294+Distances!EE133*3)*ED294*F265*2,"")</f>
        <v>2905.7275800000007</v>
      </c>
      <c r="G294" s="14">
        <f>IF(Distances!EF133&lt;&gt;0,(BS294+Distances!EF133*3)*EE294*G265*2,"")</f>
        <v>28078.094939999995</v>
      </c>
      <c r="H294" s="14" t="s">
        <v>62</v>
      </c>
      <c r="I294" s="14" t="s">
        <v>62</v>
      </c>
      <c r="J294" s="14">
        <f>IF(Distances!EI133&lt;&gt;0,(BV294+Distances!EI133*3)*EH294*J265*2,"")</f>
        <v>127.32540000000002</v>
      </c>
      <c r="K294" s="14" t="s">
        <v>62</v>
      </c>
      <c r="L294" s="14" t="s">
        <v>62</v>
      </c>
      <c r="M294" s="14" t="s">
        <v>62</v>
      </c>
      <c r="N294" s="14" t="s">
        <v>62</v>
      </c>
      <c r="O294" s="14" t="s">
        <v>62</v>
      </c>
      <c r="P294" s="14" t="s">
        <v>62</v>
      </c>
      <c r="Q294" s="13" t="s">
        <v>62</v>
      </c>
      <c r="R294" s="13" t="s">
        <v>62</v>
      </c>
      <c r="S294" s="13" t="s">
        <v>62</v>
      </c>
      <c r="T294" s="13">
        <f>IF(Distances!ES133&lt;&gt;0,(CF294+Distances!ES133*3)*ER294*T265*2,"")</f>
        <v>202.76781</v>
      </c>
      <c r="U294" s="13">
        <f>IF(Distances!ET133&lt;&gt;0,(CG294+Distances!ET133*3)*ES294*U265*2,"")</f>
        <v>340.56686999999999</v>
      </c>
      <c r="V294" s="13">
        <f>IF(Distances!EU133&lt;&gt;0,(CH294+Distances!EU133*3)*ET294*V265*2,"")</f>
        <v>3374.4081000000001</v>
      </c>
      <c r="W294" s="13" t="s">
        <v>62</v>
      </c>
      <c r="X294" s="13">
        <f>IF(Distances!EW133&lt;&gt;0,(CJ294+Distances!EW133*3)*EV294*X265*2,"")</f>
        <v>589.42500000000007</v>
      </c>
      <c r="Y294" s="13">
        <f>IF(Distances!EX133&lt;&gt;0,(CK294+Distances!EX133*3)*EW294*Y265*2,"")</f>
        <v>1838.41614</v>
      </c>
      <c r="Z294" s="13">
        <f>IF(Distances!EY133&lt;&gt;0,(CL294+Distances!EY133*3)*EX294*Z265*2,"")</f>
        <v>65.460539999999995</v>
      </c>
      <c r="AA294" s="13">
        <f>IF(Distances!EZ133&lt;&gt;0,(CM294+Distances!EZ133*3)*EY294*AA265*2,"")</f>
        <v>73.994039999999998</v>
      </c>
      <c r="AB294" s="13">
        <f>IF(Distances!FA133&lt;&gt;0,(CN294+Distances!FA133*3)*EZ294*AB265*2,"")</f>
        <v>109.3002</v>
      </c>
      <c r="AC294" s="13" t="s">
        <v>62</v>
      </c>
      <c r="AD294" s="12" t="s">
        <v>62</v>
      </c>
      <c r="AE294" s="13">
        <f>IF(Distances!FD133&lt;&gt;0,(CQ294+Distances!FD133*3)*FC294*AE265*2,"")</f>
        <v>208.21223999999998</v>
      </c>
      <c r="AF294" s="13">
        <f>IF(Distances!FE133&lt;&gt;0,(CR294+Distances!FE133*3)*FD294*AF265*2,"")</f>
        <v>406.22447999999997</v>
      </c>
      <c r="AG294" s="13">
        <f>IF(Distances!FF133&lt;&gt;0,(CS294+Distances!FF133*3)*FE294*AG265*2,"")</f>
        <v>305.30447999999996</v>
      </c>
      <c r="AH294" s="14">
        <f>IF(Distances!FG133&lt;&gt;0,(CT294+Distances!FG133*3)*FF294*AH265*2,"")</f>
        <v>64.374185142857144</v>
      </c>
      <c r="AI294" s="14" t="s">
        <v>62</v>
      </c>
      <c r="AJ294" s="14">
        <f>IF(Distances!FI133&lt;&gt;0,(CV294+Distances!FI133*3)*FH294*AJ265*2,"")</f>
        <v>50.536470857142859</v>
      </c>
      <c r="AK294" s="14" t="s">
        <v>62</v>
      </c>
      <c r="AL294" s="14" t="s">
        <v>62</v>
      </c>
      <c r="AM294" s="14" t="s">
        <v>62</v>
      </c>
      <c r="AN294" s="14">
        <f>IF(Distances!FM133&lt;&gt;0,(CZ294+Distances!FM133*3)*FL294*AN265*2,"")</f>
        <v>1349.7491931428572</v>
      </c>
      <c r="AO294" s="14" t="s">
        <v>62</v>
      </c>
      <c r="AP294" s="14" t="s">
        <v>62</v>
      </c>
      <c r="AQ294" s="14" t="s">
        <v>62</v>
      </c>
      <c r="AR294" s="14" t="s">
        <v>62</v>
      </c>
      <c r="AS294" s="14" t="s">
        <v>62</v>
      </c>
      <c r="AT294" s="14" t="s">
        <v>62</v>
      </c>
      <c r="AU294" s="14">
        <f>IF(Distances!FT133&lt;&gt;0,(DG294+Distances!FT133*3)*FS294*AU265*2,"")</f>
        <v>170.421312</v>
      </c>
      <c r="AV294" s="14">
        <f>IF(Distances!FU133&lt;&gt;0,(DH294+Distances!FU133*3)*FT294*AV265*2,"")</f>
        <v>154.36919999999998</v>
      </c>
      <c r="AW294" s="14">
        <f>IF(Distances!FV133&lt;&gt;0,(DI294+Distances!FV133*3)*FU294*AW265*2,"")</f>
        <v>791.29007999999988</v>
      </c>
      <c r="AX294" s="14" t="s">
        <v>62</v>
      </c>
      <c r="AY294" s="14" t="s">
        <v>62</v>
      </c>
      <c r="AZ294" s="14">
        <f>IF(Distances!FY133&lt;&gt;0,(DL294+Distances!FY133*3)*FX294*AZ265*2,"")</f>
        <v>183.31335272727273</v>
      </c>
      <c r="BA294" s="14" t="s">
        <v>62</v>
      </c>
      <c r="BB294" s="13" t="s">
        <v>62</v>
      </c>
      <c r="BC294" s="14" t="s">
        <v>62</v>
      </c>
      <c r="BD294" s="14">
        <f>IF(Distances!GC133&lt;&gt;0,(DP294+Distances!GC133*3)*GB294*BD265*2,"")</f>
        <v>475.79092114285709</v>
      </c>
      <c r="BE294" s="14" t="s">
        <v>62</v>
      </c>
      <c r="BF294" s="13">
        <f>IF(Distances!GE133&lt;&gt;0,(DR294+Distances!GE133*3)*GD294*BF265*2,"")</f>
        <v>410.02632000000006</v>
      </c>
      <c r="BG294" s="13" t="s">
        <v>62</v>
      </c>
      <c r="BH294" s="14" t="s">
        <v>62</v>
      </c>
      <c r="BI294" s="14" t="s">
        <v>62</v>
      </c>
      <c r="BJ294" s="15" t="s">
        <v>62</v>
      </c>
      <c r="BM294" s="35" t="s">
        <v>29</v>
      </c>
      <c r="BN294" s="16">
        <v>1175.8571999999999</v>
      </c>
      <c r="BO294" s="14">
        <v>1466.2284</v>
      </c>
      <c r="BP294" s="14">
        <v>903.94920000000002</v>
      </c>
      <c r="BQ294" s="14">
        <v>903.94920000000002</v>
      </c>
      <c r="BR294" s="14">
        <v>957.58320000000003</v>
      </c>
      <c r="BS294" s="14">
        <v>2245.4375999999997</v>
      </c>
      <c r="BT294" s="14">
        <v>2346.4476</v>
      </c>
      <c r="BU294" s="14">
        <v>2245.4375999999997</v>
      </c>
      <c r="BV294" s="14">
        <v>939.70799999999997</v>
      </c>
      <c r="BW294" s="14">
        <v>939.70799999999997</v>
      </c>
      <c r="BX294" s="14">
        <v>2369.4467999999997</v>
      </c>
      <c r="BY294" s="14">
        <v>2369.4467999999997</v>
      </c>
      <c r="BZ294" s="14">
        <v>1553.2776000000001</v>
      </c>
      <c r="CA294" s="14">
        <v>1747.7796000000001</v>
      </c>
      <c r="CB294" s="14">
        <v>2464.6019999999999</v>
      </c>
      <c r="CC294" s="13">
        <v>492.48359999999997</v>
      </c>
      <c r="CD294" s="13">
        <v>487.84679999999997</v>
      </c>
      <c r="CE294" s="13">
        <v>501.75720000000001</v>
      </c>
      <c r="CF294" s="13">
        <v>478.57319999999999</v>
      </c>
      <c r="CG294" s="13">
        <v>987.59640000000002</v>
      </c>
      <c r="CH294" s="13">
        <v>785.77800000000002</v>
      </c>
      <c r="CI294" s="13">
        <v>483.21</v>
      </c>
      <c r="CJ294" s="13">
        <v>0</v>
      </c>
      <c r="CK294" s="13">
        <v>478.57319999999999</v>
      </c>
      <c r="CL294" s="13">
        <v>1075.5107999999998</v>
      </c>
      <c r="CM294" s="13">
        <v>1055.9807999999998</v>
      </c>
      <c r="CN294" s="13">
        <v>1016.9039999999999</v>
      </c>
      <c r="CO294" s="13">
        <v>1007.1348</v>
      </c>
      <c r="CP294" s="12">
        <v>0</v>
      </c>
      <c r="CQ294" s="13">
        <v>1179.5447999999999</v>
      </c>
      <c r="CR294" s="13">
        <v>1179.5447999999999</v>
      </c>
      <c r="CS294" s="13">
        <v>1179.5447999999999</v>
      </c>
      <c r="CT294" s="14">
        <v>1474.1412</v>
      </c>
      <c r="CU294" s="14">
        <v>1640.3688</v>
      </c>
      <c r="CV294" s="14">
        <v>1474.1412</v>
      </c>
      <c r="CW294" s="14">
        <v>1688.106</v>
      </c>
      <c r="CX294" s="14">
        <v>1723.2936</v>
      </c>
      <c r="CY294" s="14">
        <v>1723.2936</v>
      </c>
      <c r="CZ294" s="14">
        <v>1723.2936</v>
      </c>
      <c r="DA294" s="14">
        <v>1474.1412</v>
      </c>
      <c r="DB294" s="14">
        <v>1502.7431999999999</v>
      </c>
      <c r="DC294" s="14">
        <v>1719.942</v>
      </c>
      <c r="DD294" s="14">
        <v>1451.1419999999998</v>
      </c>
      <c r="DE294" s="14">
        <v>1451.1419999999998</v>
      </c>
      <c r="DF294" s="14">
        <v>1451.1419999999998</v>
      </c>
      <c r="DG294" s="14">
        <v>933.43319999999994</v>
      </c>
      <c r="DH294" s="14">
        <v>688.97640000000001</v>
      </c>
      <c r="DI294" s="14">
        <v>688.97640000000001</v>
      </c>
      <c r="DJ294" s="14">
        <v>951.19079999999985</v>
      </c>
      <c r="DK294" s="14">
        <v>0</v>
      </c>
      <c r="DL294" s="14">
        <v>3653.0171999999998</v>
      </c>
      <c r="DM294" s="14">
        <v>1182.0816</v>
      </c>
      <c r="DN294" s="13">
        <v>676.12439999999992</v>
      </c>
      <c r="DO294" s="14">
        <v>889.03079999999989</v>
      </c>
      <c r="DP294" s="14">
        <v>951.19079999999985</v>
      </c>
      <c r="DQ294" s="14">
        <v>942.3119999999999</v>
      </c>
      <c r="DR294" s="13">
        <v>1204.9631999999999</v>
      </c>
      <c r="DS294" s="13">
        <v>771.24599999999998</v>
      </c>
      <c r="DT294" s="14">
        <v>3124.4387999999999</v>
      </c>
      <c r="DU294" s="14">
        <v>2380.2156</v>
      </c>
      <c r="DV294" s="15">
        <v>2380.2156</v>
      </c>
      <c r="DY294" s="35" t="s">
        <v>29</v>
      </c>
      <c r="DZ294" s="16">
        <v>6.2500000000000003E-3</v>
      </c>
      <c r="EA294" s="14">
        <v>6.2500000000000003E-3</v>
      </c>
      <c r="EB294" s="14">
        <v>6.2500000000000003E-3</v>
      </c>
      <c r="EC294" s="14">
        <v>6.2500000000000003E-3</v>
      </c>
      <c r="ED294" s="14">
        <v>6.2500000000000003E-3</v>
      </c>
      <c r="EE294" s="14">
        <v>6.2500000000000003E-3</v>
      </c>
      <c r="EF294" s="14">
        <v>6.2500000000000003E-3</v>
      </c>
      <c r="EG294" s="14">
        <v>6.2500000000000003E-3</v>
      </c>
      <c r="EH294" s="14">
        <v>6.2500000000000003E-3</v>
      </c>
      <c r="EI294" s="14">
        <v>6.2500000000000003E-3</v>
      </c>
      <c r="EJ294" s="14">
        <v>6.2500000000000003E-3</v>
      </c>
      <c r="EK294" s="14">
        <v>6.2500000000000003E-3</v>
      </c>
      <c r="EL294" s="14">
        <v>6.2500000000000003E-3</v>
      </c>
      <c r="EM294" s="14">
        <v>4.6511627906976744E-3</v>
      </c>
      <c r="EN294" s="14">
        <v>4.6511627906976744E-3</v>
      </c>
      <c r="EO294" s="13">
        <f t="shared" si="103"/>
        <v>1.2500000000000001E-2</v>
      </c>
      <c r="EP294" s="13">
        <f t="shared" si="103"/>
        <v>1.2500000000000001E-2</v>
      </c>
      <c r="EQ294" s="13">
        <f t="shared" si="103"/>
        <v>1.2500000000000001E-2</v>
      </c>
      <c r="ER294" s="13">
        <f t="shared" si="103"/>
        <v>1.2500000000000001E-2</v>
      </c>
      <c r="ES294" s="13">
        <f t="shared" si="103"/>
        <v>1.2500000000000001E-2</v>
      </c>
      <c r="ET294" s="13">
        <f t="shared" si="103"/>
        <v>1.2500000000000001E-2</v>
      </c>
      <c r="EU294" s="13">
        <f t="shared" si="103"/>
        <v>1.2500000000000001E-2</v>
      </c>
      <c r="EV294" s="13">
        <f t="shared" si="103"/>
        <v>1.2500000000000001E-2</v>
      </c>
      <c r="EW294" s="13">
        <f t="shared" si="103"/>
        <v>1.2500000000000001E-2</v>
      </c>
      <c r="EX294" s="13">
        <f t="shared" si="103"/>
        <v>1.2500000000000001E-2</v>
      </c>
      <c r="EY294" s="13">
        <f t="shared" si="103"/>
        <v>1.2500000000000001E-2</v>
      </c>
      <c r="EZ294" s="13">
        <f t="shared" si="103"/>
        <v>1.2500000000000001E-2</v>
      </c>
      <c r="FA294" s="13">
        <f t="shared" si="103"/>
        <v>1.2500000000000001E-2</v>
      </c>
      <c r="FB294" s="12">
        <v>0.6</v>
      </c>
      <c r="FC294" s="13">
        <f t="shared" si="100"/>
        <v>1.2500000000000001E-2</v>
      </c>
      <c r="FD294" s="13">
        <f t="shared" si="100"/>
        <v>1.2500000000000001E-2</v>
      </c>
      <c r="FE294" s="13">
        <f t="shared" si="100"/>
        <v>1.2500000000000001E-2</v>
      </c>
      <c r="FF294" s="14">
        <v>5.7142857142857143E-3</v>
      </c>
      <c r="FG294" s="14">
        <v>5.7142857142857143E-3</v>
      </c>
      <c r="FH294" s="14">
        <v>5.7142857142857143E-3</v>
      </c>
      <c r="FI294" s="14">
        <v>5.7142857142857143E-3</v>
      </c>
      <c r="FJ294" s="14">
        <v>5.7142857142857143E-3</v>
      </c>
      <c r="FK294" s="14">
        <v>5.7142857142857143E-3</v>
      </c>
      <c r="FL294" s="14">
        <v>5.7142857142857143E-3</v>
      </c>
      <c r="FM294" s="14">
        <v>4.7619047619047623E-3</v>
      </c>
      <c r="FN294" s="14">
        <v>4.7619047619047623E-3</v>
      </c>
      <c r="FO294" s="14">
        <v>4.7619047619047623E-3</v>
      </c>
      <c r="FP294" s="14">
        <v>5.7142857142857143E-3</v>
      </c>
      <c r="FQ294" s="14">
        <v>5.7142857142857143E-3</v>
      </c>
      <c r="FR294" s="14">
        <v>5.7142857142857143E-3</v>
      </c>
      <c r="FS294" s="14">
        <v>5.7142857142857143E-3</v>
      </c>
      <c r="FT294" s="14">
        <v>5.8823529411764705E-3</v>
      </c>
      <c r="FU294" s="14">
        <v>5.7142857142857143E-3</v>
      </c>
      <c r="FV294" s="14">
        <v>5.7142857142857143E-3</v>
      </c>
      <c r="FW294" s="14">
        <v>4.5454545454545461E-3</v>
      </c>
      <c r="FX294" s="14">
        <v>4.5454545454545461E-3</v>
      </c>
      <c r="FY294" s="14">
        <v>5.7142857142857143E-3</v>
      </c>
      <c r="FZ294" s="13">
        <f t="shared" si="104"/>
        <v>1.2500000000000001E-2</v>
      </c>
      <c r="GA294" s="14">
        <v>5.7142857142857143E-3</v>
      </c>
      <c r="GB294" s="14">
        <v>5.7142857142857143E-3</v>
      </c>
      <c r="GC294" s="14">
        <v>5.7142857142857143E-3</v>
      </c>
      <c r="GD294" s="13">
        <f t="shared" si="102"/>
        <v>1.2500000000000001E-2</v>
      </c>
      <c r="GE294" s="13">
        <f t="shared" si="102"/>
        <v>1.2500000000000001E-2</v>
      </c>
      <c r="GF294" s="14">
        <v>4.6511627906976744E-3</v>
      </c>
      <c r="GG294" s="14">
        <v>4.6511627906976744E-3</v>
      </c>
      <c r="GH294" s="15">
        <v>4.6511627906976744E-3</v>
      </c>
    </row>
    <row r="295" spans="1:190" x14ac:dyDescent="0.3">
      <c r="A295" s="35" t="s">
        <v>30</v>
      </c>
      <c r="B295" s="16">
        <f>IF(Distances!EA134&lt;&gt;0,(BN295+Distances!EA134*3)*DZ295*B265*2,"")</f>
        <v>11574.284880000001</v>
      </c>
      <c r="C295" s="14">
        <f>IF(Distances!EB134&lt;&gt;0,(BO295+Distances!EB134*3)*EA295*C265*2,"")</f>
        <v>12246.853980000002</v>
      </c>
      <c r="D295" s="14">
        <f>IF(Distances!EC134&lt;&gt;0,(BP295+Distances!EC134*3)*EB295*D265*2,"")</f>
        <v>27022.424760000002</v>
      </c>
      <c r="E295" s="14">
        <f>IF(Distances!ED134&lt;&gt;0,(BQ295+Distances!ED134*3)*EC295*E265*2,"")</f>
        <v>10378.634760000001</v>
      </c>
      <c r="F295" s="14">
        <f>IF(Distances!EE134&lt;&gt;0,(BR295+Distances!EE134*3)*ED295*F265*2,"")</f>
        <v>11035.147890000002</v>
      </c>
      <c r="G295" s="14">
        <f>IF(Distances!EF134&lt;&gt;0,(BS295+Distances!EF134*3)*EE295*G265*2,"")</f>
        <v>37361.954340000004</v>
      </c>
      <c r="H295" s="14">
        <f>IF(Distances!EG134&lt;&gt;0,(BT295+Distances!EG134*3)*EF295*H265*2,"")</f>
        <v>15194.577360000001</v>
      </c>
      <c r="I295" s="14">
        <f>IF(Distances!EH134&lt;&gt;0,(BU295+Distances!EH134*3)*EG295*I265*2,"")</f>
        <v>14953.58934</v>
      </c>
      <c r="J295" s="14">
        <f>IF(Distances!EI134&lt;&gt;0,(BV295+Distances!EI134*3)*EH295*J265*2,"")</f>
        <v>288.08436</v>
      </c>
      <c r="K295" s="14">
        <f>IF(Distances!EJ134&lt;&gt;0,(BW295+Distances!EJ134*3)*EI295*K265*2,"")</f>
        <v>207.74436000000003</v>
      </c>
      <c r="L295" s="14">
        <f>IF(Distances!EK134&lt;&gt;0,(BX295+Distances!EK134*3)*EJ295*L265*2,"")</f>
        <v>302.36868000000004</v>
      </c>
      <c r="M295" s="14">
        <f>IF(Distances!EL134&lt;&gt;0,(BY295+Distances!EL134*3)*EK295*M265*2,"")</f>
        <v>302.36868000000004</v>
      </c>
      <c r="N295" s="14">
        <f>IF(Distances!EM134&lt;&gt;0,(BZ295+Distances!EM134*3)*EL295*N265*2,"")</f>
        <v>248.05007999999998</v>
      </c>
      <c r="O295" s="14">
        <f>IF(Distances!EN134&lt;&gt;0,(CA295+Distances!EN134*3)*EM295*O265*2,"")</f>
        <v>311.9651386046512</v>
      </c>
      <c r="P295" s="14">
        <f>IF(Distances!EO134&lt;&gt;0,(CB295+Distances!EO134*3)*EN295*P265*2,"")</f>
        <v>320.24691348837212</v>
      </c>
      <c r="Q295" s="13">
        <f>IF(Distances!EP134&lt;&gt;0,(CC295+Distances!EP134*3)*EO295*Q265*2,"")</f>
        <v>4951.7310000000007</v>
      </c>
      <c r="R295" s="13">
        <f>IF(Distances!EQ134&lt;&gt;0,(CD295+Distances!EQ134*3)*EP295*R265*2,"")</f>
        <v>4940.2335000000012</v>
      </c>
      <c r="S295" s="13">
        <f>IF(Distances!ER134&lt;&gt;0,(CE295+Distances!ER134*3)*EQ295*S265*2,"")</f>
        <v>4974.7470000000003</v>
      </c>
      <c r="T295" s="13">
        <f>IF(Distances!ES134&lt;&gt;0,(CF295+Distances!ES134*3)*ER295*T265*2,"")</f>
        <v>807.42795000000001</v>
      </c>
      <c r="U295" s="13">
        <f>IF(Distances!ET134&lt;&gt;0,(CG295+Distances!ET134*3)*ES295*U265*2,"")</f>
        <v>840.28371000000016</v>
      </c>
      <c r="V295" s="13">
        <f>IF(Distances!EU134&lt;&gt;0,(CH295+Distances!EU134*3)*ET295*V265*2,"")</f>
        <v>6562.8450000000012</v>
      </c>
      <c r="W295" s="13">
        <f>IF(Distances!EV134&lt;&gt;0,(CI295+Distances!EV134*3)*EU295*W265*2,"")</f>
        <v>5717.3215800000007</v>
      </c>
      <c r="X295" s="13">
        <f>IF(Distances!EW134&lt;&gt;0,(CJ295+Distances!EW134*3)*EV295*X265*2,"")</f>
        <v>6627.5799600000009</v>
      </c>
      <c r="Y295" s="13">
        <f>IF(Distances!EX134&lt;&gt;0,(CK295+Distances!EX134*3)*EW295*Y265*2,"")</f>
        <v>6848.4573</v>
      </c>
      <c r="Z295" s="13">
        <f>IF(Distances!EY134&lt;&gt;0,(CL295+Distances!EY134*3)*EX295*Z265*2,"")</f>
        <v>207.66096000000005</v>
      </c>
      <c r="AA295" s="13">
        <f>IF(Distances!EZ134&lt;&gt;0,(CM295+Distances!EZ134*3)*EY295*AA265*2,"")</f>
        <v>216.32214000000005</v>
      </c>
      <c r="AB295" s="13">
        <f>IF(Distances!FA134&lt;&gt;0,(CN295+Distances!FA134*3)*EZ295*AB265*2,"")</f>
        <v>251.88408000000001</v>
      </c>
      <c r="AC295" s="13">
        <f>IF(Distances!FB134&lt;&gt;0,(CO295+Distances!FB134*3)*FA295*AC265*2,"")</f>
        <v>193.00488000000001</v>
      </c>
      <c r="AD295" s="13">
        <f>IF(Distances!FC134&lt;&gt;0,(CP295+Distances!FC134*3)*FB295*AD265*2,"")</f>
        <v>208.21224000000004</v>
      </c>
      <c r="AE295" s="12" t="s">
        <v>62</v>
      </c>
      <c r="AF295" s="13">
        <f>IF(Distances!FE134&lt;&gt;0,(CR295+Distances!FE134*3)*FD295*AF265*2,"")</f>
        <v>586.74000000000012</v>
      </c>
      <c r="AG295" s="13">
        <f>IF(Distances!FF134&lt;&gt;0,(CS295+Distances!FF134*3)*FE295*AG265*2,"")</f>
        <v>485.82000000000011</v>
      </c>
      <c r="AH295" s="14">
        <f>IF(Distances!FG134&lt;&gt;0,(CT295+Distances!FG134*3)*FF295*AH265*2,"")</f>
        <v>85.0987062857143</v>
      </c>
      <c r="AI295" s="14">
        <f>IF(Distances!FH134&lt;&gt;0,(CU295+Distances!FH134*3)*FG295*AI265*2,"")</f>
        <v>47.006729142857147</v>
      </c>
      <c r="AJ295" s="14">
        <f>IF(Distances!FI134&lt;&gt;0,(CV295+Distances!FI134*3)*FH295*AJ265*2,"")</f>
        <v>71.260992000000002</v>
      </c>
      <c r="AK295" s="14">
        <f>IF(Distances!FJ134&lt;&gt;0,(CW295+Distances!FJ134*3)*FI295*AK265*2,"")</f>
        <v>47.381993142857141</v>
      </c>
      <c r="AL295" s="14">
        <f>IF(Distances!FK134&lt;&gt;0,(CX295+Distances!FK134*3)*FJ295*AL265*2,"")</f>
        <v>2127.432877714286</v>
      </c>
      <c r="AM295" s="14">
        <f>IF(Distances!FL134&lt;&gt;0,(CY295+Distances!FL134*3)*FK295*AM265*2,"")</f>
        <v>2127.432877714286</v>
      </c>
      <c r="AN295" s="14">
        <f>IF(Distances!FM134&lt;&gt;0,(CZ295+Distances!FM134*3)*FL295*AN265*2,"")</f>
        <v>2413.663734857143</v>
      </c>
      <c r="AO295" s="14">
        <f>IF(Distances!FN134&lt;&gt;0,(DA295+Distances!FN134*3)*FM295*AO265*2,"")</f>
        <v>75.250308571428576</v>
      </c>
      <c r="AP295" s="14">
        <f>IF(Distances!FO134&lt;&gt;0,(DB295+Distances!FO134*3)*FN295*AP265*2,"")</f>
        <v>75.607268571428577</v>
      </c>
      <c r="AQ295" s="14">
        <f>IF(Distances!FP134&lt;&gt;0,(DC295+Distances!FP134*3)*FO295*AQ265*2,"")</f>
        <v>82.844228571428587</v>
      </c>
      <c r="AR295" s="14">
        <f>IF(Distances!FQ134&lt;&gt;0,(DD295+Distances!FQ134*3)*FP295*AR265*2,"")</f>
        <v>103.01173028571429</v>
      </c>
      <c r="AS295" s="14">
        <f>IF(Distances!FR134&lt;&gt;0,(DE295+Distances!FR134*3)*FQ295*AS265*2,"")</f>
        <v>103.01173028571429</v>
      </c>
      <c r="AT295" s="14">
        <f>IF(Distances!FS134&lt;&gt;0,(DF295+Distances!FS134*3)*FR295*AT265*2,"")</f>
        <v>103.01173028571429</v>
      </c>
      <c r="AU295" s="14">
        <f>IF(Distances!FT134&lt;&gt;0,(DG295+Distances!FT134*3)*FS295*AU265*2,"")</f>
        <v>758.82777600000009</v>
      </c>
      <c r="AV295" s="12">
        <f>IF(Distances!FU134&lt;&gt;0,(DH295+Distances!FU134*3)*FT295*AV265*2,"")</f>
        <v>36597.268799999998</v>
      </c>
      <c r="AW295" s="14">
        <f>IF(Distances!FV134&lt;&gt;0,(DI295+Distances!FV134*3)*FU295*AW265*2,"")</f>
        <v>989.87684571428588</v>
      </c>
      <c r="AX295" s="14">
        <f>IF(Distances!FW134&lt;&gt;0,(DJ295+Distances!FW134*3)*FV295*AX265*2,"")</f>
        <v>265.25300571428568</v>
      </c>
      <c r="AY295" s="14">
        <f>IF(Distances!FX134&lt;&gt;0,(DK295+Distances!FX134*3)*FW295*AY265*2,"")</f>
        <v>108.53454545454548</v>
      </c>
      <c r="AZ295" s="14">
        <f>IF(Distances!FY134&lt;&gt;0,(DL295+Distances!FY134*3)*FX295*AZ265*2,"")</f>
        <v>292.73493818181822</v>
      </c>
      <c r="BA295" s="14">
        <f>IF(Distances!FZ134&lt;&gt;0,(DM295+Distances!FZ134*3)*FY295*BA265*2,"")</f>
        <v>183.17046857142859</v>
      </c>
      <c r="BB295" s="13">
        <f>IF(Distances!GA134&lt;&gt;0,(DN295+Distances!GA134*3)*FZ295*BB265*2,"")</f>
        <v>414.22200000000004</v>
      </c>
      <c r="BC295" s="14">
        <f>IF(Distances!GB134&lt;&gt;0,(DO295+Distances!GB134*3)*GA295*BC265*2,"")</f>
        <v>1657.9965805714285</v>
      </c>
      <c r="BD295" s="14">
        <f>IF(Distances!GC134&lt;&gt;0,(DP295+Distances!GC134*3)*GB295*BD265*2,"")</f>
        <v>1825.5460937142857</v>
      </c>
      <c r="BE295" s="14">
        <f>IF(Distances!GD134&lt;&gt;0,(DQ295+Distances!GD134*3)*GC295*BE265*2,"")</f>
        <v>1691.9606125714288</v>
      </c>
      <c r="BF295" s="12">
        <f>IF(Distances!GE134&lt;&gt;0,(DR295+Distances!GE134*3)*GD295*BF265*2,"")</f>
        <v>32905.151999999995</v>
      </c>
      <c r="BG295" s="13">
        <f>IF(Distances!GF134&lt;&gt;0,(DS295+Distances!GF134*3)*GE295*BG265*2,"")</f>
        <v>355.02888000000007</v>
      </c>
      <c r="BH295" s="14">
        <f>IF(Distances!GG134&lt;&gt;0,(DT295+Distances!GG134*3)*GF295*BH265*2,"")</f>
        <v>230.06792930232558</v>
      </c>
      <c r="BI295" s="14">
        <f>IF(Distances!GH134&lt;&gt;0,(DU295+Distances!GH134*3)*GG295*BI265*2,"")</f>
        <v>201.97582883720932</v>
      </c>
      <c r="BJ295" s="15">
        <f>IF(Distances!GI134&lt;&gt;0,(DV295+Distances!GI134*3)*GH295*BJ265*2,"")</f>
        <v>201.97582883720932</v>
      </c>
      <c r="BM295" s="35" t="s">
        <v>30</v>
      </c>
      <c r="BN295" s="16">
        <v>1599.1751999999999</v>
      </c>
      <c r="BO295" s="14">
        <v>1865.5391999999999</v>
      </c>
      <c r="BP295" s="14">
        <v>1125.6504</v>
      </c>
      <c r="BQ295" s="14">
        <v>1125.6504</v>
      </c>
      <c r="BR295" s="14">
        <v>1192.4555999999998</v>
      </c>
      <c r="BS295" s="14">
        <v>2937.5135999999998</v>
      </c>
      <c r="BT295" s="14">
        <v>3032.9543999999996</v>
      </c>
      <c r="BU295" s="14">
        <v>2937.5135999999998</v>
      </c>
      <c r="BV295" s="14">
        <v>1170.1871999999998</v>
      </c>
      <c r="BW295" s="14">
        <v>1170.1871999999998</v>
      </c>
      <c r="BX295" s="14">
        <v>3062.6736000000001</v>
      </c>
      <c r="BY295" s="14">
        <v>3062.6736000000001</v>
      </c>
      <c r="BZ295" s="14">
        <v>1976.3015999999998</v>
      </c>
      <c r="CA295" s="14">
        <v>1806.1931999999999</v>
      </c>
      <c r="CB295" s="14">
        <v>1933.3775999999998</v>
      </c>
      <c r="CC295" s="13">
        <v>976.6848</v>
      </c>
      <c r="CD295" s="13">
        <v>967.4867999999999</v>
      </c>
      <c r="CE295" s="13">
        <v>995.09760000000006</v>
      </c>
      <c r="CF295" s="13">
        <v>949.07399999999984</v>
      </c>
      <c r="CG295" s="13">
        <v>858.42119999999989</v>
      </c>
      <c r="CH295" s="13">
        <v>0</v>
      </c>
      <c r="CI295" s="13">
        <v>958.28039999999987</v>
      </c>
      <c r="CJ295" s="13">
        <v>1179.5447999999999</v>
      </c>
      <c r="CK295" s="13">
        <v>949.07399999999984</v>
      </c>
      <c r="CL295" s="13">
        <v>934.81920000000002</v>
      </c>
      <c r="CM295" s="13">
        <v>917.84280000000001</v>
      </c>
      <c r="CN295" s="13">
        <v>883.88159999999993</v>
      </c>
      <c r="CO295" s="13">
        <v>875.39760000000001</v>
      </c>
      <c r="CP295" s="13">
        <v>1179.5447999999999</v>
      </c>
      <c r="CQ295" s="12">
        <v>0</v>
      </c>
      <c r="CR295" s="13">
        <v>0</v>
      </c>
      <c r="CS295" s="13">
        <v>0</v>
      </c>
      <c r="CT295" s="14">
        <v>302.83679999999998</v>
      </c>
      <c r="CU295" s="14">
        <v>1128.3887999999999</v>
      </c>
      <c r="CV295" s="14">
        <v>302.83679999999998</v>
      </c>
      <c r="CW295" s="14">
        <v>1161.2244000000001</v>
      </c>
      <c r="CX295" s="14">
        <v>462.5292</v>
      </c>
      <c r="CY295" s="14">
        <v>462.5292</v>
      </c>
      <c r="CZ295" s="14">
        <v>462.5292</v>
      </c>
      <c r="DA295" s="14">
        <v>965.94119999999998</v>
      </c>
      <c r="DB295" s="14">
        <v>984.6816</v>
      </c>
      <c r="DC295" s="14">
        <v>1364.6219999999998</v>
      </c>
      <c r="DD295" s="14">
        <v>1522.0632000000001</v>
      </c>
      <c r="DE295" s="14">
        <v>1522.0632000000001</v>
      </c>
      <c r="DF295" s="14">
        <v>1522.0632000000001</v>
      </c>
      <c r="DG295" s="14">
        <v>1626.2736</v>
      </c>
      <c r="DH295" s="12">
        <v>1179.5447999999999</v>
      </c>
      <c r="DI295" s="14">
        <v>1179.5447999999999</v>
      </c>
      <c r="DJ295" s="14">
        <v>1657.2275999999999</v>
      </c>
      <c r="DK295" s="14">
        <v>0</v>
      </c>
      <c r="DL295" s="14">
        <v>3677.4107999999997</v>
      </c>
      <c r="DM295" s="14">
        <v>1022.1539999999999</v>
      </c>
      <c r="DN295" s="13">
        <v>1157.52</v>
      </c>
      <c r="DO295" s="14">
        <v>1548.8843999999999</v>
      </c>
      <c r="DP295" s="14">
        <v>1657.2275999999999</v>
      </c>
      <c r="DQ295" s="14">
        <v>1641.7547999999999</v>
      </c>
      <c r="DR295" s="12">
        <v>975.24</v>
      </c>
      <c r="DS295" s="13">
        <v>565.58879999999999</v>
      </c>
      <c r="DT295" s="14">
        <v>3198.3755999999998</v>
      </c>
      <c r="DU295" s="14">
        <v>2443.4004</v>
      </c>
      <c r="DV295" s="15">
        <v>2443.4004</v>
      </c>
      <c r="DY295" s="35" t="s">
        <v>30</v>
      </c>
      <c r="DZ295" s="16">
        <v>6.2500000000000003E-3</v>
      </c>
      <c r="EA295" s="14">
        <v>6.2500000000000003E-3</v>
      </c>
      <c r="EB295" s="14">
        <v>6.2500000000000003E-3</v>
      </c>
      <c r="EC295" s="14">
        <v>6.2500000000000003E-3</v>
      </c>
      <c r="ED295" s="14">
        <v>6.2500000000000003E-3</v>
      </c>
      <c r="EE295" s="14">
        <v>6.2500000000000003E-3</v>
      </c>
      <c r="EF295" s="14">
        <v>6.2500000000000003E-3</v>
      </c>
      <c r="EG295" s="14">
        <v>6.2500000000000003E-3</v>
      </c>
      <c r="EH295" s="14">
        <v>6.2500000000000003E-3</v>
      </c>
      <c r="EI295" s="14">
        <v>6.2500000000000003E-3</v>
      </c>
      <c r="EJ295" s="14">
        <v>6.2500000000000003E-3</v>
      </c>
      <c r="EK295" s="14">
        <v>6.2500000000000003E-3</v>
      </c>
      <c r="EL295" s="14">
        <v>6.2500000000000003E-3</v>
      </c>
      <c r="EM295" s="14">
        <v>4.6511627906976744E-3</v>
      </c>
      <c r="EN295" s="14">
        <v>4.6511627906976744E-3</v>
      </c>
      <c r="EO295" s="13">
        <f t="shared" si="103"/>
        <v>1.2500000000000001E-2</v>
      </c>
      <c r="EP295" s="13">
        <f t="shared" si="103"/>
        <v>1.2500000000000001E-2</v>
      </c>
      <c r="EQ295" s="13">
        <f t="shared" si="103"/>
        <v>1.2500000000000001E-2</v>
      </c>
      <c r="ER295" s="13">
        <f t="shared" si="103"/>
        <v>1.2500000000000001E-2</v>
      </c>
      <c r="ES295" s="13">
        <f t="shared" si="103"/>
        <v>1.2500000000000001E-2</v>
      </c>
      <c r="ET295" s="13">
        <f t="shared" si="103"/>
        <v>1.2500000000000001E-2</v>
      </c>
      <c r="EU295" s="13">
        <f t="shared" si="103"/>
        <v>1.2500000000000001E-2</v>
      </c>
      <c r="EV295" s="13">
        <f t="shared" si="103"/>
        <v>1.2500000000000001E-2</v>
      </c>
      <c r="EW295" s="13">
        <f t="shared" si="103"/>
        <v>1.2500000000000001E-2</v>
      </c>
      <c r="EX295" s="13">
        <f t="shared" si="103"/>
        <v>1.2500000000000001E-2</v>
      </c>
      <c r="EY295" s="13">
        <f t="shared" si="103"/>
        <v>1.2500000000000001E-2</v>
      </c>
      <c r="EZ295" s="13">
        <f t="shared" si="103"/>
        <v>1.2500000000000001E-2</v>
      </c>
      <c r="FA295" s="13">
        <f t="shared" si="103"/>
        <v>1.2500000000000001E-2</v>
      </c>
      <c r="FB295" s="13">
        <f t="shared" si="103"/>
        <v>1.2500000000000001E-2</v>
      </c>
      <c r="FC295" s="12">
        <v>0.6</v>
      </c>
      <c r="FD295" s="13">
        <f t="shared" si="100"/>
        <v>1.2500000000000001E-2</v>
      </c>
      <c r="FE295" s="13">
        <f t="shared" si="100"/>
        <v>1.2500000000000001E-2</v>
      </c>
      <c r="FF295" s="14">
        <v>5.7142857142857143E-3</v>
      </c>
      <c r="FG295" s="14">
        <v>5.7142857142857143E-3</v>
      </c>
      <c r="FH295" s="14">
        <v>5.7142857142857143E-3</v>
      </c>
      <c r="FI295" s="14">
        <v>5.7142857142857143E-3</v>
      </c>
      <c r="FJ295" s="14">
        <v>5.7142857142857143E-3</v>
      </c>
      <c r="FK295" s="14">
        <v>5.7142857142857143E-3</v>
      </c>
      <c r="FL295" s="14">
        <v>5.7142857142857143E-3</v>
      </c>
      <c r="FM295" s="14">
        <v>4.7619047619047623E-3</v>
      </c>
      <c r="FN295" s="14">
        <v>4.7619047619047623E-3</v>
      </c>
      <c r="FO295" s="14">
        <v>4.7619047619047623E-3</v>
      </c>
      <c r="FP295" s="14">
        <v>5.7142857142857143E-3</v>
      </c>
      <c r="FQ295" s="14">
        <v>5.7142857142857143E-3</v>
      </c>
      <c r="FR295" s="14">
        <v>5.7142857142857143E-3</v>
      </c>
      <c r="FS295" s="14">
        <v>5.7142857142857143E-3</v>
      </c>
      <c r="FT295" s="12">
        <v>0.6</v>
      </c>
      <c r="FU295" s="14">
        <v>5.7142857142857143E-3</v>
      </c>
      <c r="FV295" s="14">
        <v>5.7142857142857143E-3</v>
      </c>
      <c r="FW295" s="14">
        <v>4.5454545454545461E-3</v>
      </c>
      <c r="FX295" s="14">
        <v>4.5454545454545461E-3</v>
      </c>
      <c r="FY295" s="14">
        <v>5.7142857142857143E-3</v>
      </c>
      <c r="FZ295" s="13">
        <f t="shared" si="104"/>
        <v>1.2500000000000001E-2</v>
      </c>
      <c r="GA295" s="14">
        <v>5.7142857142857143E-3</v>
      </c>
      <c r="GB295" s="14">
        <v>5.7142857142857143E-3</v>
      </c>
      <c r="GC295" s="14">
        <v>5.7142857142857143E-3</v>
      </c>
      <c r="GD295" s="12">
        <v>0.6</v>
      </c>
      <c r="GE295" s="13">
        <f t="shared" si="102"/>
        <v>1.2500000000000001E-2</v>
      </c>
      <c r="GF295" s="14">
        <v>4.6511627906976744E-3</v>
      </c>
      <c r="GG295" s="14">
        <v>4.6511627906976744E-3</v>
      </c>
      <c r="GH295" s="15">
        <v>4.6511627906976744E-3</v>
      </c>
    </row>
    <row r="296" spans="1:190" x14ac:dyDescent="0.3">
      <c r="A296" s="35" t="s">
        <v>31</v>
      </c>
      <c r="B296" s="16">
        <f>IF(Distances!EA135&lt;&gt;0,(BN296+Distances!EA135*3)*DZ296*B265*2,"")</f>
        <v>11316.734880000002</v>
      </c>
      <c r="C296" s="14">
        <f>IF(Distances!EB135&lt;&gt;0,(BO296+Distances!EB135*3)*EA296*C265*2,"")</f>
        <v>11989.303980000001</v>
      </c>
      <c r="D296" s="14">
        <f>IF(Distances!EC135&lt;&gt;0,(BP296+Distances!EC135*3)*EB296*D265*2,"")</f>
        <v>26764.874759999999</v>
      </c>
      <c r="E296" s="14">
        <f>IF(Distances!ED135&lt;&gt;0,(BQ296+Distances!ED135*3)*EC296*E265*2,"")</f>
        <v>10121.084760000002</v>
      </c>
      <c r="F296" s="14">
        <f>IF(Distances!EE135&lt;&gt;0,(BR296+Distances!EE135*3)*ED296*F265*2,"")</f>
        <v>10777.597890000003</v>
      </c>
      <c r="G296" s="14">
        <f>IF(Distances!EF135&lt;&gt;0,(BS296+Distances!EF135*3)*EE296*G265*2,"")</f>
        <v>37104.404340000001</v>
      </c>
      <c r="H296" s="14">
        <f>IF(Distances!EG135&lt;&gt;0,(BT296+Distances!EG135*3)*EF296*H265*2,"")</f>
        <v>14937.02736</v>
      </c>
      <c r="I296" s="14">
        <f>IF(Distances!EH135&lt;&gt;0,(BU296+Distances!EH135*3)*EG296*I265*2,"")</f>
        <v>14696.039340000001</v>
      </c>
      <c r="J296" s="14">
        <f>IF(Distances!EI135&lt;&gt;0,(BV296+Distances!EI135*3)*EH296*J265*2,"")</f>
        <v>282.98436000000004</v>
      </c>
      <c r="K296" s="14">
        <f>IF(Distances!EJ135&lt;&gt;0,(BW296+Distances!EJ135*3)*EI296*K265*2,"")</f>
        <v>202.64436000000001</v>
      </c>
      <c r="L296" s="14">
        <f>IF(Distances!EK135&lt;&gt;0,(BX296+Distances!EK135*3)*EJ296*L265*2,"")</f>
        <v>297.26868000000007</v>
      </c>
      <c r="M296" s="14">
        <f>IF(Distances!EL135&lt;&gt;0,(BY296+Distances!EL135*3)*EK296*M265*2,"")</f>
        <v>297.26868000000007</v>
      </c>
      <c r="N296" s="14">
        <f>IF(Distances!EM135&lt;&gt;0,(BZ296+Distances!EM135*3)*EL296*N265*2,"")</f>
        <v>242.95007999999999</v>
      </c>
      <c r="O296" s="14">
        <f>IF(Distances!EN135&lt;&gt;0,(CA296+Distances!EN135*3)*EM296*O265*2,"")</f>
        <v>305.32327813953492</v>
      </c>
      <c r="P296" s="14">
        <f>IF(Distances!EO135&lt;&gt;0,(CB296+Distances!EO135*3)*EN296*P265*2,"")</f>
        <v>313.60505302325583</v>
      </c>
      <c r="Q296" s="13">
        <f>IF(Distances!EP135&lt;&gt;0,(CC296+Distances!EP135*3)*EO296*Q265*2,"")</f>
        <v>4824.2310000000007</v>
      </c>
      <c r="R296" s="13">
        <f>IF(Distances!EQ135&lt;&gt;0,(CD296+Distances!EQ135*3)*EP296*R265*2,"")</f>
        <v>4812.7335000000012</v>
      </c>
      <c r="S296" s="13">
        <f>IF(Distances!ER135&lt;&gt;0,(CE296+Distances!ER135*3)*EQ296*S265*2,"")</f>
        <v>4847.2470000000012</v>
      </c>
      <c r="T296" s="13">
        <f>IF(Distances!ES135&lt;&gt;0,(CF296+Distances!ES135*3)*ER296*T265*2,"")</f>
        <v>789.5779500000001</v>
      </c>
      <c r="U296" s="13">
        <f>IF(Distances!ET135&lt;&gt;0,(CG296+Distances!ET135*3)*ES296*U265*2,"")</f>
        <v>822.43371000000013</v>
      </c>
      <c r="V296" s="13">
        <f>IF(Distances!EU135&lt;&gt;0,(CH296+Distances!EU135*3)*ET296*V265*2,"")</f>
        <v>6414.9450000000015</v>
      </c>
      <c r="W296" s="13">
        <f>IF(Distances!EV135&lt;&gt;0,(CI296+Distances!EV135*3)*EU296*W265*2,"")</f>
        <v>5569.4215800000011</v>
      </c>
      <c r="X296" s="13">
        <f>IF(Distances!EW135&lt;&gt;0,(CJ296+Distances!EW135*3)*EV296*X265*2,"")</f>
        <v>6479.6799600000013</v>
      </c>
      <c r="Y296" s="13">
        <f>IF(Distances!EX135&lt;&gt;0,(CK296+Distances!EX135*3)*EW296*Y265*2,"")</f>
        <v>6700.5572999999995</v>
      </c>
      <c r="Z296" s="13">
        <f>IF(Distances!EY135&lt;&gt;0,(CL296+Distances!EY135*3)*EX296*Z265*2,"")</f>
        <v>202.56096000000002</v>
      </c>
      <c r="AA296" s="13">
        <f>IF(Distances!EZ135&lt;&gt;0,(CM296+Distances!EZ135*3)*EY296*AA265*2,"")</f>
        <v>211.22214000000005</v>
      </c>
      <c r="AB296" s="13">
        <f>IF(Distances!FA135&lt;&gt;0,(CN296+Distances!FA135*3)*EZ296*AB265*2,"")</f>
        <v>246.78408000000002</v>
      </c>
      <c r="AC296" s="13">
        <f>IF(Distances!FB135&lt;&gt;0,(CO296+Distances!FB135*3)*FA296*AC265*2,"")</f>
        <v>187.90488000000002</v>
      </c>
      <c r="AD296" s="13">
        <f>IF(Distances!FC135&lt;&gt;0,(CP296+Distances!FC135*3)*FB296*AD265*2,"")</f>
        <v>203.11224000000004</v>
      </c>
      <c r="AE296" s="13">
        <f>IF(Distances!FD135&lt;&gt;0,(CQ296+Distances!FD135*3)*FC296*AE265*2,"")</f>
        <v>293.37000000000006</v>
      </c>
      <c r="AF296" s="12" t="s">
        <v>62</v>
      </c>
      <c r="AG296" s="13">
        <f>IF(Distances!FF135&lt;&gt;0,(CS296+Distances!FF135*3)*FE296*AG265*2,"")</f>
        <v>475.62000000000012</v>
      </c>
      <c r="AH296" s="14">
        <f>IF(Distances!FG135&lt;&gt;0,(CT296+Distances!FG135*3)*FF296*AH265*2,"")</f>
        <v>83.932992000000013</v>
      </c>
      <c r="AI296" s="14">
        <f>IF(Distances!FH135&lt;&gt;0,(CU296+Distances!FH135*3)*FG296*AI265*2,"")</f>
        <v>45.841014857142859</v>
      </c>
      <c r="AJ296" s="14">
        <f>IF(Distances!FI135&lt;&gt;0,(CV296+Distances!FI135*3)*FH296*AJ265*2,"")</f>
        <v>70.095277714285714</v>
      </c>
      <c r="AK296" s="14">
        <f>IF(Distances!FJ135&lt;&gt;0,(CW296+Distances!FJ135*3)*FI296*AK265*2,"")</f>
        <v>46.216278857142861</v>
      </c>
      <c r="AL296" s="14">
        <f>IF(Distances!FK135&lt;&gt;0,(CX296+Distances!FK135*3)*FJ296*AL265*2,"")</f>
        <v>2064.4843062857144</v>
      </c>
      <c r="AM296" s="14">
        <f>IF(Distances!FL135&lt;&gt;0,(CY296+Distances!FL135*3)*FK296*AM265*2,"")</f>
        <v>2064.4843062857144</v>
      </c>
      <c r="AN296" s="14">
        <f>IF(Distances!FM135&lt;&gt;0,(CZ296+Distances!FM135*3)*FL296*AN265*2,"")</f>
        <v>2350.7151634285715</v>
      </c>
      <c r="AO296" s="14">
        <f>IF(Distances!FN135&lt;&gt;0,(DA296+Distances!FN135*3)*FM296*AO265*2,"")</f>
        <v>73.30745142857144</v>
      </c>
      <c r="AP296" s="14">
        <f>IF(Distances!FO135&lt;&gt;0,(DB296+Distances!FO135*3)*FN296*AP265*2,"")</f>
        <v>73.664411428571441</v>
      </c>
      <c r="AQ296" s="14">
        <f>IF(Distances!FP135&lt;&gt;0,(DC296+Distances!FP135*3)*FO296*AQ265*2,"")</f>
        <v>80.901371428571437</v>
      </c>
      <c r="AR296" s="14">
        <f>IF(Distances!FQ135&lt;&gt;0,(DD296+Distances!FQ135*3)*FP296*AR265*2,"")</f>
        <v>100.68030171428572</v>
      </c>
      <c r="AS296" s="14">
        <f>IF(Distances!FR135&lt;&gt;0,(DE296+Distances!FR135*3)*FQ296*AS265*2,"")</f>
        <v>100.68030171428572</v>
      </c>
      <c r="AT296" s="14">
        <f>IF(Distances!FS135&lt;&gt;0,(DF296+Distances!FS135*3)*FR296*AT265*2,"")</f>
        <v>100.68030171428572</v>
      </c>
      <c r="AU296" s="14">
        <f>IF(Distances!FT135&lt;&gt;0,(DG296+Distances!FT135*3)*FS296*AU265*2,"")</f>
        <v>742.50777600000004</v>
      </c>
      <c r="AV296" s="14">
        <f>IF(Distances!FU135&lt;&gt;0,(DH296+Distances!FU135*3)*FT296*AV265*2,"")</f>
        <v>352.79675294117646</v>
      </c>
      <c r="AW296" s="14">
        <f>IF(Distances!FV135&lt;&gt;0,(DI296+Distances!FV135*3)*FU296*AW265*2,"")</f>
        <v>984.04827428571434</v>
      </c>
      <c r="AX296" s="14">
        <f>IF(Distances!FW135&lt;&gt;0,(DJ296+Distances!FW135*3)*FV296*AX265*2,"")</f>
        <v>259.42443428571431</v>
      </c>
      <c r="AY296" s="14">
        <f>IF(Distances!FX135&lt;&gt;0,(DK296+Distances!FX135*3)*FW296*AY265*2,"")</f>
        <v>104.82545454545458</v>
      </c>
      <c r="AZ296" s="14">
        <f>IF(Distances!FY135&lt;&gt;0,(DL296+Distances!FY135*3)*FX296*AZ265*2,"")</f>
        <v>289.02584727272733</v>
      </c>
      <c r="BA296" s="14">
        <f>IF(Distances!FZ135&lt;&gt;0,(DM296+Distances!FZ135*3)*FY296*BA265*2,"")</f>
        <v>178.50761142857144</v>
      </c>
      <c r="BB296" s="13">
        <f>IF(Distances!GA135&lt;&gt;0,(DN296+Distances!GA135*3)*FZ296*BB265*2,"")</f>
        <v>404.02200000000005</v>
      </c>
      <c r="BC296" s="14">
        <f>IF(Distances!GB135&lt;&gt;0,(DO296+Distances!GB135*3)*GA296*BC265*2,"")</f>
        <v>1620.6937234285713</v>
      </c>
      <c r="BD296" s="14">
        <f>IF(Distances!GC135&lt;&gt;0,(DP296+Distances!GC135*3)*GB296*BD265*2,"")</f>
        <v>1788.2432365714287</v>
      </c>
      <c r="BE296" s="14">
        <f>IF(Distances!GD135&lt;&gt;0,(DQ296+Distances!GD135*3)*GC296*BE265*2,"")</f>
        <v>1654.6577554285716</v>
      </c>
      <c r="BF296" s="13">
        <f>IF(Distances!GE135&lt;&gt;0,(DR296+Distances!GE135*3)*GD296*BF265*2,"")</f>
        <v>675.32400000000007</v>
      </c>
      <c r="BG296" s="13">
        <f>IF(Distances!GF135&lt;&gt;0,(DS296+Distances!GF135*3)*GE296*BG265*2,"")</f>
        <v>344.82888000000003</v>
      </c>
      <c r="BH296" s="14">
        <f>IF(Distances!GG135&lt;&gt;0,(DT296+Distances!GG135*3)*GF296*BH265*2,"")</f>
        <v>226.27258046511628</v>
      </c>
      <c r="BI296" s="14">
        <f>IF(Distances!GH135&lt;&gt;0,(DU296+Distances!GH135*3)*GG296*BI265*2,"")</f>
        <v>198.18048000000002</v>
      </c>
      <c r="BJ296" s="15">
        <f>IF(Distances!GI135&lt;&gt;0,(DV296+Distances!GI135*3)*GH296*BJ265*2,"")</f>
        <v>198.18048000000002</v>
      </c>
      <c r="BM296" s="35" t="s">
        <v>31</v>
      </c>
      <c r="BN296" s="16">
        <v>1599.1751999999999</v>
      </c>
      <c r="BO296" s="14">
        <v>1865.5391999999999</v>
      </c>
      <c r="BP296" s="14">
        <v>1125.6504</v>
      </c>
      <c r="BQ296" s="14">
        <v>1125.6504</v>
      </c>
      <c r="BR296" s="14">
        <v>1192.4555999999998</v>
      </c>
      <c r="BS296" s="14">
        <v>2937.5135999999998</v>
      </c>
      <c r="BT296" s="14">
        <v>3032.9543999999996</v>
      </c>
      <c r="BU296" s="14">
        <v>2937.5135999999998</v>
      </c>
      <c r="BV296" s="14">
        <v>1170.1871999999998</v>
      </c>
      <c r="BW296" s="14">
        <v>1170.1871999999998</v>
      </c>
      <c r="BX296" s="14">
        <v>3062.6736000000001</v>
      </c>
      <c r="BY296" s="14">
        <v>3062.6736000000001</v>
      </c>
      <c r="BZ296" s="14">
        <v>1976.3015999999998</v>
      </c>
      <c r="CA296" s="14">
        <v>1806.1931999999999</v>
      </c>
      <c r="CB296" s="14">
        <v>1933.3775999999998</v>
      </c>
      <c r="CC296" s="13">
        <v>976.6848</v>
      </c>
      <c r="CD296" s="13">
        <v>967.4867999999999</v>
      </c>
      <c r="CE296" s="13">
        <v>995.09760000000006</v>
      </c>
      <c r="CF296" s="13">
        <v>949.07399999999984</v>
      </c>
      <c r="CG296" s="13">
        <v>858.42119999999989</v>
      </c>
      <c r="CH296" s="13">
        <v>0</v>
      </c>
      <c r="CI296" s="13">
        <v>958.28039999999987</v>
      </c>
      <c r="CJ296" s="13">
        <v>1179.5447999999999</v>
      </c>
      <c r="CK296" s="13">
        <v>949.07399999999984</v>
      </c>
      <c r="CL296" s="13">
        <v>934.81920000000002</v>
      </c>
      <c r="CM296" s="13">
        <v>917.84280000000001</v>
      </c>
      <c r="CN296" s="13">
        <v>883.88159999999993</v>
      </c>
      <c r="CO296" s="13">
        <v>875.39760000000001</v>
      </c>
      <c r="CP296" s="13">
        <v>1179.5447999999999</v>
      </c>
      <c r="CQ296" s="13">
        <v>0</v>
      </c>
      <c r="CR296" s="12">
        <v>0</v>
      </c>
      <c r="CS296" s="13">
        <v>0</v>
      </c>
      <c r="CT296" s="14">
        <v>302.83679999999998</v>
      </c>
      <c r="CU296" s="14">
        <v>1128.3887999999999</v>
      </c>
      <c r="CV296" s="14">
        <v>302.83679999999998</v>
      </c>
      <c r="CW296" s="14">
        <v>1161.2244000000001</v>
      </c>
      <c r="CX296" s="14">
        <v>462.5292</v>
      </c>
      <c r="CY296" s="14">
        <v>462.5292</v>
      </c>
      <c r="CZ296" s="14">
        <v>462.5292</v>
      </c>
      <c r="DA296" s="14">
        <v>965.94119999999998</v>
      </c>
      <c r="DB296" s="14">
        <v>984.6816</v>
      </c>
      <c r="DC296" s="14">
        <v>1364.6219999999998</v>
      </c>
      <c r="DD296" s="14">
        <v>1522.0632000000001</v>
      </c>
      <c r="DE296" s="14">
        <v>1522.0632000000001</v>
      </c>
      <c r="DF296" s="14">
        <v>1522.0632000000001</v>
      </c>
      <c r="DG296" s="14">
        <v>1626.2736</v>
      </c>
      <c r="DH296" s="14">
        <v>1179.5447999999999</v>
      </c>
      <c r="DI296" s="14">
        <v>1179.5447999999999</v>
      </c>
      <c r="DJ296" s="14">
        <v>1657.2275999999999</v>
      </c>
      <c r="DK296" s="14">
        <v>0</v>
      </c>
      <c r="DL296" s="14">
        <v>3677.4107999999997</v>
      </c>
      <c r="DM296" s="14">
        <v>1022.1539999999999</v>
      </c>
      <c r="DN296" s="13">
        <v>1157.52</v>
      </c>
      <c r="DO296" s="14">
        <v>1548.8843999999999</v>
      </c>
      <c r="DP296" s="14">
        <v>1657.2275999999999</v>
      </c>
      <c r="DQ296" s="14">
        <v>1641.7547999999999</v>
      </c>
      <c r="DR296" s="13">
        <v>975.24</v>
      </c>
      <c r="DS296" s="13">
        <v>565.58879999999999</v>
      </c>
      <c r="DT296" s="14">
        <v>3198.3755999999998</v>
      </c>
      <c r="DU296" s="14">
        <v>2443.4004</v>
      </c>
      <c r="DV296" s="15">
        <v>2443.4004</v>
      </c>
      <c r="DY296" s="35" t="s">
        <v>31</v>
      </c>
      <c r="DZ296" s="16">
        <v>6.2500000000000003E-3</v>
      </c>
      <c r="EA296" s="14">
        <v>6.2500000000000003E-3</v>
      </c>
      <c r="EB296" s="14">
        <v>6.2500000000000003E-3</v>
      </c>
      <c r="EC296" s="14">
        <v>6.2500000000000003E-3</v>
      </c>
      <c r="ED296" s="14">
        <v>6.2500000000000003E-3</v>
      </c>
      <c r="EE296" s="14">
        <v>6.2500000000000003E-3</v>
      </c>
      <c r="EF296" s="14">
        <v>6.2500000000000003E-3</v>
      </c>
      <c r="EG296" s="14">
        <v>6.2500000000000003E-3</v>
      </c>
      <c r="EH296" s="14">
        <v>6.2500000000000003E-3</v>
      </c>
      <c r="EI296" s="14">
        <v>6.2500000000000003E-3</v>
      </c>
      <c r="EJ296" s="14">
        <v>6.2500000000000003E-3</v>
      </c>
      <c r="EK296" s="14">
        <v>6.2500000000000003E-3</v>
      </c>
      <c r="EL296" s="14">
        <v>6.2500000000000003E-3</v>
      </c>
      <c r="EM296" s="14">
        <v>4.6511627906976744E-3</v>
      </c>
      <c r="EN296" s="14">
        <v>4.6511627906976744E-3</v>
      </c>
      <c r="EO296" s="13">
        <f t="shared" si="103"/>
        <v>1.2500000000000001E-2</v>
      </c>
      <c r="EP296" s="13">
        <f t="shared" si="103"/>
        <v>1.2500000000000001E-2</v>
      </c>
      <c r="EQ296" s="13">
        <f t="shared" si="103"/>
        <v>1.2500000000000001E-2</v>
      </c>
      <c r="ER296" s="13">
        <f t="shared" si="103"/>
        <v>1.2500000000000001E-2</v>
      </c>
      <c r="ES296" s="13">
        <f t="shared" si="103"/>
        <v>1.2500000000000001E-2</v>
      </c>
      <c r="ET296" s="13">
        <f t="shared" si="103"/>
        <v>1.2500000000000001E-2</v>
      </c>
      <c r="EU296" s="13">
        <f t="shared" si="103"/>
        <v>1.2500000000000001E-2</v>
      </c>
      <c r="EV296" s="13">
        <f t="shared" si="103"/>
        <v>1.2500000000000001E-2</v>
      </c>
      <c r="EW296" s="13">
        <f t="shared" si="103"/>
        <v>1.2500000000000001E-2</v>
      </c>
      <c r="EX296" s="13">
        <f t="shared" si="103"/>
        <v>1.2500000000000001E-2</v>
      </c>
      <c r="EY296" s="13">
        <f t="shared" si="103"/>
        <v>1.2500000000000001E-2</v>
      </c>
      <c r="EZ296" s="13">
        <f t="shared" si="103"/>
        <v>1.2500000000000001E-2</v>
      </c>
      <c r="FA296" s="13">
        <f t="shared" si="103"/>
        <v>1.2500000000000001E-2</v>
      </c>
      <c r="FB296" s="13">
        <f t="shared" si="103"/>
        <v>1.2500000000000001E-2</v>
      </c>
      <c r="FC296" s="13">
        <f t="shared" si="103"/>
        <v>1.2500000000000001E-2</v>
      </c>
      <c r="FD296" s="12">
        <v>0.6</v>
      </c>
      <c r="FE296" s="13">
        <f t="shared" si="100"/>
        <v>1.2500000000000001E-2</v>
      </c>
      <c r="FF296" s="14">
        <v>5.7142857142857143E-3</v>
      </c>
      <c r="FG296" s="14">
        <v>5.7142857142857143E-3</v>
      </c>
      <c r="FH296" s="14">
        <v>5.7142857142857143E-3</v>
      </c>
      <c r="FI296" s="14">
        <v>5.7142857142857143E-3</v>
      </c>
      <c r="FJ296" s="14">
        <v>5.7142857142857143E-3</v>
      </c>
      <c r="FK296" s="14">
        <v>5.7142857142857143E-3</v>
      </c>
      <c r="FL296" s="14">
        <v>5.7142857142857143E-3</v>
      </c>
      <c r="FM296" s="14">
        <v>4.7619047619047623E-3</v>
      </c>
      <c r="FN296" s="14">
        <v>4.7619047619047623E-3</v>
      </c>
      <c r="FO296" s="14">
        <v>4.7619047619047623E-3</v>
      </c>
      <c r="FP296" s="14">
        <v>5.7142857142857143E-3</v>
      </c>
      <c r="FQ296" s="14">
        <v>5.7142857142857143E-3</v>
      </c>
      <c r="FR296" s="14">
        <v>5.7142857142857143E-3</v>
      </c>
      <c r="FS296" s="14">
        <v>5.7142857142857143E-3</v>
      </c>
      <c r="FT296" s="14">
        <v>5.8823529411764705E-3</v>
      </c>
      <c r="FU296" s="14">
        <v>5.7142857142857143E-3</v>
      </c>
      <c r="FV296" s="14">
        <v>5.7142857142857143E-3</v>
      </c>
      <c r="FW296" s="14">
        <v>4.5454545454545461E-3</v>
      </c>
      <c r="FX296" s="14">
        <v>4.5454545454545461E-3</v>
      </c>
      <c r="FY296" s="14">
        <v>5.7142857142857143E-3</v>
      </c>
      <c r="FZ296" s="13">
        <f t="shared" si="104"/>
        <v>1.2500000000000001E-2</v>
      </c>
      <c r="GA296" s="14">
        <v>5.7142857142857143E-3</v>
      </c>
      <c r="GB296" s="14">
        <v>5.7142857142857143E-3</v>
      </c>
      <c r="GC296" s="14">
        <v>5.7142857142857143E-3</v>
      </c>
      <c r="GD296" s="13">
        <f>0.2/16</f>
        <v>1.2500000000000001E-2</v>
      </c>
      <c r="GE296" s="13">
        <f t="shared" si="102"/>
        <v>1.2500000000000001E-2</v>
      </c>
      <c r="GF296" s="14">
        <v>4.6511627906976744E-3</v>
      </c>
      <c r="GG296" s="14">
        <v>4.6511627906976744E-3</v>
      </c>
      <c r="GH296" s="15">
        <v>4.6511627906976744E-3</v>
      </c>
    </row>
    <row r="297" spans="1:190" x14ac:dyDescent="0.3">
      <c r="A297" s="35" t="s">
        <v>32</v>
      </c>
      <c r="B297" s="16">
        <f>IF(Distances!EA136&lt;&gt;0,(BN297+Distances!EA136*3)*DZ297*B265*2,"")</f>
        <v>8768.5048800000004</v>
      </c>
      <c r="C297" s="14">
        <f>IF(Distances!EB136&lt;&gt;0,(BO297+Distances!EB136*3)*EA297*C265*2,"")</f>
        <v>9441.073980000001</v>
      </c>
      <c r="D297" s="14">
        <f>IF(Distances!EC136&lt;&gt;0,(BP297+Distances!EC136*3)*EB297*D265*2,"")</f>
        <v>24216.644759999999</v>
      </c>
      <c r="E297" s="14">
        <f>IF(Distances!ED136&lt;&gt;0,(BQ297+Distances!ED136*3)*EC297*E265*2,"")</f>
        <v>7572.8547600000011</v>
      </c>
      <c r="F297" s="14">
        <f>IF(Distances!EE136&lt;&gt;0,(BR297+Distances!EE136*3)*ED297*F265*2,"")</f>
        <v>8229.3678899999995</v>
      </c>
      <c r="G297" s="14">
        <f>IF(Distances!EF136&lt;&gt;0,(BS297+Distances!EF136*3)*EE297*G265*2,"")</f>
        <v>34556.174339999998</v>
      </c>
      <c r="H297" s="14">
        <f>IF(Distances!EG136&lt;&gt;0,(BT297+Distances!EG136*3)*EF297*H265*2,"")</f>
        <v>12388.79736</v>
      </c>
      <c r="I297" s="14">
        <f>IF(Distances!EH136&lt;&gt;0,(BU297+Distances!EH136*3)*EG297*I265*2,"")</f>
        <v>12147.809340000002</v>
      </c>
      <c r="J297" s="14">
        <f>IF(Distances!EI136&lt;&gt;0,(BV297+Distances!EI136*3)*EH297*J265*2,"")</f>
        <v>232.52436</v>
      </c>
      <c r="K297" s="14">
        <f>IF(Distances!EJ136&lt;&gt;0,(BW297+Distances!EJ136*3)*EI297*K265*2,"")</f>
        <v>152.18436</v>
      </c>
      <c r="L297" s="14">
        <f>IF(Distances!EK136&lt;&gt;0,(BX297+Distances!EK136*3)*EJ297*L265*2,"")</f>
        <v>246.80868000000001</v>
      </c>
      <c r="M297" s="14">
        <f>IF(Distances!EL136&lt;&gt;0,(BY297+Distances!EL136*3)*EK297*M265*2,"")</f>
        <v>246.80868000000001</v>
      </c>
      <c r="N297" s="14">
        <f>IF(Distances!EM136&lt;&gt;0,(BZ297+Distances!EM136*3)*EL297*N265*2,"")</f>
        <v>192.49008000000001</v>
      </c>
      <c r="O297" s="14">
        <f>IF(Distances!EN136&lt;&gt;0,(CA297+Distances!EN136*3)*EM297*O265*2,"")</f>
        <v>239.60792930232557</v>
      </c>
      <c r="P297" s="14">
        <f>IF(Distances!EO136&lt;&gt;0,(CB297+Distances!EO136*3)*EN297*P265*2,"")</f>
        <v>247.88970418604649</v>
      </c>
      <c r="Q297" s="13">
        <f>IF(Distances!EP136&lt;&gt;0,(CC297+Distances!EP136*3)*EO297*Q265*2,"")</f>
        <v>3562.7310000000002</v>
      </c>
      <c r="R297" s="13">
        <f>IF(Distances!EQ136&lt;&gt;0,(CD297+Distances!EQ136*3)*EP297*R265*2,"")</f>
        <v>3551.2334999999998</v>
      </c>
      <c r="S297" s="13">
        <f>IF(Distances!ER136&lt;&gt;0,(CE297+Distances!ER136*3)*EQ297*S265*2,"")</f>
        <v>3585.7469999999998</v>
      </c>
      <c r="T297" s="13">
        <f>IF(Distances!ES136&lt;&gt;0,(CF297+Distances!ES136*3)*ER297*T265*2,"")</f>
        <v>612.96794999999997</v>
      </c>
      <c r="U297" s="13">
        <f>IF(Distances!ET136&lt;&gt;0,(CG297+Distances!ET136*3)*ES297*U265*2,"")</f>
        <v>645.82371000000001</v>
      </c>
      <c r="V297" s="13">
        <f>IF(Distances!EU136&lt;&gt;0,(CH297+Distances!EU136*3)*ET297*V265*2,"")</f>
        <v>4951.6050000000005</v>
      </c>
      <c r="W297" s="13">
        <f>IF(Distances!EV136&lt;&gt;0,(CI297+Distances!EV136*3)*EU297*W265*2,"")</f>
        <v>4106.0815799999991</v>
      </c>
      <c r="X297" s="13">
        <f>IF(Distances!EW136&lt;&gt;0,(CJ297+Distances!EW136*3)*EV297*X265*2,"")</f>
        <v>5016.3399600000002</v>
      </c>
      <c r="Y297" s="13">
        <f>IF(Distances!EX136&lt;&gt;0,(CK297+Distances!EX136*3)*EW297*Y265*2,"")</f>
        <v>5237.2173000000003</v>
      </c>
      <c r="Z297" s="13">
        <f>IF(Distances!EY136&lt;&gt;0,(CL297+Distances!EY136*3)*EX297*Z265*2,"")</f>
        <v>152.10095999999999</v>
      </c>
      <c r="AA297" s="13">
        <f>IF(Distances!EZ136&lt;&gt;0,(CM297+Distances!EZ136*3)*EY297*AA265*2,"")</f>
        <v>160.76213999999999</v>
      </c>
      <c r="AB297" s="13">
        <f>IF(Distances!FA136&lt;&gt;0,(CN297+Distances!FA136*3)*EZ297*AB265*2,"")</f>
        <v>196.32408000000001</v>
      </c>
      <c r="AC297" s="13">
        <f>IF(Distances!FB136&lt;&gt;0,(CO297+Distances!FB136*3)*FA297*AC265*2,"")</f>
        <v>137.44488000000001</v>
      </c>
      <c r="AD297" s="13">
        <f>IF(Distances!FC136&lt;&gt;0,(CP297+Distances!FC136*3)*FB297*AD265*2,"")</f>
        <v>152.65223999999998</v>
      </c>
      <c r="AE297" s="13">
        <f>IF(Distances!FD136&lt;&gt;0,(CQ297+Distances!FD136*3)*FC297*AE265*2,"")</f>
        <v>242.91000000000005</v>
      </c>
      <c r="AF297" s="13">
        <f>IF(Distances!FE136&lt;&gt;0,(CR297+Distances!FE136*3)*FD297*AF265*2,"")</f>
        <v>475.62000000000012</v>
      </c>
      <c r="AG297" s="12" t="s">
        <v>62</v>
      </c>
      <c r="AH297" s="14">
        <f>IF(Distances!FG136&lt;&gt;0,(CT297+Distances!FG136*3)*FF297*AH265*2,"")</f>
        <v>72.399277714285716</v>
      </c>
      <c r="AI297" s="14">
        <f>IF(Distances!FH136&lt;&gt;0,(CU297+Distances!FH136*3)*FG297*AI265*2,"")</f>
        <v>34.30730057142857</v>
      </c>
      <c r="AJ297" s="14">
        <f>IF(Distances!FI136&lt;&gt;0,(CV297+Distances!FI136*3)*FH297*AJ265*2,"")</f>
        <v>58.561563428571418</v>
      </c>
      <c r="AK297" s="14">
        <f>IF(Distances!FJ136&lt;&gt;0,(CW297+Distances!FJ136*3)*FI297*AK265*2,"")</f>
        <v>34.682564571428571</v>
      </c>
      <c r="AL297" s="14">
        <f>IF(Distances!FK136&lt;&gt;0,(CX297+Distances!FK136*3)*FJ297*AL265*2,"")</f>
        <v>1441.6637348571428</v>
      </c>
      <c r="AM297" s="14">
        <f>IF(Distances!FL136&lt;&gt;0,(CY297+Distances!FL136*3)*FK297*AM265*2,"")</f>
        <v>1441.6637348571428</v>
      </c>
      <c r="AN297" s="14">
        <f>IF(Distances!FM136&lt;&gt;0,(CZ297+Distances!FM136*3)*FL297*AN265*2,"")</f>
        <v>1727.8945920000001</v>
      </c>
      <c r="AO297" s="14">
        <f>IF(Distances!FN136&lt;&gt;0,(DA297+Distances!FN136*3)*FM297*AO265*2,"")</f>
        <v>54.084594285714296</v>
      </c>
      <c r="AP297" s="14">
        <f>IF(Distances!FO136&lt;&gt;0,(DB297+Distances!FO136*3)*FN297*AP265*2,"")</f>
        <v>54.44155428571429</v>
      </c>
      <c r="AQ297" s="14">
        <f>IF(Distances!FP136&lt;&gt;0,(DC297+Distances!FP136*3)*FO297*AQ265*2,"")</f>
        <v>61.678514285714286</v>
      </c>
      <c r="AR297" s="14">
        <f>IF(Distances!FQ136&lt;&gt;0,(DD297+Distances!FQ136*3)*FP297*AR265*2,"")</f>
        <v>77.61287314285714</v>
      </c>
      <c r="AS297" s="14">
        <f>IF(Distances!FR136&lt;&gt;0,(DE297+Distances!FR136*3)*FQ297*AS265*2,"")</f>
        <v>77.61287314285714</v>
      </c>
      <c r="AT297" s="14">
        <f>IF(Distances!FS136&lt;&gt;0,(DF297+Distances!FS136*3)*FR297*AT265*2,"")</f>
        <v>77.61287314285714</v>
      </c>
      <c r="AU297" s="14">
        <f>IF(Distances!FT136&lt;&gt;0,(DG297+Distances!FT136*3)*FS297*AU265*2,"")</f>
        <v>581.03577599999994</v>
      </c>
      <c r="AV297" s="14">
        <f>IF(Distances!FU136&lt;&gt;0,(DH297+Distances!FU136*3)*FT297*AV265*2,"")</f>
        <v>293.43204705882351</v>
      </c>
      <c r="AW297" s="14">
        <f>IF(Distances!FV136&lt;&gt;0,(DI297+Distances!FV136*3)*FU297*AW265*2,"")</f>
        <v>926.37970285714277</v>
      </c>
      <c r="AX297" s="14">
        <f>IF(Distances!FW136&lt;&gt;0,(DJ297+Distances!FW136*3)*FV297*AX265*2,"")</f>
        <v>201.75586285714286</v>
      </c>
      <c r="AY297" s="14">
        <f>IF(Distances!FX136&lt;&gt;0,(DK297+Distances!FX136*3)*FW297*AY265*2,"")</f>
        <v>68.127272727272739</v>
      </c>
      <c r="AZ297" s="14">
        <f>IF(Distances!FY136&lt;&gt;0,(DL297+Distances!FY136*3)*FX297*AZ265*2,"")</f>
        <v>252.3276654545455</v>
      </c>
      <c r="BA297" s="14">
        <f>IF(Distances!FZ136&lt;&gt;0,(DM297+Distances!FZ136*3)*FY297*BA265*2,"")</f>
        <v>132.37275428571428</v>
      </c>
      <c r="BB297" s="13">
        <f>IF(Distances!GA136&lt;&gt;0,(DN297+Distances!GA136*3)*FZ297*BB265*2,"")</f>
        <v>303.10200000000003</v>
      </c>
      <c r="BC297" s="14">
        <f>IF(Distances!GB136&lt;&gt;0,(DO297+Distances!GB136*3)*GA297*BC265*2,"")</f>
        <v>1251.6148662857142</v>
      </c>
      <c r="BD297" s="14">
        <f>IF(Distances!GC136&lt;&gt;0,(DP297+Distances!GC136*3)*GB297*BD265*2,"")</f>
        <v>1419.1643794285715</v>
      </c>
      <c r="BE297" s="14">
        <f>IF(Distances!GD136&lt;&gt;0,(DQ297+Distances!GD136*3)*GC297*BE265*2,"")</f>
        <v>1285.5788982857141</v>
      </c>
      <c r="BF297" s="13">
        <f>IF(Distances!GE136&lt;&gt;0,(DR297+Distances!GE136*3)*GD297*BF265*2,"")</f>
        <v>574.40399999999988</v>
      </c>
      <c r="BG297" s="12">
        <f>IF(Distances!GF136&lt;&gt;0,(DS297+Distances!GF136*3)*GE297*BG265*2,"")</f>
        <v>11707.62624</v>
      </c>
      <c r="BH297" s="14">
        <f>IF(Distances!GG136&lt;&gt;0,(DT297+Distances!GG136*3)*GF297*BH265*2,"")</f>
        <v>188.72095255813952</v>
      </c>
      <c r="BI297" s="14">
        <f>IF(Distances!GH136&lt;&gt;0,(DU297+Distances!GH136*3)*GG297*BI265*2,"")</f>
        <v>160.62885209302328</v>
      </c>
      <c r="BJ297" s="15">
        <f>IF(Distances!GI136&lt;&gt;0,(DV297+Distances!GI136*3)*GH297*BJ265*2,"")</f>
        <v>160.62885209302328</v>
      </c>
      <c r="BM297" s="35" t="s">
        <v>32</v>
      </c>
      <c r="BN297" s="16">
        <v>1599.1751999999999</v>
      </c>
      <c r="BO297" s="14">
        <v>1865.5391999999999</v>
      </c>
      <c r="BP297" s="14">
        <v>1125.6504</v>
      </c>
      <c r="BQ297" s="14">
        <v>1125.6504</v>
      </c>
      <c r="BR297" s="14">
        <v>1192.4555999999998</v>
      </c>
      <c r="BS297" s="14">
        <v>2937.5135999999998</v>
      </c>
      <c r="BT297" s="14">
        <v>3032.9543999999996</v>
      </c>
      <c r="BU297" s="14">
        <v>2937.5135999999998</v>
      </c>
      <c r="BV297" s="14">
        <v>1170.1871999999998</v>
      </c>
      <c r="BW297" s="14">
        <v>1170.1871999999998</v>
      </c>
      <c r="BX297" s="14">
        <v>3062.6736000000001</v>
      </c>
      <c r="BY297" s="14">
        <v>3062.6736000000001</v>
      </c>
      <c r="BZ297" s="14">
        <v>1976.3015999999998</v>
      </c>
      <c r="CA297" s="14">
        <v>1806.1931999999999</v>
      </c>
      <c r="CB297" s="14">
        <v>1933.3775999999998</v>
      </c>
      <c r="CC297" s="13">
        <v>976.6848</v>
      </c>
      <c r="CD297" s="13">
        <v>967.4867999999999</v>
      </c>
      <c r="CE297" s="13">
        <v>995.09760000000006</v>
      </c>
      <c r="CF297" s="13">
        <v>949.07399999999984</v>
      </c>
      <c r="CG297" s="13">
        <v>858.42119999999989</v>
      </c>
      <c r="CH297" s="13">
        <v>0</v>
      </c>
      <c r="CI297" s="13">
        <v>958.28039999999987</v>
      </c>
      <c r="CJ297" s="13">
        <v>1179.5447999999999</v>
      </c>
      <c r="CK297" s="13">
        <v>949.07399999999984</v>
      </c>
      <c r="CL297" s="13">
        <v>934.81920000000002</v>
      </c>
      <c r="CM297" s="13">
        <v>917.84280000000001</v>
      </c>
      <c r="CN297" s="13">
        <v>883.88159999999993</v>
      </c>
      <c r="CO297" s="13">
        <v>875.39760000000001</v>
      </c>
      <c r="CP297" s="13">
        <v>1179.5447999999999</v>
      </c>
      <c r="CQ297" s="13">
        <v>0</v>
      </c>
      <c r="CR297" s="13">
        <v>0</v>
      </c>
      <c r="CS297" s="12">
        <v>0</v>
      </c>
      <c r="CT297" s="14">
        <v>302.83679999999998</v>
      </c>
      <c r="CU297" s="14">
        <v>1128.3887999999999</v>
      </c>
      <c r="CV297" s="14">
        <v>302.83679999999998</v>
      </c>
      <c r="CW297" s="14">
        <v>1161.2244000000001</v>
      </c>
      <c r="CX297" s="14">
        <v>462.5292</v>
      </c>
      <c r="CY297" s="14">
        <v>462.5292</v>
      </c>
      <c r="CZ297" s="14">
        <v>462.5292</v>
      </c>
      <c r="DA297" s="14">
        <v>965.94119999999998</v>
      </c>
      <c r="DB297" s="14">
        <v>984.6816</v>
      </c>
      <c r="DC297" s="14">
        <v>1364.6219999999998</v>
      </c>
      <c r="DD297" s="14">
        <v>1522.0632000000001</v>
      </c>
      <c r="DE297" s="14">
        <v>1522.0632000000001</v>
      </c>
      <c r="DF297" s="14">
        <v>1522.0632000000001</v>
      </c>
      <c r="DG297" s="14">
        <v>1626.2736</v>
      </c>
      <c r="DH297" s="14">
        <v>1179.5447999999999</v>
      </c>
      <c r="DI297" s="14">
        <v>1179.5447999999999</v>
      </c>
      <c r="DJ297" s="14">
        <v>1657.2275999999999</v>
      </c>
      <c r="DK297" s="14">
        <v>0</v>
      </c>
      <c r="DL297" s="14">
        <v>3677.4107999999997</v>
      </c>
      <c r="DM297" s="14">
        <v>1022.1539999999999</v>
      </c>
      <c r="DN297" s="13">
        <v>1157.52</v>
      </c>
      <c r="DO297" s="14">
        <v>1548.8843999999999</v>
      </c>
      <c r="DP297" s="14">
        <v>1657.2275999999999</v>
      </c>
      <c r="DQ297" s="14">
        <v>1641.7547999999999</v>
      </c>
      <c r="DR297" s="13">
        <v>975.24</v>
      </c>
      <c r="DS297" s="12">
        <v>565.58879999999999</v>
      </c>
      <c r="DT297" s="14">
        <v>3198.3755999999998</v>
      </c>
      <c r="DU297" s="14">
        <v>2443.4004</v>
      </c>
      <c r="DV297" s="15">
        <v>2443.4004</v>
      </c>
      <c r="DY297" s="35" t="s">
        <v>32</v>
      </c>
      <c r="DZ297" s="16">
        <v>6.2500000000000003E-3</v>
      </c>
      <c r="EA297" s="14">
        <v>6.2500000000000003E-3</v>
      </c>
      <c r="EB297" s="14">
        <v>6.2500000000000003E-3</v>
      </c>
      <c r="EC297" s="14">
        <v>6.2500000000000003E-3</v>
      </c>
      <c r="ED297" s="14">
        <v>6.2500000000000003E-3</v>
      </c>
      <c r="EE297" s="14">
        <v>6.2500000000000003E-3</v>
      </c>
      <c r="EF297" s="14">
        <v>6.2500000000000003E-3</v>
      </c>
      <c r="EG297" s="14">
        <v>6.2500000000000003E-3</v>
      </c>
      <c r="EH297" s="14">
        <v>6.2500000000000003E-3</v>
      </c>
      <c r="EI297" s="14">
        <v>6.2500000000000003E-3</v>
      </c>
      <c r="EJ297" s="14">
        <v>6.2500000000000003E-3</v>
      </c>
      <c r="EK297" s="14">
        <v>6.2500000000000003E-3</v>
      </c>
      <c r="EL297" s="14">
        <v>6.2500000000000003E-3</v>
      </c>
      <c r="EM297" s="14">
        <v>4.6511627906976744E-3</v>
      </c>
      <c r="EN297" s="14">
        <v>4.6511627906976744E-3</v>
      </c>
      <c r="EO297" s="13">
        <f t="shared" si="103"/>
        <v>1.2500000000000001E-2</v>
      </c>
      <c r="EP297" s="13">
        <f t="shared" si="103"/>
        <v>1.2500000000000001E-2</v>
      </c>
      <c r="EQ297" s="13">
        <f t="shared" si="103"/>
        <v>1.2500000000000001E-2</v>
      </c>
      <c r="ER297" s="13">
        <f t="shared" si="103"/>
        <v>1.2500000000000001E-2</v>
      </c>
      <c r="ES297" s="13">
        <f t="shared" si="103"/>
        <v>1.2500000000000001E-2</v>
      </c>
      <c r="ET297" s="13">
        <f t="shared" si="103"/>
        <v>1.2500000000000001E-2</v>
      </c>
      <c r="EU297" s="13">
        <f t="shared" si="103"/>
        <v>1.2500000000000001E-2</v>
      </c>
      <c r="EV297" s="13">
        <f t="shared" si="103"/>
        <v>1.2500000000000001E-2</v>
      </c>
      <c r="EW297" s="13">
        <f t="shared" si="103"/>
        <v>1.2500000000000001E-2</v>
      </c>
      <c r="EX297" s="13">
        <f t="shared" si="103"/>
        <v>1.2500000000000001E-2</v>
      </c>
      <c r="EY297" s="13">
        <f t="shared" si="103"/>
        <v>1.2500000000000001E-2</v>
      </c>
      <c r="EZ297" s="13">
        <f t="shared" si="103"/>
        <v>1.2500000000000001E-2</v>
      </c>
      <c r="FA297" s="13">
        <f t="shared" si="103"/>
        <v>1.2500000000000001E-2</v>
      </c>
      <c r="FB297" s="13">
        <f t="shared" si="103"/>
        <v>1.2500000000000001E-2</v>
      </c>
      <c r="FC297" s="13">
        <f t="shared" si="103"/>
        <v>1.2500000000000001E-2</v>
      </c>
      <c r="FD297" s="13">
        <f>0.2/16</f>
        <v>1.2500000000000001E-2</v>
      </c>
      <c r="FE297" s="12">
        <v>0.6</v>
      </c>
      <c r="FF297" s="14">
        <v>5.7142857142857143E-3</v>
      </c>
      <c r="FG297" s="14">
        <v>5.7142857142857143E-3</v>
      </c>
      <c r="FH297" s="14">
        <v>5.7142857142857143E-3</v>
      </c>
      <c r="FI297" s="14">
        <v>5.7142857142857143E-3</v>
      </c>
      <c r="FJ297" s="14">
        <v>5.7142857142857143E-3</v>
      </c>
      <c r="FK297" s="14">
        <v>5.7142857142857143E-3</v>
      </c>
      <c r="FL297" s="14">
        <v>5.7142857142857143E-3</v>
      </c>
      <c r="FM297" s="14">
        <v>4.7619047619047623E-3</v>
      </c>
      <c r="FN297" s="14">
        <v>4.7619047619047623E-3</v>
      </c>
      <c r="FO297" s="14">
        <v>4.7619047619047623E-3</v>
      </c>
      <c r="FP297" s="14">
        <v>5.7142857142857143E-3</v>
      </c>
      <c r="FQ297" s="14">
        <v>5.7142857142857143E-3</v>
      </c>
      <c r="FR297" s="14">
        <v>5.7142857142857143E-3</v>
      </c>
      <c r="FS297" s="14">
        <v>5.7142857142857143E-3</v>
      </c>
      <c r="FT297" s="14">
        <v>5.8823529411764705E-3</v>
      </c>
      <c r="FU297" s="14">
        <v>5.7142857142857143E-3</v>
      </c>
      <c r="FV297" s="14">
        <v>5.7142857142857143E-3</v>
      </c>
      <c r="FW297" s="14">
        <v>4.5454545454545461E-3</v>
      </c>
      <c r="FX297" s="14">
        <v>4.5454545454545461E-3</v>
      </c>
      <c r="FY297" s="14">
        <v>5.7142857142857143E-3</v>
      </c>
      <c r="FZ297" s="13">
        <f t="shared" si="104"/>
        <v>1.2500000000000001E-2</v>
      </c>
      <c r="GA297" s="14">
        <v>5.7142857142857143E-3</v>
      </c>
      <c r="GB297" s="14">
        <v>5.7142857142857143E-3</v>
      </c>
      <c r="GC297" s="14">
        <v>5.7142857142857143E-3</v>
      </c>
      <c r="GD297" s="13">
        <f>0.2/16</f>
        <v>1.2500000000000001E-2</v>
      </c>
      <c r="GE297" s="12">
        <v>0.6</v>
      </c>
      <c r="GF297" s="14">
        <v>4.6511627906976744E-3</v>
      </c>
      <c r="GG297" s="14">
        <v>4.6511627906976744E-3</v>
      </c>
      <c r="GH297" s="15">
        <v>4.6511627906976744E-3</v>
      </c>
    </row>
    <row r="298" spans="1:190" x14ac:dyDescent="0.3">
      <c r="A298" s="35" t="s">
        <v>33</v>
      </c>
      <c r="B298" s="16">
        <f>IF(Distances!EA137&lt;&gt;0,(BN298+Distances!EA137*3)*DZ298*B265*2,"")</f>
        <v>14488.284360000001</v>
      </c>
      <c r="C298" s="14">
        <f>IF(Distances!EB137&lt;&gt;0,(BO298+Distances!EB137*3)*EA298*C265*2,"")</f>
        <v>17632.051770000002</v>
      </c>
      <c r="D298" s="14">
        <f>IF(Distances!EC137&lt;&gt;0,(BP298+Distances!EC137*3)*EB298*D265*2,"")</f>
        <v>31923.949710000001</v>
      </c>
      <c r="E298" s="14">
        <f>IF(Distances!ED137&lt;&gt;0,(BQ298+Distances!ED137*3)*EC298*E265*2,"")</f>
        <v>15280.159710000002</v>
      </c>
      <c r="F298" s="14">
        <f>IF(Distances!EE137&lt;&gt;0,(BR298+Distances!EE137*3)*ED298*F265*2,"")</f>
        <v>16051.779510000002</v>
      </c>
      <c r="G298" s="14">
        <f>IF(Distances!EF137&lt;&gt;0,(BS298+Distances!EF137*3)*EE298*G265*2,"")</f>
        <v>36092.238899999997</v>
      </c>
      <c r="H298" s="14">
        <f>IF(Distances!EG137&lt;&gt;0,(BT298+Distances!EG137*3)*EF298*H265*2,"")</f>
        <v>15052.258260000001</v>
      </c>
      <c r="I298" s="14">
        <f>IF(Distances!EH137&lt;&gt;0,(BU298+Distances!EH137*3)*EG298*I265*2,"")</f>
        <v>13683.873900000004</v>
      </c>
      <c r="J298" s="14">
        <f>IF(Distances!EI137&lt;&gt;0,(BV298+Distances!EI137*3)*EH298*J265*2,"")</f>
        <v>386.66382000000004</v>
      </c>
      <c r="K298" s="14">
        <f>IF(Distances!EJ137&lt;&gt;0,(BW298+Distances!EJ137*3)*EI298*K265*2,"")</f>
        <v>306.32382000000001</v>
      </c>
      <c r="L298" s="14">
        <f>IF(Distances!EK137&lt;&gt;0,(BX298+Distances!EK137*3)*EJ298*L265*2,"")</f>
        <v>298.94778000000002</v>
      </c>
      <c r="M298" s="14">
        <f>IF(Distances!EL137&lt;&gt;0,(BY298+Distances!EL137*3)*EK298*M265*2,"")</f>
        <v>298.94778000000002</v>
      </c>
      <c r="N298" s="14">
        <f>IF(Distances!EM137&lt;&gt;0,(BZ298+Distances!EM137*3)*EL298*N265*2,"")</f>
        <v>357.53568000000001</v>
      </c>
      <c r="O298" s="14">
        <f>IF(Distances!EN137&lt;&gt;0,(CA298+Distances!EN137*3)*EM298*O265*2,"")</f>
        <v>373.87415441860469</v>
      </c>
      <c r="P298" s="14">
        <f>IF(Distances!EO137&lt;&gt;0,(CB298+Distances!EO137*3)*EN298*P265*2,"")</f>
        <v>376.86010046511626</v>
      </c>
      <c r="Q298" s="14">
        <f>IF(Distances!EP137&lt;&gt;0,(CC298+Distances!EP137*3)*EO298*Q265*2,"")</f>
        <v>4126.1905714285713</v>
      </c>
      <c r="R298" s="14">
        <f>IF(Distances!EQ137&lt;&gt;0,(CD298+Distances!EQ137*3)*EP298*R265*2,"")</f>
        <v>4115.2945714285725</v>
      </c>
      <c r="S298" s="14">
        <f>IF(Distances!ER137&lt;&gt;0,(CE298+Distances!ER137*3)*EQ298*S265*2,"")</f>
        <v>4147.9825714285726</v>
      </c>
      <c r="T298" s="14">
        <f>IF(Distances!ES137&lt;&gt;0,(CF298+Distances!ES137*3)*ER298*T265*2,"")</f>
        <v>641.10036000000014</v>
      </c>
      <c r="U298" s="14">
        <f>IF(Distances!ET137&lt;&gt;0,(CG298+Distances!ET137*3)*ES298*U265*2,"")</f>
        <v>588.26928000000021</v>
      </c>
      <c r="V298" s="14">
        <f>IF(Distances!EU137&lt;&gt;0,(CH298+Distances!EU137*3)*ET298*V265*2,"")</f>
        <v>4973.7790628571438</v>
      </c>
      <c r="W298" s="14">
        <f>IF(Distances!EV137&lt;&gt;0,(CI298+Distances!EV137*3)*EU298*W265*2,"")</f>
        <v>4761.1023428571434</v>
      </c>
      <c r="X298" s="14">
        <f>IF(Distances!EW137&lt;&gt;0,(CJ298+Distances!EW137*3)*EV298*X265*2,"")</f>
        <v>5003.9427085714296</v>
      </c>
      <c r="Y298" s="14">
        <f>IF(Distances!EX137&lt;&gt;0,(CK298+Distances!EX137*3)*EW298*Y265*2,"")</f>
        <v>5402.4544114285727</v>
      </c>
      <c r="Z298" s="14">
        <f>IF(Distances!EY137&lt;&gt;0,(CL298+Distances!EY137*3)*EX298*Z265*2,"")</f>
        <v>149.31500571428572</v>
      </c>
      <c r="AA298" s="14">
        <f>IF(Distances!EZ137&lt;&gt;0,(CM298+Distances!EZ137*3)*EY298*AA265*2,"")</f>
        <v>154.31657142857145</v>
      </c>
      <c r="AB298" s="14">
        <f>IF(Distances!FA137&lt;&gt;0,(CN298+Distances!FA137*3)*EZ298*AB265*2,"")</f>
        <v>174.74304000000004</v>
      </c>
      <c r="AC298" s="14">
        <f>IF(Distances!FB137&lt;&gt;0,(CO298+Distances!FB137*3)*FA298*AC265*2,"")</f>
        <v>141.12370285714286</v>
      </c>
      <c r="AD298" s="14">
        <f>IF(Distances!FC137&lt;&gt;0,(CP298+Distances!FC137*3)*FB298*AD265*2,"")</f>
        <v>160.93546285714288</v>
      </c>
      <c r="AE298" s="14">
        <f>IF(Distances!FD137&lt;&gt;0,(CQ298+Distances!FD137*3)*FC298*AE265*2,"")</f>
        <v>212.74676571428571</v>
      </c>
      <c r="AF298" s="14">
        <f>IF(Distances!FE137&lt;&gt;0,(CR298+Distances!FE137*3)*FD298*AF265*2,"")</f>
        <v>419.66496000000001</v>
      </c>
      <c r="AG298" s="14">
        <f>IF(Distances!FF137&lt;&gt;0,(CS298+Distances!FF137*3)*FE298*AG265*2,"")</f>
        <v>361.99638857142861</v>
      </c>
      <c r="AH298" s="12" t="s">
        <v>62</v>
      </c>
      <c r="AI298" s="13">
        <f>IF(Distances!FH137&lt;&gt;0,(CU298+Distances!FH137*3)*FG298*AI265*2,"")</f>
        <v>200.41146666666671</v>
      </c>
      <c r="AJ298" s="13">
        <f>IF(Distances!FI137&lt;&gt;0,(CV298+Distances!FI137*3)*FH298*AJ265*2,"")</f>
        <v>315.84000000000003</v>
      </c>
      <c r="AK298" s="13">
        <f>IF(Distances!FJ137&lt;&gt;0,(CW298+Distances!FJ137*3)*FI298*AK265*2,"")</f>
        <v>200.86432000000002</v>
      </c>
      <c r="AL298" s="13">
        <f>IF(Distances!FK137&lt;&gt;0,(CX298+Distances!FK137*3)*FJ298*AL265*2,"")</f>
        <v>10960.718400000002</v>
      </c>
      <c r="AM298" s="13">
        <f>IF(Distances!FL137&lt;&gt;0,(CY298+Distances!FL137*3)*FK298*AM265*2,"")</f>
        <v>10960.718400000002</v>
      </c>
      <c r="AN298" s="13">
        <f>IF(Distances!FM137&lt;&gt;0,(CZ298+Distances!FM137*3)*FL298*AN265*2,"")</f>
        <v>12073.838399999999</v>
      </c>
      <c r="AO298" s="14">
        <f>IF(Distances!FN137&lt;&gt;0,(DA298+Distances!FN137*3)*FM298*AO265*2,"")</f>
        <v>88.43862857142858</v>
      </c>
      <c r="AP298" s="14">
        <f>IF(Distances!FO137&lt;&gt;0,(DB298+Distances!FO137*3)*FN298*AP265*2,"")</f>
        <v>88.617348571428593</v>
      </c>
      <c r="AQ298" s="14">
        <f>IF(Distances!FP137&lt;&gt;0,(DC298+Distances!FP137*3)*FO298*AQ265*2,"")</f>
        <v>87.279268571428588</v>
      </c>
      <c r="AR298" s="13">
        <f>IF(Distances!FQ137&lt;&gt;0,(DD298+Distances!FQ137*3)*FP298*AR265*2,"")</f>
        <v>425.81984000000006</v>
      </c>
      <c r="AS298" s="13">
        <f>IF(Distances!FR137&lt;&gt;0,(DE298+Distances!FR137*3)*FQ298*AS265*2,"")</f>
        <v>425.81984000000006</v>
      </c>
      <c r="AT298" s="13">
        <f>IF(Distances!FS137&lt;&gt;0,(DF298+Distances!FS137*3)*FR298*AT265*2,"")</f>
        <v>425.81984000000006</v>
      </c>
      <c r="AU298" s="13">
        <f>IF(Distances!FT137&lt;&gt;0,(DG298+Distances!FT137*3)*FS298*AU265*2,"")</f>
        <v>2924.1527466666671</v>
      </c>
      <c r="AV298" s="13">
        <f>IF(Distances!FU137&lt;&gt;0,(DH298+Distances!FU137*3)*FT298*AV265*2,"")</f>
        <v>1513.60824</v>
      </c>
      <c r="AW298" s="12">
        <f>IF(Distances!FV137&lt;&gt;0,(DI298+Distances!FV137*3)*FU298*AW265*2,"")</f>
        <v>112748.04720000002</v>
      </c>
      <c r="AX298" s="13">
        <f>IF(Distances!FW137&lt;&gt;0,(DJ298+Distances!FW137*3)*FV298*AX265*2,"")</f>
        <v>1016.8021333333336</v>
      </c>
      <c r="AY298" s="14">
        <f>IF(Distances!FX137&lt;&gt;0,(DK298+Distances!FX137*3)*FW298*AY265*2,"")</f>
        <v>151.22181818181821</v>
      </c>
      <c r="AZ298" s="14">
        <f>IF(Distances!FY137&lt;&gt;0,(DL298+Distances!FY137*3)*FX298*AZ265*2,"")</f>
        <v>292.0137600000001</v>
      </c>
      <c r="BA298" s="13">
        <f>IF(Distances!FZ137&lt;&gt;0,(DM298+Distances!FZ137*3)*FY298*BA265*2,"")</f>
        <v>826.13205333333337</v>
      </c>
      <c r="BB298" s="14">
        <f>IF(Distances!GA137&lt;&gt;0,(DN298+Distances!GA137*3)*FZ298*BB265*2,"")</f>
        <v>320.29748571428576</v>
      </c>
      <c r="BC298" s="13">
        <f>IF(Distances!GB137&lt;&gt;0,(DO298+Distances!GB137*3)*GA298*BC265*2,"")</f>
        <v>7075.5259733333342</v>
      </c>
      <c r="BD298" s="13">
        <f>IF(Distances!GC137&lt;&gt;0,(DP298+Distances!GC137*3)*GB298*BD265*2,"")</f>
        <v>7005.0269866666667</v>
      </c>
      <c r="BE298" s="13">
        <f>IF(Distances!GD137&lt;&gt;0,(DQ298+Distances!GD137*3)*GC298*BE265*2,"")</f>
        <v>6502.0023466666671</v>
      </c>
      <c r="BF298" s="14">
        <f>IF(Distances!GE137&lt;&gt;0,(DR298+Distances!GE137*3)*GD298*BF265*2,"")</f>
        <v>440.56224000000003</v>
      </c>
      <c r="BG298" s="14">
        <f>IF(Distances!GF137&lt;&gt;0,(DS298+Distances!GF137*3)*GE298*BG265*2,"")</f>
        <v>254.61956571428576</v>
      </c>
      <c r="BH298" s="14">
        <f>IF(Distances!GG137&lt;&gt;0,(DT298+Distances!GG137*3)*GF298*BH265*2,"")</f>
        <v>253.51572837209306</v>
      </c>
      <c r="BI298" s="14">
        <f>IF(Distances!GH137&lt;&gt;0,(DU298+Distances!GH137*3)*GG298*BI265*2,"")</f>
        <v>236.39473116279072</v>
      </c>
      <c r="BJ298" s="15">
        <f>IF(Distances!GI137&lt;&gt;0,(DV298+Distances!GI137*3)*GH298*BJ265*2,"")</f>
        <v>236.39473116279072</v>
      </c>
      <c r="BM298" s="35" t="s">
        <v>33</v>
      </c>
      <c r="BN298" s="16">
        <v>1579.3344</v>
      </c>
      <c r="BO298" s="14">
        <v>2824.3907999999997</v>
      </c>
      <c r="BP298" s="14">
        <v>1892.9484000000002</v>
      </c>
      <c r="BQ298" s="14">
        <v>1892.9484000000002</v>
      </c>
      <c r="BR298" s="14">
        <v>2005.3403999999998</v>
      </c>
      <c r="BS298" s="14">
        <v>1260.7560000000001</v>
      </c>
      <c r="BT298" s="14">
        <v>1802.6904</v>
      </c>
      <c r="BU298" s="14">
        <v>1260.7560000000001</v>
      </c>
      <c r="BV298" s="14">
        <v>1967.8763999999999</v>
      </c>
      <c r="BW298" s="14">
        <v>1967.8763999999999</v>
      </c>
      <c r="BX298" s="14">
        <v>1820.3556000000001</v>
      </c>
      <c r="BY298" s="14">
        <v>1820.3556000000001</v>
      </c>
      <c r="BZ298" s="14">
        <v>2992.1135999999997</v>
      </c>
      <c r="CA298" s="14">
        <v>1583.0387999999998</v>
      </c>
      <c r="CB298" s="14">
        <v>1628.8943999999999</v>
      </c>
      <c r="CC298" s="14">
        <v>1618.0667999999998</v>
      </c>
      <c r="CD298" s="14">
        <v>1602.8123999999998</v>
      </c>
      <c r="CE298" s="14">
        <v>1648.5755999999999</v>
      </c>
      <c r="CF298" s="14">
        <v>1572.3036</v>
      </c>
      <c r="CG298" s="14">
        <v>765.5927999999999</v>
      </c>
      <c r="CH298" s="14">
        <v>302.83679999999998</v>
      </c>
      <c r="CI298" s="14">
        <v>1587.558</v>
      </c>
      <c r="CJ298" s="14">
        <v>1474.1412</v>
      </c>
      <c r="CK298" s="14">
        <v>1572.3036</v>
      </c>
      <c r="CL298" s="14">
        <v>833.72519999999997</v>
      </c>
      <c r="CM298" s="14">
        <v>818.57999999999993</v>
      </c>
      <c r="CN298" s="14">
        <v>788.30640000000005</v>
      </c>
      <c r="CO298" s="14">
        <v>780.7296</v>
      </c>
      <c r="CP298" s="14">
        <v>1474.1412</v>
      </c>
      <c r="CQ298" s="14">
        <v>302.83679999999998</v>
      </c>
      <c r="CR298" s="14">
        <v>302.83679999999998</v>
      </c>
      <c r="CS298" s="14">
        <v>302.83679999999998</v>
      </c>
      <c r="CT298" s="12">
        <v>0</v>
      </c>
      <c r="CU298" s="13">
        <v>350.65799999999996</v>
      </c>
      <c r="CV298" s="13">
        <v>0</v>
      </c>
      <c r="CW298" s="13">
        <v>360.84719999999999</v>
      </c>
      <c r="CX298" s="13">
        <v>408.36599999999999</v>
      </c>
      <c r="CY298" s="13">
        <v>408.36599999999999</v>
      </c>
      <c r="CZ298" s="13">
        <v>408.36599999999999</v>
      </c>
      <c r="DA298" s="14">
        <v>484.428</v>
      </c>
      <c r="DB298" s="14">
        <v>493.81079999999997</v>
      </c>
      <c r="DC298" s="14">
        <v>423.5616</v>
      </c>
      <c r="DD298" s="13">
        <v>631.8732</v>
      </c>
      <c r="DE298" s="13">
        <v>631.8732</v>
      </c>
      <c r="DF298" s="13">
        <v>631.8732</v>
      </c>
      <c r="DG298" s="13">
        <v>409.2312</v>
      </c>
      <c r="DH298" s="13">
        <v>1474.1412</v>
      </c>
      <c r="DI298" s="12">
        <v>1474.1412</v>
      </c>
      <c r="DJ298" s="13">
        <v>417.00959999999998</v>
      </c>
      <c r="DK298" s="14">
        <v>0</v>
      </c>
      <c r="DL298" s="14">
        <v>2483.6784000000002</v>
      </c>
      <c r="DM298" s="13">
        <v>488.39279999999997</v>
      </c>
      <c r="DN298" s="14">
        <v>1446.606</v>
      </c>
      <c r="DO298" s="13">
        <v>816.37919999999997</v>
      </c>
      <c r="DP298" s="13">
        <v>417.00959999999998</v>
      </c>
      <c r="DQ298" s="13">
        <v>413.12039999999996</v>
      </c>
      <c r="DR298" s="14">
        <v>655.93920000000003</v>
      </c>
      <c r="DS298" s="14">
        <v>297.24239999999998</v>
      </c>
      <c r="DT298" s="14">
        <v>2654.6352000000002</v>
      </c>
      <c r="DU298" s="14">
        <v>2194.5084000000002</v>
      </c>
      <c r="DV298" s="15">
        <v>2194.5084000000002</v>
      </c>
      <c r="DY298" s="35" t="s">
        <v>33</v>
      </c>
      <c r="DZ298" s="16">
        <v>6.2500000000000003E-3</v>
      </c>
      <c r="EA298" s="14">
        <v>6.2500000000000003E-3</v>
      </c>
      <c r="EB298" s="14">
        <v>6.2500000000000003E-3</v>
      </c>
      <c r="EC298" s="14">
        <v>6.2500000000000003E-3</v>
      </c>
      <c r="ED298" s="14">
        <v>6.2500000000000003E-3</v>
      </c>
      <c r="EE298" s="14">
        <v>6.2500000000000003E-3</v>
      </c>
      <c r="EF298" s="14">
        <v>6.2500000000000003E-3</v>
      </c>
      <c r="EG298" s="14">
        <v>6.2500000000000003E-3</v>
      </c>
      <c r="EH298" s="14">
        <v>6.2500000000000003E-3</v>
      </c>
      <c r="EI298" s="14">
        <v>6.2500000000000003E-3</v>
      </c>
      <c r="EJ298" s="14">
        <v>6.2500000000000003E-3</v>
      </c>
      <c r="EK298" s="14">
        <v>6.2500000000000003E-3</v>
      </c>
      <c r="EL298" s="14">
        <v>6.2500000000000003E-3</v>
      </c>
      <c r="EM298" s="14">
        <v>4.6511627906976744E-3</v>
      </c>
      <c r="EN298" s="14">
        <v>4.6511627906976744E-3</v>
      </c>
      <c r="EO298" s="14">
        <v>7.1428571428571435E-3</v>
      </c>
      <c r="EP298" s="14">
        <v>7.1428571428571435E-3</v>
      </c>
      <c r="EQ298" s="14">
        <v>7.1428571428571435E-3</v>
      </c>
      <c r="ER298" s="14">
        <v>7.1428571428571435E-3</v>
      </c>
      <c r="ES298" s="14">
        <v>7.1428571428571435E-3</v>
      </c>
      <c r="ET298" s="14">
        <v>7.1428571428571435E-3</v>
      </c>
      <c r="EU298" s="14">
        <v>7.1428571428571435E-3</v>
      </c>
      <c r="EV298" s="14">
        <v>7.1428571428571435E-3</v>
      </c>
      <c r="EW298" s="14">
        <v>7.1428571428571435E-3</v>
      </c>
      <c r="EX298" s="14">
        <v>7.1428571428571435E-3</v>
      </c>
      <c r="EY298" s="14">
        <v>7.1428571428571435E-3</v>
      </c>
      <c r="EZ298" s="14">
        <v>7.1428571428571435E-3</v>
      </c>
      <c r="FA298" s="14">
        <v>7.1428571428571435E-3</v>
      </c>
      <c r="FB298" s="14">
        <v>7.1428571428571435E-3</v>
      </c>
      <c r="FC298" s="14">
        <v>7.1428571428571435E-3</v>
      </c>
      <c r="FD298" s="14">
        <v>7.1428571428571435E-3</v>
      </c>
      <c r="FE298" s="14">
        <v>7.1428571428571435E-3</v>
      </c>
      <c r="FF298" s="12">
        <v>0.6</v>
      </c>
      <c r="FG298" s="13">
        <f>0.2/9</f>
        <v>2.2222222222222223E-2</v>
      </c>
      <c r="FH298" s="13">
        <f t="shared" ref="FH298:FL303" si="105">0.2/9</f>
        <v>2.2222222222222223E-2</v>
      </c>
      <c r="FI298" s="13">
        <f t="shared" si="105"/>
        <v>2.2222222222222223E-2</v>
      </c>
      <c r="FJ298" s="13">
        <f t="shared" si="105"/>
        <v>2.2222222222222223E-2</v>
      </c>
      <c r="FK298" s="13">
        <f t="shared" si="105"/>
        <v>2.2222222222222223E-2</v>
      </c>
      <c r="FL298" s="13">
        <f t="shared" si="105"/>
        <v>2.2222222222222223E-2</v>
      </c>
      <c r="FM298" s="14">
        <v>4.7619047619047623E-3</v>
      </c>
      <c r="FN298" s="14">
        <v>4.7619047619047623E-3</v>
      </c>
      <c r="FO298" s="14">
        <v>4.7619047619047623E-3</v>
      </c>
      <c r="FP298" s="13">
        <f>0.2/9</f>
        <v>2.2222222222222223E-2</v>
      </c>
      <c r="FQ298" s="13">
        <f t="shared" ref="FQ298:FS304" si="106">0.2/9</f>
        <v>2.2222222222222223E-2</v>
      </c>
      <c r="FR298" s="13">
        <f t="shared" si="106"/>
        <v>2.2222222222222223E-2</v>
      </c>
      <c r="FS298" s="13">
        <f>0.2/9</f>
        <v>2.2222222222222223E-2</v>
      </c>
      <c r="FT298" s="13">
        <f>0.2/10</f>
        <v>0.02</v>
      </c>
      <c r="FU298" s="12">
        <v>0.6</v>
      </c>
      <c r="FV298" s="13">
        <f>0.2/9</f>
        <v>2.2222222222222223E-2</v>
      </c>
      <c r="FW298" s="14">
        <v>4.5454545454545461E-3</v>
      </c>
      <c r="FX298" s="14">
        <v>4.5454545454545461E-3</v>
      </c>
      <c r="FY298" s="13">
        <f>0.2/9</f>
        <v>2.2222222222222223E-2</v>
      </c>
      <c r="FZ298" s="14">
        <v>7.1428571428571435E-3</v>
      </c>
      <c r="GA298" s="13">
        <f>0.2/9</f>
        <v>2.2222222222222223E-2</v>
      </c>
      <c r="GB298" s="13">
        <f>0.2/9</f>
        <v>2.2222222222222223E-2</v>
      </c>
      <c r="GC298" s="13">
        <f>0.2/9</f>
        <v>2.2222222222222223E-2</v>
      </c>
      <c r="GD298" s="14">
        <v>7.1428571428571435E-3</v>
      </c>
      <c r="GE298" s="14">
        <v>7.1428571428571435E-3</v>
      </c>
      <c r="GF298" s="14">
        <v>4.6511627906976744E-3</v>
      </c>
      <c r="GG298" s="14">
        <v>4.6511627906976744E-3</v>
      </c>
      <c r="GH298" s="15">
        <v>4.6511627906976744E-3</v>
      </c>
    </row>
    <row r="299" spans="1:190" x14ac:dyDescent="0.3">
      <c r="A299" s="35" t="s">
        <v>34</v>
      </c>
      <c r="B299" s="16" t="s">
        <v>62</v>
      </c>
      <c r="C299" s="14" t="s">
        <v>62</v>
      </c>
      <c r="D299" s="14">
        <f>IF(Distances!EC138&lt;&gt;0,(BP299+Distances!EC138*3)*EB299*D265*2,"")</f>
        <v>20974.914419999997</v>
      </c>
      <c r="E299" s="14" t="s">
        <v>62</v>
      </c>
      <c r="F299" s="14">
        <f>IF(Distances!EE138&lt;&gt;0,(BR299+Distances!EE138*3)*ED299*F265*2,"")</f>
        <v>5076.0832500000006</v>
      </c>
      <c r="G299" s="14">
        <f>IF(Distances!EF138&lt;&gt;0,(BS299+Distances!EF138*3)*EE299*G265*2,"")</f>
        <v>26551.590029999999</v>
      </c>
      <c r="H299" s="14" t="s">
        <v>62</v>
      </c>
      <c r="I299" s="14" t="s">
        <v>62</v>
      </c>
      <c r="J299" s="14">
        <f>IF(Distances!EI138&lt;&gt;0,(BV299+Distances!EI138*3)*EH299*J265*2,"")</f>
        <v>169.49928</v>
      </c>
      <c r="K299" s="14" t="s">
        <v>62</v>
      </c>
      <c r="L299" s="14" t="s">
        <v>62</v>
      </c>
      <c r="M299" s="14" t="s">
        <v>62</v>
      </c>
      <c r="N299" s="14" t="s">
        <v>62</v>
      </c>
      <c r="O299" s="14" t="s">
        <v>62</v>
      </c>
      <c r="P299" s="14" t="s">
        <v>62</v>
      </c>
      <c r="Q299" s="14" t="s">
        <v>62</v>
      </c>
      <c r="R299" s="14" t="s">
        <v>62</v>
      </c>
      <c r="S299" s="14" t="s">
        <v>62</v>
      </c>
      <c r="T299" s="14">
        <f>IF(Distances!ES138&lt;&gt;0,(CF299+Distances!ES138*3)*ER299*T265*2,"")</f>
        <v>245.81279999999998</v>
      </c>
      <c r="U299" s="14">
        <f>IF(Distances!ET138&lt;&gt;0,(CG299+Distances!ET138*3)*ES299*U265*2,"")</f>
        <v>216.73944000000006</v>
      </c>
      <c r="V299" s="14">
        <f>IF(Distances!EU138&lt;&gt;0,(CH299+Distances!EU138*3)*ET299*V265*2,"")</f>
        <v>2212.1107200000001</v>
      </c>
      <c r="W299" s="14" t="s">
        <v>62</v>
      </c>
      <c r="X299" s="14">
        <f>IF(Distances!EW138&lt;&gt;0,(CJ299+Distances!EW138*3)*EV299*X265*2,"")</f>
        <v>1695.977005714286</v>
      </c>
      <c r="Y299" s="14">
        <f>IF(Distances!EX138&lt;&gt;0,(CK299+Distances!EX138*3)*EW299*Y265*2,"")</f>
        <v>2127.2146285714289</v>
      </c>
      <c r="Z299" s="14">
        <f>IF(Distances!EY138&lt;&gt;0,(CL299+Distances!EY138*3)*EX299*Z265*2,"")</f>
        <v>44.292342857142863</v>
      </c>
      <c r="AA299" s="14">
        <f>IF(Distances!EZ138&lt;&gt;0,(CM299+Distances!EZ138*3)*EY299*AA265*2,"")</f>
        <v>49.043108571428576</v>
      </c>
      <c r="AB299" s="14">
        <f>IF(Distances!FA138&lt;&gt;0,(CN299+Distances!FA138*3)*EZ299*AB265*2,"")</f>
        <v>68.967977142857151</v>
      </c>
      <c r="AC299" s="14" t="s">
        <v>62</v>
      </c>
      <c r="AD299" s="14" t="s">
        <v>62</v>
      </c>
      <c r="AE299" s="14">
        <f>IF(Distances!FD138&lt;&gt;0,(CQ299+Distances!FD138*3)*FC299*AE265*2,"")</f>
        <v>117.51682285714286</v>
      </c>
      <c r="AF299" s="14">
        <f>IF(Distances!FE138&lt;&gt;0,(CR299+Distances!FE138*3)*FD299*AF265*2,"")</f>
        <v>229.20507428571429</v>
      </c>
      <c r="AG299" s="14">
        <f>IF(Distances!FF138&lt;&gt;0,(CS299+Distances!FF138*3)*FE299*AG265*2,"")</f>
        <v>171.53650285714286</v>
      </c>
      <c r="AH299" s="13">
        <f>IF(Distances!FG138&lt;&gt;0,(CT299+Distances!FG138*3)*FF299*AH265*2,"")</f>
        <v>200.41146666666671</v>
      </c>
      <c r="AI299" s="12" t="s">
        <v>62</v>
      </c>
      <c r="AJ299" s="13">
        <f>IF(Distances!FI138&lt;&gt;0,(CV299+Distances!FI138*3)*FH299*AJ265*2,"")</f>
        <v>146.59813333333335</v>
      </c>
      <c r="AK299" s="13" t="s">
        <v>62</v>
      </c>
      <c r="AL299" s="13" t="s">
        <v>62</v>
      </c>
      <c r="AM299" s="13" t="s">
        <v>62</v>
      </c>
      <c r="AN299" s="13">
        <f>IF(Distances!FM138&lt;&gt;0,(CZ299+Distances!FM138*3)*FL299*AN265*2,"")</f>
        <v>2066.2847999999999</v>
      </c>
      <c r="AO299" s="14" t="s">
        <v>62</v>
      </c>
      <c r="AP299" s="14" t="s">
        <v>62</v>
      </c>
      <c r="AQ299" s="14" t="s">
        <v>62</v>
      </c>
      <c r="AR299" s="13" t="s">
        <v>62</v>
      </c>
      <c r="AS299" s="13" t="s">
        <v>62</v>
      </c>
      <c r="AT299" s="13" t="s">
        <v>62</v>
      </c>
      <c r="AU299" s="12">
        <f>IF(Distances!FT138&lt;&gt;0,(DG299+Distances!FT138*3)*FS299*AU265*2,"")</f>
        <v>23499.665280000001</v>
      </c>
      <c r="AV299" s="13">
        <f>IF(Distances!FU138&lt;&gt;0,(DH299+Distances!FU138*3)*FT299*AV265*2,"")</f>
        <v>715.13207999999986</v>
      </c>
      <c r="AW299" s="13">
        <f>IF(Distances!FV138&lt;&gt;0,(DI299+Distances!FV138*3)*FU299*AW265*2,"")</f>
        <v>3288.6578666666665</v>
      </c>
      <c r="AX299" s="12" t="s">
        <v>62</v>
      </c>
      <c r="AY299" s="14" t="s">
        <v>62</v>
      </c>
      <c r="AZ299" s="14">
        <f>IF(Distances!FY138&lt;&gt;0,(DL299+Distances!FY138*3)*FX299*AZ265*2,"")</f>
        <v>141.63621818181821</v>
      </c>
      <c r="BA299" s="13" t="s">
        <v>62</v>
      </c>
      <c r="BB299" s="14" t="s">
        <v>62</v>
      </c>
      <c r="BC299" s="12" t="s">
        <v>62</v>
      </c>
      <c r="BD299" s="12">
        <f>IF(Distances!GC138&lt;&gt;0,(DP299+Distances!GC138*3)*GB299*BD265*2,"")</f>
        <v>63014.630400000002</v>
      </c>
      <c r="BE299" s="12" t="s">
        <v>62</v>
      </c>
      <c r="BF299" s="14">
        <f>IF(Distances!GE138&lt;&gt;0,(DR299+Distances!GE138*3)*GD299*BF265*2,"")</f>
        <v>243.78987428571429</v>
      </c>
      <c r="BG299" s="14" t="s">
        <v>62</v>
      </c>
      <c r="BH299" s="14" t="s">
        <v>62</v>
      </c>
      <c r="BI299" s="14" t="s">
        <v>62</v>
      </c>
      <c r="BJ299" s="15" t="s">
        <v>62</v>
      </c>
      <c r="BM299" s="35" t="s">
        <v>34</v>
      </c>
      <c r="BN299" s="16">
        <v>1834.1063999999999</v>
      </c>
      <c r="BO299" s="14">
        <v>3217.8804</v>
      </c>
      <c r="BP299" s="14">
        <v>1715.2967999999998</v>
      </c>
      <c r="BQ299" s="14">
        <v>1715.2967999999998</v>
      </c>
      <c r="BR299" s="14">
        <v>1817.1299999999999</v>
      </c>
      <c r="BS299" s="14">
        <v>1640.8812</v>
      </c>
      <c r="BT299" s="14">
        <v>2140.5552000000002</v>
      </c>
      <c r="BU299" s="14">
        <v>1640.8812</v>
      </c>
      <c r="BV299" s="14">
        <v>1783.1856</v>
      </c>
      <c r="BW299" s="14">
        <v>1783.1856</v>
      </c>
      <c r="BX299" s="14">
        <v>2161.5383999999999</v>
      </c>
      <c r="BY299" s="14">
        <v>2161.5383999999999</v>
      </c>
      <c r="BZ299" s="14">
        <v>3408.9888000000001</v>
      </c>
      <c r="CA299" s="14">
        <v>1294.7339999999999</v>
      </c>
      <c r="CB299" s="14">
        <v>1329.6528000000001</v>
      </c>
      <c r="CC299" s="14">
        <v>1829.7803999999999</v>
      </c>
      <c r="CD299" s="14">
        <v>1812.5352</v>
      </c>
      <c r="CE299" s="14">
        <v>1864.2875999999999</v>
      </c>
      <c r="CF299" s="14">
        <v>1778.0279999999998</v>
      </c>
      <c r="CG299" s="14">
        <v>1208.8944000000001</v>
      </c>
      <c r="CH299" s="14">
        <v>1128.3887999999999</v>
      </c>
      <c r="CI299" s="14">
        <v>1795.2815999999998</v>
      </c>
      <c r="CJ299" s="14">
        <v>1640.3688</v>
      </c>
      <c r="CK299" s="14">
        <v>1778.0279999999998</v>
      </c>
      <c r="CL299" s="14">
        <v>1316.5319999999999</v>
      </c>
      <c r="CM299" s="14">
        <v>1292.6088</v>
      </c>
      <c r="CN299" s="14">
        <v>1244.7791999999999</v>
      </c>
      <c r="CO299" s="14">
        <v>1232.8176000000001</v>
      </c>
      <c r="CP299" s="14">
        <v>1640.3688</v>
      </c>
      <c r="CQ299" s="14">
        <v>1128.3887999999999</v>
      </c>
      <c r="CR299" s="14">
        <v>1128.3887999999999</v>
      </c>
      <c r="CS299" s="14">
        <v>1128.3887999999999</v>
      </c>
      <c r="CT299" s="13">
        <v>350.65799999999996</v>
      </c>
      <c r="CU299" s="12">
        <v>0</v>
      </c>
      <c r="CV299" s="13">
        <v>350.65799999999996</v>
      </c>
      <c r="CW299" s="13">
        <v>351.26280000000003</v>
      </c>
      <c r="CX299" s="13">
        <v>397.15199999999999</v>
      </c>
      <c r="CY299" s="13">
        <v>397.15199999999999</v>
      </c>
      <c r="CZ299" s="13">
        <v>397.15199999999999</v>
      </c>
      <c r="DA299" s="14">
        <v>471.72720000000004</v>
      </c>
      <c r="DB299" s="14">
        <v>480.8664</v>
      </c>
      <c r="DC299" s="14">
        <v>412.02</v>
      </c>
      <c r="DD299" s="13">
        <v>614.77919999999995</v>
      </c>
      <c r="DE299" s="13">
        <v>614.77919999999995</v>
      </c>
      <c r="DF299" s="13">
        <v>614.77919999999995</v>
      </c>
      <c r="DG299" s="12">
        <v>1267.0896</v>
      </c>
      <c r="DH299" s="13">
        <v>1640.3603999999998</v>
      </c>
      <c r="DI299" s="13">
        <v>1640.3603999999998</v>
      </c>
      <c r="DJ299" s="12">
        <v>1291.2060000000001</v>
      </c>
      <c r="DK299" s="14">
        <v>0</v>
      </c>
      <c r="DL299" s="14">
        <v>2506.8960000000002</v>
      </c>
      <c r="DM299" s="13">
        <v>847.65239999999994</v>
      </c>
      <c r="DN299" s="14">
        <v>1609.7171999999998</v>
      </c>
      <c r="DO299" s="12">
        <v>1207.626</v>
      </c>
      <c r="DP299" s="12">
        <v>1291.2060000000001</v>
      </c>
      <c r="DQ299" s="12">
        <v>1279.1519999999998</v>
      </c>
      <c r="DR299" s="14">
        <v>1371.0228</v>
      </c>
      <c r="DS299" s="14">
        <v>1107.5147999999999</v>
      </c>
      <c r="DT299" s="14">
        <v>3090.1163999999999</v>
      </c>
      <c r="DU299" s="14">
        <v>1913.9988000000001</v>
      </c>
      <c r="DV299" s="15">
        <v>1913.9988000000001</v>
      </c>
      <c r="DY299" s="35" t="s">
        <v>34</v>
      </c>
      <c r="DZ299" s="16">
        <v>6.2500000000000003E-3</v>
      </c>
      <c r="EA299" s="14">
        <v>6.2500000000000003E-3</v>
      </c>
      <c r="EB299" s="14">
        <v>6.2500000000000003E-3</v>
      </c>
      <c r="EC299" s="14">
        <v>6.2500000000000003E-3</v>
      </c>
      <c r="ED299" s="14">
        <v>6.2500000000000003E-3</v>
      </c>
      <c r="EE299" s="14">
        <v>6.2500000000000003E-3</v>
      </c>
      <c r="EF299" s="14">
        <v>6.2500000000000003E-3</v>
      </c>
      <c r="EG299" s="14">
        <v>6.2500000000000003E-3</v>
      </c>
      <c r="EH299" s="14">
        <v>6.2500000000000003E-3</v>
      </c>
      <c r="EI299" s="14">
        <v>6.2500000000000003E-3</v>
      </c>
      <c r="EJ299" s="14">
        <v>6.2500000000000003E-3</v>
      </c>
      <c r="EK299" s="14">
        <v>6.2500000000000003E-3</v>
      </c>
      <c r="EL299" s="14">
        <v>6.2500000000000003E-3</v>
      </c>
      <c r="EM299" s="14">
        <v>4.6511627906976744E-3</v>
      </c>
      <c r="EN299" s="14">
        <v>4.6511627906976744E-3</v>
      </c>
      <c r="EO299" s="14">
        <v>7.1428571428571435E-3</v>
      </c>
      <c r="EP299" s="14">
        <v>7.1428571428571435E-3</v>
      </c>
      <c r="EQ299" s="14">
        <v>7.1428571428571435E-3</v>
      </c>
      <c r="ER299" s="14">
        <v>7.1428571428571435E-3</v>
      </c>
      <c r="ES299" s="14">
        <v>7.1428571428571435E-3</v>
      </c>
      <c r="ET299" s="14">
        <v>7.1428571428571435E-3</v>
      </c>
      <c r="EU299" s="14">
        <v>7.1428571428571435E-3</v>
      </c>
      <c r="EV299" s="14">
        <v>7.1428571428571435E-3</v>
      </c>
      <c r="EW299" s="14">
        <v>7.1428571428571435E-3</v>
      </c>
      <c r="EX299" s="14">
        <v>7.1428571428571435E-3</v>
      </c>
      <c r="EY299" s="14">
        <v>7.1428571428571435E-3</v>
      </c>
      <c r="EZ299" s="14">
        <v>7.1428571428571435E-3</v>
      </c>
      <c r="FA299" s="14">
        <v>7.1428571428571435E-3</v>
      </c>
      <c r="FB299" s="14">
        <v>7.1428571428571435E-3</v>
      </c>
      <c r="FC299" s="14">
        <v>7.1428571428571435E-3</v>
      </c>
      <c r="FD299" s="14">
        <v>7.1428571428571435E-3</v>
      </c>
      <c r="FE299" s="14">
        <v>7.1428571428571435E-3</v>
      </c>
      <c r="FF299" s="13">
        <f>0.2/9</f>
        <v>2.2222222222222223E-2</v>
      </c>
      <c r="FG299" s="12">
        <v>0.6</v>
      </c>
      <c r="FH299" s="13">
        <f t="shared" si="105"/>
        <v>2.2222222222222223E-2</v>
      </c>
      <c r="FI299" s="13">
        <f t="shared" si="105"/>
        <v>2.2222222222222223E-2</v>
      </c>
      <c r="FJ299" s="13">
        <f t="shared" si="105"/>
        <v>2.2222222222222223E-2</v>
      </c>
      <c r="FK299" s="13">
        <f t="shared" si="105"/>
        <v>2.2222222222222223E-2</v>
      </c>
      <c r="FL299" s="13">
        <f t="shared" si="105"/>
        <v>2.2222222222222223E-2</v>
      </c>
      <c r="FM299" s="14">
        <v>4.7619047619047623E-3</v>
      </c>
      <c r="FN299" s="14">
        <v>4.7619047619047623E-3</v>
      </c>
      <c r="FO299" s="14">
        <v>4.7619047619047623E-3</v>
      </c>
      <c r="FP299" s="13">
        <f t="shared" ref="FP299:FP304" si="107">0.2/9</f>
        <v>2.2222222222222223E-2</v>
      </c>
      <c r="FQ299" s="13">
        <f t="shared" si="106"/>
        <v>2.2222222222222223E-2</v>
      </c>
      <c r="FR299" s="13">
        <f t="shared" si="106"/>
        <v>2.2222222222222223E-2</v>
      </c>
      <c r="FS299" s="12">
        <v>0.6</v>
      </c>
      <c r="FT299" s="13">
        <f t="shared" ref="FT299:FT304" si="108">0.2/10</f>
        <v>0.02</v>
      </c>
      <c r="FU299" s="13">
        <f t="shared" ref="FU299:FV304" si="109">0.2/9</f>
        <v>2.2222222222222223E-2</v>
      </c>
      <c r="FV299" s="12">
        <v>0.6</v>
      </c>
      <c r="FW299" s="14">
        <v>4.5454545454545461E-3</v>
      </c>
      <c r="FX299" s="14">
        <v>4.5454545454545461E-3</v>
      </c>
      <c r="FY299" s="13">
        <f t="shared" ref="FY299:FY304" si="110">0.2/9</f>
        <v>2.2222222222222223E-2</v>
      </c>
      <c r="FZ299" s="14">
        <v>7.1428571428571435E-3</v>
      </c>
      <c r="GA299" s="12">
        <v>0.6</v>
      </c>
      <c r="GB299" s="12">
        <v>0.6</v>
      </c>
      <c r="GC299" s="12">
        <v>0.6</v>
      </c>
      <c r="GD299" s="14">
        <v>7.1428571428571435E-3</v>
      </c>
      <c r="GE299" s="14">
        <v>7.1428571428571435E-3</v>
      </c>
      <c r="GF299" s="14">
        <v>4.6511627906976744E-3</v>
      </c>
      <c r="GG299" s="14">
        <v>4.6511627906976744E-3</v>
      </c>
      <c r="GH299" s="15">
        <v>4.6511627906976744E-3</v>
      </c>
    </row>
    <row r="300" spans="1:190" x14ac:dyDescent="0.3">
      <c r="A300" s="35" t="s">
        <v>35</v>
      </c>
      <c r="B300" s="16">
        <f>IF(Distances!EA139&lt;&gt;0,(BN300+Distances!EA139*3)*DZ300*B265*2,"")</f>
        <v>11431.014359999999</v>
      </c>
      <c r="C300" s="14">
        <f>IF(Distances!EB139&lt;&gt;0,(BO300+Distances!EB139*3)*EA300*C265*2,"")</f>
        <v>14574.78177</v>
      </c>
      <c r="D300" s="14">
        <f>IF(Distances!EC139&lt;&gt;0,(BP300+Distances!EC139*3)*EB300*D265*2,"")</f>
        <v>28866.679709999997</v>
      </c>
      <c r="E300" s="14">
        <f>IF(Distances!ED139&lt;&gt;0,(BQ300+Distances!ED139*3)*EC300*E265*2,"")</f>
        <v>12222.889710000001</v>
      </c>
      <c r="F300" s="14">
        <f>IF(Distances!EE139&lt;&gt;0,(BR300+Distances!EE139*3)*ED300*F265*2,"")</f>
        <v>12994.50951</v>
      </c>
      <c r="G300" s="14">
        <f>IF(Distances!EF139&lt;&gt;0,(BS300+Distances!EF139*3)*EE300*G265*2,"")</f>
        <v>33034.9689</v>
      </c>
      <c r="H300" s="14">
        <f>IF(Distances!EG139&lt;&gt;0,(BT300+Distances!EG139*3)*EF300*H265*2,"")</f>
        <v>11994.98826</v>
      </c>
      <c r="I300" s="14">
        <f>IF(Distances!EH139&lt;&gt;0,(BU300+Distances!EH139*3)*EG300*I265*2,"")</f>
        <v>10626.6039</v>
      </c>
      <c r="J300" s="14">
        <f>IF(Distances!EI139&lt;&gt;0,(BV300+Distances!EI139*3)*EH300*J265*2,"")</f>
        <v>326.12382000000002</v>
      </c>
      <c r="K300" s="14">
        <f>IF(Distances!EJ139&lt;&gt;0,(BW300+Distances!EJ139*3)*EI300*K265*2,"")</f>
        <v>245.78381999999999</v>
      </c>
      <c r="L300" s="14">
        <f>IF(Distances!EK139&lt;&gt;0,(BX300+Distances!EK139*3)*EJ300*L265*2,"")</f>
        <v>238.40778</v>
      </c>
      <c r="M300" s="14">
        <f>IF(Distances!EL139&lt;&gt;0,(BY300+Distances!EL139*3)*EK300*M265*2,"")</f>
        <v>238.40778</v>
      </c>
      <c r="N300" s="14">
        <f>IF(Distances!EM139&lt;&gt;0,(BZ300+Distances!EM139*3)*EL300*N265*2,"")</f>
        <v>296.99567999999999</v>
      </c>
      <c r="O300" s="14">
        <f>IF(Distances!EN139&lt;&gt;0,(CA300+Distances!EN139*3)*EM300*O265*2,"")</f>
        <v>295.03136372093019</v>
      </c>
      <c r="P300" s="14">
        <f>IF(Distances!EO139&lt;&gt;0,(CB300+Distances!EO139*3)*EN300*P265*2,"")</f>
        <v>298.01730976744182</v>
      </c>
      <c r="Q300" s="14">
        <f>IF(Distances!EP139&lt;&gt;0,(CC300+Distances!EP139*3)*EO300*Q265*2,"")</f>
        <v>3261.3334285714286</v>
      </c>
      <c r="R300" s="14">
        <f>IF(Distances!EQ139&lt;&gt;0,(CD300+Distances!EQ139*3)*EP300*R265*2,"")</f>
        <v>3250.4374285714293</v>
      </c>
      <c r="S300" s="14">
        <f>IF(Distances!ER139&lt;&gt;0,(CE300+Distances!ER139*3)*EQ300*S265*2,"")</f>
        <v>3283.1254285714285</v>
      </c>
      <c r="T300" s="14">
        <f>IF(Distances!ES139&lt;&gt;0,(CF300+Distances!ES139*3)*ER300*T265*2,"")</f>
        <v>520.02035999999998</v>
      </c>
      <c r="U300" s="14">
        <f>IF(Distances!ET139&lt;&gt;0,(CG300+Distances!ET139*3)*ES300*U265*2,"")</f>
        <v>467.18928000000005</v>
      </c>
      <c r="V300" s="14">
        <f>IF(Distances!EU139&lt;&gt;0,(CH300+Distances!EU139*3)*ET300*V265*2,"")</f>
        <v>3970.5447771428571</v>
      </c>
      <c r="W300" s="14">
        <f>IF(Distances!EV139&lt;&gt;0,(CI300+Distances!EV139*3)*EU300*W265*2,"")</f>
        <v>3757.8680571428577</v>
      </c>
      <c r="X300" s="14">
        <f>IF(Distances!EW139&lt;&gt;0,(CJ300+Distances!EW139*3)*EV300*X265*2,"")</f>
        <v>4000.708422857143</v>
      </c>
      <c r="Y300" s="14">
        <f>IF(Distances!EX139&lt;&gt;0,(CK300+Distances!EX139*3)*EW300*Y265*2,"")</f>
        <v>4399.220125714286</v>
      </c>
      <c r="Z300" s="14">
        <f>IF(Distances!EY139&lt;&gt;0,(CL300+Distances!EY139*3)*EX300*Z265*2,"")</f>
        <v>114.72072</v>
      </c>
      <c r="AA300" s="14">
        <f>IF(Distances!EZ139&lt;&gt;0,(CM300+Distances!EZ139*3)*EY300*AA265*2,"")</f>
        <v>119.72228571428572</v>
      </c>
      <c r="AB300" s="14">
        <f>IF(Distances!FA139&lt;&gt;0,(CN300+Distances!FA139*3)*EZ300*AB265*2,"")</f>
        <v>140.14875428571429</v>
      </c>
      <c r="AC300" s="14">
        <f>IF(Distances!FB139&lt;&gt;0,(CO300+Distances!FB139*3)*FA300*AC265*2,"")</f>
        <v>106.52941714285714</v>
      </c>
      <c r="AD300" s="14">
        <f>IF(Distances!FC139&lt;&gt;0,(CP300+Distances!FC139*3)*FB300*AD265*2,"")</f>
        <v>126.34117714285713</v>
      </c>
      <c r="AE300" s="14">
        <f>IF(Distances!FD139&lt;&gt;0,(CQ300+Distances!FD139*3)*FC300*AE265*2,"")</f>
        <v>178.15248000000003</v>
      </c>
      <c r="AF300" s="14">
        <f>IF(Distances!FE139&lt;&gt;0,(CR300+Distances!FE139*3)*FD300*AF265*2,"")</f>
        <v>350.47638857142863</v>
      </c>
      <c r="AG300" s="14">
        <f>IF(Distances!FF139&lt;&gt;0,(CS300+Distances!FF139*3)*FE300*AG265*2,"")</f>
        <v>292.80781714285712</v>
      </c>
      <c r="AH300" s="13">
        <f>IF(Distances!FG139&lt;&gt;0,(CT300+Distances!FG139*3)*FF300*AH265*2,"")</f>
        <v>315.84000000000003</v>
      </c>
      <c r="AI300" s="13">
        <f>IF(Distances!FH139&lt;&gt;0,(CU300+Distances!FH139*3)*FG300*AI265*2,"")</f>
        <v>146.59813333333332</v>
      </c>
      <c r="AJ300" s="12" t="s">
        <v>62</v>
      </c>
      <c r="AK300" s="13">
        <f>IF(Distances!FJ139&lt;&gt;0,(CW300+Distances!FJ139*3)*FI300*AK265*2,"")</f>
        <v>147.05098666666666</v>
      </c>
      <c r="AL300" s="13">
        <f>IF(Distances!FK139&lt;&gt;0,(CX300+Distances!FK139*3)*FJ300*AL265*2,"")</f>
        <v>8054.7983999999988</v>
      </c>
      <c r="AM300" s="13">
        <f>IF(Distances!FL139&lt;&gt;0,(CY300+Distances!FL139*3)*FK300*AM265*2,"")</f>
        <v>8054.7983999999988</v>
      </c>
      <c r="AN300" s="13">
        <f>IF(Distances!FM139&lt;&gt;0,(CZ300+Distances!FM139*3)*FL300*AN265*2,"")</f>
        <v>9167.9183999999987</v>
      </c>
      <c r="AO300" s="14">
        <f>IF(Distances!FN139&lt;&gt;0,(DA300+Distances!FN139*3)*FM300*AO265*2,"")</f>
        <v>65.375771428571426</v>
      </c>
      <c r="AP300" s="14">
        <f>IF(Distances!FO139&lt;&gt;0,(DB300+Distances!FO139*3)*FN300*AP265*2,"")</f>
        <v>65.554491428571424</v>
      </c>
      <c r="AQ300" s="14">
        <f>IF(Distances!FP139&lt;&gt;0,(DC300+Distances!FP139*3)*FO300*AQ265*2,"")</f>
        <v>64.216411428571433</v>
      </c>
      <c r="AR300" s="13">
        <f>IF(Distances!FQ139&lt;&gt;0,(DD300+Distances!FQ139*3)*FP300*AR265*2,"")</f>
        <v>318.19317333333333</v>
      </c>
      <c r="AS300" s="13">
        <f>IF(Distances!FR139&lt;&gt;0,(DE300+Distances!FR139*3)*FQ300*AS265*2,"")</f>
        <v>318.19317333333333</v>
      </c>
      <c r="AT300" s="13">
        <f>IF(Distances!FS139&lt;&gt;0,(DF300+Distances!FS139*3)*FR300*AT265*2,"")</f>
        <v>318.19317333333333</v>
      </c>
      <c r="AU300" s="13">
        <f>IF(Distances!FT139&lt;&gt;0,(DG300+Distances!FT139*3)*FS300*AU265*2,"")</f>
        <v>2170.7660799999999</v>
      </c>
      <c r="AV300" s="13">
        <f>IF(Distances!FU139&lt;&gt;0,(DH300+Distances!FU139*3)*FT300*AV265*2,"")</f>
        <v>1271.4482399999999</v>
      </c>
      <c r="AW300" s="13">
        <f>IF(Distances!FV139&lt;&gt;0,(DI300+Distances!FV139*3)*FU300*AW265*2,"")</f>
        <v>3906.7869333333333</v>
      </c>
      <c r="AX300" s="13">
        <f>IF(Distances!FW139&lt;&gt;0,(DJ300+Distances!FW139*3)*FV300*AX265*2,"")</f>
        <v>747.73546666666664</v>
      </c>
      <c r="AY300" s="14">
        <f>IF(Distances!FX139&lt;&gt;0,(DK300+Distances!FX139*3)*FW300*AY265*2,"")</f>
        <v>107.19272727272728</v>
      </c>
      <c r="AZ300" s="14">
        <f>IF(Distances!FY139&lt;&gt;0,(DL300+Distances!FY139*3)*FX300*AZ265*2,"")</f>
        <v>247.98466909090914</v>
      </c>
      <c r="BA300" s="13">
        <f>IF(Distances!FZ139&lt;&gt;0,(DM300+Distances!FZ139*3)*FY300*BA265*2,"")</f>
        <v>610.87872000000004</v>
      </c>
      <c r="BB300" s="14">
        <f>IF(Distances!GA139&lt;&gt;0,(DN300+Distances!GA139*3)*FZ300*BB265*2,"")</f>
        <v>251.10891428571429</v>
      </c>
      <c r="BC300" s="13">
        <f>IF(Distances!GB139&lt;&gt;0,(DO300+Distances!GB139*3)*GA300*BC265*2,"")</f>
        <v>5353.4993066666666</v>
      </c>
      <c r="BD300" s="13">
        <f>IF(Distances!GC139&lt;&gt;0,(DP300+Distances!GC139*3)*GB300*BD265*2,"")</f>
        <v>5780.4936533333321</v>
      </c>
      <c r="BE300" s="13">
        <f>IF(Distances!GD139&lt;&gt;0,(DQ300+Distances!GD139*3)*GC300*BE265*2,"")</f>
        <v>4779.9756799999996</v>
      </c>
      <c r="BF300" s="14">
        <f>IF(Distances!GE139&lt;&gt;0,(DR300+Distances!GE139*3)*GD300*BF265*2,"")</f>
        <v>371.37366857142854</v>
      </c>
      <c r="BG300" s="14">
        <f>IF(Distances!GF139&lt;&gt;0,(DS300+Distances!GF139*3)*GE300*BG265*2,"")</f>
        <v>185.43099428571429</v>
      </c>
      <c r="BH300" s="14">
        <f>IF(Distances!GG139&lt;&gt;0,(DT300+Distances!GG139*3)*GF300*BH265*2,"")</f>
        <v>208.46270511627907</v>
      </c>
      <c r="BI300" s="14">
        <f>IF(Distances!GH139&lt;&gt;0,(DU300+Distances!GH139*3)*GG300*BI265*2,"")</f>
        <v>191.34170790697675</v>
      </c>
      <c r="BJ300" s="15">
        <f>IF(Distances!GI139&lt;&gt;0,(DV300+Distances!GI139*3)*GH300*BJ265*2,"")</f>
        <v>191.34170790697675</v>
      </c>
      <c r="BM300" s="35" t="s">
        <v>35</v>
      </c>
      <c r="BN300" s="16">
        <v>1579.3344</v>
      </c>
      <c r="BO300" s="14">
        <v>2824.3907999999997</v>
      </c>
      <c r="BP300" s="14">
        <v>1892.9484000000002</v>
      </c>
      <c r="BQ300" s="14">
        <v>1892.9484000000002</v>
      </c>
      <c r="BR300" s="14">
        <v>2005.3403999999998</v>
      </c>
      <c r="BS300" s="14">
        <v>1260.7560000000001</v>
      </c>
      <c r="BT300" s="14">
        <v>1802.6904</v>
      </c>
      <c r="BU300" s="14">
        <v>1260.7560000000001</v>
      </c>
      <c r="BV300" s="14">
        <v>1967.8763999999999</v>
      </c>
      <c r="BW300" s="14">
        <v>1967.8763999999999</v>
      </c>
      <c r="BX300" s="14">
        <v>1820.3556000000001</v>
      </c>
      <c r="BY300" s="14">
        <v>1820.3556000000001</v>
      </c>
      <c r="BZ300" s="14">
        <v>2992.1135999999997</v>
      </c>
      <c r="CA300" s="14">
        <v>1583.0387999999998</v>
      </c>
      <c r="CB300" s="14">
        <v>1628.8943999999999</v>
      </c>
      <c r="CC300" s="14">
        <v>1618.0667999999998</v>
      </c>
      <c r="CD300" s="14">
        <v>1602.8123999999998</v>
      </c>
      <c r="CE300" s="14">
        <v>1648.5755999999999</v>
      </c>
      <c r="CF300" s="14">
        <v>1572.3036</v>
      </c>
      <c r="CG300" s="14">
        <v>765.5927999999999</v>
      </c>
      <c r="CH300" s="14">
        <v>302.83679999999998</v>
      </c>
      <c r="CI300" s="14">
        <v>1587.558</v>
      </c>
      <c r="CJ300" s="14">
        <v>1474.1412</v>
      </c>
      <c r="CK300" s="14">
        <v>1572.3036</v>
      </c>
      <c r="CL300" s="14">
        <v>833.72519999999997</v>
      </c>
      <c r="CM300" s="14">
        <v>818.57999999999993</v>
      </c>
      <c r="CN300" s="14">
        <v>788.30640000000005</v>
      </c>
      <c r="CO300" s="14">
        <v>780.7296</v>
      </c>
      <c r="CP300" s="14">
        <v>1474.1412</v>
      </c>
      <c r="CQ300" s="14">
        <v>302.83679999999998</v>
      </c>
      <c r="CR300" s="14">
        <v>302.83679999999998</v>
      </c>
      <c r="CS300" s="14">
        <v>302.83679999999998</v>
      </c>
      <c r="CT300" s="13">
        <v>0</v>
      </c>
      <c r="CU300" s="13">
        <v>350.65799999999996</v>
      </c>
      <c r="CV300" s="12">
        <v>0</v>
      </c>
      <c r="CW300" s="13">
        <v>360.84719999999999</v>
      </c>
      <c r="CX300" s="13">
        <v>408.36599999999999</v>
      </c>
      <c r="CY300" s="13">
        <v>408.36599999999999</v>
      </c>
      <c r="CZ300" s="13">
        <v>408.36599999999999</v>
      </c>
      <c r="DA300" s="14">
        <v>484.428</v>
      </c>
      <c r="DB300" s="14">
        <v>493.81079999999997</v>
      </c>
      <c r="DC300" s="14">
        <v>423.5616</v>
      </c>
      <c r="DD300" s="13">
        <v>631.8732</v>
      </c>
      <c r="DE300" s="13">
        <v>631.8732</v>
      </c>
      <c r="DF300" s="13">
        <v>631.8732</v>
      </c>
      <c r="DG300" s="13">
        <v>409.2312</v>
      </c>
      <c r="DH300" s="13">
        <v>1474.1412</v>
      </c>
      <c r="DI300" s="13">
        <v>1474.1412</v>
      </c>
      <c r="DJ300" s="13">
        <v>417.00959999999998</v>
      </c>
      <c r="DK300" s="14">
        <v>0</v>
      </c>
      <c r="DL300" s="14">
        <v>2483.6784000000002</v>
      </c>
      <c r="DM300" s="13">
        <v>488.39279999999997</v>
      </c>
      <c r="DN300" s="14">
        <v>1446.606</v>
      </c>
      <c r="DO300" s="13">
        <v>816.37919999999997</v>
      </c>
      <c r="DP300" s="13">
        <v>417.00959999999998</v>
      </c>
      <c r="DQ300" s="13">
        <v>413.12039999999996</v>
      </c>
      <c r="DR300" s="14">
        <v>655.93920000000003</v>
      </c>
      <c r="DS300" s="14">
        <v>297.24239999999998</v>
      </c>
      <c r="DT300" s="14">
        <v>2654.6352000000002</v>
      </c>
      <c r="DU300" s="14">
        <v>2194.5084000000002</v>
      </c>
      <c r="DV300" s="15">
        <v>2194.5084000000002</v>
      </c>
      <c r="DY300" s="35" t="s">
        <v>35</v>
      </c>
      <c r="DZ300" s="16">
        <v>6.2500000000000003E-3</v>
      </c>
      <c r="EA300" s="14">
        <v>6.2500000000000003E-3</v>
      </c>
      <c r="EB300" s="14">
        <v>6.2500000000000003E-3</v>
      </c>
      <c r="EC300" s="14">
        <v>6.2500000000000003E-3</v>
      </c>
      <c r="ED300" s="14">
        <v>6.2500000000000003E-3</v>
      </c>
      <c r="EE300" s="14">
        <v>6.2500000000000003E-3</v>
      </c>
      <c r="EF300" s="14">
        <v>6.2500000000000003E-3</v>
      </c>
      <c r="EG300" s="14">
        <v>6.2500000000000003E-3</v>
      </c>
      <c r="EH300" s="14">
        <v>6.2500000000000003E-3</v>
      </c>
      <c r="EI300" s="14">
        <v>6.2500000000000003E-3</v>
      </c>
      <c r="EJ300" s="14">
        <v>6.2500000000000003E-3</v>
      </c>
      <c r="EK300" s="14">
        <v>6.2500000000000003E-3</v>
      </c>
      <c r="EL300" s="14">
        <v>6.2500000000000003E-3</v>
      </c>
      <c r="EM300" s="14">
        <v>4.6511627906976744E-3</v>
      </c>
      <c r="EN300" s="14">
        <v>4.6511627906976744E-3</v>
      </c>
      <c r="EO300" s="14">
        <v>7.1428571428571435E-3</v>
      </c>
      <c r="EP300" s="14">
        <v>7.1428571428571435E-3</v>
      </c>
      <c r="EQ300" s="14">
        <v>7.1428571428571435E-3</v>
      </c>
      <c r="ER300" s="14">
        <v>7.1428571428571435E-3</v>
      </c>
      <c r="ES300" s="14">
        <v>7.1428571428571435E-3</v>
      </c>
      <c r="ET300" s="14">
        <v>7.1428571428571435E-3</v>
      </c>
      <c r="EU300" s="14">
        <v>7.1428571428571435E-3</v>
      </c>
      <c r="EV300" s="14">
        <v>7.1428571428571435E-3</v>
      </c>
      <c r="EW300" s="14">
        <v>7.1428571428571435E-3</v>
      </c>
      <c r="EX300" s="14">
        <v>7.1428571428571435E-3</v>
      </c>
      <c r="EY300" s="14">
        <v>7.1428571428571435E-3</v>
      </c>
      <c r="EZ300" s="14">
        <v>7.1428571428571435E-3</v>
      </c>
      <c r="FA300" s="14">
        <v>7.1428571428571435E-3</v>
      </c>
      <c r="FB300" s="14">
        <v>7.1428571428571435E-3</v>
      </c>
      <c r="FC300" s="14">
        <v>7.1428571428571435E-3</v>
      </c>
      <c r="FD300" s="14">
        <v>7.1428571428571435E-3</v>
      </c>
      <c r="FE300" s="14">
        <v>7.1428571428571435E-3</v>
      </c>
      <c r="FF300" s="13">
        <f t="shared" ref="FF300:FJ304" si="111">0.2/9</f>
        <v>2.2222222222222223E-2</v>
      </c>
      <c r="FG300" s="13">
        <f t="shared" si="111"/>
        <v>2.2222222222222223E-2</v>
      </c>
      <c r="FH300" s="12">
        <v>0.6</v>
      </c>
      <c r="FI300" s="13">
        <f t="shared" si="105"/>
        <v>2.2222222222222223E-2</v>
      </c>
      <c r="FJ300" s="13">
        <f t="shared" si="105"/>
        <v>2.2222222222222223E-2</v>
      </c>
      <c r="FK300" s="13">
        <f t="shared" si="105"/>
        <v>2.2222222222222223E-2</v>
      </c>
      <c r="FL300" s="13">
        <f t="shared" si="105"/>
        <v>2.2222222222222223E-2</v>
      </c>
      <c r="FM300" s="14">
        <v>4.7619047619047623E-3</v>
      </c>
      <c r="FN300" s="14">
        <v>4.7619047619047623E-3</v>
      </c>
      <c r="FO300" s="14">
        <v>4.7619047619047623E-3</v>
      </c>
      <c r="FP300" s="13">
        <f t="shared" si="107"/>
        <v>2.2222222222222223E-2</v>
      </c>
      <c r="FQ300" s="13">
        <f t="shared" si="106"/>
        <v>2.2222222222222223E-2</v>
      </c>
      <c r="FR300" s="13">
        <f t="shared" si="106"/>
        <v>2.2222222222222223E-2</v>
      </c>
      <c r="FS300" s="13">
        <f t="shared" si="106"/>
        <v>2.2222222222222223E-2</v>
      </c>
      <c r="FT300" s="13">
        <f t="shared" si="108"/>
        <v>0.02</v>
      </c>
      <c r="FU300" s="13">
        <f t="shared" si="109"/>
        <v>2.2222222222222223E-2</v>
      </c>
      <c r="FV300" s="13">
        <f t="shared" si="109"/>
        <v>2.2222222222222223E-2</v>
      </c>
      <c r="FW300" s="14">
        <v>4.5454545454545461E-3</v>
      </c>
      <c r="FX300" s="14">
        <v>4.5454545454545461E-3</v>
      </c>
      <c r="FY300" s="13">
        <f t="shared" si="110"/>
        <v>2.2222222222222223E-2</v>
      </c>
      <c r="FZ300" s="14">
        <v>7.1428571428571435E-3</v>
      </c>
      <c r="GA300" s="13">
        <f t="shared" ref="GA300:GC304" si="112">0.2/9</f>
        <v>2.2222222222222223E-2</v>
      </c>
      <c r="GB300" s="13">
        <f t="shared" si="112"/>
        <v>2.2222222222222223E-2</v>
      </c>
      <c r="GC300" s="13">
        <f t="shared" si="112"/>
        <v>2.2222222222222223E-2</v>
      </c>
      <c r="GD300" s="14">
        <v>7.1428571428571435E-3</v>
      </c>
      <c r="GE300" s="14">
        <v>7.1428571428571435E-3</v>
      </c>
      <c r="GF300" s="14">
        <v>4.6511627906976744E-3</v>
      </c>
      <c r="GG300" s="14">
        <v>4.6511627906976744E-3</v>
      </c>
      <c r="GH300" s="15">
        <v>4.6511627906976744E-3</v>
      </c>
    </row>
    <row r="301" spans="1:190" x14ac:dyDescent="0.3">
      <c r="A301" s="35" t="s">
        <v>36</v>
      </c>
      <c r="B301" s="16" t="s">
        <v>62</v>
      </c>
      <c r="C301" s="14" t="s">
        <v>62</v>
      </c>
      <c r="D301" s="14">
        <f>IF(Distances!EC140&lt;&gt;0,(BP301+Distances!EC140*3)*EB301*D265*2,"")</f>
        <v>21100.986659999999</v>
      </c>
      <c r="E301" s="14" t="s">
        <v>62</v>
      </c>
      <c r="F301" s="14">
        <f>IF(Distances!EE140&lt;&gt;0,(BR301+Distances!EE140*3)*ED301*F265*2,"")</f>
        <v>5209.6638299999995</v>
      </c>
      <c r="G301" s="14">
        <f>IF(Distances!EF140&lt;&gt;0,(BS301+Distances!EF140*3)*EE301*G265*2,"")</f>
        <v>26672.190089999996</v>
      </c>
      <c r="H301" s="14" t="s">
        <v>62</v>
      </c>
      <c r="I301" s="14" t="s">
        <v>62</v>
      </c>
      <c r="J301" s="14">
        <f>IF(Distances!EI140&lt;&gt;0,(BV301+Distances!EI140*3)*EH301*J265*2,"")</f>
        <v>172.09488000000002</v>
      </c>
      <c r="K301" s="14" t="s">
        <v>62</v>
      </c>
      <c r="L301" s="14" t="s">
        <v>62</v>
      </c>
      <c r="M301" s="14" t="s">
        <v>62</v>
      </c>
      <c r="N301" s="14" t="s">
        <v>62</v>
      </c>
      <c r="O301" s="14" t="s">
        <v>62</v>
      </c>
      <c r="P301" s="14" t="s">
        <v>62</v>
      </c>
      <c r="Q301" s="14" t="s">
        <v>62</v>
      </c>
      <c r="R301" s="14" t="s">
        <v>62</v>
      </c>
      <c r="S301" s="14" t="s">
        <v>62</v>
      </c>
      <c r="T301" s="14">
        <f>IF(Distances!ES140&lt;&gt;0,(CF301+Distances!ES140*3)*ER301*T265*2,"")</f>
        <v>250.98804000000001</v>
      </c>
      <c r="U301" s="14">
        <f>IF(Distances!ET140&lt;&gt;0,(CG301+Distances!ET140*3)*ES301*U265*2,"")</f>
        <v>220.25820000000002</v>
      </c>
      <c r="V301" s="14">
        <f>IF(Distances!EU140&lt;&gt;0,(CH301+Distances!EU140*3)*ET301*V265*2,"")</f>
        <v>2239.31736</v>
      </c>
      <c r="W301" s="14" t="s">
        <v>62</v>
      </c>
      <c r="X301" s="14">
        <f>IF(Distances!EW140&lt;&gt;0,(CJ301+Distances!EW140*3)*EV301*X265*2,"")</f>
        <v>1735.5306857142857</v>
      </c>
      <c r="Y301" s="14">
        <f>IF(Distances!EX140&lt;&gt;0,(CK301+Distances!EX140*3)*EW301*Y265*2,"")</f>
        <v>2170.0951885714285</v>
      </c>
      <c r="Z301" s="14">
        <f>IF(Distances!EY140&lt;&gt;0,(CL301+Distances!EY140*3)*EX301*Z265*2,"")</f>
        <v>45.386982857142861</v>
      </c>
      <c r="AA301" s="14">
        <f>IF(Distances!EZ140&lt;&gt;0,(CM301+Distances!EZ140*3)*EY301*AA265*2,"")</f>
        <v>50.118068571428573</v>
      </c>
      <c r="AB301" s="14">
        <f>IF(Distances!FA140&lt;&gt;0,(CN301+Distances!FA140*3)*EZ301*AB265*2,"")</f>
        <v>70.002857142857152</v>
      </c>
      <c r="AC301" s="14" t="s">
        <v>62</v>
      </c>
      <c r="AD301" s="14" t="s">
        <v>62</v>
      </c>
      <c r="AE301" s="14">
        <f>IF(Distances!FD140&lt;&gt;0,(CQ301+Distances!FD140*3)*FC301*AE265*2,"")</f>
        <v>118.45498285714287</v>
      </c>
      <c r="AF301" s="14">
        <f>IF(Distances!FE140&lt;&gt;0,(CR301+Distances!FE140*3)*FD301*AF265*2,"")</f>
        <v>231.08139428571431</v>
      </c>
      <c r="AG301" s="14">
        <f>IF(Distances!FF140&lt;&gt;0,(CS301+Distances!FF140*3)*FE301*AG265*2,"")</f>
        <v>173.41282285714288</v>
      </c>
      <c r="AH301" s="13">
        <f>IF(Distances!FG140&lt;&gt;0,(CT301+Distances!FG140*3)*FF301*AH265*2,"")</f>
        <v>200.86432000000002</v>
      </c>
      <c r="AI301" s="13" t="s">
        <v>62</v>
      </c>
      <c r="AJ301" s="13">
        <f>IF(Distances!FI140&lt;&gt;0,(CV301+Distances!FI140*3)*FH301*AJ265*2,"")</f>
        <v>147.05098666666669</v>
      </c>
      <c r="AK301" s="12" t="s">
        <v>62</v>
      </c>
      <c r="AL301" s="13" t="s">
        <v>62</v>
      </c>
      <c r="AM301" s="13" t="s">
        <v>62</v>
      </c>
      <c r="AN301" s="13">
        <f>IF(Distances!FM140&lt;&gt;0,(CZ301+Distances!FM140*3)*FL301*AN265*2,"")</f>
        <v>2093.9644799999996</v>
      </c>
      <c r="AO301" s="14" t="s">
        <v>62</v>
      </c>
      <c r="AP301" s="14" t="s">
        <v>62</v>
      </c>
      <c r="AQ301" s="14" t="s">
        <v>62</v>
      </c>
      <c r="AR301" s="13" t="s">
        <v>62</v>
      </c>
      <c r="AS301" s="13" t="s">
        <v>62</v>
      </c>
      <c r="AT301" s="13" t="s">
        <v>62</v>
      </c>
      <c r="AU301" s="13">
        <f>IF(Distances!FT140&lt;&gt;0,(DG301+Distances!FT140*3)*FS301*AU265*2,"")</f>
        <v>893.30304000000001</v>
      </c>
      <c r="AV301" s="13">
        <f>IF(Distances!FU140&lt;&gt;0,(DH301+Distances!FU140*3)*FT301*AV265*2,"")</f>
        <v>724.68119999999999</v>
      </c>
      <c r="AW301" s="13">
        <f>IF(Distances!FV140&lt;&gt;0,(DI301+Distances!FV140*3)*FU301*AW265*2,"")</f>
        <v>3299.2679999999996</v>
      </c>
      <c r="AX301" s="13" t="s">
        <v>62</v>
      </c>
      <c r="AY301" s="14" t="s">
        <v>62</v>
      </c>
      <c r="AZ301" s="14">
        <f>IF(Distances!FY140&lt;&gt;0,(DL301+Distances!FY140*3)*FX301*AZ265*2,"")</f>
        <v>144.29031272727272</v>
      </c>
      <c r="BA301" s="13" t="s">
        <v>62</v>
      </c>
      <c r="BB301" s="14" t="s">
        <v>62</v>
      </c>
      <c r="BC301" s="13" t="s">
        <v>62</v>
      </c>
      <c r="BD301" s="13">
        <f>IF(Distances!GC140&lt;&gt;0,(DP301+Distances!GC140*3)*GB301*BD265*2,"")</f>
        <v>2387.3245866666671</v>
      </c>
      <c r="BE301" s="13" t="s">
        <v>62</v>
      </c>
      <c r="BF301" s="14">
        <f>IF(Distances!GE140&lt;&gt;0,(DR301+Distances!GE140*3)*GD301*BF265*2,"")</f>
        <v>246.07035428571433</v>
      </c>
      <c r="BG301" s="14" t="s">
        <v>62</v>
      </c>
      <c r="BH301" s="14" t="s">
        <v>62</v>
      </c>
      <c r="BI301" s="14" t="s">
        <v>62</v>
      </c>
      <c r="BJ301" s="15" t="s">
        <v>62</v>
      </c>
      <c r="BM301" s="35" t="s">
        <v>36</v>
      </c>
      <c r="BN301" s="16">
        <v>1887.4967999999999</v>
      </c>
      <c r="BO301" s="14">
        <v>3311.5823999999998</v>
      </c>
      <c r="BP301" s="14">
        <v>1765.2264</v>
      </c>
      <c r="BQ301" s="14">
        <v>1765.2264</v>
      </c>
      <c r="BR301" s="14">
        <v>1870.0331999999999</v>
      </c>
      <c r="BS301" s="14">
        <v>1688.6435999999999</v>
      </c>
      <c r="BT301" s="14">
        <v>2202.8747999999996</v>
      </c>
      <c r="BU301" s="14">
        <v>1688.6435999999999</v>
      </c>
      <c r="BV301" s="14">
        <v>1835.0975999999998</v>
      </c>
      <c r="BW301" s="14">
        <v>1835.0975999999998</v>
      </c>
      <c r="BX301" s="14">
        <v>2224.4627999999998</v>
      </c>
      <c r="BY301" s="14">
        <v>2224.4627999999998</v>
      </c>
      <c r="BZ301" s="14">
        <v>3508.2431999999994</v>
      </c>
      <c r="CA301" s="14">
        <v>1332.4164000000001</v>
      </c>
      <c r="CB301" s="14">
        <v>1368.36</v>
      </c>
      <c r="CC301" s="14">
        <v>1883.0447999999997</v>
      </c>
      <c r="CD301" s="14">
        <v>1865.2956000000001</v>
      </c>
      <c r="CE301" s="14">
        <v>1918.56</v>
      </c>
      <c r="CF301" s="14">
        <v>1829.7803999999999</v>
      </c>
      <c r="CG301" s="14">
        <v>1244.0819999999999</v>
      </c>
      <c r="CH301" s="14">
        <v>1161.2244000000001</v>
      </c>
      <c r="CI301" s="14">
        <v>1847.5379999999998</v>
      </c>
      <c r="CJ301" s="14">
        <v>1688.106</v>
      </c>
      <c r="CK301" s="14">
        <v>1829.7803999999999</v>
      </c>
      <c r="CL301" s="14">
        <v>1354.8444</v>
      </c>
      <c r="CM301" s="14">
        <v>1330.2323999999999</v>
      </c>
      <c r="CN301" s="14">
        <v>1281</v>
      </c>
      <c r="CO301" s="14">
        <v>1268.694</v>
      </c>
      <c r="CP301" s="14">
        <v>1688.106</v>
      </c>
      <c r="CQ301" s="14">
        <v>1161.2244000000001</v>
      </c>
      <c r="CR301" s="14">
        <v>1161.2244000000001</v>
      </c>
      <c r="CS301" s="14">
        <v>1161.2244000000001</v>
      </c>
      <c r="CT301" s="13">
        <v>360.84719999999999</v>
      </c>
      <c r="CU301" s="13">
        <v>351.26280000000003</v>
      </c>
      <c r="CV301" s="13">
        <v>360.84719999999999</v>
      </c>
      <c r="CW301" s="12">
        <v>0</v>
      </c>
      <c r="CX301" s="13">
        <v>408.68519999999995</v>
      </c>
      <c r="CY301" s="13">
        <v>408.68519999999995</v>
      </c>
      <c r="CZ301" s="13">
        <v>408.68519999999995</v>
      </c>
      <c r="DA301" s="14">
        <v>485.43599999999998</v>
      </c>
      <c r="DB301" s="14">
        <v>494.84399999999999</v>
      </c>
      <c r="DC301" s="14">
        <v>423.99</v>
      </c>
      <c r="DD301" s="13">
        <v>632.6543999999999</v>
      </c>
      <c r="DE301" s="13">
        <v>632.6543999999999</v>
      </c>
      <c r="DF301" s="13">
        <v>632.6543999999999</v>
      </c>
      <c r="DG301" s="13">
        <v>1303.9656</v>
      </c>
      <c r="DH301" s="13">
        <v>1688.106</v>
      </c>
      <c r="DI301" s="13">
        <v>1688.106</v>
      </c>
      <c r="DJ301" s="13">
        <v>1328.7876000000001</v>
      </c>
      <c r="DK301" s="14">
        <v>0</v>
      </c>
      <c r="DL301" s="14">
        <v>2579.8835999999997</v>
      </c>
      <c r="DM301" s="13">
        <v>872.31479999999999</v>
      </c>
      <c r="DN301" s="14">
        <v>1656.5723999999998</v>
      </c>
      <c r="DO301" s="13">
        <v>1242.7716</v>
      </c>
      <c r="DP301" s="13">
        <v>1328.7876000000001</v>
      </c>
      <c r="DQ301" s="13">
        <v>1316.3807999999999</v>
      </c>
      <c r="DR301" s="14">
        <v>1410.9312</v>
      </c>
      <c r="DS301" s="14">
        <v>1139.7371999999998</v>
      </c>
      <c r="DT301" s="14">
        <v>3180.0888</v>
      </c>
      <c r="DU301" s="14">
        <v>1969.7159999999999</v>
      </c>
      <c r="DV301" s="15">
        <v>1969.7159999999999</v>
      </c>
      <c r="DY301" s="35" t="s">
        <v>36</v>
      </c>
      <c r="DZ301" s="16">
        <v>6.2500000000000003E-3</v>
      </c>
      <c r="EA301" s="14">
        <v>6.2500000000000003E-3</v>
      </c>
      <c r="EB301" s="14">
        <v>6.2500000000000003E-3</v>
      </c>
      <c r="EC301" s="14">
        <v>6.2500000000000003E-3</v>
      </c>
      <c r="ED301" s="14">
        <v>6.2500000000000003E-3</v>
      </c>
      <c r="EE301" s="14">
        <v>6.2500000000000003E-3</v>
      </c>
      <c r="EF301" s="14">
        <v>6.2500000000000003E-3</v>
      </c>
      <c r="EG301" s="14">
        <v>6.2500000000000003E-3</v>
      </c>
      <c r="EH301" s="14">
        <v>6.2500000000000003E-3</v>
      </c>
      <c r="EI301" s="14">
        <v>6.2500000000000003E-3</v>
      </c>
      <c r="EJ301" s="14">
        <v>6.2500000000000003E-3</v>
      </c>
      <c r="EK301" s="14">
        <v>6.2500000000000003E-3</v>
      </c>
      <c r="EL301" s="14">
        <v>6.2500000000000003E-3</v>
      </c>
      <c r="EM301" s="14">
        <v>4.6511627906976744E-3</v>
      </c>
      <c r="EN301" s="14">
        <v>4.6511627906976744E-3</v>
      </c>
      <c r="EO301" s="14">
        <v>7.1428571428571435E-3</v>
      </c>
      <c r="EP301" s="14">
        <v>7.1428571428571435E-3</v>
      </c>
      <c r="EQ301" s="14">
        <v>7.1428571428571435E-3</v>
      </c>
      <c r="ER301" s="14">
        <v>7.1428571428571435E-3</v>
      </c>
      <c r="ES301" s="14">
        <v>7.1428571428571435E-3</v>
      </c>
      <c r="ET301" s="14">
        <v>7.1428571428571435E-3</v>
      </c>
      <c r="EU301" s="14">
        <v>7.1428571428571435E-3</v>
      </c>
      <c r="EV301" s="14">
        <v>7.1428571428571435E-3</v>
      </c>
      <c r="EW301" s="14">
        <v>7.1428571428571435E-3</v>
      </c>
      <c r="EX301" s="14">
        <v>7.1428571428571435E-3</v>
      </c>
      <c r="EY301" s="14">
        <v>7.1428571428571435E-3</v>
      </c>
      <c r="EZ301" s="14">
        <v>7.1428571428571435E-3</v>
      </c>
      <c r="FA301" s="14">
        <v>7.1428571428571435E-3</v>
      </c>
      <c r="FB301" s="14">
        <v>7.1428571428571435E-3</v>
      </c>
      <c r="FC301" s="14">
        <v>7.1428571428571435E-3</v>
      </c>
      <c r="FD301" s="14">
        <v>7.1428571428571435E-3</v>
      </c>
      <c r="FE301" s="14">
        <v>7.1428571428571435E-3</v>
      </c>
      <c r="FF301" s="13">
        <f t="shared" si="111"/>
        <v>2.2222222222222223E-2</v>
      </c>
      <c r="FG301" s="13">
        <f t="shared" si="111"/>
        <v>2.2222222222222223E-2</v>
      </c>
      <c r="FH301" s="13">
        <f t="shared" si="111"/>
        <v>2.2222222222222223E-2</v>
      </c>
      <c r="FI301" s="12">
        <v>0.6</v>
      </c>
      <c r="FJ301" s="13">
        <f t="shared" si="105"/>
        <v>2.2222222222222223E-2</v>
      </c>
      <c r="FK301" s="13">
        <f t="shared" si="105"/>
        <v>2.2222222222222223E-2</v>
      </c>
      <c r="FL301" s="13">
        <f t="shared" si="105"/>
        <v>2.2222222222222223E-2</v>
      </c>
      <c r="FM301" s="14">
        <v>4.7619047619047623E-3</v>
      </c>
      <c r="FN301" s="14">
        <v>4.7619047619047623E-3</v>
      </c>
      <c r="FO301" s="14">
        <v>4.7619047619047623E-3</v>
      </c>
      <c r="FP301" s="13">
        <f t="shared" si="107"/>
        <v>2.2222222222222223E-2</v>
      </c>
      <c r="FQ301" s="13">
        <f t="shared" si="106"/>
        <v>2.2222222222222223E-2</v>
      </c>
      <c r="FR301" s="13">
        <f t="shared" si="106"/>
        <v>2.2222222222222223E-2</v>
      </c>
      <c r="FS301" s="13">
        <f t="shared" si="106"/>
        <v>2.2222222222222223E-2</v>
      </c>
      <c r="FT301" s="13">
        <f t="shared" si="108"/>
        <v>0.02</v>
      </c>
      <c r="FU301" s="13">
        <f t="shared" si="109"/>
        <v>2.2222222222222223E-2</v>
      </c>
      <c r="FV301" s="13">
        <f t="shared" si="109"/>
        <v>2.2222222222222223E-2</v>
      </c>
      <c r="FW301" s="14">
        <v>4.5454545454545461E-3</v>
      </c>
      <c r="FX301" s="14">
        <v>4.5454545454545461E-3</v>
      </c>
      <c r="FY301" s="13">
        <f t="shared" si="110"/>
        <v>2.2222222222222223E-2</v>
      </c>
      <c r="FZ301" s="14">
        <v>7.1428571428571435E-3</v>
      </c>
      <c r="GA301" s="13">
        <f t="shared" si="112"/>
        <v>2.2222222222222223E-2</v>
      </c>
      <c r="GB301" s="13">
        <f t="shared" si="112"/>
        <v>2.2222222222222223E-2</v>
      </c>
      <c r="GC301" s="13">
        <f t="shared" si="112"/>
        <v>2.2222222222222223E-2</v>
      </c>
      <c r="GD301" s="14">
        <v>7.1428571428571435E-3</v>
      </c>
      <c r="GE301" s="14">
        <v>7.1428571428571435E-3</v>
      </c>
      <c r="GF301" s="14">
        <v>4.6511627906976744E-3</v>
      </c>
      <c r="GG301" s="14">
        <v>4.6511627906976744E-3</v>
      </c>
      <c r="GH301" s="15">
        <v>4.6511627906976744E-3</v>
      </c>
    </row>
    <row r="302" spans="1:190" x14ac:dyDescent="0.3">
      <c r="A302" s="35" t="s">
        <v>37</v>
      </c>
      <c r="B302" s="16" t="s">
        <v>62</v>
      </c>
      <c r="C302" s="14" t="s">
        <v>62</v>
      </c>
      <c r="D302" s="14">
        <f>IF(Distances!EC141&lt;&gt;0,(BP302+Distances!EC141*3)*EB302*D265*2,"")</f>
        <v>20674.326299999997</v>
      </c>
      <c r="E302" s="14" t="s">
        <v>62</v>
      </c>
      <c r="F302" s="14">
        <f>IF(Distances!EE141&lt;&gt;0,(BR302+Distances!EE141*3)*ED302*F265*2,"")</f>
        <v>4757.6575199999997</v>
      </c>
      <c r="G302" s="14">
        <f>IF(Distances!EF141&lt;&gt;0,(BS302+Distances!EF141*3)*EE302*G265*2,"")</f>
        <v>23441.673779999997</v>
      </c>
      <c r="H302" s="14" t="s">
        <v>62</v>
      </c>
      <c r="I302" s="14" t="s">
        <v>62</v>
      </c>
      <c r="J302" s="14">
        <f>IF(Distances!EI141&lt;&gt;0,(BV302+Distances!EI141*3)*EH302*J265*2,"")</f>
        <v>163.31142</v>
      </c>
      <c r="K302" s="14" t="s">
        <v>62</v>
      </c>
      <c r="L302" s="14" t="s">
        <v>62</v>
      </c>
      <c r="M302" s="14" t="s">
        <v>62</v>
      </c>
      <c r="N302" s="14" t="s">
        <v>62</v>
      </c>
      <c r="O302" s="14" t="s">
        <v>62</v>
      </c>
      <c r="P302" s="14" t="s">
        <v>62</v>
      </c>
      <c r="Q302" s="14" t="s">
        <v>62</v>
      </c>
      <c r="R302" s="14" t="s">
        <v>62</v>
      </c>
      <c r="S302" s="14" t="s">
        <v>62</v>
      </c>
      <c r="T302" s="14">
        <f>IF(Distances!ES141&lt;&gt;0,(CF302+Distances!ES141*3)*ER302*T265*2,"")</f>
        <v>215.77692000000002</v>
      </c>
      <c r="U302" s="14">
        <f>IF(Distances!ET141&lt;&gt;0,(CG302+Distances!ET141*3)*ES302*U265*2,"")</f>
        <v>139.95840000000001</v>
      </c>
      <c r="V302" s="14">
        <f>IF(Distances!EU141&lt;&gt;0,(CH302+Distances!EU141*3)*ET302*V265*2,"")</f>
        <v>1660.3984799999998</v>
      </c>
      <c r="W302" s="14" t="s">
        <v>62</v>
      </c>
      <c r="X302" s="14">
        <f>IF(Distances!EW141&lt;&gt;0,(CJ302+Distances!EW141*3)*EV302*X265*2,"")</f>
        <v>1764.6861257142857</v>
      </c>
      <c r="Y302" s="14">
        <f>IF(Distances!EX141&lt;&gt;0,(CK302+Distances!EX141*3)*EW302*Y265*2,"")</f>
        <v>1878.3459085714287</v>
      </c>
      <c r="Z302" s="14">
        <f>IF(Distances!EY141&lt;&gt;0,(CL302+Distances!EY141*3)*EX302*Z265*2,"")</f>
        <v>20.399862857142857</v>
      </c>
      <c r="AA302" s="14">
        <f>IF(Distances!EZ141&lt;&gt;0,(CM302+Distances!EZ141*3)*EY302*AA265*2,"")</f>
        <v>25.585268571428575</v>
      </c>
      <c r="AB302" s="14">
        <f>IF(Distances!FA141&lt;&gt;0,(CN302+Distances!FA141*3)*EZ302*AB265*2,"")</f>
        <v>46.378697142857142</v>
      </c>
      <c r="AC302" s="14" t="s">
        <v>62</v>
      </c>
      <c r="AD302" s="14" t="s">
        <v>62</v>
      </c>
      <c r="AE302" s="14">
        <f>IF(Distances!FD141&lt;&gt;0,(CQ302+Distances!FD141*3)*FC302*AE265*2,"")</f>
        <v>98.492262857142862</v>
      </c>
      <c r="AF302" s="14">
        <f>IF(Distances!FE141&lt;&gt;0,(CR302+Distances!FE141*3)*FD302*AF265*2,"")</f>
        <v>191.1559542857143</v>
      </c>
      <c r="AG302" s="14">
        <f>IF(Distances!FF141&lt;&gt;0,(CS302+Distances!FF141*3)*FE302*AG265*2,"")</f>
        <v>133.48738285714288</v>
      </c>
      <c r="AH302" s="13">
        <f>IF(Distances!FG141&lt;&gt;0,(CT302+Distances!FG141*3)*FF302*AH265*2,"")</f>
        <v>202.9762666666667</v>
      </c>
      <c r="AI302" s="13" t="s">
        <v>62</v>
      </c>
      <c r="AJ302" s="13">
        <f>IF(Distances!FI141&lt;&gt;0,(CV302+Distances!FI141*3)*FH302*AJ265*2,"")</f>
        <v>149.16293333333334</v>
      </c>
      <c r="AK302" s="13" t="s">
        <v>62</v>
      </c>
      <c r="AL302" s="12" t="s">
        <v>62</v>
      </c>
      <c r="AM302" s="13" t="s">
        <v>62</v>
      </c>
      <c r="AN302" s="13">
        <f>IF(Distances!FM141&lt;&gt;0,(CZ302+Distances!FM141*3)*FL302*AN265*2,"")</f>
        <v>1613.8742399999999</v>
      </c>
      <c r="AO302" s="14" t="s">
        <v>62</v>
      </c>
      <c r="AP302" s="14" t="s">
        <v>62</v>
      </c>
      <c r="AQ302" s="14" t="s">
        <v>62</v>
      </c>
      <c r="AR302" s="13" t="s">
        <v>62</v>
      </c>
      <c r="AS302" s="13" t="s">
        <v>62</v>
      </c>
      <c r="AT302" s="13" t="s">
        <v>62</v>
      </c>
      <c r="AU302" s="13">
        <f>IF(Distances!FT141&lt;&gt;0,(DG302+Distances!FT141*3)*FS302*AU265*2,"")</f>
        <v>211.77183999999997</v>
      </c>
      <c r="AV302" s="13">
        <f>IF(Distances!FU141&lt;&gt;0,(DH302+Distances!FU141*3)*FT302*AV265*2,"")</f>
        <v>731.71871999999996</v>
      </c>
      <c r="AW302" s="13">
        <f>IF(Distances!FV141&lt;&gt;0,(DI302+Distances!FV141*3)*FU302*AW265*2,"")</f>
        <v>3307.0874666666668</v>
      </c>
      <c r="AX302" s="13" t="s">
        <v>62</v>
      </c>
      <c r="AY302" s="14" t="s">
        <v>62</v>
      </c>
      <c r="AZ302" s="14">
        <f>IF(Distances!FY141&lt;&gt;0,(DL302+Distances!FY141*3)*FX302*AZ265*2,"")</f>
        <v>145.54023272727272</v>
      </c>
      <c r="BA302" s="13" t="s">
        <v>62</v>
      </c>
      <c r="BB302" s="14" t="s">
        <v>62</v>
      </c>
      <c r="BC302" s="13" t="s">
        <v>62</v>
      </c>
      <c r="BD302" s="13">
        <f>IF(Distances!GC141&lt;&gt;0,(DP302+Distances!GC141*3)*GB302*BD265*2,"")</f>
        <v>799.86346666666668</v>
      </c>
      <c r="BE302" s="13" t="s">
        <v>62</v>
      </c>
      <c r="BF302" s="14">
        <f>IF(Distances!GE141&lt;&gt;0,(DR302+Distances!GE141*3)*GD302*BF265*2,"")</f>
        <v>213.42219428571431</v>
      </c>
      <c r="BG302" s="14" t="s">
        <v>62</v>
      </c>
      <c r="BH302" s="14" t="s">
        <v>62</v>
      </c>
      <c r="BI302" s="14" t="s">
        <v>62</v>
      </c>
      <c r="BJ302" s="15" t="s">
        <v>62</v>
      </c>
      <c r="BM302" s="35" t="s">
        <v>37</v>
      </c>
      <c r="BN302" s="16">
        <v>1706.8127999999999</v>
      </c>
      <c r="BO302" s="14">
        <v>2039.7047999999998</v>
      </c>
      <c r="BP302" s="14">
        <v>1596.252</v>
      </c>
      <c r="BQ302" s="14">
        <v>1596.252</v>
      </c>
      <c r="BR302" s="14">
        <v>1691.0207999999998</v>
      </c>
      <c r="BS302" s="14">
        <v>409.2312</v>
      </c>
      <c r="BT302" s="14">
        <v>445.43519999999995</v>
      </c>
      <c r="BU302" s="14">
        <v>409.2312</v>
      </c>
      <c r="BV302" s="14">
        <v>1659.4284</v>
      </c>
      <c r="BW302" s="14">
        <v>1659.4284</v>
      </c>
      <c r="BX302" s="14">
        <v>449.79480000000001</v>
      </c>
      <c r="BY302" s="14">
        <v>449.79480000000001</v>
      </c>
      <c r="BZ302" s="14">
        <v>2160.8159999999998</v>
      </c>
      <c r="CA302" s="14">
        <v>2066.7024000000001</v>
      </c>
      <c r="CB302" s="14">
        <v>2132.6843999999996</v>
      </c>
      <c r="CC302" s="14">
        <v>1520.6855999999998</v>
      </c>
      <c r="CD302" s="14">
        <v>1506.3468</v>
      </c>
      <c r="CE302" s="14">
        <v>1549.3548000000001</v>
      </c>
      <c r="CF302" s="14">
        <v>1477.6692</v>
      </c>
      <c r="CG302" s="14">
        <v>441.084</v>
      </c>
      <c r="CH302" s="14">
        <v>462.5292</v>
      </c>
      <c r="CI302" s="14">
        <v>1492.008</v>
      </c>
      <c r="CJ302" s="14">
        <v>1723.2936</v>
      </c>
      <c r="CK302" s="14">
        <v>1477.6692</v>
      </c>
      <c r="CL302" s="14">
        <v>480.29519999999997</v>
      </c>
      <c r="CM302" s="14">
        <v>471.58439999999996</v>
      </c>
      <c r="CN302" s="14">
        <v>454.15439999999995</v>
      </c>
      <c r="CO302" s="14">
        <v>449.79480000000001</v>
      </c>
      <c r="CP302" s="14">
        <v>1723.2936</v>
      </c>
      <c r="CQ302" s="14">
        <v>462.5292</v>
      </c>
      <c r="CR302" s="14">
        <v>462.5292</v>
      </c>
      <c r="CS302" s="14">
        <v>462.5292</v>
      </c>
      <c r="CT302" s="13">
        <v>408.36599999999999</v>
      </c>
      <c r="CU302" s="13">
        <v>397.15199999999999</v>
      </c>
      <c r="CV302" s="13">
        <v>408.36599999999999</v>
      </c>
      <c r="CW302" s="13">
        <v>408.68519999999995</v>
      </c>
      <c r="CX302" s="12">
        <v>0</v>
      </c>
      <c r="CY302" s="13">
        <v>208.64759999999998</v>
      </c>
      <c r="CZ302" s="13">
        <v>208.64759999999998</v>
      </c>
      <c r="DA302" s="14">
        <v>573.20759999999996</v>
      </c>
      <c r="DB302" s="14">
        <v>584.32079999999996</v>
      </c>
      <c r="DC302" s="14">
        <v>667.95119999999997</v>
      </c>
      <c r="DD302" s="13">
        <v>413.19599999999997</v>
      </c>
      <c r="DE302" s="13">
        <v>413.19599999999997</v>
      </c>
      <c r="DF302" s="13">
        <v>413.19599999999997</v>
      </c>
      <c r="DG302" s="13">
        <v>208.64759999999998</v>
      </c>
      <c r="DH302" s="13">
        <v>1723.2936</v>
      </c>
      <c r="DI302" s="13">
        <v>1723.2936</v>
      </c>
      <c r="DJ302" s="13">
        <v>212.60399999999998</v>
      </c>
      <c r="DK302" s="14">
        <v>0</v>
      </c>
      <c r="DL302" s="14">
        <v>2614.2563999999998</v>
      </c>
      <c r="DM302" s="13">
        <v>770.02800000000002</v>
      </c>
      <c r="DN302" s="14">
        <v>1691.1048000000001</v>
      </c>
      <c r="DO302" s="13">
        <v>200.5164</v>
      </c>
      <c r="DP302" s="13">
        <v>212.60399999999998</v>
      </c>
      <c r="DQ302" s="13">
        <v>210.6216</v>
      </c>
      <c r="DR302" s="14">
        <v>839.58839999999998</v>
      </c>
      <c r="DS302" s="14">
        <v>453.9864</v>
      </c>
      <c r="DT302" s="14">
        <v>1701.6215999999999</v>
      </c>
      <c r="DU302" s="14">
        <v>2378.2079999999996</v>
      </c>
      <c r="DV302" s="15">
        <v>2378.2079999999996</v>
      </c>
      <c r="DY302" s="35" t="s">
        <v>37</v>
      </c>
      <c r="DZ302" s="16">
        <v>6.2500000000000003E-3</v>
      </c>
      <c r="EA302" s="14">
        <v>6.2500000000000003E-3</v>
      </c>
      <c r="EB302" s="14">
        <v>6.2500000000000003E-3</v>
      </c>
      <c r="EC302" s="14">
        <v>6.2500000000000003E-3</v>
      </c>
      <c r="ED302" s="14">
        <v>6.2500000000000003E-3</v>
      </c>
      <c r="EE302" s="14">
        <v>6.2500000000000003E-3</v>
      </c>
      <c r="EF302" s="14">
        <v>6.2500000000000003E-3</v>
      </c>
      <c r="EG302" s="14">
        <v>6.2500000000000003E-3</v>
      </c>
      <c r="EH302" s="14">
        <v>6.2500000000000003E-3</v>
      </c>
      <c r="EI302" s="14">
        <v>6.2500000000000003E-3</v>
      </c>
      <c r="EJ302" s="14">
        <v>6.2500000000000003E-3</v>
      </c>
      <c r="EK302" s="14">
        <v>6.2500000000000003E-3</v>
      </c>
      <c r="EL302" s="14">
        <v>6.2500000000000003E-3</v>
      </c>
      <c r="EM302" s="14">
        <v>4.6511627906976744E-3</v>
      </c>
      <c r="EN302" s="14">
        <v>4.6511627906976744E-3</v>
      </c>
      <c r="EO302" s="14">
        <v>7.1428571428571435E-3</v>
      </c>
      <c r="EP302" s="14">
        <v>7.1428571428571435E-3</v>
      </c>
      <c r="EQ302" s="14">
        <v>7.1428571428571435E-3</v>
      </c>
      <c r="ER302" s="14">
        <v>7.1428571428571435E-3</v>
      </c>
      <c r="ES302" s="14">
        <v>7.1428571428571435E-3</v>
      </c>
      <c r="ET302" s="14">
        <v>7.1428571428571435E-3</v>
      </c>
      <c r="EU302" s="14">
        <v>7.1428571428571435E-3</v>
      </c>
      <c r="EV302" s="14">
        <v>7.1428571428571435E-3</v>
      </c>
      <c r="EW302" s="14">
        <v>7.1428571428571435E-3</v>
      </c>
      <c r="EX302" s="14">
        <v>7.1428571428571435E-3</v>
      </c>
      <c r="EY302" s="14">
        <v>7.1428571428571435E-3</v>
      </c>
      <c r="EZ302" s="14">
        <v>7.1428571428571435E-3</v>
      </c>
      <c r="FA302" s="14">
        <v>7.1428571428571435E-3</v>
      </c>
      <c r="FB302" s="14">
        <v>7.1428571428571435E-3</v>
      </c>
      <c r="FC302" s="14">
        <v>7.1428571428571435E-3</v>
      </c>
      <c r="FD302" s="14">
        <v>7.1428571428571435E-3</v>
      </c>
      <c r="FE302" s="14">
        <v>7.1428571428571435E-3</v>
      </c>
      <c r="FF302" s="13">
        <f t="shared" si="111"/>
        <v>2.2222222222222223E-2</v>
      </c>
      <c r="FG302" s="13">
        <f t="shared" si="111"/>
        <v>2.2222222222222223E-2</v>
      </c>
      <c r="FH302" s="13">
        <f t="shared" si="111"/>
        <v>2.2222222222222223E-2</v>
      </c>
      <c r="FI302" s="13">
        <f t="shared" si="111"/>
        <v>2.2222222222222223E-2</v>
      </c>
      <c r="FJ302" s="12">
        <v>0.6</v>
      </c>
      <c r="FK302" s="13">
        <f t="shared" si="105"/>
        <v>2.2222222222222223E-2</v>
      </c>
      <c r="FL302" s="13">
        <f t="shared" si="105"/>
        <v>2.2222222222222223E-2</v>
      </c>
      <c r="FM302" s="14">
        <v>4.7619047619047623E-3</v>
      </c>
      <c r="FN302" s="14">
        <v>4.7619047619047623E-3</v>
      </c>
      <c r="FO302" s="14">
        <v>4.7619047619047623E-3</v>
      </c>
      <c r="FP302" s="13">
        <f t="shared" si="107"/>
        <v>2.2222222222222223E-2</v>
      </c>
      <c r="FQ302" s="13">
        <f t="shared" si="106"/>
        <v>2.2222222222222223E-2</v>
      </c>
      <c r="FR302" s="13">
        <f t="shared" si="106"/>
        <v>2.2222222222222223E-2</v>
      </c>
      <c r="FS302" s="13">
        <f t="shared" si="106"/>
        <v>2.2222222222222223E-2</v>
      </c>
      <c r="FT302" s="13">
        <f t="shared" si="108"/>
        <v>0.02</v>
      </c>
      <c r="FU302" s="13">
        <f t="shared" si="109"/>
        <v>2.2222222222222223E-2</v>
      </c>
      <c r="FV302" s="13">
        <f t="shared" si="109"/>
        <v>2.2222222222222223E-2</v>
      </c>
      <c r="FW302" s="14">
        <v>4.5454545454545461E-3</v>
      </c>
      <c r="FX302" s="14">
        <v>4.5454545454545461E-3</v>
      </c>
      <c r="FY302" s="13">
        <f t="shared" si="110"/>
        <v>2.2222222222222223E-2</v>
      </c>
      <c r="FZ302" s="14">
        <v>7.1428571428571435E-3</v>
      </c>
      <c r="GA302" s="13">
        <f t="shared" si="112"/>
        <v>2.2222222222222223E-2</v>
      </c>
      <c r="GB302" s="13">
        <f t="shared" si="112"/>
        <v>2.2222222222222223E-2</v>
      </c>
      <c r="GC302" s="13">
        <f t="shared" si="112"/>
        <v>2.2222222222222223E-2</v>
      </c>
      <c r="GD302" s="14">
        <v>7.1428571428571435E-3</v>
      </c>
      <c r="GE302" s="14">
        <v>7.1428571428571435E-3</v>
      </c>
      <c r="GF302" s="14">
        <v>4.6511627906976744E-3</v>
      </c>
      <c r="GG302" s="14">
        <v>4.6511627906976744E-3</v>
      </c>
      <c r="GH302" s="15">
        <v>4.6511627906976744E-3</v>
      </c>
    </row>
    <row r="303" spans="1:190" x14ac:dyDescent="0.3">
      <c r="A303" s="35" t="s">
        <v>38</v>
      </c>
      <c r="B303" s="16" t="s">
        <v>62</v>
      </c>
      <c r="C303" s="14" t="s">
        <v>62</v>
      </c>
      <c r="D303" s="14">
        <f>IF(Distances!EC142&lt;&gt;0,(BP303+Distances!EC142*3)*EB303*D265*2,"")</f>
        <v>20674.326299999997</v>
      </c>
      <c r="E303" s="14" t="s">
        <v>62</v>
      </c>
      <c r="F303" s="14">
        <f>IF(Distances!EE142&lt;&gt;0,(BR303+Distances!EE142*3)*ED303*F265*2,"")</f>
        <v>4757.6575199999997</v>
      </c>
      <c r="G303" s="14">
        <f>IF(Distances!EF142&lt;&gt;0,(BS303+Distances!EF142*3)*EE303*G265*2,"")</f>
        <v>23441.673779999997</v>
      </c>
      <c r="H303" s="14" t="s">
        <v>62</v>
      </c>
      <c r="I303" s="14" t="s">
        <v>62</v>
      </c>
      <c r="J303" s="14">
        <f>IF(Distances!EI142&lt;&gt;0,(BV303+Distances!EI142*3)*EH303*J265*2,"")</f>
        <v>163.31142</v>
      </c>
      <c r="K303" s="14" t="s">
        <v>62</v>
      </c>
      <c r="L303" s="14" t="s">
        <v>62</v>
      </c>
      <c r="M303" s="14" t="s">
        <v>62</v>
      </c>
      <c r="N303" s="14" t="s">
        <v>62</v>
      </c>
      <c r="O303" s="14" t="s">
        <v>62</v>
      </c>
      <c r="P303" s="14" t="s">
        <v>62</v>
      </c>
      <c r="Q303" s="14" t="s">
        <v>62</v>
      </c>
      <c r="R303" s="14" t="s">
        <v>62</v>
      </c>
      <c r="S303" s="14" t="s">
        <v>62</v>
      </c>
      <c r="T303" s="14">
        <f>IF(Distances!ES142&lt;&gt;0,(CF303+Distances!ES142*3)*ER303*T265*2,"")</f>
        <v>215.77692000000002</v>
      </c>
      <c r="U303" s="14">
        <f>IF(Distances!ET142&lt;&gt;0,(CG303+Distances!ET142*3)*ES303*U265*2,"")</f>
        <v>139.95840000000001</v>
      </c>
      <c r="V303" s="14">
        <f>IF(Distances!EU142&lt;&gt;0,(CH303+Distances!EU142*3)*ET303*V265*2,"")</f>
        <v>1660.3984799999998</v>
      </c>
      <c r="W303" s="14" t="s">
        <v>62</v>
      </c>
      <c r="X303" s="14">
        <f>IF(Distances!EW142&lt;&gt;0,(CJ303+Distances!EW142*3)*EV303*X265*2,"")</f>
        <v>1764.6861257142857</v>
      </c>
      <c r="Y303" s="14">
        <f>IF(Distances!EX142&lt;&gt;0,(CK303+Distances!EX142*3)*EW303*Y265*2,"")</f>
        <v>1878.3459085714287</v>
      </c>
      <c r="Z303" s="14">
        <f>IF(Distances!EY142&lt;&gt;0,(CL303+Distances!EY142*3)*EX303*Z265*2,"")</f>
        <v>20.399862857142857</v>
      </c>
      <c r="AA303" s="14">
        <f>IF(Distances!EZ142&lt;&gt;0,(CM303+Distances!EZ142*3)*EY303*AA265*2,"")</f>
        <v>25.585268571428575</v>
      </c>
      <c r="AB303" s="14">
        <f>IF(Distances!FA142&lt;&gt;0,(CN303+Distances!FA142*3)*EZ303*AB265*2,"")</f>
        <v>46.378697142857142</v>
      </c>
      <c r="AC303" s="14" t="s">
        <v>62</v>
      </c>
      <c r="AD303" s="14" t="s">
        <v>62</v>
      </c>
      <c r="AE303" s="14">
        <f>IF(Distances!FD142&lt;&gt;0,(CQ303+Distances!FD142*3)*FC303*AE265*2,"")</f>
        <v>98.492262857142862</v>
      </c>
      <c r="AF303" s="14">
        <f>IF(Distances!FE142&lt;&gt;0,(CR303+Distances!FE142*3)*FD303*AF265*2,"")</f>
        <v>191.1559542857143</v>
      </c>
      <c r="AG303" s="14">
        <f>IF(Distances!FF142&lt;&gt;0,(CS303+Distances!FF142*3)*FE303*AG265*2,"")</f>
        <v>133.48738285714288</v>
      </c>
      <c r="AH303" s="13">
        <f>IF(Distances!FG142&lt;&gt;0,(CT303+Distances!FG142*3)*FF303*AH265*2,"")</f>
        <v>202.9762666666667</v>
      </c>
      <c r="AI303" s="13" t="s">
        <v>62</v>
      </c>
      <c r="AJ303" s="13">
        <f>IF(Distances!FI142&lt;&gt;0,(CV303+Distances!FI142*3)*FH303*AJ265*2,"")</f>
        <v>149.16293333333334</v>
      </c>
      <c r="AK303" s="13" t="s">
        <v>62</v>
      </c>
      <c r="AL303" s="13" t="s">
        <v>62</v>
      </c>
      <c r="AM303" s="12" t="s">
        <v>62</v>
      </c>
      <c r="AN303" s="13">
        <f>IF(Distances!FM142&lt;&gt;0,(CZ303+Distances!FM142*3)*FL303*AN265*2,"")</f>
        <v>1613.8742399999999</v>
      </c>
      <c r="AO303" s="14" t="s">
        <v>62</v>
      </c>
      <c r="AP303" s="14" t="s">
        <v>62</v>
      </c>
      <c r="AQ303" s="14" t="s">
        <v>62</v>
      </c>
      <c r="AR303" s="13" t="s">
        <v>62</v>
      </c>
      <c r="AS303" s="13" t="s">
        <v>62</v>
      </c>
      <c r="AT303" s="13" t="s">
        <v>62</v>
      </c>
      <c r="AU303" s="13">
        <f>IF(Distances!FT142&lt;&gt;0,(DG303+Distances!FT142*3)*FS303*AU265*2,"")</f>
        <v>211.77183999999997</v>
      </c>
      <c r="AV303" s="13">
        <f>IF(Distances!FU142&lt;&gt;0,(DH303+Distances!FU142*3)*FT303*AV265*2,"")</f>
        <v>731.71871999999996</v>
      </c>
      <c r="AW303" s="13">
        <f>IF(Distances!FV142&lt;&gt;0,(DI303+Distances!FV142*3)*FU303*AW265*2,"")</f>
        <v>3307.0874666666668</v>
      </c>
      <c r="AX303" s="13" t="s">
        <v>62</v>
      </c>
      <c r="AY303" s="14" t="s">
        <v>62</v>
      </c>
      <c r="AZ303" s="14">
        <f>IF(Distances!FY142&lt;&gt;0,(DL303+Distances!FY142*3)*FX303*AZ265*2,"")</f>
        <v>145.54023272727272</v>
      </c>
      <c r="BA303" s="13" t="s">
        <v>62</v>
      </c>
      <c r="BB303" s="14" t="s">
        <v>62</v>
      </c>
      <c r="BC303" s="13" t="s">
        <v>62</v>
      </c>
      <c r="BD303" s="13">
        <f>IF(Distances!GC142&lt;&gt;0,(DP303+Distances!GC142*3)*GB303*BD265*2,"")</f>
        <v>799.86346666666668</v>
      </c>
      <c r="BE303" s="13" t="s">
        <v>62</v>
      </c>
      <c r="BF303" s="14">
        <f>IF(Distances!GE142&lt;&gt;0,(DR303+Distances!GE142*3)*GD303*BF265*2,"")</f>
        <v>213.42219428571431</v>
      </c>
      <c r="BG303" s="14" t="s">
        <v>62</v>
      </c>
      <c r="BH303" s="14" t="s">
        <v>62</v>
      </c>
      <c r="BI303" s="14" t="s">
        <v>62</v>
      </c>
      <c r="BJ303" s="15" t="s">
        <v>62</v>
      </c>
      <c r="BM303" s="35" t="s">
        <v>38</v>
      </c>
      <c r="BN303" s="16">
        <v>1706.8127999999999</v>
      </c>
      <c r="BO303" s="14">
        <v>2039.7047999999998</v>
      </c>
      <c r="BP303" s="14">
        <v>1596.252</v>
      </c>
      <c r="BQ303" s="14">
        <v>1596.252</v>
      </c>
      <c r="BR303" s="14">
        <v>1691.0207999999998</v>
      </c>
      <c r="BS303" s="14">
        <v>409.2312</v>
      </c>
      <c r="BT303" s="14">
        <v>445.43519999999995</v>
      </c>
      <c r="BU303" s="14">
        <v>409.2312</v>
      </c>
      <c r="BV303" s="14">
        <v>1659.4284</v>
      </c>
      <c r="BW303" s="14">
        <v>1659.4284</v>
      </c>
      <c r="BX303" s="14">
        <v>449.79480000000001</v>
      </c>
      <c r="BY303" s="14">
        <v>449.79480000000001</v>
      </c>
      <c r="BZ303" s="14">
        <v>2160.8159999999998</v>
      </c>
      <c r="CA303" s="14">
        <v>2066.7024000000001</v>
      </c>
      <c r="CB303" s="14">
        <v>2132.6843999999996</v>
      </c>
      <c r="CC303" s="14">
        <v>1520.6855999999998</v>
      </c>
      <c r="CD303" s="14">
        <v>1506.3468</v>
      </c>
      <c r="CE303" s="14">
        <v>1549.3548000000001</v>
      </c>
      <c r="CF303" s="14">
        <v>1477.6692</v>
      </c>
      <c r="CG303" s="14">
        <v>441.084</v>
      </c>
      <c r="CH303" s="14">
        <v>462.5292</v>
      </c>
      <c r="CI303" s="14">
        <v>1492.008</v>
      </c>
      <c r="CJ303" s="14">
        <v>1723.2936</v>
      </c>
      <c r="CK303" s="14">
        <v>1477.6692</v>
      </c>
      <c r="CL303" s="14">
        <v>480.29519999999997</v>
      </c>
      <c r="CM303" s="14">
        <v>471.58439999999996</v>
      </c>
      <c r="CN303" s="14">
        <v>454.15439999999995</v>
      </c>
      <c r="CO303" s="14">
        <v>449.79480000000001</v>
      </c>
      <c r="CP303" s="14">
        <v>1723.2936</v>
      </c>
      <c r="CQ303" s="14">
        <v>462.5292</v>
      </c>
      <c r="CR303" s="14">
        <v>462.5292</v>
      </c>
      <c r="CS303" s="14">
        <v>462.5292</v>
      </c>
      <c r="CT303" s="13">
        <v>408.36599999999999</v>
      </c>
      <c r="CU303" s="13">
        <v>397.15199999999999</v>
      </c>
      <c r="CV303" s="13">
        <v>408.36599999999999</v>
      </c>
      <c r="CW303" s="13">
        <v>408.68519999999995</v>
      </c>
      <c r="CX303" s="13">
        <v>208.64759999999998</v>
      </c>
      <c r="CY303" s="12">
        <v>0</v>
      </c>
      <c r="CZ303" s="13">
        <v>208.64759999999998</v>
      </c>
      <c r="DA303" s="14">
        <v>573.20759999999996</v>
      </c>
      <c r="DB303" s="14">
        <v>584.32079999999996</v>
      </c>
      <c r="DC303" s="14">
        <v>667.95119999999997</v>
      </c>
      <c r="DD303" s="13">
        <v>413.19599999999997</v>
      </c>
      <c r="DE303" s="13">
        <v>413.19599999999997</v>
      </c>
      <c r="DF303" s="13">
        <v>413.19599999999997</v>
      </c>
      <c r="DG303" s="13">
        <v>208.64759999999998</v>
      </c>
      <c r="DH303" s="13">
        <v>1723.2936</v>
      </c>
      <c r="DI303" s="13">
        <v>1723.2936</v>
      </c>
      <c r="DJ303" s="13">
        <v>212.60399999999998</v>
      </c>
      <c r="DK303" s="14">
        <v>0</v>
      </c>
      <c r="DL303" s="14">
        <v>2614.2563999999998</v>
      </c>
      <c r="DM303" s="13">
        <v>770.02800000000002</v>
      </c>
      <c r="DN303" s="14">
        <v>1691.1048000000001</v>
      </c>
      <c r="DO303" s="13">
        <v>200.5164</v>
      </c>
      <c r="DP303" s="13">
        <v>212.60399999999998</v>
      </c>
      <c r="DQ303" s="13">
        <v>210.6216</v>
      </c>
      <c r="DR303" s="14">
        <v>839.58839999999998</v>
      </c>
      <c r="DS303" s="14">
        <v>453.9864</v>
      </c>
      <c r="DT303" s="14">
        <v>1701.6215999999999</v>
      </c>
      <c r="DU303" s="14">
        <v>2378.2079999999996</v>
      </c>
      <c r="DV303" s="15">
        <v>2378.2079999999996</v>
      </c>
      <c r="DY303" s="35" t="s">
        <v>38</v>
      </c>
      <c r="DZ303" s="16">
        <v>6.2500000000000003E-3</v>
      </c>
      <c r="EA303" s="14">
        <v>6.2500000000000003E-3</v>
      </c>
      <c r="EB303" s="14">
        <v>6.2500000000000003E-3</v>
      </c>
      <c r="EC303" s="14">
        <v>6.2500000000000003E-3</v>
      </c>
      <c r="ED303" s="14">
        <v>6.2500000000000003E-3</v>
      </c>
      <c r="EE303" s="14">
        <v>6.2500000000000003E-3</v>
      </c>
      <c r="EF303" s="14">
        <v>6.2500000000000003E-3</v>
      </c>
      <c r="EG303" s="14">
        <v>6.2500000000000003E-3</v>
      </c>
      <c r="EH303" s="14">
        <v>6.2500000000000003E-3</v>
      </c>
      <c r="EI303" s="14">
        <v>6.2500000000000003E-3</v>
      </c>
      <c r="EJ303" s="14">
        <v>6.2500000000000003E-3</v>
      </c>
      <c r="EK303" s="14">
        <v>6.2500000000000003E-3</v>
      </c>
      <c r="EL303" s="14">
        <v>6.2500000000000003E-3</v>
      </c>
      <c r="EM303" s="14">
        <v>4.6511627906976744E-3</v>
      </c>
      <c r="EN303" s="14">
        <v>4.6511627906976744E-3</v>
      </c>
      <c r="EO303" s="14">
        <v>7.1428571428571435E-3</v>
      </c>
      <c r="EP303" s="14">
        <v>7.1428571428571435E-3</v>
      </c>
      <c r="EQ303" s="14">
        <v>7.1428571428571435E-3</v>
      </c>
      <c r="ER303" s="14">
        <v>7.1428571428571435E-3</v>
      </c>
      <c r="ES303" s="14">
        <v>7.1428571428571435E-3</v>
      </c>
      <c r="ET303" s="14">
        <v>7.1428571428571435E-3</v>
      </c>
      <c r="EU303" s="14">
        <v>7.1428571428571435E-3</v>
      </c>
      <c r="EV303" s="14">
        <v>7.1428571428571435E-3</v>
      </c>
      <c r="EW303" s="14">
        <v>7.1428571428571435E-3</v>
      </c>
      <c r="EX303" s="14">
        <v>7.1428571428571435E-3</v>
      </c>
      <c r="EY303" s="14">
        <v>7.1428571428571435E-3</v>
      </c>
      <c r="EZ303" s="14">
        <v>7.1428571428571435E-3</v>
      </c>
      <c r="FA303" s="14">
        <v>7.1428571428571435E-3</v>
      </c>
      <c r="FB303" s="14">
        <v>7.1428571428571435E-3</v>
      </c>
      <c r="FC303" s="14">
        <v>7.1428571428571435E-3</v>
      </c>
      <c r="FD303" s="14">
        <v>7.1428571428571435E-3</v>
      </c>
      <c r="FE303" s="14">
        <v>7.1428571428571435E-3</v>
      </c>
      <c r="FF303" s="13">
        <f t="shared" si="111"/>
        <v>2.2222222222222223E-2</v>
      </c>
      <c r="FG303" s="13">
        <f t="shared" si="111"/>
        <v>2.2222222222222223E-2</v>
      </c>
      <c r="FH303" s="13">
        <f t="shared" si="111"/>
        <v>2.2222222222222223E-2</v>
      </c>
      <c r="FI303" s="13">
        <f t="shared" si="111"/>
        <v>2.2222222222222223E-2</v>
      </c>
      <c r="FJ303" s="13">
        <f t="shared" si="111"/>
        <v>2.2222222222222223E-2</v>
      </c>
      <c r="FK303" s="12">
        <v>0.6</v>
      </c>
      <c r="FL303" s="13">
        <f t="shared" si="105"/>
        <v>2.2222222222222223E-2</v>
      </c>
      <c r="FM303" s="14">
        <v>4.7619047619047623E-3</v>
      </c>
      <c r="FN303" s="14">
        <v>4.7619047619047623E-3</v>
      </c>
      <c r="FO303" s="14">
        <v>4.7619047619047623E-3</v>
      </c>
      <c r="FP303" s="13">
        <f t="shared" si="107"/>
        <v>2.2222222222222223E-2</v>
      </c>
      <c r="FQ303" s="13">
        <f t="shared" si="106"/>
        <v>2.2222222222222223E-2</v>
      </c>
      <c r="FR303" s="13">
        <f t="shared" si="106"/>
        <v>2.2222222222222223E-2</v>
      </c>
      <c r="FS303" s="13">
        <f t="shared" si="106"/>
        <v>2.2222222222222223E-2</v>
      </c>
      <c r="FT303" s="13">
        <f t="shared" si="108"/>
        <v>0.02</v>
      </c>
      <c r="FU303" s="13">
        <f t="shared" si="109"/>
        <v>2.2222222222222223E-2</v>
      </c>
      <c r="FV303" s="13">
        <f t="shared" si="109"/>
        <v>2.2222222222222223E-2</v>
      </c>
      <c r="FW303" s="14">
        <v>4.5454545454545461E-3</v>
      </c>
      <c r="FX303" s="14">
        <v>4.5454545454545461E-3</v>
      </c>
      <c r="FY303" s="13">
        <f t="shared" si="110"/>
        <v>2.2222222222222223E-2</v>
      </c>
      <c r="FZ303" s="14">
        <v>7.1428571428571435E-3</v>
      </c>
      <c r="GA303" s="13">
        <f t="shared" si="112"/>
        <v>2.2222222222222223E-2</v>
      </c>
      <c r="GB303" s="13">
        <f t="shared" si="112"/>
        <v>2.2222222222222223E-2</v>
      </c>
      <c r="GC303" s="13">
        <f t="shared" si="112"/>
        <v>2.2222222222222223E-2</v>
      </c>
      <c r="GD303" s="14">
        <v>7.1428571428571435E-3</v>
      </c>
      <c r="GE303" s="14">
        <v>7.1428571428571435E-3</v>
      </c>
      <c r="GF303" s="14">
        <v>4.6511627906976744E-3</v>
      </c>
      <c r="GG303" s="14">
        <v>4.6511627906976744E-3</v>
      </c>
      <c r="GH303" s="15">
        <v>4.6511627906976744E-3</v>
      </c>
    </row>
    <row r="304" spans="1:190" x14ac:dyDescent="0.3">
      <c r="A304" s="35" t="s">
        <v>39</v>
      </c>
      <c r="B304" s="16">
        <f>IF(Distances!EA143&lt;&gt;0,(BN304+Distances!EA143*3)*DZ304*B265*2,"")</f>
        <v>5480.7973200000006</v>
      </c>
      <c r="C304" s="14">
        <f>IF(Distances!EB143&lt;&gt;0,(BO304+Distances!EB143*3)*EA304*C265*2,"")</f>
        <v>6321.349619999999</v>
      </c>
      <c r="D304" s="14">
        <f>IF(Distances!EC143&lt;&gt;0,(BP304+Distances!EC143*3)*EB304*D265*2,"")</f>
        <v>21845.421300000002</v>
      </c>
      <c r="E304" s="14">
        <f>IF(Distances!ED143&lt;&gt;0,(BQ304+Distances!ED143*3)*EC304*E265*2,"")</f>
        <v>5201.6312999999991</v>
      </c>
      <c r="F304" s="14">
        <f>IF(Distances!EE143&lt;&gt;0,(BR304+Distances!EE143*3)*ED304*F265*2,"")</f>
        <v>5928.75252</v>
      </c>
      <c r="G304" s="14">
        <f>IF(Distances!EF143&lt;&gt;0,(BS304+Distances!EF143*3)*EE304*G265*2,"")</f>
        <v>24612.768780000002</v>
      </c>
      <c r="H304" s="14">
        <f>IF(Distances!EG143&lt;&gt;0,(BT304+Distances!EG143*3)*EF304*H265*2,"")</f>
        <v>2295.8188799999998</v>
      </c>
      <c r="I304" s="14">
        <f>IF(Distances!EH143&lt;&gt;0,(BU304+Distances!EH143*3)*EG304*I265*2,"")</f>
        <v>2204.4037799999996</v>
      </c>
      <c r="J304" s="14">
        <f>IF(Distances!EI143&lt;&gt;0,(BV304+Distances!EI143*3)*EH304*J265*2,"")</f>
        <v>186.50142000000002</v>
      </c>
      <c r="K304" s="14">
        <f>IF(Distances!EJ143&lt;&gt;0,(BW304+Distances!EJ143*3)*EI304*K265*2,"")</f>
        <v>106.16142000000001</v>
      </c>
      <c r="L304" s="14">
        <f>IF(Distances!EK143&lt;&gt;0,(BX304+Distances!EK143*3)*EJ304*L265*2,"")</f>
        <v>45.679740000000002</v>
      </c>
      <c r="M304" s="14">
        <f>IF(Distances!EL143&lt;&gt;0,(BY304+Distances!EL143*3)*EK304*M265*2,"")</f>
        <v>45.679740000000002</v>
      </c>
      <c r="N304" s="14">
        <f>IF(Distances!EM143&lt;&gt;0,(BZ304+Distances!EM143*3)*EL304*N265*2,"")</f>
        <v>131.23080000000002</v>
      </c>
      <c r="O304" s="14">
        <f>IF(Distances!EN143&lt;&gt;0,(CA304+Distances!EN143*3)*EM304*O265*2,"")</f>
        <v>164.77690046511628</v>
      </c>
      <c r="P304" s="14">
        <f>IF(Distances!EO143&lt;&gt;0,(CB304+Distances!EO143*3)*EN304*P265*2,"")</f>
        <v>169.07340279069763</v>
      </c>
      <c r="Q304" s="14">
        <f>IF(Distances!EP143&lt;&gt;0,(CC304+Distances!EP143*3)*EO304*Q265*2,"")</f>
        <v>1417.4897142857142</v>
      </c>
      <c r="R304" s="14">
        <f>IF(Distances!EQ143&lt;&gt;0,(CD304+Distances!EQ143*3)*EP304*R265*2,"")</f>
        <v>1407.2477142857144</v>
      </c>
      <c r="S304" s="14">
        <f>IF(Distances!ER143&lt;&gt;0,(CE304+Distances!ER143*3)*EQ304*S265*2,"")</f>
        <v>1437.9677142857145</v>
      </c>
      <c r="T304" s="14">
        <f>IF(Distances!ES143&lt;&gt;0,(CF304+Distances!ES143*3)*ER304*T265*2,"")</f>
        <v>262.15692000000001</v>
      </c>
      <c r="U304" s="14">
        <f>IF(Distances!ET143&lt;&gt;0,(CG304+Distances!ET143*3)*ES304*U265*2,"")</f>
        <v>186.33840000000006</v>
      </c>
      <c r="V304" s="14">
        <f>IF(Distances!EU143&lt;&gt;0,(CH304+Distances!EU143*3)*ET304*V265*2,"")</f>
        <v>2044.6899085714285</v>
      </c>
      <c r="W304" s="14">
        <f>IF(Distances!EV143&lt;&gt;0,(CI304+Distances!EV143*3)*EU304*W265*2,"")</f>
        <v>1620.5266285714288</v>
      </c>
      <c r="X304" s="14">
        <f>IF(Distances!EW143&lt;&gt;0,(CJ304+Distances!EW143*3)*EV304*X265*2,"")</f>
        <v>2148.9775542857146</v>
      </c>
      <c r="Y304" s="14">
        <f>IF(Distances!EX143&lt;&gt;0,(CK304+Distances!EX143*3)*EW304*Y265*2,"")</f>
        <v>2262.6373371428576</v>
      </c>
      <c r="Z304" s="14">
        <f>IF(Distances!EY143&lt;&gt;0,(CL304+Distances!EY143*3)*EX304*Z265*2,"")</f>
        <v>33.651291428571433</v>
      </c>
      <c r="AA304" s="14">
        <f>IF(Distances!EZ143&lt;&gt;0,(CM304+Distances!EZ143*3)*EY304*AA265*2,"")</f>
        <v>38.836697142857147</v>
      </c>
      <c r="AB304" s="14">
        <f>IF(Distances!FA143&lt;&gt;0,(CN304+Distances!FA143*3)*EZ304*AB265*2,"")</f>
        <v>59.630125714285718</v>
      </c>
      <c r="AC304" s="14">
        <f>IF(Distances!FB143&lt;&gt;0,(CO304+Distances!FB143*3)*FA304*AC265*2,"")</f>
        <v>26.102708571428572</v>
      </c>
      <c r="AD304" s="14">
        <f>IF(Distances!FC143&lt;&gt;0,(CP304+Distances!FC143*3)*FB304*AD265*2,"")</f>
        <v>62.48838857142858</v>
      </c>
      <c r="AE304" s="14">
        <f>IF(Distances!FD143&lt;&gt;0,(CQ304+Distances!FD143*3)*FC304*AE265*2,"")</f>
        <v>111.74369142857144</v>
      </c>
      <c r="AF304" s="14">
        <f>IF(Distances!FE143&lt;&gt;0,(CR304+Distances!FE143*3)*FD304*AF265*2,"")</f>
        <v>217.65881142857145</v>
      </c>
      <c r="AG304" s="14">
        <f>IF(Distances!FF143&lt;&gt;0,(CS304+Distances!FF143*3)*FE304*AG265*2,"")</f>
        <v>159.99024000000003</v>
      </c>
      <c r="AH304" s="13">
        <f>IF(Distances!FG143&lt;&gt;0,(CT304+Distances!FG143*3)*FF304*AH265*2,"")</f>
        <v>223.58959999999999</v>
      </c>
      <c r="AI304" s="13">
        <f>IF(Distances!FH143&lt;&gt;0,(CU304+Distances!FH143*3)*FG304*AI265*2,"")</f>
        <v>38.264533333333333</v>
      </c>
      <c r="AJ304" s="13">
        <f>IF(Distances!FI143&lt;&gt;0,(CV304+Distances!FI143*3)*FH304*AJ265*2,"")</f>
        <v>169.77626666666669</v>
      </c>
      <c r="AK304" s="13">
        <f>IF(Distances!FJ143&lt;&gt;0,(CW304+Distances!FJ143*3)*FI304*AK265*2,"")</f>
        <v>38.777119999999996</v>
      </c>
      <c r="AL304" s="13">
        <f>IF(Distances!FK143&lt;&gt;0,(CX304+Distances!FK143*3)*FJ304*AL265*2,"")</f>
        <v>1613.8742399999999</v>
      </c>
      <c r="AM304" s="13">
        <f>IF(Distances!FL143&lt;&gt;0,(CY304+Distances!FL143*3)*FK304*AM265*2,"")</f>
        <v>1613.8742399999999</v>
      </c>
      <c r="AN304" s="12" t="s">
        <v>62</v>
      </c>
      <c r="AO304" s="14">
        <f>IF(Distances!FN143&lt;&gt;0,(DA304+Distances!FN143*3)*FM304*AO265*2,"")</f>
        <v>19.752525714285714</v>
      </c>
      <c r="AP304" s="14">
        <f>IF(Distances!FO143&lt;&gt;0,(DB304+Distances!FO143*3)*FN304*AP265*2,"")</f>
        <v>19.964205714285715</v>
      </c>
      <c r="AQ304" s="14">
        <f>IF(Distances!FP143&lt;&gt;0,(DC304+Distances!FP143*3)*FO304*AQ265*2,"")</f>
        <v>21.557165714285716</v>
      </c>
      <c r="AR304" s="13">
        <f>IF(Distances!FQ143&lt;&gt;0,(DD304+Distances!FQ143*3)*FP304*AR265*2,"")</f>
        <v>77.955199999999991</v>
      </c>
      <c r="AS304" s="13">
        <f>IF(Distances!FR143&lt;&gt;0,(DE304+Distances!FR143*3)*FQ304*AS265*2,"")</f>
        <v>77.955199999999991</v>
      </c>
      <c r="AT304" s="13">
        <f>IF(Distances!FS143&lt;&gt;0,(DF304+Distances!FS143*3)*FR304*AT265*2,"")</f>
        <v>77.955199999999991</v>
      </c>
      <c r="AU304" s="13">
        <f>IF(Distances!FT143&lt;&gt;0,(DG304+Distances!FT143*3)*FS304*AU265*2,"")</f>
        <v>500.3585066666667</v>
      </c>
      <c r="AV304" s="13">
        <f>IF(Distances!FU143&lt;&gt;0,(DH304+Distances!FU143*3)*FT304*AV265*2,"")</f>
        <v>824.47871999999984</v>
      </c>
      <c r="AW304" s="13">
        <f>IF(Distances!FV143&lt;&gt;0,(DI304+Distances!FV143*3)*FU304*AW265*2,"")</f>
        <v>3410.1541333333344</v>
      </c>
      <c r="AX304" s="13">
        <f>IF(Distances!FW143&lt;&gt;0,(DJ304+Distances!FW143*3)*FV304*AX265*2,"")</f>
        <v>150.31200000000001</v>
      </c>
      <c r="AY304" s="14">
        <f>IF(Distances!FX143&lt;&gt;0,(DK304+Distances!FX143*3)*FW304*AY265*2,"")</f>
        <v>16.865454545454547</v>
      </c>
      <c r="AZ304" s="14">
        <f>IF(Distances!FY143&lt;&gt;0,(DL304+Distances!FY143*3)*FX304*AZ265*2,"")</f>
        <v>162.40568727272728</v>
      </c>
      <c r="BA304" s="13">
        <f>IF(Distances!FZ143&lt;&gt;0,(DM304+Distances!FZ143*3)*FY304*BA265*2,"")</f>
        <v>219.34720000000002</v>
      </c>
      <c r="BB304" s="14">
        <f>IF(Distances!GA143&lt;&gt;0,(DN304+Distances!GA143*3)*FZ304*BB265*2,"")</f>
        <v>123.13741714285717</v>
      </c>
      <c r="BC304" s="13">
        <f>IF(Distances!GB143&lt;&gt;0,(DO304+Distances!GB143*3)*GA304*BC265*2,"")</f>
        <v>944.8055466666666</v>
      </c>
      <c r="BD304" s="13">
        <f>IF(Distances!GC143&lt;&gt;0,(DP304+Distances!GC143*3)*GB304*BD265*2,"")</f>
        <v>1459.4901333333332</v>
      </c>
      <c r="BE304" s="13">
        <f>IF(Distances!GD143&lt;&gt;0,(DQ304+Distances!GD143*3)*GC304*BE265*2,"")</f>
        <v>959.17738666666651</v>
      </c>
      <c r="BF304" s="14">
        <f>IF(Distances!GE143&lt;&gt;0,(DR304+Distances!GE143*3)*GD304*BF265*2,"")</f>
        <v>239.92505142857146</v>
      </c>
      <c r="BG304" s="14">
        <f>IF(Distances!GF143&lt;&gt;0,(DS304+Distances!GF143*3)*GE304*BG265*2,"")</f>
        <v>52.444937142857142</v>
      </c>
      <c r="BH304" s="14">
        <f>IF(Distances!GG143&lt;&gt;0,(DT304+Distances!GG143*3)*GF304*BH265*2,"")</f>
        <v>80.573826976744172</v>
      </c>
      <c r="BI304" s="14">
        <f>IF(Distances!GH143&lt;&gt;0,(DU304+Distances!GH143*3)*GG304*BI265*2,"")</f>
        <v>105.74913488372093</v>
      </c>
      <c r="BJ304" s="15">
        <f>IF(Distances!GI143&lt;&gt;0,(DV304+Distances!GI143*3)*GH304*BJ265*2,"")</f>
        <v>105.74913488372093</v>
      </c>
      <c r="BM304" s="35" t="s">
        <v>39</v>
      </c>
      <c r="BN304" s="16">
        <v>1706.8127999999999</v>
      </c>
      <c r="BO304" s="14">
        <v>2039.7047999999998</v>
      </c>
      <c r="BP304" s="14">
        <v>1596.252</v>
      </c>
      <c r="BQ304" s="14">
        <v>1596.252</v>
      </c>
      <c r="BR304" s="14">
        <v>1691.0207999999998</v>
      </c>
      <c r="BS304" s="14">
        <v>409.2312</v>
      </c>
      <c r="BT304" s="14">
        <v>445.43519999999995</v>
      </c>
      <c r="BU304" s="14">
        <v>409.2312</v>
      </c>
      <c r="BV304" s="14">
        <v>1659.4284</v>
      </c>
      <c r="BW304" s="14">
        <v>1659.4284</v>
      </c>
      <c r="BX304" s="14">
        <v>449.79480000000001</v>
      </c>
      <c r="BY304" s="14">
        <v>449.79480000000001</v>
      </c>
      <c r="BZ304" s="14">
        <v>2160.8159999999998</v>
      </c>
      <c r="CA304" s="14">
        <v>2066.7024000000001</v>
      </c>
      <c r="CB304" s="14">
        <v>2132.6843999999996</v>
      </c>
      <c r="CC304" s="14">
        <v>1520.6855999999998</v>
      </c>
      <c r="CD304" s="14">
        <v>1506.3468</v>
      </c>
      <c r="CE304" s="14">
        <v>1549.3548000000001</v>
      </c>
      <c r="CF304" s="14">
        <v>1477.6692</v>
      </c>
      <c r="CG304" s="14">
        <v>441.084</v>
      </c>
      <c r="CH304" s="14">
        <v>462.5292</v>
      </c>
      <c r="CI304" s="14">
        <v>1492.008</v>
      </c>
      <c r="CJ304" s="14">
        <v>1723.2936</v>
      </c>
      <c r="CK304" s="14">
        <v>1477.6692</v>
      </c>
      <c r="CL304" s="14">
        <v>480.29519999999997</v>
      </c>
      <c r="CM304" s="14">
        <v>471.58439999999996</v>
      </c>
      <c r="CN304" s="14">
        <v>454.15439999999995</v>
      </c>
      <c r="CO304" s="14">
        <v>449.79480000000001</v>
      </c>
      <c r="CP304" s="14">
        <v>1723.2936</v>
      </c>
      <c r="CQ304" s="14">
        <v>462.5292</v>
      </c>
      <c r="CR304" s="14">
        <v>462.5292</v>
      </c>
      <c r="CS304" s="14">
        <v>462.5292</v>
      </c>
      <c r="CT304" s="13">
        <v>408.36599999999999</v>
      </c>
      <c r="CU304" s="13">
        <v>397.15199999999999</v>
      </c>
      <c r="CV304" s="13">
        <v>408.36599999999999</v>
      </c>
      <c r="CW304" s="13">
        <v>408.68519999999995</v>
      </c>
      <c r="CX304" s="13">
        <v>208.64759999999998</v>
      </c>
      <c r="CY304" s="13">
        <v>208.64759999999998</v>
      </c>
      <c r="CZ304" s="12">
        <v>0</v>
      </c>
      <c r="DA304" s="14">
        <v>573.20759999999996</v>
      </c>
      <c r="DB304" s="14">
        <v>584.32079999999996</v>
      </c>
      <c r="DC304" s="14">
        <v>667.95119999999997</v>
      </c>
      <c r="DD304" s="13">
        <v>413.19599999999997</v>
      </c>
      <c r="DE304" s="13">
        <v>413.19599999999997</v>
      </c>
      <c r="DF304" s="13">
        <v>413.19599999999997</v>
      </c>
      <c r="DG304" s="13">
        <v>208.64759999999998</v>
      </c>
      <c r="DH304" s="13">
        <v>1723.2936</v>
      </c>
      <c r="DI304" s="13">
        <v>1723.2936</v>
      </c>
      <c r="DJ304" s="13">
        <v>212.60399999999998</v>
      </c>
      <c r="DK304" s="14">
        <v>0</v>
      </c>
      <c r="DL304" s="14">
        <v>2614.2563999999998</v>
      </c>
      <c r="DM304" s="13">
        <v>770.02800000000002</v>
      </c>
      <c r="DN304" s="14">
        <v>1691.1048000000001</v>
      </c>
      <c r="DO304" s="13">
        <v>200.5164</v>
      </c>
      <c r="DP304" s="13">
        <v>212.60399999999998</v>
      </c>
      <c r="DQ304" s="13">
        <v>210.6216</v>
      </c>
      <c r="DR304" s="14">
        <v>839.58839999999998</v>
      </c>
      <c r="DS304" s="14">
        <v>453.9864</v>
      </c>
      <c r="DT304" s="14">
        <v>1701.6215999999999</v>
      </c>
      <c r="DU304" s="14">
        <v>2378.2079999999996</v>
      </c>
      <c r="DV304" s="15">
        <v>2378.2079999999996</v>
      </c>
      <c r="DY304" s="35" t="s">
        <v>39</v>
      </c>
      <c r="DZ304" s="16">
        <v>6.2500000000000003E-3</v>
      </c>
      <c r="EA304" s="14">
        <v>6.2500000000000003E-3</v>
      </c>
      <c r="EB304" s="14">
        <v>6.2500000000000003E-3</v>
      </c>
      <c r="EC304" s="14">
        <v>6.2500000000000003E-3</v>
      </c>
      <c r="ED304" s="14">
        <v>6.2500000000000003E-3</v>
      </c>
      <c r="EE304" s="14">
        <v>6.2500000000000003E-3</v>
      </c>
      <c r="EF304" s="14">
        <v>6.2500000000000003E-3</v>
      </c>
      <c r="EG304" s="14">
        <v>6.2500000000000003E-3</v>
      </c>
      <c r="EH304" s="14">
        <v>6.2500000000000003E-3</v>
      </c>
      <c r="EI304" s="14">
        <v>6.2500000000000003E-3</v>
      </c>
      <c r="EJ304" s="14">
        <v>6.2500000000000003E-3</v>
      </c>
      <c r="EK304" s="14">
        <v>6.2500000000000003E-3</v>
      </c>
      <c r="EL304" s="14">
        <v>6.2500000000000003E-3</v>
      </c>
      <c r="EM304" s="14">
        <v>4.6511627906976744E-3</v>
      </c>
      <c r="EN304" s="14">
        <v>4.6511627906976744E-3</v>
      </c>
      <c r="EO304" s="14">
        <v>7.1428571428571435E-3</v>
      </c>
      <c r="EP304" s="14">
        <v>7.1428571428571435E-3</v>
      </c>
      <c r="EQ304" s="14">
        <v>7.1428571428571435E-3</v>
      </c>
      <c r="ER304" s="14">
        <v>7.1428571428571435E-3</v>
      </c>
      <c r="ES304" s="14">
        <v>7.1428571428571435E-3</v>
      </c>
      <c r="ET304" s="14">
        <v>7.1428571428571435E-3</v>
      </c>
      <c r="EU304" s="14">
        <v>7.1428571428571435E-3</v>
      </c>
      <c r="EV304" s="14">
        <v>7.1428571428571435E-3</v>
      </c>
      <c r="EW304" s="14">
        <v>7.1428571428571435E-3</v>
      </c>
      <c r="EX304" s="14">
        <v>7.1428571428571435E-3</v>
      </c>
      <c r="EY304" s="14">
        <v>7.1428571428571435E-3</v>
      </c>
      <c r="EZ304" s="14">
        <v>7.1428571428571435E-3</v>
      </c>
      <c r="FA304" s="14">
        <v>7.1428571428571435E-3</v>
      </c>
      <c r="FB304" s="14">
        <v>7.1428571428571435E-3</v>
      </c>
      <c r="FC304" s="14">
        <v>7.1428571428571435E-3</v>
      </c>
      <c r="FD304" s="14">
        <v>7.1428571428571435E-3</v>
      </c>
      <c r="FE304" s="14">
        <v>7.1428571428571435E-3</v>
      </c>
      <c r="FF304" s="13">
        <f t="shared" si="111"/>
        <v>2.2222222222222223E-2</v>
      </c>
      <c r="FG304" s="13">
        <f t="shared" si="111"/>
        <v>2.2222222222222223E-2</v>
      </c>
      <c r="FH304" s="13">
        <f t="shared" si="111"/>
        <v>2.2222222222222223E-2</v>
      </c>
      <c r="FI304" s="13">
        <f t="shared" si="111"/>
        <v>2.2222222222222223E-2</v>
      </c>
      <c r="FJ304" s="13">
        <f t="shared" si="111"/>
        <v>2.2222222222222223E-2</v>
      </c>
      <c r="FK304" s="13">
        <f>0.2/9</f>
        <v>2.2222222222222223E-2</v>
      </c>
      <c r="FL304" s="12">
        <v>0.6</v>
      </c>
      <c r="FM304" s="14">
        <v>4.7619047619047623E-3</v>
      </c>
      <c r="FN304" s="14">
        <v>4.7619047619047623E-3</v>
      </c>
      <c r="FO304" s="14">
        <v>4.7619047619047623E-3</v>
      </c>
      <c r="FP304" s="13">
        <f t="shared" si="107"/>
        <v>2.2222222222222223E-2</v>
      </c>
      <c r="FQ304" s="13">
        <f t="shared" si="106"/>
        <v>2.2222222222222223E-2</v>
      </c>
      <c r="FR304" s="13">
        <f t="shared" si="106"/>
        <v>2.2222222222222223E-2</v>
      </c>
      <c r="FS304" s="13">
        <f t="shared" si="106"/>
        <v>2.2222222222222223E-2</v>
      </c>
      <c r="FT304" s="13">
        <f t="shared" si="108"/>
        <v>0.02</v>
      </c>
      <c r="FU304" s="13">
        <f t="shared" si="109"/>
        <v>2.2222222222222223E-2</v>
      </c>
      <c r="FV304" s="13">
        <f t="shared" si="109"/>
        <v>2.2222222222222223E-2</v>
      </c>
      <c r="FW304" s="14">
        <v>4.5454545454545461E-3</v>
      </c>
      <c r="FX304" s="14">
        <v>4.5454545454545461E-3</v>
      </c>
      <c r="FY304" s="13">
        <f t="shared" si="110"/>
        <v>2.2222222222222223E-2</v>
      </c>
      <c r="FZ304" s="14">
        <v>7.1428571428571435E-3</v>
      </c>
      <c r="GA304" s="13">
        <f t="shared" si="112"/>
        <v>2.2222222222222223E-2</v>
      </c>
      <c r="GB304" s="13">
        <f t="shared" si="112"/>
        <v>2.2222222222222223E-2</v>
      </c>
      <c r="GC304" s="13">
        <f t="shared" si="112"/>
        <v>2.2222222222222223E-2</v>
      </c>
      <c r="GD304" s="14">
        <v>7.1428571428571435E-3</v>
      </c>
      <c r="GE304" s="14">
        <v>7.1428571428571435E-3</v>
      </c>
      <c r="GF304" s="14">
        <v>4.6511627906976744E-3</v>
      </c>
      <c r="GG304" s="14">
        <v>4.6511627906976744E-3</v>
      </c>
      <c r="GH304" s="15">
        <v>4.6511627906976744E-3</v>
      </c>
    </row>
    <row r="305" spans="1:190" x14ac:dyDescent="0.3">
      <c r="A305" s="35" t="s">
        <v>40</v>
      </c>
      <c r="B305" s="16" t="s">
        <v>62</v>
      </c>
      <c r="C305" s="14" t="s">
        <v>62</v>
      </c>
      <c r="D305" s="14">
        <f>IF(Distances!EC144&lt;&gt;0,(BP305+Distances!EC144*3)*EB305*D265*2,"")</f>
        <v>22679.07429</v>
      </c>
      <c r="E305" s="14" t="s">
        <v>62</v>
      </c>
      <c r="F305" s="14">
        <f>IF(Distances!EE144&lt;&gt;0,(BR305+Distances!EE144*3)*ED305*F265*2,"")</f>
        <v>6881.4996600000004</v>
      </c>
      <c r="G305" s="14">
        <f>IF(Distances!EF144&lt;&gt;0,(BS305+Distances!EF144*3)*EE305*G265*2,"")</f>
        <v>24939.7785</v>
      </c>
      <c r="H305" s="14" t="s">
        <v>62</v>
      </c>
      <c r="I305" s="14" t="s">
        <v>62</v>
      </c>
      <c r="J305" s="14">
        <f>IF(Distances!EI144&lt;&gt;0,(BV305+Distances!EI144*3)*EH305*J265*2,"")</f>
        <v>204.58188000000001</v>
      </c>
      <c r="K305" s="14" t="s">
        <v>62</v>
      </c>
      <c r="L305" s="14" t="s">
        <v>62</v>
      </c>
      <c r="M305" s="14" t="s">
        <v>62</v>
      </c>
      <c r="N305" s="14" t="s">
        <v>62</v>
      </c>
      <c r="O305" s="14" t="s">
        <v>62</v>
      </c>
      <c r="P305" s="14" t="s">
        <v>62</v>
      </c>
      <c r="Q305" s="14" t="s">
        <v>62</v>
      </c>
      <c r="R305" s="14" t="s">
        <v>62</v>
      </c>
      <c r="S305" s="14" t="s">
        <v>62</v>
      </c>
      <c r="T305" s="14">
        <f>IF(Distances!ES144&lt;&gt;0,(CF305+Distances!ES144*3)*ER305*T265*2,"")</f>
        <v>192.22332</v>
      </c>
      <c r="U305" s="14">
        <f>IF(Distances!ET144&lt;&gt;0,(CG305+Distances!ET144*3)*ES305*U265*2,"")</f>
        <v>193.99308000000002</v>
      </c>
      <c r="V305" s="14">
        <f>IF(Distances!EU144&lt;&gt;0,(CH305+Distances!EU144*3)*ET305*V265*2,"")</f>
        <v>2077.5112800000002</v>
      </c>
      <c r="W305" s="14" t="s">
        <v>62</v>
      </c>
      <c r="X305" s="14">
        <f>IF(Distances!EW144&lt;&gt;0,(CJ305+Distances!EW144*3)*EV305*X265*2,"")</f>
        <v>1558.2455657142859</v>
      </c>
      <c r="Y305" s="14">
        <f>IF(Distances!EX144&lt;&gt;0,(CK305+Distances!EX144*3)*EW305*Y265*2,"")</f>
        <v>1683.1875085714287</v>
      </c>
      <c r="Z305" s="14">
        <f>IF(Distances!EY144&lt;&gt;0,(CL305+Distances!EY144*3)*EX305*Z265*2,"")</f>
        <v>37.214262857142863</v>
      </c>
      <c r="AA305" s="14">
        <f>IF(Distances!EZ144&lt;&gt;0,(CM305+Distances!EZ144*3)*EY305*AA265*2,"")</f>
        <v>42.093908571428578</v>
      </c>
      <c r="AB305" s="14">
        <f>IF(Distances!FA144&lt;&gt;0,(CN305+Distances!FA144*3)*EZ305*AB265*2,"")</f>
        <v>62.275817142857136</v>
      </c>
      <c r="AC305" s="14" t="s">
        <v>62</v>
      </c>
      <c r="AD305" s="14" t="s">
        <v>62</v>
      </c>
      <c r="AE305" s="14">
        <f>IF(Distances!FD144&lt;&gt;0,(CQ305+Distances!FD144*3)*FC305*AE265*2,"")</f>
        <v>112.87546285714286</v>
      </c>
      <c r="AF305" s="14">
        <f>IF(Distances!FE144&lt;&gt;0,(CR305+Distances!FE144*3)*FD305*AF265*2,"")</f>
        <v>219.92235428571431</v>
      </c>
      <c r="AG305" s="14">
        <f>IF(Distances!FF144&lt;&gt;0,(CS305+Distances!FF144*3)*FE305*AG265*2,"")</f>
        <v>162.25378285714288</v>
      </c>
      <c r="AH305" s="14">
        <f>IF(Distances!FG144&lt;&gt;0,(CT305+Distances!FG144*3)*FF305*AH265*2,"")</f>
        <v>53.063177142857143</v>
      </c>
      <c r="AI305" s="14" t="s">
        <v>62</v>
      </c>
      <c r="AJ305" s="14">
        <f>IF(Distances!FI144&lt;&gt;0,(CV305+Distances!FI144*3)*FH305*AJ265*2,"")</f>
        <v>39.225462857142858</v>
      </c>
      <c r="AK305" s="14" t="s">
        <v>62</v>
      </c>
      <c r="AL305" s="14" t="s">
        <v>62</v>
      </c>
      <c r="AM305" s="14" t="s">
        <v>62</v>
      </c>
      <c r="AN305" s="14">
        <f>IF(Distances!FM144&lt;&gt;0,(CZ305+Distances!FM144*3)*FL305*AN265*2,"")</f>
        <v>639.98183314285711</v>
      </c>
      <c r="AO305" s="12" t="s">
        <v>62</v>
      </c>
      <c r="AP305" s="19" t="s">
        <v>62</v>
      </c>
      <c r="AQ305" s="19" t="s">
        <v>62</v>
      </c>
      <c r="AR305" s="14" t="s">
        <v>62</v>
      </c>
      <c r="AS305" s="14" t="s">
        <v>62</v>
      </c>
      <c r="AT305" s="14" t="s">
        <v>62</v>
      </c>
      <c r="AU305" s="14">
        <f>IF(Distances!FT144&lt;&gt;0,(DG305+Distances!FT144*3)*FS305*AU265*2,"")</f>
        <v>112.78521599999999</v>
      </c>
      <c r="AV305" s="14">
        <f>IF(Distances!FU144&lt;&gt;0,(DH305+Distances!FU144*3)*FT305*AV265*2,"")</f>
        <v>200.55536470588234</v>
      </c>
      <c r="AW305" s="14">
        <f>IF(Distances!FV144&lt;&gt;0,(DI305+Distances!FV144*3)*FU305*AW265*2,"")</f>
        <v>836.15663999999992</v>
      </c>
      <c r="AX305" s="14" t="s">
        <v>62</v>
      </c>
      <c r="AY305" s="14" t="s">
        <v>62</v>
      </c>
      <c r="AZ305" s="14">
        <f>IF(Distances!FY144&lt;&gt;0,(DL305+Distances!FY144*3)*FX305*AZ265*2,"")</f>
        <v>147.20893090909092</v>
      </c>
      <c r="BA305" s="14" t="s">
        <v>62</v>
      </c>
      <c r="BB305" s="14" t="s">
        <v>62</v>
      </c>
      <c r="BC305" s="14" t="s">
        <v>62</v>
      </c>
      <c r="BD305" s="14">
        <f>IF(Distances!GC144&lt;&gt;0,(DP305+Distances!GC144*3)*GB305*BD265*2,"")</f>
        <v>341.54452114285709</v>
      </c>
      <c r="BE305" s="14" t="s">
        <v>62</v>
      </c>
      <c r="BF305" s="14">
        <f>IF(Distances!GE144&lt;&gt;0,(DR305+Distances!GE144*3)*GD305*BF265*2,"")</f>
        <v>245.03019428571432</v>
      </c>
      <c r="BG305" s="14" t="s">
        <v>62</v>
      </c>
      <c r="BH305" s="14" t="s">
        <v>62</v>
      </c>
      <c r="BI305" s="14" t="s">
        <v>62</v>
      </c>
      <c r="BJ305" s="15" t="s">
        <v>62</v>
      </c>
      <c r="BM305" s="35" t="s">
        <v>40</v>
      </c>
      <c r="BN305" s="16">
        <v>2276.1815999999999</v>
      </c>
      <c r="BO305" s="14">
        <v>2565.3768</v>
      </c>
      <c r="BP305" s="14">
        <v>2390.2115999999996</v>
      </c>
      <c r="BQ305" s="14">
        <v>2390.2115999999996</v>
      </c>
      <c r="BR305" s="14">
        <v>2532.1464000000001</v>
      </c>
      <c r="BS305" s="14">
        <v>1002.54</v>
      </c>
      <c r="BT305" s="14">
        <v>1111.866</v>
      </c>
      <c r="BU305" s="14">
        <v>1002.54</v>
      </c>
      <c r="BV305" s="14">
        <v>2484.8375999999998</v>
      </c>
      <c r="BW305" s="14">
        <v>2484.8375999999998</v>
      </c>
      <c r="BX305" s="14">
        <v>1122.7607999999998</v>
      </c>
      <c r="BY305" s="14">
        <v>1122.7607999999998</v>
      </c>
      <c r="BZ305" s="14">
        <v>2717.7192</v>
      </c>
      <c r="CA305" s="14">
        <v>1639.6043999999999</v>
      </c>
      <c r="CB305" s="14">
        <v>2423.5679999999998</v>
      </c>
      <c r="CC305" s="14">
        <v>1278.2783999999999</v>
      </c>
      <c r="CD305" s="14">
        <v>1266.2328</v>
      </c>
      <c r="CE305" s="14">
        <v>1302.3779999999999</v>
      </c>
      <c r="CF305" s="14">
        <v>1242.1332</v>
      </c>
      <c r="CG305" s="14">
        <v>981.43079999999986</v>
      </c>
      <c r="CH305" s="14">
        <v>965.94119999999998</v>
      </c>
      <c r="CI305" s="14">
        <v>1254.1787999999999</v>
      </c>
      <c r="CJ305" s="14">
        <v>1474.1412</v>
      </c>
      <c r="CK305" s="14">
        <v>1242.1332</v>
      </c>
      <c r="CL305" s="14">
        <v>1068.7992000000002</v>
      </c>
      <c r="CM305" s="14">
        <v>1049.3868</v>
      </c>
      <c r="CN305" s="14">
        <v>1010.5536</v>
      </c>
      <c r="CO305" s="14">
        <v>1000.8516</v>
      </c>
      <c r="CP305" s="14">
        <v>1474.1412</v>
      </c>
      <c r="CQ305" s="14">
        <v>965.94119999999998</v>
      </c>
      <c r="CR305" s="14">
        <v>965.94119999999998</v>
      </c>
      <c r="CS305" s="14">
        <v>965.94119999999998</v>
      </c>
      <c r="CT305" s="14">
        <v>484.428</v>
      </c>
      <c r="CU305" s="14">
        <v>471.72720000000004</v>
      </c>
      <c r="CV305" s="14">
        <v>484.428</v>
      </c>
      <c r="CW305" s="14">
        <v>485.43599999999998</v>
      </c>
      <c r="CX305" s="14">
        <v>573.20759999999996</v>
      </c>
      <c r="CY305" s="14">
        <v>573.20759999999996</v>
      </c>
      <c r="CZ305" s="14">
        <v>573.20759999999996</v>
      </c>
      <c r="DA305" s="12">
        <v>0</v>
      </c>
      <c r="DB305" s="19">
        <v>334.15199999999999</v>
      </c>
      <c r="DC305" s="19">
        <v>343.66919999999999</v>
      </c>
      <c r="DD305" s="14">
        <v>943.02600000000007</v>
      </c>
      <c r="DE305" s="14">
        <v>943.02600000000007</v>
      </c>
      <c r="DF305" s="14">
        <v>943.02600000000007</v>
      </c>
      <c r="DG305" s="14">
        <v>573.20759999999996</v>
      </c>
      <c r="DH305" s="14">
        <v>1474.1412</v>
      </c>
      <c r="DI305" s="14">
        <v>1474.1412</v>
      </c>
      <c r="DJ305" s="14">
        <v>584.11079999999993</v>
      </c>
      <c r="DK305" s="14">
        <v>0</v>
      </c>
      <c r="DL305" s="14">
        <v>2660.1455999999998</v>
      </c>
      <c r="DM305" s="14">
        <v>801.06599999999992</v>
      </c>
      <c r="DN305" s="14">
        <v>1446.606</v>
      </c>
      <c r="DO305" s="14">
        <v>545.96640000000002</v>
      </c>
      <c r="DP305" s="14">
        <v>584.11079999999993</v>
      </c>
      <c r="DQ305" s="14">
        <v>578.65919999999994</v>
      </c>
      <c r="DR305" s="14">
        <v>1392.7284</v>
      </c>
      <c r="DS305" s="14">
        <v>948.07440000000008</v>
      </c>
      <c r="DT305" s="14">
        <v>2358.8208</v>
      </c>
      <c r="DU305" s="14">
        <v>2249.5452</v>
      </c>
      <c r="DV305" s="15">
        <v>2249.5452</v>
      </c>
      <c r="DY305" s="35" t="s">
        <v>40</v>
      </c>
      <c r="DZ305" s="16">
        <v>6.2500000000000003E-3</v>
      </c>
      <c r="EA305" s="14">
        <v>6.2500000000000003E-3</v>
      </c>
      <c r="EB305" s="14">
        <v>6.2500000000000003E-3</v>
      </c>
      <c r="EC305" s="14">
        <v>6.2500000000000003E-3</v>
      </c>
      <c r="ED305" s="14">
        <v>6.2500000000000003E-3</v>
      </c>
      <c r="EE305" s="14">
        <v>6.2500000000000003E-3</v>
      </c>
      <c r="EF305" s="14">
        <v>6.2500000000000003E-3</v>
      </c>
      <c r="EG305" s="14">
        <v>6.2500000000000003E-3</v>
      </c>
      <c r="EH305" s="14">
        <v>6.2500000000000003E-3</v>
      </c>
      <c r="EI305" s="14">
        <v>6.2500000000000003E-3</v>
      </c>
      <c r="EJ305" s="14">
        <v>6.2500000000000003E-3</v>
      </c>
      <c r="EK305" s="14">
        <v>6.2500000000000003E-3</v>
      </c>
      <c r="EL305" s="14">
        <v>6.2500000000000003E-3</v>
      </c>
      <c r="EM305" s="14">
        <v>4.6511627906976744E-3</v>
      </c>
      <c r="EN305" s="14">
        <v>4.6511627906976744E-3</v>
      </c>
      <c r="EO305" s="14">
        <v>7.1428571428571435E-3</v>
      </c>
      <c r="EP305" s="14">
        <v>7.1428571428571435E-3</v>
      </c>
      <c r="EQ305" s="14">
        <v>7.1428571428571435E-3</v>
      </c>
      <c r="ER305" s="14">
        <v>7.1428571428571435E-3</v>
      </c>
      <c r="ES305" s="14">
        <v>7.1428571428571435E-3</v>
      </c>
      <c r="ET305" s="14">
        <v>7.1428571428571435E-3</v>
      </c>
      <c r="EU305" s="14">
        <v>7.1428571428571435E-3</v>
      </c>
      <c r="EV305" s="14">
        <v>7.1428571428571435E-3</v>
      </c>
      <c r="EW305" s="14">
        <v>7.1428571428571435E-3</v>
      </c>
      <c r="EX305" s="14">
        <v>7.1428571428571435E-3</v>
      </c>
      <c r="EY305" s="14">
        <v>7.1428571428571435E-3</v>
      </c>
      <c r="EZ305" s="14">
        <v>7.1428571428571435E-3</v>
      </c>
      <c r="FA305" s="14">
        <v>7.1428571428571435E-3</v>
      </c>
      <c r="FB305" s="14">
        <v>7.1428571428571435E-3</v>
      </c>
      <c r="FC305" s="14">
        <v>7.1428571428571435E-3</v>
      </c>
      <c r="FD305" s="14">
        <v>7.1428571428571435E-3</v>
      </c>
      <c r="FE305" s="14">
        <v>7.1428571428571435E-3</v>
      </c>
      <c r="FF305" s="14">
        <v>5.7142857142857143E-3</v>
      </c>
      <c r="FG305" s="14">
        <v>5.7142857142857143E-3</v>
      </c>
      <c r="FH305" s="14">
        <v>5.7142857142857143E-3</v>
      </c>
      <c r="FI305" s="14">
        <v>5.7142857142857143E-3</v>
      </c>
      <c r="FJ305" s="14">
        <v>5.7142857142857143E-3</v>
      </c>
      <c r="FK305" s="14">
        <v>5.7142857142857143E-3</v>
      </c>
      <c r="FL305" s="14">
        <v>5.7142857142857143E-3</v>
      </c>
      <c r="FM305" s="12">
        <v>0.6</v>
      </c>
      <c r="FN305" s="13">
        <f>0.2/2</f>
        <v>0.1</v>
      </c>
      <c r="FO305" s="13">
        <f>0.2/2</f>
        <v>0.1</v>
      </c>
      <c r="FP305" s="14">
        <v>5.7142857142857143E-3</v>
      </c>
      <c r="FQ305" s="14">
        <v>5.7142857142857143E-3</v>
      </c>
      <c r="FR305" s="14">
        <v>5.7142857142857143E-3</v>
      </c>
      <c r="FS305" s="14">
        <v>5.7142857142857143E-3</v>
      </c>
      <c r="FT305" s="14">
        <v>5.8823529411764705E-3</v>
      </c>
      <c r="FU305" s="14">
        <v>5.7142857142857143E-3</v>
      </c>
      <c r="FV305" s="14">
        <v>5.7142857142857143E-3</v>
      </c>
      <c r="FW305" s="14">
        <v>4.5454545454545461E-3</v>
      </c>
      <c r="FX305" s="14">
        <v>4.5454545454545461E-3</v>
      </c>
      <c r="FY305" s="14">
        <v>5.7142857142857143E-3</v>
      </c>
      <c r="FZ305" s="14">
        <v>7.1428571428571435E-3</v>
      </c>
      <c r="GA305" s="14">
        <v>5.7142857142857143E-3</v>
      </c>
      <c r="GB305" s="14">
        <v>5.7142857142857143E-3</v>
      </c>
      <c r="GC305" s="14">
        <v>5.7142857142857143E-3</v>
      </c>
      <c r="GD305" s="14">
        <v>7.1428571428571435E-3</v>
      </c>
      <c r="GE305" s="14">
        <v>7.1428571428571435E-3</v>
      </c>
      <c r="GF305" s="14">
        <v>4.6511627906976744E-3</v>
      </c>
      <c r="GG305" s="14">
        <v>4.6511627906976744E-3</v>
      </c>
      <c r="GH305" s="15">
        <v>4.6511627906976744E-3</v>
      </c>
    </row>
    <row r="306" spans="1:190" x14ac:dyDescent="0.3">
      <c r="A306" s="35" t="s">
        <v>41</v>
      </c>
      <c r="B306" s="16" t="s">
        <v>62</v>
      </c>
      <c r="C306" s="14" t="s">
        <v>62</v>
      </c>
      <c r="D306" s="14">
        <f>IF(Distances!EC145&lt;&gt;0,(BP306+Distances!EC145*3)*EB306*D265*2,"")</f>
        <v>22796.217120000001</v>
      </c>
      <c r="E306" s="14" t="s">
        <v>62</v>
      </c>
      <c r="F306" s="14">
        <f>IF(Distances!EE145&lt;&gt;0,(BR306+Distances!EE145*3)*ED306*F265*2,"")</f>
        <v>7005.5993699999981</v>
      </c>
      <c r="G306" s="14">
        <f>IF(Distances!EF145&lt;&gt;0,(BS306+Distances!EF145*3)*EE306*G265*2,"")</f>
        <v>24988.879649999999</v>
      </c>
      <c r="H306" s="14" t="s">
        <v>62</v>
      </c>
      <c r="I306" s="14" t="s">
        <v>62</v>
      </c>
      <c r="J306" s="14">
        <f>IF(Distances!EI145&lt;&gt;0,(BV306+Distances!EI145*3)*EH306*J265*2,"")</f>
        <v>206.99351999999999</v>
      </c>
      <c r="K306" s="14" t="s">
        <v>62</v>
      </c>
      <c r="L306" s="14" t="s">
        <v>62</v>
      </c>
      <c r="M306" s="14" t="s">
        <v>62</v>
      </c>
      <c r="N306" s="14" t="s">
        <v>62</v>
      </c>
      <c r="O306" s="14" t="s">
        <v>62</v>
      </c>
      <c r="P306" s="14" t="s">
        <v>62</v>
      </c>
      <c r="Q306" s="14" t="s">
        <v>62</v>
      </c>
      <c r="R306" s="14" t="s">
        <v>62</v>
      </c>
      <c r="S306" s="14" t="s">
        <v>62</v>
      </c>
      <c r="T306" s="14">
        <f>IF(Distances!ES145&lt;&gt;0,(CF306+Distances!ES145*3)*ER306*T265*2,"")</f>
        <v>194.63328000000001</v>
      </c>
      <c r="U306" s="14">
        <f>IF(Distances!ET145&lt;&gt;0,(CG306+Distances!ET145*3)*ES306*U265*2,"")</f>
        <v>195.89736000000002</v>
      </c>
      <c r="V306" s="14">
        <f>IF(Distances!EU145&lt;&gt;0,(CH306+Distances!EU145*3)*ET306*V265*2,"")</f>
        <v>2093.0390400000001</v>
      </c>
      <c r="W306" s="14" t="s">
        <v>62</v>
      </c>
      <c r="X306" s="14">
        <f>IF(Distances!EW145&lt;&gt;0,(CJ306+Distances!EW145*3)*EV306*X265*2,"")</f>
        <v>1581.9443657142858</v>
      </c>
      <c r="Y306" s="14">
        <f>IF(Distances!EX145&lt;&gt;0,(CK306+Distances!EX145*3)*EW306*Y265*2,"")</f>
        <v>1703.1557485714286</v>
      </c>
      <c r="Z306" s="14">
        <f>IF(Distances!EY145&lt;&gt;0,(CL306+Distances!EY145*3)*EX306*Z265*2,"")</f>
        <v>37.806582857142857</v>
      </c>
      <c r="AA306" s="14">
        <f>IF(Distances!EZ145&lt;&gt;0,(CM306+Distances!EZ145*3)*EY306*AA265*2,"")</f>
        <v>42.675428571428576</v>
      </c>
      <c r="AB306" s="14">
        <f>IF(Distances!FA145&lt;&gt;0,(CN306+Distances!FA145*3)*EZ306*AB265*2,"")</f>
        <v>62.835977142857146</v>
      </c>
      <c r="AC306" s="14" t="s">
        <v>62</v>
      </c>
      <c r="AD306" s="14" t="s">
        <v>62</v>
      </c>
      <c r="AE306" s="14">
        <f>IF(Distances!FD145&lt;&gt;0,(CQ306+Distances!FD145*3)*FC306*AE265*2,"")</f>
        <v>113.41090285714286</v>
      </c>
      <c r="AF306" s="14">
        <f>IF(Distances!FE145&lt;&gt;0,(CR306+Distances!FE145*3)*FD306*AF265*2,"")</f>
        <v>220.99323428571429</v>
      </c>
      <c r="AG306" s="14">
        <f>IF(Distances!FF145&lt;&gt;0,(CS306+Distances!FF145*3)*FE306*AG265*2,"")</f>
        <v>163.32466285714287</v>
      </c>
      <c r="AH306" s="14">
        <f>IF(Distances!FG145&lt;&gt;0,(CT306+Distances!FG145*3)*FF306*AH265*2,"")</f>
        <v>53.170409142857146</v>
      </c>
      <c r="AI306" s="14" t="s">
        <v>62</v>
      </c>
      <c r="AJ306" s="14">
        <f>IF(Distances!FI145&lt;&gt;0,(CV306+Distances!FI145*3)*FH306*AJ265*2,"")</f>
        <v>39.332694857142862</v>
      </c>
      <c r="AK306" s="14" t="s">
        <v>62</v>
      </c>
      <c r="AL306" s="14" t="s">
        <v>62</v>
      </c>
      <c r="AM306" s="14" t="s">
        <v>62</v>
      </c>
      <c r="AN306" s="14">
        <f>IF(Distances!FM145&lt;&gt;0,(CZ306+Distances!FM145*3)*FL306*AN265*2,"")</f>
        <v>646.84026514285711</v>
      </c>
      <c r="AO306" s="13" t="s">
        <v>62</v>
      </c>
      <c r="AP306" s="12" t="s">
        <v>62</v>
      </c>
      <c r="AQ306" s="13" t="s">
        <v>62</v>
      </c>
      <c r="AR306" s="14" t="s">
        <v>62</v>
      </c>
      <c r="AS306" s="14" t="s">
        <v>62</v>
      </c>
      <c r="AT306" s="14" t="s">
        <v>62</v>
      </c>
      <c r="AU306" s="14">
        <f>IF(Distances!FT145&lt;&gt;0,(DG306+Distances!FT145*3)*FS306*AU265*2,"")</f>
        <v>114.563328</v>
      </c>
      <c r="AV306" s="14">
        <f>IF(Distances!FU145&lt;&gt;0,(DH306+Distances!FU145*3)*FT306*AV265*2,"")</f>
        <v>202.23783529411762</v>
      </c>
      <c r="AW306" s="14">
        <f>IF(Distances!FV145&lt;&gt;0,(DI306+Distances!FV145*3)*FU306*AW265*2,"")</f>
        <v>837.79103999999984</v>
      </c>
      <c r="AX306" s="14" t="s">
        <v>62</v>
      </c>
      <c r="AY306" s="14" t="s">
        <v>62</v>
      </c>
      <c r="AZ306" s="14">
        <f>IF(Distances!FY145&lt;&gt;0,(DL306+Distances!FY145*3)*FX306*AZ265*2,"")</f>
        <v>149.08656000000002</v>
      </c>
      <c r="BA306" s="14" t="s">
        <v>62</v>
      </c>
      <c r="BB306" s="14" t="s">
        <v>62</v>
      </c>
      <c r="BC306" s="14" t="s">
        <v>62</v>
      </c>
      <c r="BD306" s="14">
        <f>IF(Distances!GC145&lt;&gt;0,(DP306+Distances!GC145*3)*GB306*BD265*2,"")</f>
        <v>345.68557714285714</v>
      </c>
      <c r="BE306" s="14" t="s">
        <v>62</v>
      </c>
      <c r="BF306" s="14">
        <f>IF(Distances!GE145&lt;&gt;0,(DR306+Distances!GE145*3)*GD306*BF265*2,"")</f>
        <v>246.57435428571429</v>
      </c>
      <c r="BG306" s="14" t="s">
        <v>62</v>
      </c>
      <c r="BH306" s="14" t="s">
        <v>62</v>
      </c>
      <c r="BI306" s="14" t="s">
        <v>62</v>
      </c>
      <c r="BJ306" s="15" t="s">
        <v>62</v>
      </c>
      <c r="BM306" s="35" t="s">
        <v>41</v>
      </c>
      <c r="BN306" s="16">
        <v>2320.3571999999999</v>
      </c>
      <c r="BO306" s="14">
        <v>2615.172</v>
      </c>
      <c r="BP306" s="14">
        <v>2436.6047999999996</v>
      </c>
      <c r="BQ306" s="14">
        <v>2436.6047999999996</v>
      </c>
      <c r="BR306" s="14">
        <v>2581.2947999999997</v>
      </c>
      <c r="BS306" s="14">
        <v>1021.986</v>
      </c>
      <c r="BT306" s="14">
        <v>1133.4371999999998</v>
      </c>
      <c r="BU306" s="14">
        <v>1021.986</v>
      </c>
      <c r="BV306" s="14">
        <v>2533.0704000000001</v>
      </c>
      <c r="BW306" s="14">
        <v>2533.0704000000001</v>
      </c>
      <c r="BX306" s="14">
        <v>1144.5419999999999</v>
      </c>
      <c r="BY306" s="14">
        <v>1144.5419999999999</v>
      </c>
      <c r="BZ306" s="14">
        <v>2770.4712</v>
      </c>
      <c r="CA306" s="14">
        <v>1671.4235999999999</v>
      </c>
      <c r="CB306" s="14">
        <v>2470.6079999999997</v>
      </c>
      <c r="CC306" s="14">
        <v>1303.0835999999999</v>
      </c>
      <c r="CD306" s="14">
        <v>1290.7944</v>
      </c>
      <c r="CE306" s="14">
        <v>1327.6451999999999</v>
      </c>
      <c r="CF306" s="14">
        <v>1266.2328</v>
      </c>
      <c r="CG306" s="14">
        <v>1000.4735999999999</v>
      </c>
      <c r="CH306" s="14">
        <v>984.6816</v>
      </c>
      <c r="CI306" s="14">
        <v>1278.5136</v>
      </c>
      <c r="CJ306" s="14">
        <v>1502.7431999999999</v>
      </c>
      <c r="CK306" s="14">
        <v>1266.2328</v>
      </c>
      <c r="CL306" s="14">
        <v>1089.5303999999999</v>
      </c>
      <c r="CM306" s="14">
        <v>1069.74</v>
      </c>
      <c r="CN306" s="14">
        <v>1030.1592000000001</v>
      </c>
      <c r="CO306" s="14">
        <v>1020.2639999999999</v>
      </c>
      <c r="CP306" s="14">
        <v>1502.7431999999999</v>
      </c>
      <c r="CQ306" s="14">
        <v>984.6816</v>
      </c>
      <c r="CR306" s="14">
        <v>984.6816</v>
      </c>
      <c r="CS306" s="14">
        <v>984.6816</v>
      </c>
      <c r="CT306" s="14">
        <v>493.81079999999997</v>
      </c>
      <c r="CU306" s="14">
        <v>480.8664</v>
      </c>
      <c r="CV306" s="14">
        <v>493.81079999999997</v>
      </c>
      <c r="CW306" s="14">
        <v>494.84399999999999</v>
      </c>
      <c r="CX306" s="14">
        <v>584.32079999999996</v>
      </c>
      <c r="CY306" s="14">
        <v>584.32079999999996</v>
      </c>
      <c r="CZ306" s="14">
        <v>584.32079999999996</v>
      </c>
      <c r="DA306" s="13">
        <v>334.15199999999999</v>
      </c>
      <c r="DB306" s="12">
        <v>0</v>
      </c>
      <c r="DC306" s="13">
        <v>350.322</v>
      </c>
      <c r="DD306" s="14">
        <v>961.31280000000004</v>
      </c>
      <c r="DE306" s="14">
        <v>961.31280000000004</v>
      </c>
      <c r="DF306" s="14">
        <v>961.31280000000004</v>
      </c>
      <c r="DG306" s="14">
        <v>584.32079999999996</v>
      </c>
      <c r="DH306" s="14">
        <v>1502.7431999999999</v>
      </c>
      <c r="DI306" s="14">
        <v>1502.7431999999999</v>
      </c>
      <c r="DJ306" s="14">
        <v>595.43399999999997</v>
      </c>
      <c r="DK306" s="14">
        <v>0</v>
      </c>
      <c r="DL306" s="14">
        <v>2711.7803999999996</v>
      </c>
      <c r="DM306" s="14">
        <v>816.60599999999999</v>
      </c>
      <c r="DN306" s="14">
        <v>1474.6704</v>
      </c>
      <c r="DO306" s="14">
        <v>556.54199999999992</v>
      </c>
      <c r="DP306" s="14">
        <v>595.43399999999997</v>
      </c>
      <c r="DQ306" s="14">
        <v>589.8732</v>
      </c>
      <c r="DR306" s="14">
        <v>1419.7511999999999</v>
      </c>
      <c r="DS306" s="14">
        <v>966.46199999999988</v>
      </c>
      <c r="DT306" s="14">
        <v>2404.6007999999997</v>
      </c>
      <c r="DU306" s="14">
        <v>2293.2084</v>
      </c>
      <c r="DV306" s="15">
        <v>2293.2084</v>
      </c>
      <c r="DY306" s="35" t="s">
        <v>41</v>
      </c>
      <c r="DZ306" s="16">
        <v>6.2500000000000003E-3</v>
      </c>
      <c r="EA306" s="14">
        <v>6.2500000000000003E-3</v>
      </c>
      <c r="EB306" s="14">
        <v>6.2500000000000003E-3</v>
      </c>
      <c r="EC306" s="14">
        <v>6.2500000000000003E-3</v>
      </c>
      <c r="ED306" s="14">
        <v>6.2500000000000003E-3</v>
      </c>
      <c r="EE306" s="14">
        <v>6.2500000000000003E-3</v>
      </c>
      <c r="EF306" s="14">
        <v>6.2500000000000003E-3</v>
      </c>
      <c r="EG306" s="14">
        <v>6.2500000000000003E-3</v>
      </c>
      <c r="EH306" s="14">
        <v>6.2500000000000003E-3</v>
      </c>
      <c r="EI306" s="14">
        <v>6.2500000000000003E-3</v>
      </c>
      <c r="EJ306" s="14">
        <v>6.2500000000000003E-3</v>
      </c>
      <c r="EK306" s="14">
        <v>6.2500000000000003E-3</v>
      </c>
      <c r="EL306" s="14">
        <v>6.2500000000000003E-3</v>
      </c>
      <c r="EM306" s="14">
        <v>4.6511627906976744E-3</v>
      </c>
      <c r="EN306" s="14">
        <v>4.6511627906976744E-3</v>
      </c>
      <c r="EO306" s="14">
        <v>7.1428571428571435E-3</v>
      </c>
      <c r="EP306" s="14">
        <v>7.1428571428571435E-3</v>
      </c>
      <c r="EQ306" s="14">
        <v>7.1428571428571435E-3</v>
      </c>
      <c r="ER306" s="14">
        <v>7.1428571428571435E-3</v>
      </c>
      <c r="ES306" s="14">
        <v>7.1428571428571435E-3</v>
      </c>
      <c r="ET306" s="14">
        <v>7.1428571428571435E-3</v>
      </c>
      <c r="EU306" s="14">
        <v>7.1428571428571435E-3</v>
      </c>
      <c r="EV306" s="14">
        <v>7.1428571428571435E-3</v>
      </c>
      <c r="EW306" s="14">
        <v>7.1428571428571435E-3</v>
      </c>
      <c r="EX306" s="14">
        <v>7.1428571428571435E-3</v>
      </c>
      <c r="EY306" s="14">
        <v>7.1428571428571435E-3</v>
      </c>
      <c r="EZ306" s="14">
        <v>7.1428571428571435E-3</v>
      </c>
      <c r="FA306" s="14">
        <v>7.1428571428571435E-3</v>
      </c>
      <c r="FB306" s="14">
        <v>7.1428571428571435E-3</v>
      </c>
      <c r="FC306" s="14">
        <v>7.1428571428571435E-3</v>
      </c>
      <c r="FD306" s="14">
        <v>7.1428571428571435E-3</v>
      </c>
      <c r="FE306" s="14">
        <v>7.1428571428571435E-3</v>
      </c>
      <c r="FF306" s="14">
        <v>5.7142857142857143E-3</v>
      </c>
      <c r="FG306" s="14">
        <v>5.7142857142857143E-3</v>
      </c>
      <c r="FH306" s="14">
        <v>5.7142857142857143E-3</v>
      </c>
      <c r="FI306" s="14">
        <v>5.7142857142857143E-3</v>
      </c>
      <c r="FJ306" s="14">
        <v>5.7142857142857143E-3</v>
      </c>
      <c r="FK306" s="14">
        <v>5.7142857142857143E-3</v>
      </c>
      <c r="FL306" s="14">
        <v>5.7142857142857143E-3</v>
      </c>
      <c r="FM306" s="13">
        <f>0.2/2</f>
        <v>0.1</v>
      </c>
      <c r="FN306" s="12">
        <v>0.6</v>
      </c>
      <c r="FO306" s="13">
        <f>0.2/2</f>
        <v>0.1</v>
      </c>
      <c r="FP306" s="14">
        <v>5.7142857142857143E-3</v>
      </c>
      <c r="FQ306" s="14">
        <v>5.7142857142857143E-3</v>
      </c>
      <c r="FR306" s="14">
        <v>5.7142857142857143E-3</v>
      </c>
      <c r="FS306" s="14">
        <v>5.7142857142857143E-3</v>
      </c>
      <c r="FT306" s="14">
        <v>5.8823529411764705E-3</v>
      </c>
      <c r="FU306" s="14">
        <v>5.7142857142857143E-3</v>
      </c>
      <c r="FV306" s="14">
        <v>5.7142857142857143E-3</v>
      </c>
      <c r="FW306" s="14">
        <v>4.5454545454545461E-3</v>
      </c>
      <c r="FX306" s="14">
        <v>4.5454545454545461E-3</v>
      </c>
      <c r="FY306" s="14">
        <v>5.7142857142857143E-3</v>
      </c>
      <c r="FZ306" s="14">
        <v>7.1428571428571435E-3</v>
      </c>
      <c r="GA306" s="14">
        <v>5.7142857142857143E-3</v>
      </c>
      <c r="GB306" s="14">
        <v>5.7142857142857143E-3</v>
      </c>
      <c r="GC306" s="14">
        <v>5.7142857142857143E-3</v>
      </c>
      <c r="GD306" s="14">
        <v>7.1428571428571435E-3</v>
      </c>
      <c r="GE306" s="14">
        <v>7.1428571428571435E-3</v>
      </c>
      <c r="GF306" s="14">
        <v>4.6511627906976744E-3</v>
      </c>
      <c r="GG306" s="14">
        <v>4.6511627906976744E-3</v>
      </c>
      <c r="GH306" s="15">
        <v>4.6511627906976744E-3</v>
      </c>
    </row>
    <row r="307" spans="1:190" x14ac:dyDescent="0.3">
      <c r="A307" s="35" t="s">
        <v>42</v>
      </c>
      <c r="B307" s="16" t="s">
        <v>62</v>
      </c>
      <c r="C307" s="14" t="s">
        <v>62</v>
      </c>
      <c r="D307" s="14">
        <f>IF(Distances!EC146&lt;&gt;0,(BP307+Distances!EC146*3)*EB307*D265*2,"")</f>
        <v>22347.731670000001</v>
      </c>
      <c r="E307" s="14" t="s">
        <v>62</v>
      </c>
      <c r="F307" s="14">
        <f>IF(Distances!EE146&lt;&gt;0,(BR307+Distances!EE146*3)*ED307*F265*2,"")</f>
        <v>6530.4741599999998</v>
      </c>
      <c r="G307" s="14">
        <f>IF(Distances!EF146&lt;&gt;0,(BS307+Distances!EF146*3)*EE307*G265*2,"")</f>
        <v>25228.404179999998</v>
      </c>
      <c r="H307" s="14" t="s">
        <v>62</v>
      </c>
      <c r="I307" s="14" t="s">
        <v>62</v>
      </c>
      <c r="J307" s="14">
        <f>IF(Distances!EI146&lt;&gt;0,(BV307+Distances!EI146*3)*EH307*J265*2,"")</f>
        <v>197.76066000000003</v>
      </c>
      <c r="K307" s="14" t="s">
        <v>62</v>
      </c>
      <c r="L307" s="14" t="s">
        <v>62</v>
      </c>
      <c r="M307" s="14" t="s">
        <v>62</v>
      </c>
      <c r="N307" s="14" t="s">
        <v>62</v>
      </c>
      <c r="O307" s="14" t="s">
        <v>62</v>
      </c>
      <c r="P307" s="14" t="s">
        <v>62</v>
      </c>
      <c r="Q307" s="14" t="s">
        <v>62</v>
      </c>
      <c r="R307" s="14" t="s">
        <v>62</v>
      </c>
      <c r="S307" s="14" t="s">
        <v>62</v>
      </c>
      <c r="T307" s="14">
        <f>IF(Distances!ES146&lt;&gt;0,(CF307+Distances!ES146*3)*ER307*T265*2,"")</f>
        <v>214.93607999999995</v>
      </c>
      <c r="U307" s="14">
        <f>IF(Distances!ET146&lt;&gt;0,(CG307+Distances!ET146*3)*ES307*U265*2,"")</f>
        <v>223.47371999999999</v>
      </c>
      <c r="V307" s="14">
        <f>IF(Distances!EU146&lt;&gt;0,(CH307+Distances!EU146*3)*ET307*V265*2,"")</f>
        <v>2407.8468000000003</v>
      </c>
      <c r="W307" s="14" t="s">
        <v>62</v>
      </c>
      <c r="X307" s="14">
        <f>IF(Distances!EW146&lt;&gt;0,(CJ307+Distances!EW146*3)*EV307*X265*2,"")</f>
        <v>1761.9090857142858</v>
      </c>
      <c r="Y307" s="14">
        <f>IF(Distances!EX146&lt;&gt;0,(CK307+Distances!EX146*3)*EW307*Y265*2,"")</f>
        <v>1871.3789485714283</v>
      </c>
      <c r="Z307" s="14">
        <f>IF(Distances!EY146&lt;&gt;0,(CL307+Distances!EY146*3)*EX307*Z265*2,"")</f>
        <v>46.387782857142859</v>
      </c>
      <c r="AA307" s="14">
        <f>IF(Distances!EZ146&lt;&gt;0,(CM307+Distances!EZ146*3)*EY307*AA265*2,"")</f>
        <v>51.100628571428572</v>
      </c>
      <c r="AB307" s="14">
        <f>IF(Distances!FA146&lt;&gt;0,(CN307+Distances!FA146*3)*EZ307*AB265*2,"")</f>
        <v>70.948937142857162</v>
      </c>
      <c r="AC307" s="14" t="s">
        <v>62</v>
      </c>
      <c r="AD307" s="14" t="s">
        <v>62</v>
      </c>
      <c r="AE307" s="14">
        <f>IF(Distances!FD146&lt;&gt;0,(CQ307+Distances!FD146*3)*FC307*AE265*2,"")</f>
        <v>124.26634285714287</v>
      </c>
      <c r="AF307" s="14">
        <f>IF(Distances!FE146&lt;&gt;0,(CR307+Distances!FE146*3)*FD307*AF265*2,"")</f>
        <v>242.70411428571433</v>
      </c>
      <c r="AG307" s="14">
        <f>IF(Distances!FF146&lt;&gt;0,(CS307+Distances!FF146*3)*FE307*AG265*2,"")</f>
        <v>185.03554285714287</v>
      </c>
      <c r="AH307" s="14">
        <f>IF(Distances!FG146&lt;&gt;0,(CT307+Distances!FG146*3)*FF307*AH265*2,"")</f>
        <v>52.367561142857149</v>
      </c>
      <c r="AI307" s="14" t="s">
        <v>62</v>
      </c>
      <c r="AJ307" s="14">
        <f>IF(Distances!FI146&lt;&gt;0,(CV307+Distances!FI146*3)*FH307*AJ265*2,"")</f>
        <v>38.529846857142857</v>
      </c>
      <c r="AK307" s="14" t="s">
        <v>62</v>
      </c>
      <c r="AL307" s="14" t="s">
        <v>62</v>
      </c>
      <c r="AM307" s="14" t="s">
        <v>62</v>
      </c>
      <c r="AN307" s="14">
        <f>IF(Distances!FM146&lt;&gt;0,(CZ307+Distances!FM146*3)*FL307*AN265*2,"")</f>
        <v>698.45216914285709</v>
      </c>
      <c r="AO307" s="13" t="s">
        <v>62</v>
      </c>
      <c r="AP307" s="13" t="s">
        <v>62</v>
      </c>
      <c r="AQ307" s="12" t="s">
        <v>62</v>
      </c>
      <c r="AR307" s="14" t="s">
        <v>62</v>
      </c>
      <c r="AS307" s="14" t="s">
        <v>62</v>
      </c>
      <c r="AT307" s="14" t="s">
        <v>62</v>
      </c>
      <c r="AU307" s="14">
        <f>IF(Distances!FT146&lt;&gt;0,(DG307+Distances!FT146*3)*FS307*AU265*2,"")</f>
        <v>127.944192</v>
      </c>
      <c r="AV307" s="14">
        <f>IF(Distances!FU146&lt;&gt;0,(DH307+Distances!FU146*3)*FT307*AV265*2,"")</f>
        <v>215.01423529411764</v>
      </c>
      <c r="AW307" s="14">
        <f>IF(Distances!FV146&lt;&gt;0,(DI307+Distances!FV146*3)*FU307*AW265*2,"")</f>
        <v>850.2023999999999</v>
      </c>
      <c r="AX307" s="14" t="s">
        <v>62</v>
      </c>
      <c r="AY307" s="14" t="s">
        <v>62</v>
      </c>
      <c r="AZ307" s="14">
        <f>IF(Distances!FY146&lt;&gt;0,(DL307+Distances!FY146*3)*FX307*AZ265*2,"")</f>
        <v>148.3971490909091</v>
      </c>
      <c r="BA307" s="14" t="s">
        <v>62</v>
      </c>
      <c r="BB307" s="14" t="s">
        <v>62</v>
      </c>
      <c r="BC307" s="14" t="s">
        <v>62</v>
      </c>
      <c r="BD307" s="14">
        <f>IF(Distances!GC146&lt;&gt;0,(DP307+Distances!GC146*3)*GB307*BD265*2,"")</f>
        <v>376.85101714285707</v>
      </c>
      <c r="BE307" s="14" t="s">
        <v>62</v>
      </c>
      <c r="BF307" s="14">
        <f>IF(Distances!GE146&lt;&gt;0,(DR307+Distances!GE146*3)*GD307*BF265*2,"")</f>
        <v>271.2295542857143</v>
      </c>
      <c r="BG307" s="14" t="s">
        <v>62</v>
      </c>
      <c r="BH307" s="14" t="s">
        <v>62</v>
      </c>
      <c r="BI307" s="14" t="s">
        <v>62</v>
      </c>
      <c r="BJ307" s="15" t="s">
        <v>62</v>
      </c>
      <c r="BM307" s="35" t="s">
        <v>42</v>
      </c>
      <c r="BN307" s="16">
        <v>2157.6491999999998</v>
      </c>
      <c r="BO307" s="14">
        <v>2739.4751999999999</v>
      </c>
      <c r="BP307" s="14">
        <v>2258.9867999999997</v>
      </c>
      <c r="BQ307" s="14">
        <v>2258.9867999999997</v>
      </c>
      <c r="BR307" s="14">
        <v>2393.1264000000001</v>
      </c>
      <c r="BS307" s="14">
        <v>1116.8471999999999</v>
      </c>
      <c r="BT307" s="14">
        <v>1230.8435999999999</v>
      </c>
      <c r="BU307" s="14">
        <v>1116.8471999999999</v>
      </c>
      <c r="BV307" s="14">
        <v>2348.4132</v>
      </c>
      <c r="BW307" s="14">
        <v>2348.4132</v>
      </c>
      <c r="BX307" s="14">
        <v>1242.9059999999999</v>
      </c>
      <c r="BY307" s="14">
        <v>1242.9059999999999</v>
      </c>
      <c r="BZ307" s="14">
        <v>2902.1579999999999</v>
      </c>
      <c r="CA307" s="14">
        <v>1790.8968</v>
      </c>
      <c r="CB307" s="14">
        <v>2227.0668000000001</v>
      </c>
      <c r="CC307" s="14">
        <v>1512.0251999999998</v>
      </c>
      <c r="CD307" s="14">
        <v>1497.7703999999999</v>
      </c>
      <c r="CE307" s="14">
        <v>1540.5347999999999</v>
      </c>
      <c r="CF307" s="14">
        <v>1469.2607999999998</v>
      </c>
      <c r="CG307" s="14">
        <v>1276.2371999999998</v>
      </c>
      <c r="CH307" s="14">
        <v>1364.6219999999998</v>
      </c>
      <c r="CI307" s="14">
        <v>1483.5155999999999</v>
      </c>
      <c r="CJ307" s="14">
        <v>1719.942</v>
      </c>
      <c r="CK307" s="14">
        <v>1469.2607999999998</v>
      </c>
      <c r="CL307" s="14">
        <v>1389.8724</v>
      </c>
      <c r="CM307" s="14">
        <v>1364.6219999999998</v>
      </c>
      <c r="CN307" s="14">
        <v>1314.1128000000001</v>
      </c>
      <c r="CO307" s="14">
        <v>1301.4875999999999</v>
      </c>
      <c r="CP307" s="14">
        <v>1719.942</v>
      </c>
      <c r="CQ307" s="14">
        <v>1364.6219999999998</v>
      </c>
      <c r="CR307" s="14">
        <v>1364.6219999999998</v>
      </c>
      <c r="CS307" s="14">
        <v>1364.6219999999998</v>
      </c>
      <c r="CT307" s="14">
        <v>423.5616</v>
      </c>
      <c r="CU307" s="14">
        <v>412.02</v>
      </c>
      <c r="CV307" s="14">
        <v>423.5616</v>
      </c>
      <c r="CW307" s="14">
        <v>423.99</v>
      </c>
      <c r="CX307" s="14">
        <v>667.95119999999997</v>
      </c>
      <c r="CY307" s="14">
        <v>667.95119999999997</v>
      </c>
      <c r="CZ307" s="14">
        <v>667.95119999999997</v>
      </c>
      <c r="DA307" s="13">
        <v>343.66919999999999</v>
      </c>
      <c r="DB307" s="13">
        <v>350.322</v>
      </c>
      <c r="DC307" s="12">
        <v>0</v>
      </c>
      <c r="DD307" s="14">
        <v>1085.5572</v>
      </c>
      <c r="DE307" s="14">
        <v>1085.5572</v>
      </c>
      <c r="DF307" s="14">
        <v>1085.5572</v>
      </c>
      <c r="DG307" s="14">
        <v>667.95119999999997</v>
      </c>
      <c r="DH307" s="14">
        <v>1719.942</v>
      </c>
      <c r="DI307" s="14">
        <v>1719.942</v>
      </c>
      <c r="DJ307" s="14">
        <v>680.65199999999993</v>
      </c>
      <c r="DK307" s="14">
        <v>0</v>
      </c>
      <c r="DL307" s="14">
        <v>2692.8215999999998</v>
      </c>
      <c r="DM307" s="14">
        <v>909.41760000000011</v>
      </c>
      <c r="DN307" s="14">
        <v>1687.8119999999999</v>
      </c>
      <c r="DO307" s="14">
        <v>636.19079999999997</v>
      </c>
      <c r="DP307" s="14">
        <v>680.65199999999993</v>
      </c>
      <c r="DQ307" s="14">
        <v>674.30160000000001</v>
      </c>
      <c r="DR307" s="14">
        <v>1851.2171999999998</v>
      </c>
      <c r="DS307" s="14">
        <v>1301.5716</v>
      </c>
      <c r="DT307" s="14">
        <v>2547.5099999999998</v>
      </c>
      <c r="DU307" s="14">
        <v>2428.5072</v>
      </c>
      <c r="DV307" s="15">
        <v>2428.5072</v>
      </c>
      <c r="DY307" s="35" t="s">
        <v>42</v>
      </c>
      <c r="DZ307" s="16">
        <v>6.2500000000000003E-3</v>
      </c>
      <c r="EA307" s="14">
        <v>6.2500000000000003E-3</v>
      </c>
      <c r="EB307" s="14">
        <v>6.2500000000000003E-3</v>
      </c>
      <c r="EC307" s="14">
        <v>6.2500000000000003E-3</v>
      </c>
      <c r="ED307" s="14">
        <v>6.2500000000000003E-3</v>
      </c>
      <c r="EE307" s="14">
        <v>6.2500000000000003E-3</v>
      </c>
      <c r="EF307" s="14">
        <v>6.2500000000000003E-3</v>
      </c>
      <c r="EG307" s="14">
        <v>6.2500000000000003E-3</v>
      </c>
      <c r="EH307" s="14">
        <v>6.2500000000000003E-3</v>
      </c>
      <c r="EI307" s="14">
        <v>6.2500000000000003E-3</v>
      </c>
      <c r="EJ307" s="14">
        <v>6.2500000000000003E-3</v>
      </c>
      <c r="EK307" s="14">
        <v>6.2500000000000003E-3</v>
      </c>
      <c r="EL307" s="14">
        <v>6.2500000000000003E-3</v>
      </c>
      <c r="EM307" s="14">
        <v>4.6511627906976744E-3</v>
      </c>
      <c r="EN307" s="14">
        <v>4.6511627906976744E-3</v>
      </c>
      <c r="EO307" s="14">
        <v>7.1428571428571435E-3</v>
      </c>
      <c r="EP307" s="14">
        <v>7.1428571428571435E-3</v>
      </c>
      <c r="EQ307" s="14">
        <v>7.1428571428571435E-3</v>
      </c>
      <c r="ER307" s="14">
        <v>7.1428571428571435E-3</v>
      </c>
      <c r="ES307" s="14">
        <v>7.1428571428571435E-3</v>
      </c>
      <c r="ET307" s="14">
        <v>7.1428571428571435E-3</v>
      </c>
      <c r="EU307" s="14">
        <v>7.1428571428571435E-3</v>
      </c>
      <c r="EV307" s="14">
        <v>7.1428571428571435E-3</v>
      </c>
      <c r="EW307" s="14">
        <v>7.1428571428571435E-3</v>
      </c>
      <c r="EX307" s="14">
        <v>7.1428571428571435E-3</v>
      </c>
      <c r="EY307" s="14">
        <v>7.1428571428571435E-3</v>
      </c>
      <c r="EZ307" s="14">
        <v>7.1428571428571435E-3</v>
      </c>
      <c r="FA307" s="14">
        <v>7.1428571428571435E-3</v>
      </c>
      <c r="FB307" s="14">
        <v>7.1428571428571435E-3</v>
      </c>
      <c r="FC307" s="14">
        <v>7.1428571428571435E-3</v>
      </c>
      <c r="FD307" s="14">
        <v>7.1428571428571435E-3</v>
      </c>
      <c r="FE307" s="14">
        <v>7.1428571428571435E-3</v>
      </c>
      <c r="FF307" s="14">
        <v>5.7142857142857143E-3</v>
      </c>
      <c r="FG307" s="14">
        <v>5.7142857142857143E-3</v>
      </c>
      <c r="FH307" s="14">
        <v>5.7142857142857143E-3</v>
      </c>
      <c r="FI307" s="14">
        <v>5.7142857142857143E-3</v>
      </c>
      <c r="FJ307" s="14">
        <v>5.7142857142857143E-3</v>
      </c>
      <c r="FK307" s="14">
        <v>5.7142857142857143E-3</v>
      </c>
      <c r="FL307" s="14">
        <v>5.7142857142857143E-3</v>
      </c>
      <c r="FM307" s="13">
        <f>0.2/2</f>
        <v>0.1</v>
      </c>
      <c r="FN307" s="13">
        <f>0.2/2</f>
        <v>0.1</v>
      </c>
      <c r="FO307" s="12">
        <v>0.6</v>
      </c>
      <c r="FP307" s="14">
        <v>5.7142857142857143E-3</v>
      </c>
      <c r="FQ307" s="14">
        <v>5.7142857142857143E-3</v>
      </c>
      <c r="FR307" s="14">
        <v>5.7142857142857143E-3</v>
      </c>
      <c r="FS307" s="14">
        <v>5.7142857142857143E-3</v>
      </c>
      <c r="FT307" s="14">
        <v>5.8823529411764705E-3</v>
      </c>
      <c r="FU307" s="14">
        <v>5.7142857142857143E-3</v>
      </c>
      <c r="FV307" s="14">
        <v>5.7142857142857143E-3</v>
      </c>
      <c r="FW307" s="14">
        <v>4.5454545454545461E-3</v>
      </c>
      <c r="FX307" s="14">
        <v>4.5454545454545461E-3</v>
      </c>
      <c r="FY307" s="14">
        <v>5.7142857142857143E-3</v>
      </c>
      <c r="FZ307" s="14">
        <v>7.1428571428571435E-3</v>
      </c>
      <c r="GA307" s="14">
        <v>5.7142857142857143E-3</v>
      </c>
      <c r="GB307" s="14">
        <v>5.7142857142857143E-3</v>
      </c>
      <c r="GC307" s="14">
        <v>5.7142857142857143E-3</v>
      </c>
      <c r="GD307" s="14">
        <v>7.1428571428571435E-3</v>
      </c>
      <c r="GE307" s="14">
        <v>7.1428571428571435E-3</v>
      </c>
      <c r="GF307" s="14">
        <v>4.6511627906976744E-3</v>
      </c>
      <c r="GG307" s="14">
        <v>4.6511627906976744E-3</v>
      </c>
      <c r="GH307" s="15">
        <v>4.6511627906976744E-3</v>
      </c>
    </row>
    <row r="308" spans="1:190" x14ac:dyDescent="0.3">
      <c r="A308" s="35" t="s">
        <v>43</v>
      </c>
      <c r="B308" s="16" t="s">
        <v>62</v>
      </c>
      <c r="C308" s="14" t="s">
        <v>62</v>
      </c>
      <c r="D308" s="14">
        <f>IF(Distances!EC147&lt;&gt;0,(BP308+Distances!EC147*3)*EB308*D265*2,"")</f>
        <v>21736.544310000001</v>
      </c>
      <c r="E308" s="14" t="s">
        <v>62</v>
      </c>
      <c r="F308" s="14">
        <f>IF(Distances!EE147&lt;&gt;0,(BR308+Distances!EE147*3)*ED308*F265*2,"")</f>
        <v>5882.9752799999987</v>
      </c>
      <c r="G308" s="14">
        <f>IF(Distances!EF147&lt;&gt;0,(BS308+Distances!EF147*3)*EE308*G265*2,"")</f>
        <v>26306.869049999998</v>
      </c>
      <c r="H308" s="14" t="s">
        <v>62</v>
      </c>
      <c r="I308" s="14" t="s">
        <v>62</v>
      </c>
      <c r="J308" s="14">
        <f>IF(Distances!EI147&lt;&gt;0,(BV308+Distances!EI147*3)*EH308*J265*2,"")</f>
        <v>185.17872</v>
      </c>
      <c r="K308" s="14" t="s">
        <v>62</v>
      </c>
      <c r="L308" s="14" t="s">
        <v>62</v>
      </c>
      <c r="M308" s="14" t="s">
        <v>62</v>
      </c>
      <c r="N308" s="14" t="s">
        <v>62</v>
      </c>
      <c r="O308" s="14" t="s">
        <v>62</v>
      </c>
      <c r="P308" s="14" t="s">
        <v>62</v>
      </c>
      <c r="Q308" s="14" t="s">
        <v>62</v>
      </c>
      <c r="R308" s="14" t="s">
        <v>62</v>
      </c>
      <c r="S308" s="14" t="s">
        <v>62</v>
      </c>
      <c r="T308" s="14">
        <f>IF(Distances!ES147&lt;&gt;0,(CF308+Distances!ES147*3)*ER308*T265*2,"")</f>
        <v>189.83771999999999</v>
      </c>
      <c r="U308" s="14">
        <f>IF(Distances!ET147&lt;&gt;0,(CG308+Distances!ET147*3)*ES308*U265*2,"")</f>
        <v>198.63324</v>
      </c>
      <c r="V308" s="14">
        <f>IF(Distances!EU147&lt;&gt;0,(CH308+Distances!EU147*3)*ET308*V265*2,"")</f>
        <v>2538.2980800000005</v>
      </c>
      <c r="W308" s="14" t="s">
        <v>62</v>
      </c>
      <c r="X308" s="14">
        <f>IF(Distances!EW147&lt;&gt;0,(CJ308+Distances!EW147*3)*EV308*X265*2,"")</f>
        <v>1539.1890857142857</v>
      </c>
      <c r="Y308" s="14">
        <f>IF(Distances!EX147&lt;&gt;0,(CK308+Distances!EX147*3)*EW308*Y265*2,"")</f>
        <v>1663.4211085714289</v>
      </c>
      <c r="Z308" s="14">
        <f>IF(Distances!EY147&lt;&gt;0,(CL308+Distances!EY147*3)*EX308*Z265*2,"")</f>
        <v>38.658102857142858</v>
      </c>
      <c r="AA308" s="14">
        <f>IF(Distances!EZ147&lt;&gt;0,(CM308+Distances!EZ147*3)*EY308*AA265*2,"")</f>
        <v>43.51134857142857</v>
      </c>
      <c r="AB308" s="14">
        <f>IF(Distances!FA147&lt;&gt;0,(CN308+Distances!FA147*3)*EZ308*AB265*2,"")</f>
        <v>63.640937142857148</v>
      </c>
      <c r="AC308" s="14" t="s">
        <v>62</v>
      </c>
      <c r="AD308" s="14" t="s">
        <v>62</v>
      </c>
      <c r="AE308" s="14">
        <f>IF(Distances!FD147&lt;&gt;0,(CQ308+Distances!FD147*3)*FC308*AE265*2,"")</f>
        <v>128.76466285714284</v>
      </c>
      <c r="AF308" s="14">
        <f>IF(Distances!FE147&lt;&gt;0,(CR308+Distances!FE147*3)*FD308*AF265*2,"")</f>
        <v>251.70075428571428</v>
      </c>
      <c r="AG308" s="14">
        <f>IF(Distances!FF147&lt;&gt;0,(CS308+Distances!FF147*3)*FE308*AG265*2,"")</f>
        <v>194.03218285714289</v>
      </c>
      <c r="AH308" s="13">
        <f>IF(Distances!FG147&lt;&gt;0,(CT308+Distances!FG147*3)*FF308*AH265*2,"")</f>
        <v>212.90992000000003</v>
      </c>
      <c r="AI308" s="13" t="s">
        <v>62</v>
      </c>
      <c r="AJ308" s="13">
        <f>IF(Distances!FI147&lt;&gt;0,(CV308+Distances!FI147*3)*FH308*AJ265*2,"")</f>
        <v>159.09658666666667</v>
      </c>
      <c r="AK308" s="13" t="s">
        <v>62</v>
      </c>
      <c r="AL308" s="13" t="s">
        <v>62</v>
      </c>
      <c r="AM308" s="13" t="s">
        <v>62</v>
      </c>
      <c r="AN308" s="13">
        <f>IF(Distances!FM147&lt;&gt;0,(CZ308+Distances!FM147*3)*FL308*AN265*2,"")</f>
        <v>2104.7903999999999</v>
      </c>
      <c r="AO308" s="14" t="s">
        <v>62</v>
      </c>
      <c r="AP308" s="14" t="s">
        <v>62</v>
      </c>
      <c r="AQ308" s="14" t="s">
        <v>62</v>
      </c>
      <c r="AR308" s="12" t="s">
        <v>62</v>
      </c>
      <c r="AS308" s="13" t="s">
        <v>62</v>
      </c>
      <c r="AT308" s="13" t="s">
        <v>62</v>
      </c>
      <c r="AU308" s="13">
        <f>IF(Distances!FT147&lt;&gt;0,(DG308+Distances!FT147*3)*FS308*AU265*2,"")</f>
        <v>339.04639999999995</v>
      </c>
      <c r="AV308" s="13">
        <f>IF(Distances!FU147&lt;&gt;0,(DH308+Distances!FU147*3)*FT308*AV265*2,"")</f>
        <v>677.28839999999991</v>
      </c>
      <c r="AW308" s="13">
        <f>IF(Distances!FV147&lt;&gt;0,(DI308+Distances!FV147*3)*FU308*AW265*2,"")</f>
        <v>3246.6093333333333</v>
      </c>
      <c r="AX308" s="13" t="s">
        <v>62</v>
      </c>
      <c r="AY308" s="14" t="s">
        <v>62</v>
      </c>
      <c r="AZ308" s="14">
        <f>IF(Distances!FY147&lt;&gt;0,(DL308+Distances!FY147*3)*FX308*AZ265*2,"")</f>
        <v>154.0816581818182</v>
      </c>
      <c r="BA308" s="13" t="s">
        <v>62</v>
      </c>
      <c r="BB308" s="14" t="s">
        <v>62</v>
      </c>
      <c r="BC308" s="13" t="s">
        <v>62</v>
      </c>
      <c r="BD308" s="13">
        <f>IF(Distances!GC147&lt;&gt;0,(DP308+Distances!GC147*3)*GB308*BD265*2,"")</f>
        <v>1096.3319466666665</v>
      </c>
      <c r="BE308" s="13" t="s">
        <v>62</v>
      </c>
      <c r="BF308" s="14">
        <f>IF(Distances!GE147&lt;&gt;0,(DR308+Distances!GE147*3)*GD308*BF265*2,"")</f>
        <v>280.51659428571429</v>
      </c>
      <c r="BG308" s="14" t="s">
        <v>62</v>
      </c>
      <c r="BH308" s="14" t="s">
        <v>62</v>
      </c>
      <c r="BI308" s="14" t="s">
        <v>62</v>
      </c>
      <c r="BJ308" s="15" t="s">
        <v>62</v>
      </c>
      <c r="BM308" s="35" t="s">
        <v>43</v>
      </c>
      <c r="BN308" s="16">
        <v>2453.3292000000001</v>
      </c>
      <c r="BO308" s="14">
        <v>1881.9779999999998</v>
      </c>
      <c r="BP308" s="14">
        <v>2016.9324000000001</v>
      </c>
      <c r="BQ308" s="14">
        <v>2016.9324000000001</v>
      </c>
      <c r="BR308" s="14">
        <v>2136.6911999999998</v>
      </c>
      <c r="BS308" s="14">
        <v>1543.962</v>
      </c>
      <c r="BT308" s="14">
        <v>1649.1887999999999</v>
      </c>
      <c r="BU308" s="14">
        <v>1543.962</v>
      </c>
      <c r="BV308" s="14">
        <v>2096.7743999999998</v>
      </c>
      <c r="BW308" s="14">
        <v>2096.7743999999998</v>
      </c>
      <c r="BX308" s="14">
        <v>1665.3503999999998</v>
      </c>
      <c r="BY308" s="14">
        <v>1665.3503999999998</v>
      </c>
      <c r="BZ308" s="14">
        <v>1993.7231999999999</v>
      </c>
      <c r="CA308" s="14">
        <v>1481.3987999999999</v>
      </c>
      <c r="CB308" s="14">
        <v>2803.5084000000002</v>
      </c>
      <c r="CC308" s="14">
        <v>1253.7336</v>
      </c>
      <c r="CD308" s="14">
        <v>1241.9148</v>
      </c>
      <c r="CE308" s="14">
        <v>1277.3628000000001</v>
      </c>
      <c r="CF308" s="14">
        <v>1218.2772</v>
      </c>
      <c r="CG308" s="14">
        <v>1027.8323999999998</v>
      </c>
      <c r="CH308" s="14">
        <v>1522.0632000000001</v>
      </c>
      <c r="CI308" s="14">
        <v>1230.096</v>
      </c>
      <c r="CJ308" s="14">
        <v>1451.1419999999998</v>
      </c>
      <c r="CK308" s="14">
        <v>1218.2772</v>
      </c>
      <c r="CL308" s="14">
        <v>1119.3335999999999</v>
      </c>
      <c r="CM308" s="14">
        <v>1098.9971999999998</v>
      </c>
      <c r="CN308" s="14">
        <v>1058.3328000000001</v>
      </c>
      <c r="CO308" s="14">
        <v>1048.1687999999999</v>
      </c>
      <c r="CP308" s="14">
        <v>1451.1419999999998</v>
      </c>
      <c r="CQ308" s="14">
        <v>1522.0632000000001</v>
      </c>
      <c r="CR308" s="14">
        <v>1522.0632000000001</v>
      </c>
      <c r="CS308" s="14">
        <v>1522.0632000000001</v>
      </c>
      <c r="CT308" s="13">
        <v>631.8732</v>
      </c>
      <c r="CU308" s="13">
        <v>614.77919999999995</v>
      </c>
      <c r="CV308" s="13">
        <v>631.8732</v>
      </c>
      <c r="CW308" s="13">
        <v>632.6543999999999</v>
      </c>
      <c r="CX308" s="13">
        <v>413.19599999999997</v>
      </c>
      <c r="CY308" s="13">
        <v>413.19599999999997</v>
      </c>
      <c r="CZ308" s="13">
        <v>413.19599999999997</v>
      </c>
      <c r="DA308" s="14">
        <v>943.02600000000007</v>
      </c>
      <c r="DB308" s="14">
        <v>961.31280000000004</v>
      </c>
      <c r="DC308" s="14">
        <v>1085.5572</v>
      </c>
      <c r="DD308" s="12">
        <v>0</v>
      </c>
      <c r="DE308" s="13">
        <v>0</v>
      </c>
      <c r="DF308" s="13">
        <v>0</v>
      </c>
      <c r="DG308" s="13">
        <v>413.19599999999997</v>
      </c>
      <c r="DH308" s="13">
        <v>1451.1419999999998</v>
      </c>
      <c r="DI308" s="13">
        <v>1451.1419999999998</v>
      </c>
      <c r="DJ308" s="13">
        <v>421.05</v>
      </c>
      <c r="DK308" s="14">
        <v>0</v>
      </c>
      <c r="DL308" s="14">
        <v>2849.1455999999998</v>
      </c>
      <c r="DM308" s="13">
        <v>1454.7287999999999</v>
      </c>
      <c r="DN308" s="14">
        <v>1424.0352</v>
      </c>
      <c r="DO308" s="13">
        <v>393.56519999999995</v>
      </c>
      <c r="DP308" s="13">
        <v>421.05839999999995</v>
      </c>
      <c r="DQ308" s="13">
        <v>417.11879999999996</v>
      </c>
      <c r="DR308" s="14">
        <v>2013.7403999999999</v>
      </c>
      <c r="DS308" s="14">
        <v>1493.8896</v>
      </c>
      <c r="DT308" s="14">
        <v>2804.7683999999999</v>
      </c>
      <c r="DU308" s="14">
        <v>2101.9739999999997</v>
      </c>
      <c r="DV308" s="15">
        <v>2101.9739999999997</v>
      </c>
      <c r="DY308" s="35" t="s">
        <v>43</v>
      </c>
      <c r="DZ308" s="16">
        <v>6.2500000000000003E-3</v>
      </c>
      <c r="EA308" s="14">
        <v>6.2500000000000003E-3</v>
      </c>
      <c r="EB308" s="14">
        <v>6.2500000000000003E-3</v>
      </c>
      <c r="EC308" s="14">
        <v>6.2500000000000003E-3</v>
      </c>
      <c r="ED308" s="14">
        <v>6.2500000000000003E-3</v>
      </c>
      <c r="EE308" s="14">
        <v>6.2500000000000003E-3</v>
      </c>
      <c r="EF308" s="14">
        <v>6.2500000000000003E-3</v>
      </c>
      <c r="EG308" s="14">
        <v>6.2500000000000003E-3</v>
      </c>
      <c r="EH308" s="14">
        <v>6.2500000000000003E-3</v>
      </c>
      <c r="EI308" s="14">
        <v>6.2500000000000003E-3</v>
      </c>
      <c r="EJ308" s="14">
        <v>6.2500000000000003E-3</v>
      </c>
      <c r="EK308" s="14">
        <v>6.2500000000000003E-3</v>
      </c>
      <c r="EL308" s="14">
        <v>6.2500000000000003E-3</v>
      </c>
      <c r="EM308" s="14">
        <v>4.6511627906976744E-3</v>
      </c>
      <c r="EN308" s="14">
        <v>4.6511627906976744E-3</v>
      </c>
      <c r="EO308" s="14">
        <v>7.1428571428571435E-3</v>
      </c>
      <c r="EP308" s="14">
        <v>7.1428571428571435E-3</v>
      </c>
      <c r="EQ308" s="14">
        <v>7.1428571428571435E-3</v>
      </c>
      <c r="ER308" s="14">
        <v>7.1428571428571435E-3</v>
      </c>
      <c r="ES308" s="14">
        <v>7.1428571428571435E-3</v>
      </c>
      <c r="ET308" s="14">
        <v>7.1428571428571435E-3</v>
      </c>
      <c r="EU308" s="14">
        <v>7.1428571428571435E-3</v>
      </c>
      <c r="EV308" s="14">
        <v>7.1428571428571435E-3</v>
      </c>
      <c r="EW308" s="14">
        <v>7.1428571428571435E-3</v>
      </c>
      <c r="EX308" s="14">
        <v>7.1428571428571435E-3</v>
      </c>
      <c r="EY308" s="14">
        <v>7.1428571428571435E-3</v>
      </c>
      <c r="EZ308" s="14">
        <v>7.1428571428571435E-3</v>
      </c>
      <c r="FA308" s="14">
        <v>7.1428571428571435E-3</v>
      </c>
      <c r="FB308" s="14">
        <v>7.1428571428571435E-3</v>
      </c>
      <c r="FC308" s="14">
        <v>7.1428571428571435E-3</v>
      </c>
      <c r="FD308" s="14">
        <v>7.1428571428571435E-3</v>
      </c>
      <c r="FE308" s="14">
        <v>7.1428571428571435E-3</v>
      </c>
      <c r="FF308" s="13">
        <v>2.2222222222222223E-2</v>
      </c>
      <c r="FG308" s="13">
        <v>2.2222222222222223E-2</v>
      </c>
      <c r="FH308" s="13">
        <v>2.2222222222222223E-2</v>
      </c>
      <c r="FI308" s="13">
        <v>2.2222222222222223E-2</v>
      </c>
      <c r="FJ308" s="13">
        <v>2.2222222222222223E-2</v>
      </c>
      <c r="FK308" s="13">
        <v>2.2222222222222223E-2</v>
      </c>
      <c r="FL308" s="13">
        <v>2.2222222222222223E-2</v>
      </c>
      <c r="FM308" s="14">
        <v>4.7619047619047623E-3</v>
      </c>
      <c r="FN308" s="14">
        <v>4.7619047619047623E-3</v>
      </c>
      <c r="FO308" s="14">
        <v>4.7619047619047623E-3</v>
      </c>
      <c r="FP308" s="12">
        <v>0.6</v>
      </c>
      <c r="FQ308" s="13">
        <f>0.2/9</f>
        <v>2.2222222222222223E-2</v>
      </c>
      <c r="FR308" s="13">
        <f>0.2/9</f>
        <v>2.2222222222222223E-2</v>
      </c>
      <c r="FS308" s="13">
        <v>2.2222222222222223E-2</v>
      </c>
      <c r="FT308" s="13">
        <v>0.02</v>
      </c>
      <c r="FU308" s="13">
        <v>2.2222222222222223E-2</v>
      </c>
      <c r="FV308" s="13">
        <v>2.2222222222222223E-2</v>
      </c>
      <c r="FW308" s="14">
        <v>4.5454545454545461E-3</v>
      </c>
      <c r="FX308" s="14">
        <v>4.5454545454545461E-3</v>
      </c>
      <c r="FY308" s="13">
        <f>0.2/9</f>
        <v>2.2222222222222223E-2</v>
      </c>
      <c r="FZ308" s="14">
        <v>7.1428571428571435E-3</v>
      </c>
      <c r="GA308" s="13">
        <v>2.2222222222222223E-2</v>
      </c>
      <c r="GB308" s="13">
        <v>2.2222222222222223E-2</v>
      </c>
      <c r="GC308" s="13">
        <v>2.2222222222222223E-2</v>
      </c>
      <c r="GD308" s="14">
        <v>7.1428571428571435E-3</v>
      </c>
      <c r="GE308" s="14">
        <v>7.1428571428571435E-3</v>
      </c>
      <c r="GF308" s="14">
        <v>4.6511627906976744E-3</v>
      </c>
      <c r="GG308" s="14">
        <v>4.6511627906976744E-3</v>
      </c>
      <c r="GH308" s="15">
        <v>4.6511627906976744E-3</v>
      </c>
    </row>
    <row r="309" spans="1:190" x14ac:dyDescent="0.3">
      <c r="A309" s="35" t="s">
        <v>44</v>
      </c>
      <c r="B309" s="16" t="s">
        <v>62</v>
      </c>
      <c r="C309" s="14" t="s">
        <v>62</v>
      </c>
      <c r="D309" s="14">
        <f>IF(Distances!EC148&lt;&gt;0,(BP309+Distances!EC148*3)*EB309*D265*2,"")</f>
        <v>21736.544310000001</v>
      </c>
      <c r="E309" s="14" t="s">
        <v>62</v>
      </c>
      <c r="F309" s="14">
        <f>IF(Distances!EE148&lt;&gt;0,(BR309+Distances!EE148*3)*ED309*F265*2,"")</f>
        <v>5882.9752799999987</v>
      </c>
      <c r="G309" s="14">
        <f>IF(Distances!EF148&lt;&gt;0,(BS309+Distances!EF148*3)*EE309*G265*2,"")</f>
        <v>26306.869049999998</v>
      </c>
      <c r="H309" s="14" t="s">
        <v>62</v>
      </c>
      <c r="I309" s="14" t="s">
        <v>62</v>
      </c>
      <c r="J309" s="14">
        <f>IF(Distances!EI148&lt;&gt;0,(BV309+Distances!EI148*3)*EH309*J265*2,"")</f>
        <v>185.17872</v>
      </c>
      <c r="K309" s="14" t="s">
        <v>62</v>
      </c>
      <c r="L309" s="14" t="s">
        <v>62</v>
      </c>
      <c r="M309" s="14" t="s">
        <v>62</v>
      </c>
      <c r="N309" s="14" t="s">
        <v>62</v>
      </c>
      <c r="O309" s="14" t="s">
        <v>62</v>
      </c>
      <c r="P309" s="14" t="s">
        <v>62</v>
      </c>
      <c r="Q309" s="14" t="s">
        <v>62</v>
      </c>
      <c r="R309" s="14" t="s">
        <v>62</v>
      </c>
      <c r="S309" s="14" t="s">
        <v>62</v>
      </c>
      <c r="T309" s="14">
        <f>IF(Distances!ES148&lt;&gt;0,(CF309+Distances!ES148*3)*ER309*T265*2,"")</f>
        <v>189.83771999999999</v>
      </c>
      <c r="U309" s="14">
        <f>IF(Distances!ET148&lt;&gt;0,(CG309+Distances!ET148*3)*ES309*U265*2,"")</f>
        <v>198.63324</v>
      </c>
      <c r="V309" s="14">
        <f>IF(Distances!EU148&lt;&gt;0,(CH309+Distances!EU148*3)*ET309*V265*2,"")</f>
        <v>2538.2980800000005</v>
      </c>
      <c r="W309" s="14" t="s">
        <v>62</v>
      </c>
      <c r="X309" s="14">
        <f>IF(Distances!EW148&lt;&gt;0,(CJ309+Distances!EW148*3)*EV309*X265*2,"")</f>
        <v>1539.1890857142857</v>
      </c>
      <c r="Y309" s="14">
        <f>IF(Distances!EX148&lt;&gt;0,(CK309+Distances!EX148*3)*EW309*Y265*2,"")</f>
        <v>1663.4211085714289</v>
      </c>
      <c r="Z309" s="14">
        <f>IF(Distances!EY148&lt;&gt;0,(CL309+Distances!EY148*3)*EX309*Z265*2,"")</f>
        <v>38.658102857142858</v>
      </c>
      <c r="AA309" s="14">
        <f>IF(Distances!EZ148&lt;&gt;0,(CM309+Distances!EZ148*3)*EY309*AA265*2,"")</f>
        <v>43.51134857142857</v>
      </c>
      <c r="AB309" s="14">
        <f>IF(Distances!FA148&lt;&gt;0,(CN309+Distances!FA148*3)*EZ309*AB265*2,"")</f>
        <v>63.640937142857148</v>
      </c>
      <c r="AC309" s="14" t="s">
        <v>62</v>
      </c>
      <c r="AD309" s="14" t="s">
        <v>62</v>
      </c>
      <c r="AE309" s="14">
        <f>IF(Distances!FD148&lt;&gt;0,(CQ309+Distances!FD148*3)*FC309*AE265*2,"")</f>
        <v>128.76466285714284</v>
      </c>
      <c r="AF309" s="14">
        <f>IF(Distances!FE148&lt;&gt;0,(CR309+Distances!FE148*3)*FD309*AF265*2,"")</f>
        <v>251.70075428571428</v>
      </c>
      <c r="AG309" s="14">
        <f>IF(Distances!FF148&lt;&gt;0,(CS309+Distances!FF148*3)*FE309*AG265*2,"")</f>
        <v>194.03218285714289</v>
      </c>
      <c r="AH309" s="13">
        <f>IF(Distances!FG148&lt;&gt;0,(CT309+Distances!FG148*3)*FF309*AH265*2,"")</f>
        <v>212.90992000000003</v>
      </c>
      <c r="AI309" s="13" t="s">
        <v>62</v>
      </c>
      <c r="AJ309" s="13">
        <f>IF(Distances!FI148&lt;&gt;0,(CV309+Distances!FI148*3)*FH309*AJ265*2,"")</f>
        <v>159.09658666666667</v>
      </c>
      <c r="AK309" s="13" t="s">
        <v>62</v>
      </c>
      <c r="AL309" s="13" t="s">
        <v>62</v>
      </c>
      <c r="AM309" s="13" t="s">
        <v>62</v>
      </c>
      <c r="AN309" s="13">
        <f>IF(Distances!FM148&lt;&gt;0,(CZ309+Distances!FM148*3)*FL309*AN265*2,"")</f>
        <v>2104.7903999999999</v>
      </c>
      <c r="AO309" s="14" t="s">
        <v>62</v>
      </c>
      <c r="AP309" s="14" t="s">
        <v>62</v>
      </c>
      <c r="AQ309" s="14" t="s">
        <v>62</v>
      </c>
      <c r="AR309" s="13" t="s">
        <v>62</v>
      </c>
      <c r="AS309" s="12" t="s">
        <v>62</v>
      </c>
      <c r="AT309" s="13" t="s">
        <v>62</v>
      </c>
      <c r="AU309" s="13">
        <f>IF(Distances!FT148&lt;&gt;0,(DG309+Distances!FT148*3)*FS309*AU265*2,"")</f>
        <v>339.04639999999995</v>
      </c>
      <c r="AV309" s="13">
        <f>IF(Distances!FU148&lt;&gt;0,(DH309+Distances!FU148*3)*FT309*AV265*2,"")</f>
        <v>677.28839999999991</v>
      </c>
      <c r="AW309" s="13">
        <f>IF(Distances!FV148&lt;&gt;0,(DI309+Distances!FV148*3)*FU309*AW265*2,"")</f>
        <v>3246.6093333333333</v>
      </c>
      <c r="AX309" s="13" t="s">
        <v>62</v>
      </c>
      <c r="AY309" s="12" t="s">
        <v>62</v>
      </c>
      <c r="AZ309" s="12">
        <f>IF(Distances!FY148&lt;&gt;0,(DL309+Distances!FY148*3)*FX309*AZ265*2,"")</f>
        <v>27118.371840000003</v>
      </c>
      <c r="BA309" s="13" t="s">
        <v>62</v>
      </c>
      <c r="BB309" s="14" t="s">
        <v>62</v>
      </c>
      <c r="BC309" s="13" t="s">
        <v>62</v>
      </c>
      <c r="BD309" s="13">
        <f>IF(Distances!GC148&lt;&gt;0,(DP309+Distances!GC148*3)*GB309*BD265*2,"")</f>
        <v>1096.3319466666665</v>
      </c>
      <c r="BE309" s="13" t="s">
        <v>62</v>
      </c>
      <c r="BF309" s="14">
        <f>IF(Distances!GE148&lt;&gt;0,(DR309+Distances!GE148*3)*GD309*BF265*2,"")</f>
        <v>280.51659428571429</v>
      </c>
      <c r="BG309" s="14" t="s">
        <v>62</v>
      </c>
      <c r="BH309" s="14" t="s">
        <v>62</v>
      </c>
      <c r="BI309" s="14" t="s">
        <v>62</v>
      </c>
      <c r="BJ309" s="15" t="s">
        <v>62</v>
      </c>
      <c r="BM309" s="35" t="s">
        <v>44</v>
      </c>
      <c r="BN309" s="16">
        <v>2453.3292000000001</v>
      </c>
      <c r="BO309" s="14">
        <v>1881.9779999999998</v>
      </c>
      <c r="BP309" s="14">
        <v>2016.9324000000001</v>
      </c>
      <c r="BQ309" s="14">
        <v>2016.9324000000001</v>
      </c>
      <c r="BR309" s="14">
        <v>2136.6911999999998</v>
      </c>
      <c r="BS309" s="14">
        <v>1543.962</v>
      </c>
      <c r="BT309" s="14">
        <v>1649.1887999999999</v>
      </c>
      <c r="BU309" s="14">
        <v>1543.962</v>
      </c>
      <c r="BV309" s="14">
        <v>2096.7743999999998</v>
      </c>
      <c r="BW309" s="14">
        <v>2096.7743999999998</v>
      </c>
      <c r="BX309" s="14">
        <v>1665.3503999999998</v>
      </c>
      <c r="BY309" s="14">
        <v>1665.3503999999998</v>
      </c>
      <c r="BZ309" s="14">
        <v>1993.7231999999999</v>
      </c>
      <c r="CA309" s="14">
        <v>1481.3987999999999</v>
      </c>
      <c r="CB309" s="14">
        <v>2803.5084000000002</v>
      </c>
      <c r="CC309" s="14">
        <v>1253.7336</v>
      </c>
      <c r="CD309" s="14">
        <v>1241.9148</v>
      </c>
      <c r="CE309" s="14">
        <v>1277.3628000000001</v>
      </c>
      <c r="CF309" s="14">
        <v>1218.2772</v>
      </c>
      <c r="CG309" s="14">
        <v>1027.8323999999998</v>
      </c>
      <c r="CH309" s="14">
        <v>1522.0632000000001</v>
      </c>
      <c r="CI309" s="14">
        <v>1230.096</v>
      </c>
      <c r="CJ309" s="14">
        <v>1451.1419999999998</v>
      </c>
      <c r="CK309" s="14">
        <v>1218.2772</v>
      </c>
      <c r="CL309" s="14">
        <v>1119.3335999999999</v>
      </c>
      <c r="CM309" s="14">
        <v>1098.9971999999998</v>
      </c>
      <c r="CN309" s="14">
        <v>1058.3328000000001</v>
      </c>
      <c r="CO309" s="14">
        <v>1048.1687999999999</v>
      </c>
      <c r="CP309" s="14">
        <v>1451.1419999999998</v>
      </c>
      <c r="CQ309" s="14">
        <v>1522.0632000000001</v>
      </c>
      <c r="CR309" s="14">
        <v>1522.0632000000001</v>
      </c>
      <c r="CS309" s="14">
        <v>1522.0632000000001</v>
      </c>
      <c r="CT309" s="13">
        <v>631.8732</v>
      </c>
      <c r="CU309" s="13">
        <v>614.77919999999995</v>
      </c>
      <c r="CV309" s="13">
        <v>631.8732</v>
      </c>
      <c r="CW309" s="13">
        <v>632.6543999999999</v>
      </c>
      <c r="CX309" s="13">
        <v>413.19599999999997</v>
      </c>
      <c r="CY309" s="13">
        <v>413.19599999999997</v>
      </c>
      <c r="CZ309" s="13">
        <v>413.19599999999997</v>
      </c>
      <c r="DA309" s="14">
        <v>943.02600000000007</v>
      </c>
      <c r="DB309" s="14">
        <v>961.31280000000004</v>
      </c>
      <c r="DC309" s="14">
        <v>1085.5572</v>
      </c>
      <c r="DD309" s="13">
        <v>0</v>
      </c>
      <c r="DE309" s="12">
        <v>0</v>
      </c>
      <c r="DF309" s="13">
        <v>0</v>
      </c>
      <c r="DG309" s="13">
        <v>413.19599999999997</v>
      </c>
      <c r="DH309" s="13">
        <v>1451.1419999999998</v>
      </c>
      <c r="DI309" s="13">
        <v>1451.1419999999998</v>
      </c>
      <c r="DJ309" s="13">
        <v>421.05</v>
      </c>
      <c r="DK309" s="12">
        <v>0</v>
      </c>
      <c r="DL309" s="12">
        <v>2849.1455999999998</v>
      </c>
      <c r="DM309" s="13">
        <v>1454.7287999999999</v>
      </c>
      <c r="DN309" s="14">
        <v>1424.0352</v>
      </c>
      <c r="DO309" s="13">
        <v>393.56519999999995</v>
      </c>
      <c r="DP309" s="13">
        <v>421.05839999999995</v>
      </c>
      <c r="DQ309" s="13">
        <v>417.11879999999996</v>
      </c>
      <c r="DR309" s="14">
        <v>2013.7403999999999</v>
      </c>
      <c r="DS309" s="14">
        <v>1493.8896</v>
      </c>
      <c r="DT309" s="14">
        <v>2804.7683999999999</v>
      </c>
      <c r="DU309" s="14">
        <v>2101.9739999999997</v>
      </c>
      <c r="DV309" s="15">
        <v>2101.9739999999997</v>
      </c>
      <c r="DY309" s="35" t="s">
        <v>44</v>
      </c>
      <c r="DZ309" s="16">
        <v>6.2500000000000003E-3</v>
      </c>
      <c r="EA309" s="14">
        <v>6.2500000000000003E-3</v>
      </c>
      <c r="EB309" s="14">
        <v>6.2500000000000003E-3</v>
      </c>
      <c r="EC309" s="14">
        <v>6.2500000000000003E-3</v>
      </c>
      <c r="ED309" s="14">
        <v>6.2500000000000003E-3</v>
      </c>
      <c r="EE309" s="14">
        <v>6.2500000000000003E-3</v>
      </c>
      <c r="EF309" s="14">
        <v>6.2500000000000003E-3</v>
      </c>
      <c r="EG309" s="14">
        <v>6.2500000000000003E-3</v>
      </c>
      <c r="EH309" s="14">
        <v>6.2500000000000003E-3</v>
      </c>
      <c r="EI309" s="14">
        <v>6.2500000000000003E-3</v>
      </c>
      <c r="EJ309" s="14">
        <v>6.2500000000000003E-3</v>
      </c>
      <c r="EK309" s="14">
        <v>6.2500000000000003E-3</v>
      </c>
      <c r="EL309" s="14">
        <v>6.2500000000000003E-3</v>
      </c>
      <c r="EM309" s="14">
        <v>4.6511627906976744E-3</v>
      </c>
      <c r="EN309" s="14">
        <v>4.6511627906976744E-3</v>
      </c>
      <c r="EO309" s="14">
        <v>7.1428571428571435E-3</v>
      </c>
      <c r="EP309" s="14">
        <v>7.1428571428571435E-3</v>
      </c>
      <c r="EQ309" s="14">
        <v>7.1428571428571435E-3</v>
      </c>
      <c r="ER309" s="14">
        <v>7.1428571428571435E-3</v>
      </c>
      <c r="ES309" s="14">
        <v>7.1428571428571435E-3</v>
      </c>
      <c r="ET309" s="14">
        <v>7.1428571428571435E-3</v>
      </c>
      <c r="EU309" s="14">
        <v>7.1428571428571435E-3</v>
      </c>
      <c r="EV309" s="14">
        <v>7.1428571428571435E-3</v>
      </c>
      <c r="EW309" s="14">
        <v>7.1428571428571435E-3</v>
      </c>
      <c r="EX309" s="14">
        <v>7.1428571428571435E-3</v>
      </c>
      <c r="EY309" s="14">
        <v>7.1428571428571435E-3</v>
      </c>
      <c r="EZ309" s="14">
        <v>7.1428571428571435E-3</v>
      </c>
      <c r="FA309" s="14">
        <v>7.1428571428571435E-3</v>
      </c>
      <c r="FB309" s="14">
        <v>7.1428571428571435E-3</v>
      </c>
      <c r="FC309" s="14">
        <v>7.1428571428571435E-3</v>
      </c>
      <c r="FD309" s="14">
        <v>7.1428571428571435E-3</v>
      </c>
      <c r="FE309" s="14">
        <v>7.1428571428571435E-3</v>
      </c>
      <c r="FF309" s="13">
        <v>2.2222222222222223E-2</v>
      </c>
      <c r="FG309" s="13">
        <v>2.2222222222222223E-2</v>
      </c>
      <c r="FH309" s="13">
        <v>2.2222222222222223E-2</v>
      </c>
      <c r="FI309" s="13">
        <v>2.2222222222222223E-2</v>
      </c>
      <c r="FJ309" s="13">
        <v>2.2222222222222223E-2</v>
      </c>
      <c r="FK309" s="13">
        <v>2.2222222222222223E-2</v>
      </c>
      <c r="FL309" s="13">
        <v>2.2222222222222223E-2</v>
      </c>
      <c r="FM309" s="14">
        <v>4.7619047619047623E-3</v>
      </c>
      <c r="FN309" s="14">
        <v>4.7619047619047623E-3</v>
      </c>
      <c r="FO309" s="14">
        <v>4.7619047619047623E-3</v>
      </c>
      <c r="FP309" s="13">
        <v>2.2222222222222223E-2</v>
      </c>
      <c r="FQ309" s="12">
        <v>0.6</v>
      </c>
      <c r="FR309" s="13">
        <f>0.2/9</f>
        <v>2.2222222222222223E-2</v>
      </c>
      <c r="FS309" s="13">
        <v>2.2222222222222223E-2</v>
      </c>
      <c r="FT309" s="13">
        <v>0.02</v>
      </c>
      <c r="FU309" s="13">
        <v>2.2222222222222223E-2</v>
      </c>
      <c r="FV309" s="13">
        <v>2.2222222222222223E-2</v>
      </c>
      <c r="FW309" s="12">
        <v>0.8</v>
      </c>
      <c r="FX309" s="12">
        <v>0.8</v>
      </c>
      <c r="FY309" s="13">
        <f>0.2/9</f>
        <v>2.2222222222222223E-2</v>
      </c>
      <c r="FZ309" s="14">
        <v>7.1428571428571435E-3</v>
      </c>
      <c r="GA309" s="13">
        <v>2.2222222222222223E-2</v>
      </c>
      <c r="GB309" s="13">
        <v>2.2222222222222223E-2</v>
      </c>
      <c r="GC309" s="13">
        <v>2.2222222222222223E-2</v>
      </c>
      <c r="GD309" s="14">
        <v>7.1428571428571435E-3</v>
      </c>
      <c r="GE309" s="14">
        <v>7.1428571428571435E-3</v>
      </c>
      <c r="GF309" s="14">
        <v>4.6511627906976744E-3</v>
      </c>
      <c r="GG309" s="14">
        <v>4.6511627906976744E-3</v>
      </c>
      <c r="GH309" s="15">
        <v>4.6511627906976744E-3</v>
      </c>
    </row>
    <row r="310" spans="1:190" x14ac:dyDescent="0.3">
      <c r="A310" s="36" t="s">
        <v>45</v>
      </c>
      <c r="B310" s="21" t="s">
        <v>62</v>
      </c>
      <c r="C310" s="22" t="s">
        <v>62</v>
      </c>
      <c r="D310" s="22">
        <f>IF(Distances!EC149&lt;&gt;0,(BP310+Distances!EC149*3)*EB310*D265*2,"")</f>
        <v>21736.544310000001</v>
      </c>
      <c r="E310" s="22" t="s">
        <v>62</v>
      </c>
      <c r="F310" s="22">
        <f>IF(Distances!EE149&lt;&gt;0,(BR310+Distances!EE149*3)*ED310*F265*2,"")</f>
        <v>5882.9752799999987</v>
      </c>
      <c r="G310" s="22">
        <f>IF(Distances!EF149&lt;&gt;0,(BS310+Distances!EF149*3)*EE310*G265*2,"")</f>
        <v>26306.869049999998</v>
      </c>
      <c r="H310" s="22" t="s">
        <v>62</v>
      </c>
      <c r="I310" s="22" t="s">
        <v>62</v>
      </c>
      <c r="J310" s="22">
        <f>IF(Distances!EI149&lt;&gt;0,(BV310+Distances!EI149*3)*EH310*J265*2,"")</f>
        <v>185.17872</v>
      </c>
      <c r="K310" s="22" t="s">
        <v>62</v>
      </c>
      <c r="L310" s="22" t="s">
        <v>62</v>
      </c>
      <c r="M310" s="22" t="s">
        <v>62</v>
      </c>
      <c r="N310" s="22" t="s">
        <v>62</v>
      </c>
      <c r="O310" s="22" t="s">
        <v>62</v>
      </c>
      <c r="P310" s="22" t="s">
        <v>62</v>
      </c>
      <c r="Q310" s="22" t="s">
        <v>62</v>
      </c>
      <c r="R310" s="22" t="s">
        <v>62</v>
      </c>
      <c r="S310" s="22" t="s">
        <v>62</v>
      </c>
      <c r="T310" s="22">
        <f>IF(Distances!ES149&lt;&gt;0,(CF310+Distances!ES149*3)*ER310*T265*2,"")</f>
        <v>189.83771999999999</v>
      </c>
      <c r="U310" s="22">
        <f>IF(Distances!ET149&lt;&gt;0,(CG310+Distances!ET149*3)*ES310*U265*2,"")</f>
        <v>198.63324</v>
      </c>
      <c r="V310" s="22">
        <f>IF(Distances!EU149&lt;&gt;0,(CH310+Distances!EU149*3)*ET310*V265*2,"")</f>
        <v>2538.2980800000005</v>
      </c>
      <c r="W310" s="22" t="s">
        <v>62</v>
      </c>
      <c r="X310" s="22">
        <f>IF(Distances!EW149&lt;&gt;0,(CJ310+Distances!EW149*3)*EV310*X265*2,"")</f>
        <v>1539.1890857142857</v>
      </c>
      <c r="Y310" s="22">
        <f>IF(Distances!EX149&lt;&gt;0,(CK310+Distances!EX149*3)*EW310*Y265*2,"")</f>
        <v>1663.4211085714289</v>
      </c>
      <c r="Z310" s="22">
        <f>IF(Distances!EY149&lt;&gt;0,(CL310+Distances!EY149*3)*EX310*Z265*2,"")</f>
        <v>38.658102857142858</v>
      </c>
      <c r="AA310" s="22">
        <f>IF(Distances!EZ149&lt;&gt;0,(CM310+Distances!EZ149*3)*EY310*AA265*2,"")</f>
        <v>43.51134857142857</v>
      </c>
      <c r="AB310" s="22">
        <f>IF(Distances!FA149&lt;&gt;0,(CN310+Distances!FA149*3)*EZ310*AB265*2,"")</f>
        <v>63.640937142857148</v>
      </c>
      <c r="AC310" s="22" t="s">
        <v>62</v>
      </c>
      <c r="AD310" s="22" t="s">
        <v>62</v>
      </c>
      <c r="AE310" s="22">
        <f>IF(Distances!FD149&lt;&gt;0,(CQ310+Distances!FD149*3)*FC310*AE265*2,"")</f>
        <v>128.76466285714284</v>
      </c>
      <c r="AF310" s="22">
        <f>IF(Distances!FE149&lt;&gt;0,(CR310+Distances!FE149*3)*FD310*AF265*2,"")</f>
        <v>251.70075428571428</v>
      </c>
      <c r="AG310" s="22">
        <f>IF(Distances!FF149&lt;&gt;0,(CS310+Distances!FF149*3)*FE310*AG265*2,"")</f>
        <v>194.03218285714289</v>
      </c>
      <c r="AH310" s="23">
        <f>IF(Distances!FG149&lt;&gt;0,(CT310+Distances!FG149*3)*FF310*AH265*2,"")</f>
        <v>212.90992000000003</v>
      </c>
      <c r="AI310" s="23" t="s">
        <v>62</v>
      </c>
      <c r="AJ310" s="23">
        <f>IF(Distances!FI149&lt;&gt;0,(CV310+Distances!FI149*3)*FH310*AJ265*2,"")</f>
        <v>159.09658666666667</v>
      </c>
      <c r="AK310" s="23" t="s">
        <v>62</v>
      </c>
      <c r="AL310" s="23" t="s">
        <v>62</v>
      </c>
      <c r="AM310" s="23" t="s">
        <v>62</v>
      </c>
      <c r="AN310" s="23">
        <f>IF(Distances!FM149&lt;&gt;0,(CZ310+Distances!FM149*3)*FL310*AN265*2,"")</f>
        <v>2104.7903999999999</v>
      </c>
      <c r="AO310" s="22" t="s">
        <v>62</v>
      </c>
      <c r="AP310" s="22" t="s">
        <v>62</v>
      </c>
      <c r="AQ310" s="22" t="s">
        <v>62</v>
      </c>
      <c r="AR310" s="23" t="s">
        <v>62</v>
      </c>
      <c r="AS310" s="23" t="s">
        <v>62</v>
      </c>
      <c r="AT310" s="24" t="s">
        <v>62</v>
      </c>
      <c r="AU310" s="23">
        <f>IF(Distances!FT149&lt;&gt;0,(DG310+Distances!FT149*3)*FS310*AU265*2,"")</f>
        <v>339.04639999999995</v>
      </c>
      <c r="AV310" s="23">
        <f>IF(Distances!FU149&lt;&gt;0,(DH310+Distances!FU149*3)*FT310*AV265*2,"")</f>
        <v>677.28839999999991</v>
      </c>
      <c r="AW310" s="23">
        <f>IF(Distances!FV149&lt;&gt;0,(DI310+Distances!FV149*3)*FU310*AW265*2,"")</f>
        <v>3246.6093333333333</v>
      </c>
      <c r="AX310" s="23" t="s">
        <v>62</v>
      </c>
      <c r="AY310" s="22" t="s">
        <v>62</v>
      </c>
      <c r="AZ310" s="22">
        <f>IF(Distances!FY149&lt;&gt;0,(DL310+Distances!FY149*3)*FX310*AZ265*2,"")</f>
        <v>154.0816581818182</v>
      </c>
      <c r="BA310" s="24" t="s">
        <v>62</v>
      </c>
      <c r="BB310" s="22" t="s">
        <v>62</v>
      </c>
      <c r="BC310" s="23" t="s">
        <v>62</v>
      </c>
      <c r="BD310" s="23">
        <f>IF(Distances!GC149&lt;&gt;0,(DP310+Distances!GC149*3)*GB310*BD265*2,"")</f>
        <v>1096.3319466666665</v>
      </c>
      <c r="BE310" s="23" t="s">
        <v>62</v>
      </c>
      <c r="BF310" s="22">
        <f>IF(Distances!GE149&lt;&gt;0,(DR310+Distances!GE149*3)*GD310*BF265*2,"")</f>
        <v>280.51659428571429</v>
      </c>
      <c r="BG310" s="22" t="s">
        <v>62</v>
      </c>
      <c r="BH310" s="22" t="s">
        <v>62</v>
      </c>
      <c r="BI310" s="22" t="s">
        <v>62</v>
      </c>
      <c r="BJ310" s="25" t="s">
        <v>62</v>
      </c>
      <c r="BM310" s="36" t="s">
        <v>45</v>
      </c>
      <c r="BN310" s="21">
        <v>2453.3292000000001</v>
      </c>
      <c r="BO310" s="22">
        <v>1881.9779999999998</v>
      </c>
      <c r="BP310" s="22">
        <v>2016.9324000000001</v>
      </c>
      <c r="BQ310" s="22">
        <v>2016.9324000000001</v>
      </c>
      <c r="BR310" s="22">
        <v>2136.6911999999998</v>
      </c>
      <c r="BS310" s="22">
        <v>1543.962</v>
      </c>
      <c r="BT310" s="22">
        <v>1649.1887999999999</v>
      </c>
      <c r="BU310" s="22">
        <v>1543.962</v>
      </c>
      <c r="BV310" s="22">
        <v>2096.7743999999998</v>
      </c>
      <c r="BW310" s="22">
        <v>2096.7743999999998</v>
      </c>
      <c r="BX310" s="22">
        <v>1665.3503999999998</v>
      </c>
      <c r="BY310" s="22">
        <v>1665.3503999999998</v>
      </c>
      <c r="BZ310" s="22">
        <v>1993.7231999999999</v>
      </c>
      <c r="CA310" s="22">
        <v>1481.3987999999999</v>
      </c>
      <c r="CB310" s="22">
        <v>2803.5084000000002</v>
      </c>
      <c r="CC310" s="22">
        <v>1253.7336</v>
      </c>
      <c r="CD310" s="22">
        <v>1241.9148</v>
      </c>
      <c r="CE310" s="22">
        <v>1277.3628000000001</v>
      </c>
      <c r="CF310" s="22">
        <v>1218.2772</v>
      </c>
      <c r="CG310" s="22">
        <v>1027.8323999999998</v>
      </c>
      <c r="CH310" s="22">
        <v>1522.0632000000001</v>
      </c>
      <c r="CI310" s="22">
        <v>1230.096</v>
      </c>
      <c r="CJ310" s="22">
        <v>1451.1419999999998</v>
      </c>
      <c r="CK310" s="22">
        <v>1218.2772</v>
      </c>
      <c r="CL310" s="22">
        <v>1119.3335999999999</v>
      </c>
      <c r="CM310" s="22">
        <v>1098.9971999999998</v>
      </c>
      <c r="CN310" s="22">
        <v>1058.3328000000001</v>
      </c>
      <c r="CO310" s="22">
        <v>1048.1687999999999</v>
      </c>
      <c r="CP310" s="22">
        <v>1451.1419999999998</v>
      </c>
      <c r="CQ310" s="22">
        <v>1522.0632000000001</v>
      </c>
      <c r="CR310" s="22">
        <v>1522.0632000000001</v>
      </c>
      <c r="CS310" s="22">
        <v>1522.0632000000001</v>
      </c>
      <c r="CT310" s="23">
        <v>631.8732</v>
      </c>
      <c r="CU310" s="23">
        <v>614.77919999999995</v>
      </c>
      <c r="CV310" s="23">
        <v>631.8732</v>
      </c>
      <c r="CW310" s="23">
        <v>632.6543999999999</v>
      </c>
      <c r="CX310" s="23">
        <v>413.19599999999997</v>
      </c>
      <c r="CY310" s="23">
        <v>413.19599999999997</v>
      </c>
      <c r="CZ310" s="23">
        <v>413.19599999999997</v>
      </c>
      <c r="DA310" s="22">
        <v>943.02600000000007</v>
      </c>
      <c r="DB310" s="22">
        <v>961.31280000000004</v>
      </c>
      <c r="DC310" s="22">
        <v>1085.5572</v>
      </c>
      <c r="DD310" s="23">
        <v>0</v>
      </c>
      <c r="DE310" s="23">
        <v>0</v>
      </c>
      <c r="DF310" s="24">
        <v>0</v>
      </c>
      <c r="DG310" s="23">
        <v>413.19599999999997</v>
      </c>
      <c r="DH310" s="23">
        <v>1451.1419999999998</v>
      </c>
      <c r="DI310" s="23">
        <v>1451.1419999999998</v>
      </c>
      <c r="DJ310" s="23">
        <v>421.05</v>
      </c>
      <c r="DK310" s="22">
        <v>0</v>
      </c>
      <c r="DL310" s="22">
        <v>2849.1455999999998</v>
      </c>
      <c r="DM310" s="24">
        <v>1454.7287999999999</v>
      </c>
      <c r="DN310" s="22">
        <v>1424.0352</v>
      </c>
      <c r="DO310" s="23">
        <v>393.56519999999995</v>
      </c>
      <c r="DP310" s="23">
        <v>421.05839999999995</v>
      </c>
      <c r="DQ310" s="23">
        <v>417.11879999999996</v>
      </c>
      <c r="DR310" s="22">
        <v>2013.7403999999999</v>
      </c>
      <c r="DS310" s="22">
        <v>1493.8896</v>
      </c>
      <c r="DT310" s="22">
        <v>2804.7683999999999</v>
      </c>
      <c r="DU310" s="22">
        <v>2101.9739999999997</v>
      </c>
      <c r="DV310" s="25">
        <v>2101.9739999999997</v>
      </c>
      <c r="DY310" s="36" t="s">
        <v>45</v>
      </c>
      <c r="DZ310" s="21">
        <v>6.2500000000000003E-3</v>
      </c>
      <c r="EA310" s="22">
        <v>6.2500000000000003E-3</v>
      </c>
      <c r="EB310" s="22">
        <v>6.2500000000000003E-3</v>
      </c>
      <c r="EC310" s="22">
        <v>6.2500000000000003E-3</v>
      </c>
      <c r="ED310" s="22">
        <v>6.2500000000000003E-3</v>
      </c>
      <c r="EE310" s="22">
        <v>6.2500000000000003E-3</v>
      </c>
      <c r="EF310" s="22">
        <v>6.2500000000000003E-3</v>
      </c>
      <c r="EG310" s="22">
        <v>6.2500000000000003E-3</v>
      </c>
      <c r="EH310" s="22">
        <v>6.2500000000000003E-3</v>
      </c>
      <c r="EI310" s="22">
        <v>6.2500000000000003E-3</v>
      </c>
      <c r="EJ310" s="22">
        <v>6.2500000000000003E-3</v>
      </c>
      <c r="EK310" s="22">
        <v>6.2500000000000003E-3</v>
      </c>
      <c r="EL310" s="22">
        <v>6.2500000000000003E-3</v>
      </c>
      <c r="EM310" s="22">
        <v>4.6511627906976744E-3</v>
      </c>
      <c r="EN310" s="22">
        <v>4.6511627906976744E-3</v>
      </c>
      <c r="EO310" s="22">
        <v>7.1428571428571435E-3</v>
      </c>
      <c r="EP310" s="22">
        <v>7.1428571428571435E-3</v>
      </c>
      <c r="EQ310" s="22">
        <v>7.1428571428571435E-3</v>
      </c>
      <c r="ER310" s="22">
        <v>7.1428571428571435E-3</v>
      </c>
      <c r="ES310" s="22">
        <v>7.1428571428571435E-3</v>
      </c>
      <c r="ET310" s="22">
        <v>7.1428571428571435E-3</v>
      </c>
      <c r="EU310" s="22">
        <v>7.1428571428571435E-3</v>
      </c>
      <c r="EV310" s="22">
        <v>7.1428571428571435E-3</v>
      </c>
      <c r="EW310" s="22">
        <v>7.1428571428571435E-3</v>
      </c>
      <c r="EX310" s="22">
        <v>7.1428571428571435E-3</v>
      </c>
      <c r="EY310" s="22">
        <v>7.1428571428571435E-3</v>
      </c>
      <c r="EZ310" s="22">
        <v>7.1428571428571435E-3</v>
      </c>
      <c r="FA310" s="22">
        <v>7.1428571428571435E-3</v>
      </c>
      <c r="FB310" s="22">
        <v>7.1428571428571435E-3</v>
      </c>
      <c r="FC310" s="22">
        <v>7.1428571428571435E-3</v>
      </c>
      <c r="FD310" s="22">
        <v>7.1428571428571435E-3</v>
      </c>
      <c r="FE310" s="22">
        <v>7.1428571428571435E-3</v>
      </c>
      <c r="FF310" s="23">
        <v>2.2222222222222223E-2</v>
      </c>
      <c r="FG310" s="23">
        <v>2.2222222222222223E-2</v>
      </c>
      <c r="FH310" s="23">
        <v>2.2222222222222223E-2</v>
      </c>
      <c r="FI310" s="23">
        <v>2.2222222222222223E-2</v>
      </c>
      <c r="FJ310" s="23">
        <v>2.2222222222222223E-2</v>
      </c>
      <c r="FK310" s="23">
        <v>2.2222222222222223E-2</v>
      </c>
      <c r="FL310" s="23">
        <v>2.2222222222222223E-2</v>
      </c>
      <c r="FM310" s="22">
        <v>4.7619047619047623E-3</v>
      </c>
      <c r="FN310" s="22">
        <v>4.7619047619047623E-3</v>
      </c>
      <c r="FO310" s="22">
        <v>4.7619047619047623E-3</v>
      </c>
      <c r="FP310" s="23">
        <v>2.2222222222222223E-2</v>
      </c>
      <c r="FQ310" s="23">
        <v>2.2222222222222223E-2</v>
      </c>
      <c r="FR310" s="24">
        <v>0.6</v>
      </c>
      <c r="FS310" s="23">
        <v>2.2222222222222223E-2</v>
      </c>
      <c r="FT310" s="23">
        <v>0.02</v>
      </c>
      <c r="FU310" s="23">
        <v>2.2222222222222223E-2</v>
      </c>
      <c r="FV310" s="23">
        <v>2.2222222222222223E-2</v>
      </c>
      <c r="FW310" s="22">
        <v>4.5454545454545461E-3</v>
      </c>
      <c r="FX310" s="22">
        <v>4.5454545454545461E-3</v>
      </c>
      <c r="FY310" s="24">
        <v>0.6</v>
      </c>
      <c r="FZ310" s="22">
        <v>7.1428571428571435E-3</v>
      </c>
      <c r="GA310" s="23">
        <v>2.2222222222222223E-2</v>
      </c>
      <c r="GB310" s="23">
        <v>2.2222222222222223E-2</v>
      </c>
      <c r="GC310" s="23">
        <v>2.2222222222222223E-2</v>
      </c>
      <c r="GD310" s="22">
        <v>7.1428571428571435E-3</v>
      </c>
      <c r="GE310" s="22">
        <v>7.1428571428571435E-3</v>
      </c>
      <c r="GF310" s="22">
        <v>4.6511627906976744E-3</v>
      </c>
      <c r="GG310" s="22">
        <v>4.6511627906976744E-3</v>
      </c>
      <c r="GH310" s="25">
        <v>4.6511627906976744E-3</v>
      </c>
    </row>
  </sheetData>
  <mergeCells count="14">
    <mergeCell ref="A157:B157"/>
    <mergeCell ref="DY157:EA157"/>
    <mergeCell ref="BM157:BP157"/>
    <mergeCell ref="A2:B2"/>
    <mergeCell ref="A54:B54"/>
    <mergeCell ref="A106:B106"/>
    <mergeCell ref="BM106:BO106"/>
    <mergeCell ref="DY106:EA106"/>
    <mergeCell ref="DY209:EA209"/>
    <mergeCell ref="DY261:EA261"/>
    <mergeCell ref="A209:D209"/>
    <mergeCell ref="A261:D261"/>
    <mergeCell ref="BM209:BP209"/>
    <mergeCell ref="BM261:BP2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I199"/>
  <sheetViews>
    <sheetView workbookViewId="0">
      <selection activeCell="DY102" sqref="DY102"/>
    </sheetView>
  </sheetViews>
  <sheetFormatPr baseColWidth="10" defaultRowHeight="14.4" x14ac:dyDescent="0.3"/>
  <cols>
    <col min="1" max="1" width="18.21875" customWidth="1"/>
    <col min="2" max="2" width="17.88671875" customWidth="1"/>
    <col min="3" max="3" width="13.6640625" customWidth="1"/>
    <col min="64" max="64" width="13.88671875" customWidth="1"/>
    <col min="66" max="66" width="13.6640625" customWidth="1"/>
    <col min="127" max="127" width="14.33203125" customWidth="1"/>
    <col min="129" max="129" width="13.6640625" customWidth="1"/>
    <col min="190" max="190" width="16.6640625" customWidth="1"/>
    <col min="192" max="192" width="13.33203125" customWidth="1"/>
  </cols>
  <sheetData>
    <row r="1" spans="1:62" ht="26.4" customHeight="1" x14ac:dyDescent="0.3">
      <c r="A1" s="55" t="s">
        <v>139</v>
      </c>
      <c r="B1" s="56"/>
    </row>
    <row r="3" spans="1:62" ht="27.6" customHeight="1" x14ac:dyDescent="0.3">
      <c r="A3" s="1" t="s">
        <v>66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133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3" t="s">
        <v>52</v>
      </c>
      <c r="BB3" s="3" t="s">
        <v>53</v>
      </c>
      <c r="BC3" s="3" t="s">
        <v>54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4" t="s">
        <v>61</v>
      </c>
    </row>
    <row r="4" spans="1:62" x14ac:dyDescent="0.3">
      <c r="A4" s="5" t="s">
        <v>1</v>
      </c>
      <c r="B4" s="6">
        <v>0</v>
      </c>
      <c r="C4" s="7">
        <v>14</v>
      </c>
      <c r="D4" s="7">
        <v>29.233333333333334</v>
      </c>
      <c r="E4" s="7">
        <v>22.616666666666667</v>
      </c>
      <c r="F4" s="7">
        <v>17.216666666666665</v>
      </c>
      <c r="G4" s="7">
        <v>33.049999999999997</v>
      </c>
      <c r="H4" s="7">
        <v>52</v>
      </c>
      <c r="I4" s="7">
        <v>43.033333333333331</v>
      </c>
      <c r="J4" s="7">
        <v>24.6</v>
      </c>
      <c r="K4" s="7">
        <v>27.533333333333335</v>
      </c>
      <c r="L4" s="7">
        <v>49</v>
      </c>
      <c r="M4" s="7">
        <v>55</v>
      </c>
      <c r="N4" s="7">
        <v>36.6</v>
      </c>
      <c r="O4" s="8" t="s">
        <v>62</v>
      </c>
      <c r="P4" s="8" t="s">
        <v>62</v>
      </c>
      <c r="Q4" s="8" t="s">
        <v>62</v>
      </c>
      <c r="R4" s="8" t="s">
        <v>62</v>
      </c>
      <c r="S4" s="8" t="s">
        <v>62</v>
      </c>
      <c r="T4" s="8" t="s">
        <v>62</v>
      </c>
      <c r="U4" s="8" t="s">
        <v>62</v>
      </c>
      <c r="V4" s="8" t="s">
        <v>62</v>
      </c>
      <c r="W4" s="8" t="s">
        <v>62</v>
      </c>
      <c r="X4" s="8" t="s">
        <v>62</v>
      </c>
      <c r="Y4" s="8" t="s">
        <v>62</v>
      </c>
      <c r="Z4" s="8" t="s">
        <v>62</v>
      </c>
      <c r="AA4" s="8" t="s">
        <v>62</v>
      </c>
      <c r="AB4" s="8" t="s">
        <v>62</v>
      </c>
      <c r="AC4" s="8" t="s">
        <v>62</v>
      </c>
      <c r="AD4" s="8" t="s">
        <v>62</v>
      </c>
      <c r="AE4" s="8" t="s">
        <v>62</v>
      </c>
      <c r="AF4" s="8" t="s">
        <v>62</v>
      </c>
      <c r="AG4" s="8" t="s">
        <v>62</v>
      </c>
      <c r="AH4" s="8" t="s">
        <v>62</v>
      </c>
      <c r="AI4" s="8" t="s">
        <v>62</v>
      </c>
      <c r="AJ4" s="8" t="s">
        <v>62</v>
      </c>
      <c r="AK4" s="8" t="s">
        <v>62</v>
      </c>
      <c r="AL4" s="8" t="s">
        <v>62</v>
      </c>
      <c r="AM4" s="8" t="s">
        <v>62</v>
      </c>
      <c r="AN4" s="8" t="s">
        <v>62</v>
      </c>
      <c r="AO4" s="8" t="s">
        <v>62</v>
      </c>
      <c r="AP4" s="8" t="s">
        <v>62</v>
      </c>
      <c r="AQ4" s="8" t="s">
        <v>62</v>
      </c>
      <c r="AR4" s="8" t="s">
        <v>62</v>
      </c>
      <c r="AS4" s="8" t="s">
        <v>62</v>
      </c>
      <c r="AT4" s="8" t="s">
        <v>62</v>
      </c>
      <c r="AU4" s="8" t="s">
        <v>62</v>
      </c>
      <c r="AV4" s="8" t="s">
        <v>62</v>
      </c>
      <c r="AW4" s="8" t="s">
        <v>62</v>
      </c>
      <c r="AX4" s="8" t="s">
        <v>62</v>
      </c>
      <c r="AY4" s="8" t="s">
        <v>62</v>
      </c>
      <c r="AZ4" s="8" t="s">
        <v>62</v>
      </c>
      <c r="BA4" s="8" t="s">
        <v>62</v>
      </c>
      <c r="BB4" s="8" t="s">
        <v>62</v>
      </c>
      <c r="BC4" s="8" t="s">
        <v>62</v>
      </c>
      <c r="BD4" s="8" t="s">
        <v>62</v>
      </c>
      <c r="BE4" s="8" t="s">
        <v>62</v>
      </c>
      <c r="BF4" s="8" t="s">
        <v>62</v>
      </c>
      <c r="BG4" s="8" t="s">
        <v>62</v>
      </c>
      <c r="BH4" s="8" t="s">
        <v>62</v>
      </c>
      <c r="BI4" s="8" t="s">
        <v>62</v>
      </c>
      <c r="BJ4" s="9" t="s">
        <v>62</v>
      </c>
    </row>
    <row r="5" spans="1:62" x14ac:dyDescent="0.3">
      <c r="A5" s="10" t="s">
        <v>2</v>
      </c>
      <c r="B5" s="11">
        <v>14</v>
      </c>
      <c r="C5" s="12">
        <v>0</v>
      </c>
      <c r="D5" s="13">
        <v>20.7</v>
      </c>
      <c r="E5" s="13">
        <v>15.15</v>
      </c>
      <c r="F5" s="13">
        <v>18</v>
      </c>
      <c r="G5" s="13">
        <v>21.866666666666667</v>
      </c>
      <c r="H5" s="13">
        <v>41.766666666666666</v>
      </c>
      <c r="I5" s="13">
        <v>29.516666666666666</v>
      </c>
      <c r="J5" s="13">
        <v>21.533333333333335</v>
      </c>
      <c r="K5" s="13">
        <v>27.433333333333334</v>
      </c>
      <c r="L5" s="13">
        <v>40.033333333333331</v>
      </c>
      <c r="M5" s="13">
        <v>44.35</v>
      </c>
      <c r="N5" s="13">
        <v>23.066666666666666</v>
      </c>
      <c r="O5" s="14" t="s">
        <v>62</v>
      </c>
      <c r="P5" s="14" t="s">
        <v>62</v>
      </c>
      <c r="Q5" s="14" t="s">
        <v>62</v>
      </c>
      <c r="R5" s="14" t="s">
        <v>62</v>
      </c>
      <c r="S5" s="14" t="s">
        <v>62</v>
      </c>
      <c r="T5" s="14" t="s">
        <v>62</v>
      </c>
      <c r="U5" s="14" t="s">
        <v>62</v>
      </c>
      <c r="V5" s="14" t="s">
        <v>62</v>
      </c>
      <c r="W5" s="14" t="s">
        <v>62</v>
      </c>
      <c r="X5" s="14" t="s">
        <v>62</v>
      </c>
      <c r="Y5" s="14" t="s">
        <v>62</v>
      </c>
      <c r="Z5" s="14" t="s">
        <v>62</v>
      </c>
      <c r="AA5" s="14" t="s">
        <v>62</v>
      </c>
      <c r="AB5" s="14" t="s">
        <v>62</v>
      </c>
      <c r="AC5" s="14" t="s">
        <v>62</v>
      </c>
      <c r="AD5" s="14" t="s">
        <v>62</v>
      </c>
      <c r="AE5" s="14" t="s">
        <v>62</v>
      </c>
      <c r="AF5" s="14" t="s">
        <v>62</v>
      </c>
      <c r="AG5" s="14" t="s">
        <v>62</v>
      </c>
      <c r="AH5" s="14" t="s">
        <v>62</v>
      </c>
      <c r="AI5" s="14" t="s">
        <v>62</v>
      </c>
      <c r="AJ5" s="14" t="s">
        <v>62</v>
      </c>
      <c r="AK5" s="14" t="s">
        <v>62</v>
      </c>
      <c r="AL5" s="14" t="s">
        <v>62</v>
      </c>
      <c r="AM5" s="14" t="s">
        <v>62</v>
      </c>
      <c r="AN5" s="14" t="s">
        <v>62</v>
      </c>
      <c r="AO5" s="14" t="s">
        <v>62</v>
      </c>
      <c r="AP5" s="14" t="s">
        <v>62</v>
      </c>
      <c r="AQ5" s="14" t="s">
        <v>62</v>
      </c>
      <c r="AR5" s="14" t="s">
        <v>62</v>
      </c>
      <c r="AS5" s="14" t="s">
        <v>62</v>
      </c>
      <c r="AT5" s="14" t="s">
        <v>62</v>
      </c>
      <c r="AU5" s="14" t="s">
        <v>62</v>
      </c>
      <c r="AV5" s="14" t="s">
        <v>62</v>
      </c>
      <c r="AW5" s="14" t="s">
        <v>62</v>
      </c>
      <c r="AX5" s="14" t="s">
        <v>62</v>
      </c>
      <c r="AY5" s="14" t="s">
        <v>62</v>
      </c>
      <c r="AZ5" s="14" t="s">
        <v>62</v>
      </c>
      <c r="BA5" s="14" t="s">
        <v>62</v>
      </c>
      <c r="BB5" s="14" t="s">
        <v>62</v>
      </c>
      <c r="BC5" s="14" t="s">
        <v>62</v>
      </c>
      <c r="BD5" s="14" t="s">
        <v>62</v>
      </c>
      <c r="BE5" s="14" t="s">
        <v>62</v>
      </c>
      <c r="BF5" s="14" t="s">
        <v>62</v>
      </c>
      <c r="BG5" s="14" t="s">
        <v>62</v>
      </c>
      <c r="BH5" s="14" t="s">
        <v>62</v>
      </c>
      <c r="BI5" s="14" t="s">
        <v>62</v>
      </c>
      <c r="BJ5" s="15" t="s">
        <v>62</v>
      </c>
    </row>
    <row r="6" spans="1:62" x14ac:dyDescent="0.3">
      <c r="A6" s="10" t="s">
        <v>3</v>
      </c>
      <c r="B6" s="11">
        <f>29+(14/60)</f>
        <v>29.233333333333334</v>
      </c>
      <c r="C6" s="13">
        <f>20+(42/60)</f>
        <v>20.7</v>
      </c>
      <c r="D6" s="12">
        <v>0</v>
      </c>
      <c r="E6" s="13">
        <v>6.7166666666666668</v>
      </c>
      <c r="F6" s="13">
        <v>18.316666666666666</v>
      </c>
      <c r="G6" s="13">
        <v>14.133333333333333</v>
      </c>
      <c r="H6" s="13">
        <v>25.583333333333332</v>
      </c>
      <c r="I6" s="13">
        <v>29.75</v>
      </c>
      <c r="J6" s="13">
        <v>15.2</v>
      </c>
      <c r="K6" s="13">
        <v>21.466666666666665</v>
      </c>
      <c r="L6" s="13">
        <v>20.816666666666666</v>
      </c>
      <c r="M6" s="13">
        <v>28.166666666666668</v>
      </c>
      <c r="N6" s="13">
        <v>34.200000000000003</v>
      </c>
      <c r="O6" s="14" t="s">
        <v>62</v>
      </c>
      <c r="P6" s="14" t="s">
        <v>62</v>
      </c>
      <c r="Q6" s="14" t="s">
        <v>62</v>
      </c>
      <c r="R6" s="14" t="s">
        <v>62</v>
      </c>
      <c r="S6" s="14" t="s">
        <v>62</v>
      </c>
      <c r="T6" s="14" t="s">
        <v>62</v>
      </c>
      <c r="U6" s="14" t="s">
        <v>62</v>
      </c>
      <c r="V6" s="14" t="s">
        <v>62</v>
      </c>
      <c r="W6" s="14" t="s">
        <v>62</v>
      </c>
      <c r="X6" s="14" t="s">
        <v>62</v>
      </c>
      <c r="Y6" s="14" t="s">
        <v>62</v>
      </c>
      <c r="Z6" s="14" t="s">
        <v>62</v>
      </c>
      <c r="AA6" s="14" t="s">
        <v>62</v>
      </c>
      <c r="AB6" s="14" t="s">
        <v>62</v>
      </c>
      <c r="AC6" s="14" t="s">
        <v>62</v>
      </c>
      <c r="AD6" s="14" t="s">
        <v>62</v>
      </c>
      <c r="AE6" s="14" t="s">
        <v>62</v>
      </c>
      <c r="AF6" s="14" t="s">
        <v>62</v>
      </c>
      <c r="AG6" s="14" t="s">
        <v>62</v>
      </c>
      <c r="AH6" s="14" t="s">
        <v>62</v>
      </c>
      <c r="AI6" s="14" t="s">
        <v>62</v>
      </c>
      <c r="AJ6" s="14" t="s">
        <v>62</v>
      </c>
      <c r="AK6" s="14" t="s">
        <v>62</v>
      </c>
      <c r="AL6" s="14" t="s">
        <v>62</v>
      </c>
      <c r="AM6" s="14" t="s">
        <v>62</v>
      </c>
      <c r="AN6" s="14" t="s">
        <v>62</v>
      </c>
      <c r="AO6" s="14" t="s">
        <v>62</v>
      </c>
      <c r="AP6" s="14" t="s">
        <v>62</v>
      </c>
      <c r="AQ6" s="14" t="s">
        <v>62</v>
      </c>
      <c r="AR6" s="14" t="s">
        <v>62</v>
      </c>
      <c r="AS6" s="14" t="s">
        <v>62</v>
      </c>
      <c r="AT6" s="14" t="s">
        <v>62</v>
      </c>
      <c r="AU6" s="14" t="s">
        <v>62</v>
      </c>
      <c r="AV6" s="14" t="s">
        <v>62</v>
      </c>
      <c r="AW6" s="14" t="s">
        <v>62</v>
      </c>
      <c r="AX6" s="14" t="s">
        <v>62</v>
      </c>
      <c r="AY6" s="14" t="s">
        <v>62</v>
      </c>
      <c r="AZ6" s="14" t="s">
        <v>62</v>
      </c>
      <c r="BA6" s="14" t="s">
        <v>62</v>
      </c>
      <c r="BB6" s="14" t="s">
        <v>62</v>
      </c>
      <c r="BC6" s="14" t="s">
        <v>62</v>
      </c>
      <c r="BD6" s="14" t="s">
        <v>62</v>
      </c>
      <c r="BE6" s="14" t="s">
        <v>62</v>
      </c>
      <c r="BF6" s="14" t="s">
        <v>62</v>
      </c>
      <c r="BG6" s="14" t="s">
        <v>62</v>
      </c>
      <c r="BH6" s="14" t="s">
        <v>62</v>
      </c>
      <c r="BI6" s="14" t="s">
        <v>62</v>
      </c>
      <c r="BJ6" s="15" t="s">
        <v>62</v>
      </c>
    </row>
    <row r="7" spans="1:62" x14ac:dyDescent="0.3">
      <c r="A7" s="10" t="s">
        <v>4</v>
      </c>
      <c r="B7" s="11">
        <f>22+(37/60)</f>
        <v>22.616666666666667</v>
      </c>
      <c r="C7" s="13">
        <f>15+(9/60)</f>
        <v>15.15</v>
      </c>
      <c r="D7" s="13">
        <f>6+(43/60)</f>
        <v>6.7166666666666668</v>
      </c>
      <c r="E7" s="12">
        <v>0</v>
      </c>
      <c r="F7" s="13">
        <v>11.6</v>
      </c>
      <c r="G7" s="13">
        <v>15.666666666666666</v>
      </c>
      <c r="H7" s="13">
        <v>32.166666666666664</v>
      </c>
      <c r="I7" s="13">
        <v>31.283333333333335</v>
      </c>
      <c r="J7" s="13">
        <v>8.7833333333333332</v>
      </c>
      <c r="K7" s="13">
        <v>14.75</v>
      </c>
      <c r="L7" s="13">
        <v>27.466666666666665</v>
      </c>
      <c r="M7" s="13">
        <v>34.75</v>
      </c>
      <c r="N7" s="13">
        <v>34.18333333333333</v>
      </c>
      <c r="O7" s="14" t="s">
        <v>62</v>
      </c>
      <c r="P7" s="14" t="s">
        <v>62</v>
      </c>
      <c r="Q7" s="14" t="s">
        <v>62</v>
      </c>
      <c r="R7" s="14" t="s">
        <v>62</v>
      </c>
      <c r="S7" s="14" t="s">
        <v>62</v>
      </c>
      <c r="T7" s="14" t="s">
        <v>62</v>
      </c>
      <c r="U7" s="14" t="s">
        <v>62</v>
      </c>
      <c r="V7" s="14" t="s">
        <v>62</v>
      </c>
      <c r="W7" s="14" t="s">
        <v>62</v>
      </c>
      <c r="X7" s="14" t="s">
        <v>62</v>
      </c>
      <c r="Y7" s="14" t="s">
        <v>62</v>
      </c>
      <c r="Z7" s="14" t="s">
        <v>62</v>
      </c>
      <c r="AA7" s="14" t="s">
        <v>62</v>
      </c>
      <c r="AB7" s="14" t="s">
        <v>62</v>
      </c>
      <c r="AC7" s="14" t="s">
        <v>62</v>
      </c>
      <c r="AD7" s="14" t="s">
        <v>62</v>
      </c>
      <c r="AE7" s="14" t="s">
        <v>62</v>
      </c>
      <c r="AF7" s="14" t="s">
        <v>62</v>
      </c>
      <c r="AG7" s="14" t="s">
        <v>62</v>
      </c>
      <c r="AH7" s="14" t="s">
        <v>62</v>
      </c>
      <c r="AI7" s="14" t="s">
        <v>62</v>
      </c>
      <c r="AJ7" s="14" t="s">
        <v>62</v>
      </c>
      <c r="AK7" s="14" t="s">
        <v>62</v>
      </c>
      <c r="AL7" s="14" t="s">
        <v>62</v>
      </c>
      <c r="AM7" s="14" t="s">
        <v>62</v>
      </c>
      <c r="AN7" s="14" t="s">
        <v>62</v>
      </c>
      <c r="AO7" s="14" t="s">
        <v>62</v>
      </c>
      <c r="AP7" s="14" t="s">
        <v>62</v>
      </c>
      <c r="AQ7" s="14" t="s">
        <v>62</v>
      </c>
      <c r="AR7" s="14" t="s">
        <v>62</v>
      </c>
      <c r="AS7" s="14" t="s">
        <v>62</v>
      </c>
      <c r="AT7" s="14" t="s">
        <v>62</v>
      </c>
      <c r="AU7" s="14" t="s">
        <v>62</v>
      </c>
      <c r="AV7" s="14" t="s">
        <v>62</v>
      </c>
      <c r="AW7" s="14" t="s">
        <v>62</v>
      </c>
      <c r="AX7" s="14" t="s">
        <v>62</v>
      </c>
      <c r="AY7" s="14" t="s">
        <v>62</v>
      </c>
      <c r="AZ7" s="14" t="s">
        <v>62</v>
      </c>
      <c r="BA7" s="14" t="s">
        <v>62</v>
      </c>
      <c r="BB7" s="14" t="s">
        <v>62</v>
      </c>
      <c r="BC7" s="14" t="s">
        <v>62</v>
      </c>
      <c r="BD7" s="14" t="s">
        <v>62</v>
      </c>
      <c r="BE7" s="14" t="s">
        <v>62</v>
      </c>
      <c r="BF7" s="14" t="s">
        <v>62</v>
      </c>
      <c r="BG7" s="14" t="s">
        <v>62</v>
      </c>
      <c r="BH7" s="14" t="s">
        <v>62</v>
      </c>
      <c r="BI7" s="14" t="s">
        <v>62</v>
      </c>
      <c r="BJ7" s="15" t="s">
        <v>62</v>
      </c>
    </row>
    <row r="8" spans="1:62" x14ac:dyDescent="0.3">
      <c r="A8" s="10" t="s">
        <v>5</v>
      </c>
      <c r="B8" s="11">
        <f>17+(13/60)</f>
        <v>17.216666666666665</v>
      </c>
      <c r="C8" s="13">
        <v>18</v>
      </c>
      <c r="D8" s="13">
        <f>18+(19/60)</f>
        <v>18.316666666666666</v>
      </c>
      <c r="E8" s="13">
        <f>11+(36/60)</f>
        <v>11.6</v>
      </c>
      <c r="F8" s="12">
        <v>0</v>
      </c>
      <c r="G8" s="13">
        <v>26.883333333333333</v>
      </c>
      <c r="H8" s="13">
        <v>43.766666666666666</v>
      </c>
      <c r="I8" s="13">
        <v>42</v>
      </c>
      <c r="J8" s="13">
        <v>9</v>
      </c>
      <c r="K8" s="13">
        <v>10.3</v>
      </c>
      <c r="L8" s="13">
        <v>39.06666666666667</v>
      </c>
      <c r="M8" s="13">
        <v>46.35</v>
      </c>
      <c r="N8" s="13">
        <v>40.383333333333333</v>
      </c>
      <c r="O8" s="14" t="s">
        <v>62</v>
      </c>
      <c r="P8" s="14" t="s">
        <v>62</v>
      </c>
      <c r="Q8" s="14" t="s">
        <v>62</v>
      </c>
      <c r="R8" s="14" t="s">
        <v>62</v>
      </c>
      <c r="S8" s="14" t="s">
        <v>62</v>
      </c>
      <c r="T8" s="14" t="s">
        <v>62</v>
      </c>
      <c r="U8" s="14" t="s">
        <v>62</v>
      </c>
      <c r="V8" s="14" t="s">
        <v>62</v>
      </c>
      <c r="W8" s="14" t="s">
        <v>62</v>
      </c>
      <c r="X8" s="14" t="s">
        <v>62</v>
      </c>
      <c r="Y8" s="14" t="s">
        <v>62</v>
      </c>
      <c r="Z8" s="14" t="s">
        <v>62</v>
      </c>
      <c r="AA8" s="14" t="s">
        <v>62</v>
      </c>
      <c r="AB8" s="14" t="s">
        <v>62</v>
      </c>
      <c r="AC8" s="14" t="s">
        <v>62</v>
      </c>
      <c r="AD8" s="14" t="s">
        <v>62</v>
      </c>
      <c r="AE8" s="14" t="s">
        <v>62</v>
      </c>
      <c r="AF8" s="14" t="s">
        <v>62</v>
      </c>
      <c r="AG8" s="14" t="s">
        <v>62</v>
      </c>
      <c r="AH8" s="14" t="s">
        <v>62</v>
      </c>
      <c r="AI8" s="14" t="s">
        <v>62</v>
      </c>
      <c r="AJ8" s="14" t="s">
        <v>62</v>
      </c>
      <c r="AK8" s="14" t="s">
        <v>62</v>
      </c>
      <c r="AL8" s="14" t="s">
        <v>62</v>
      </c>
      <c r="AM8" s="14" t="s">
        <v>62</v>
      </c>
      <c r="AN8" s="14" t="s">
        <v>62</v>
      </c>
      <c r="AO8" s="14" t="s">
        <v>62</v>
      </c>
      <c r="AP8" s="14" t="s">
        <v>62</v>
      </c>
      <c r="AQ8" s="14" t="s">
        <v>62</v>
      </c>
      <c r="AR8" s="14" t="s">
        <v>62</v>
      </c>
      <c r="AS8" s="14" t="s">
        <v>62</v>
      </c>
      <c r="AT8" s="14" t="s">
        <v>62</v>
      </c>
      <c r="AU8" s="14" t="s">
        <v>62</v>
      </c>
      <c r="AV8" s="14" t="s">
        <v>62</v>
      </c>
      <c r="AW8" s="14" t="s">
        <v>62</v>
      </c>
      <c r="AX8" s="14" t="s">
        <v>62</v>
      </c>
      <c r="AY8" s="14" t="s">
        <v>62</v>
      </c>
      <c r="AZ8" s="14" t="s">
        <v>62</v>
      </c>
      <c r="BA8" s="14" t="s">
        <v>62</v>
      </c>
      <c r="BB8" s="14" t="s">
        <v>62</v>
      </c>
      <c r="BC8" s="14" t="s">
        <v>62</v>
      </c>
      <c r="BD8" s="14" t="s">
        <v>62</v>
      </c>
      <c r="BE8" s="14" t="s">
        <v>62</v>
      </c>
      <c r="BF8" s="14" t="s">
        <v>62</v>
      </c>
      <c r="BG8" s="14" t="s">
        <v>62</v>
      </c>
      <c r="BH8" s="14" t="s">
        <v>62</v>
      </c>
      <c r="BI8" s="14" t="s">
        <v>62</v>
      </c>
      <c r="BJ8" s="15" t="s">
        <v>62</v>
      </c>
    </row>
    <row r="9" spans="1:62" x14ac:dyDescent="0.3">
      <c r="A9" s="10" t="s">
        <v>6</v>
      </c>
      <c r="B9" s="11">
        <f>33+(3/60)</f>
        <v>33.049999999999997</v>
      </c>
      <c r="C9" s="13">
        <f>21+(52/60)</f>
        <v>21.866666666666667</v>
      </c>
      <c r="D9" s="13">
        <f>14+(8/60)</f>
        <v>14.133333333333333</v>
      </c>
      <c r="E9" s="13">
        <f>15+(40/60)</f>
        <v>15.666666666666666</v>
      </c>
      <c r="F9" s="13">
        <f>26+(53/60)</f>
        <v>26.883333333333333</v>
      </c>
      <c r="G9" s="12">
        <v>0</v>
      </c>
      <c r="H9" s="13">
        <v>20.233333333333334</v>
      </c>
      <c r="I9" s="13">
        <v>15.783333333333333</v>
      </c>
      <c r="J9" s="13">
        <v>23.866666666666667</v>
      </c>
      <c r="K9" s="13">
        <v>30.133333333333333</v>
      </c>
      <c r="L9" s="13">
        <v>18.516666666666666</v>
      </c>
      <c r="M9" s="13">
        <v>22.816666666666666</v>
      </c>
      <c r="N9" s="13">
        <v>30.466666666666665</v>
      </c>
      <c r="O9" s="14" t="s">
        <v>62</v>
      </c>
      <c r="P9" s="14" t="s">
        <v>62</v>
      </c>
      <c r="Q9" s="14" t="s">
        <v>62</v>
      </c>
      <c r="R9" s="14" t="s">
        <v>62</v>
      </c>
      <c r="S9" s="14" t="s">
        <v>62</v>
      </c>
      <c r="T9" s="14" t="s">
        <v>62</v>
      </c>
      <c r="U9" s="14" t="s">
        <v>62</v>
      </c>
      <c r="V9" s="14" t="s">
        <v>62</v>
      </c>
      <c r="W9" s="14" t="s">
        <v>62</v>
      </c>
      <c r="X9" s="14" t="s">
        <v>62</v>
      </c>
      <c r="Y9" s="14" t="s">
        <v>62</v>
      </c>
      <c r="Z9" s="14" t="s">
        <v>62</v>
      </c>
      <c r="AA9" s="14" t="s">
        <v>62</v>
      </c>
      <c r="AB9" s="14" t="s">
        <v>62</v>
      </c>
      <c r="AC9" s="14" t="s">
        <v>62</v>
      </c>
      <c r="AD9" s="14" t="s">
        <v>62</v>
      </c>
      <c r="AE9" s="14" t="s">
        <v>62</v>
      </c>
      <c r="AF9" s="14" t="s">
        <v>62</v>
      </c>
      <c r="AG9" s="14" t="s">
        <v>62</v>
      </c>
      <c r="AH9" s="14" t="s">
        <v>62</v>
      </c>
      <c r="AI9" s="14" t="s">
        <v>62</v>
      </c>
      <c r="AJ9" s="14" t="s">
        <v>62</v>
      </c>
      <c r="AK9" s="14" t="s">
        <v>62</v>
      </c>
      <c r="AL9" s="14" t="s">
        <v>62</v>
      </c>
      <c r="AM9" s="14" t="s">
        <v>62</v>
      </c>
      <c r="AN9" s="14" t="s">
        <v>62</v>
      </c>
      <c r="AO9" s="14" t="s">
        <v>62</v>
      </c>
      <c r="AP9" s="14" t="s">
        <v>62</v>
      </c>
      <c r="AQ9" s="14" t="s">
        <v>62</v>
      </c>
      <c r="AR9" s="14" t="s">
        <v>62</v>
      </c>
      <c r="AS9" s="14" t="s">
        <v>62</v>
      </c>
      <c r="AT9" s="14" t="s">
        <v>62</v>
      </c>
      <c r="AU9" s="14" t="s">
        <v>62</v>
      </c>
      <c r="AV9" s="14" t="s">
        <v>62</v>
      </c>
      <c r="AW9" s="14" t="s">
        <v>62</v>
      </c>
      <c r="AX9" s="14" t="s">
        <v>62</v>
      </c>
      <c r="AY9" s="14" t="s">
        <v>62</v>
      </c>
      <c r="AZ9" s="14" t="s">
        <v>62</v>
      </c>
      <c r="BA9" s="14" t="s">
        <v>62</v>
      </c>
      <c r="BB9" s="14" t="s">
        <v>62</v>
      </c>
      <c r="BC9" s="14" t="s">
        <v>62</v>
      </c>
      <c r="BD9" s="14" t="s">
        <v>62</v>
      </c>
      <c r="BE9" s="14" t="s">
        <v>62</v>
      </c>
      <c r="BF9" s="14" t="s">
        <v>62</v>
      </c>
      <c r="BG9" s="14" t="s">
        <v>62</v>
      </c>
      <c r="BH9" s="14" t="s">
        <v>62</v>
      </c>
      <c r="BI9" s="14" t="s">
        <v>62</v>
      </c>
      <c r="BJ9" s="15" t="s">
        <v>62</v>
      </c>
    </row>
    <row r="10" spans="1:62" x14ac:dyDescent="0.3">
      <c r="A10" s="10" t="s">
        <v>63</v>
      </c>
      <c r="B10" s="11">
        <f>48+4</f>
        <v>52</v>
      </c>
      <c r="C10" s="13">
        <f>41+(46/60)</f>
        <v>41.766666666666666</v>
      </c>
      <c r="D10" s="13">
        <f>25+(35/60)</f>
        <v>25.583333333333332</v>
      </c>
      <c r="E10" s="13">
        <f>32+(10/60)</f>
        <v>32.166666666666664</v>
      </c>
      <c r="F10" s="13">
        <f>43+(46/60)</f>
        <v>43.766666666666666</v>
      </c>
      <c r="G10" s="13">
        <f>20+(14/60)</f>
        <v>20.233333333333334</v>
      </c>
      <c r="H10" s="12">
        <v>0</v>
      </c>
      <c r="I10" s="13">
        <v>19.149999999999999</v>
      </c>
      <c r="J10" s="13">
        <v>40.75</v>
      </c>
      <c r="K10" s="13">
        <v>47.016666666666666</v>
      </c>
      <c r="L10" s="13">
        <v>12.316666666666666</v>
      </c>
      <c r="M10" s="13">
        <v>2.7166666666666668</v>
      </c>
      <c r="N10" s="13">
        <v>48</v>
      </c>
      <c r="O10" s="14" t="s">
        <v>62</v>
      </c>
      <c r="P10" s="14" t="s">
        <v>62</v>
      </c>
      <c r="Q10" s="14" t="s">
        <v>62</v>
      </c>
      <c r="R10" s="14" t="s">
        <v>62</v>
      </c>
      <c r="S10" s="14" t="s">
        <v>62</v>
      </c>
      <c r="T10" s="14" t="s">
        <v>62</v>
      </c>
      <c r="U10" s="14" t="s">
        <v>62</v>
      </c>
      <c r="V10" s="14" t="s">
        <v>62</v>
      </c>
      <c r="W10" s="14" t="s">
        <v>62</v>
      </c>
      <c r="X10" s="14" t="s">
        <v>62</v>
      </c>
      <c r="Y10" s="14" t="s">
        <v>62</v>
      </c>
      <c r="Z10" s="14" t="s">
        <v>62</v>
      </c>
      <c r="AA10" s="14" t="s">
        <v>62</v>
      </c>
      <c r="AB10" s="14" t="s">
        <v>62</v>
      </c>
      <c r="AC10" s="14" t="s">
        <v>62</v>
      </c>
      <c r="AD10" s="14" t="s">
        <v>62</v>
      </c>
      <c r="AE10" s="14" t="s">
        <v>62</v>
      </c>
      <c r="AF10" s="14" t="s">
        <v>62</v>
      </c>
      <c r="AG10" s="14" t="s">
        <v>62</v>
      </c>
      <c r="AH10" s="14" t="s">
        <v>62</v>
      </c>
      <c r="AI10" s="14" t="s">
        <v>62</v>
      </c>
      <c r="AJ10" s="14" t="s">
        <v>62</v>
      </c>
      <c r="AK10" s="14" t="s">
        <v>62</v>
      </c>
      <c r="AL10" s="14" t="s">
        <v>62</v>
      </c>
      <c r="AM10" s="14" t="s">
        <v>62</v>
      </c>
      <c r="AN10" s="14" t="s">
        <v>62</v>
      </c>
      <c r="AO10" s="14" t="s">
        <v>62</v>
      </c>
      <c r="AP10" s="14" t="s">
        <v>62</v>
      </c>
      <c r="AQ10" s="14" t="s">
        <v>62</v>
      </c>
      <c r="AR10" s="14" t="s">
        <v>62</v>
      </c>
      <c r="AS10" s="14" t="s">
        <v>62</v>
      </c>
      <c r="AT10" s="14" t="s">
        <v>62</v>
      </c>
      <c r="AU10" s="14" t="s">
        <v>62</v>
      </c>
      <c r="AV10" s="14" t="s">
        <v>62</v>
      </c>
      <c r="AW10" s="14" t="s">
        <v>62</v>
      </c>
      <c r="AX10" s="14" t="s">
        <v>62</v>
      </c>
      <c r="AY10" s="14" t="s">
        <v>62</v>
      </c>
      <c r="AZ10" s="14" t="s">
        <v>62</v>
      </c>
      <c r="BA10" s="14" t="s">
        <v>62</v>
      </c>
      <c r="BB10" s="14" t="s">
        <v>62</v>
      </c>
      <c r="BC10" s="14" t="s">
        <v>62</v>
      </c>
      <c r="BD10" s="14" t="s">
        <v>62</v>
      </c>
      <c r="BE10" s="14" t="s">
        <v>62</v>
      </c>
      <c r="BF10" s="14" t="s">
        <v>62</v>
      </c>
      <c r="BG10" s="14" t="s">
        <v>62</v>
      </c>
      <c r="BH10" s="14" t="s">
        <v>62</v>
      </c>
      <c r="BI10" s="14" t="s">
        <v>62</v>
      </c>
      <c r="BJ10" s="15" t="s">
        <v>62</v>
      </c>
    </row>
    <row r="11" spans="1:62" x14ac:dyDescent="0.3">
      <c r="A11" s="10" t="s">
        <v>8</v>
      </c>
      <c r="B11" s="11">
        <f>43+(2/60)</f>
        <v>43.033333333333331</v>
      </c>
      <c r="C11" s="13">
        <f>29+(31/60)</f>
        <v>29.516666666666666</v>
      </c>
      <c r="D11" s="13">
        <f>29+(45/60)</f>
        <v>29.75</v>
      </c>
      <c r="E11" s="13">
        <f>31+(17/60)</f>
        <v>31.283333333333335</v>
      </c>
      <c r="F11" s="13">
        <f>42</f>
        <v>42</v>
      </c>
      <c r="G11" s="13">
        <f>15+(47/60)</f>
        <v>15.783333333333333</v>
      </c>
      <c r="H11" s="13">
        <f>19+(9/60)</f>
        <v>19.149999999999999</v>
      </c>
      <c r="I11" s="12">
        <v>0</v>
      </c>
      <c r="J11" s="13">
        <v>39.450000000000003</v>
      </c>
      <c r="K11" s="13">
        <v>45.716666666666669</v>
      </c>
      <c r="L11" s="13">
        <v>24.916666666666668</v>
      </c>
      <c r="M11" s="13">
        <v>21.85</v>
      </c>
      <c r="N11" s="13">
        <v>31.266666666666666</v>
      </c>
      <c r="O11" s="14" t="s">
        <v>62</v>
      </c>
      <c r="P11" s="14" t="s">
        <v>62</v>
      </c>
      <c r="Q11" s="14" t="s">
        <v>62</v>
      </c>
      <c r="R11" s="14" t="s">
        <v>62</v>
      </c>
      <c r="S11" s="14" t="s">
        <v>62</v>
      </c>
      <c r="T11" s="14" t="s">
        <v>62</v>
      </c>
      <c r="U11" s="14" t="s">
        <v>62</v>
      </c>
      <c r="V11" s="14" t="s">
        <v>62</v>
      </c>
      <c r="W11" s="14" t="s">
        <v>62</v>
      </c>
      <c r="X11" s="14" t="s">
        <v>62</v>
      </c>
      <c r="Y11" s="14" t="s">
        <v>62</v>
      </c>
      <c r="Z11" s="14" t="s">
        <v>62</v>
      </c>
      <c r="AA11" s="14" t="s">
        <v>62</v>
      </c>
      <c r="AB11" s="14" t="s">
        <v>62</v>
      </c>
      <c r="AC11" s="14" t="s">
        <v>62</v>
      </c>
      <c r="AD11" s="14" t="s">
        <v>62</v>
      </c>
      <c r="AE11" s="14" t="s">
        <v>62</v>
      </c>
      <c r="AF11" s="14" t="s">
        <v>62</v>
      </c>
      <c r="AG11" s="14" t="s">
        <v>62</v>
      </c>
      <c r="AH11" s="14" t="s">
        <v>62</v>
      </c>
      <c r="AI11" s="14" t="s">
        <v>62</v>
      </c>
      <c r="AJ11" s="14" t="s">
        <v>62</v>
      </c>
      <c r="AK11" s="14" t="s">
        <v>62</v>
      </c>
      <c r="AL11" s="14" t="s">
        <v>62</v>
      </c>
      <c r="AM11" s="14" t="s">
        <v>62</v>
      </c>
      <c r="AN11" s="14" t="s">
        <v>62</v>
      </c>
      <c r="AO11" s="14" t="s">
        <v>62</v>
      </c>
      <c r="AP11" s="14" t="s">
        <v>62</v>
      </c>
      <c r="AQ11" s="14" t="s">
        <v>62</v>
      </c>
      <c r="AR11" s="14" t="s">
        <v>62</v>
      </c>
      <c r="AS11" s="14" t="s">
        <v>62</v>
      </c>
      <c r="AT11" s="14" t="s">
        <v>62</v>
      </c>
      <c r="AU11" s="14" t="s">
        <v>62</v>
      </c>
      <c r="AV11" s="14" t="s">
        <v>62</v>
      </c>
      <c r="AW11" s="14" t="s">
        <v>62</v>
      </c>
      <c r="AX11" s="14" t="s">
        <v>62</v>
      </c>
      <c r="AY11" s="14" t="s">
        <v>62</v>
      </c>
      <c r="AZ11" s="14" t="s">
        <v>62</v>
      </c>
      <c r="BA11" s="14" t="s">
        <v>62</v>
      </c>
      <c r="BB11" s="14" t="s">
        <v>62</v>
      </c>
      <c r="BC11" s="14" t="s">
        <v>62</v>
      </c>
      <c r="BD11" s="14" t="s">
        <v>62</v>
      </c>
      <c r="BE11" s="14" t="s">
        <v>62</v>
      </c>
      <c r="BF11" s="14" t="s">
        <v>62</v>
      </c>
      <c r="BG11" s="14" t="s">
        <v>62</v>
      </c>
      <c r="BH11" s="14" t="s">
        <v>62</v>
      </c>
      <c r="BI11" s="14" t="s">
        <v>62</v>
      </c>
      <c r="BJ11" s="15" t="s">
        <v>62</v>
      </c>
    </row>
    <row r="12" spans="1:62" x14ac:dyDescent="0.3">
      <c r="A12" s="10" t="s">
        <v>64</v>
      </c>
      <c r="B12" s="11">
        <f>24+(36/60)</f>
        <v>24.6</v>
      </c>
      <c r="C12" s="13">
        <f>21+(32/60)</f>
        <v>21.533333333333335</v>
      </c>
      <c r="D12" s="13">
        <f>15+(12/60)</f>
        <v>15.2</v>
      </c>
      <c r="E12" s="13">
        <f>8+(47/60)</f>
        <v>8.7833333333333332</v>
      </c>
      <c r="F12" s="13">
        <v>9</v>
      </c>
      <c r="G12" s="13">
        <f>23+(52/60)</f>
        <v>23.866666666666667</v>
      </c>
      <c r="H12" s="13">
        <f>40+(45/60)</f>
        <v>40.75</v>
      </c>
      <c r="I12" s="13">
        <f>39+(27/60)</f>
        <v>39.450000000000003</v>
      </c>
      <c r="J12" s="12">
        <v>0</v>
      </c>
      <c r="K12" s="13">
        <v>6.4333333333333336</v>
      </c>
      <c r="L12" s="13">
        <v>35.950000000000003</v>
      </c>
      <c r="M12" s="13">
        <v>43.233333333333334</v>
      </c>
      <c r="N12" s="13">
        <v>42.016666666666666</v>
      </c>
      <c r="O12" s="14" t="s">
        <v>62</v>
      </c>
      <c r="P12" s="14" t="s">
        <v>62</v>
      </c>
      <c r="Q12" s="14" t="s">
        <v>62</v>
      </c>
      <c r="R12" s="14" t="s">
        <v>62</v>
      </c>
      <c r="S12" s="14" t="s">
        <v>62</v>
      </c>
      <c r="T12" s="14" t="s">
        <v>62</v>
      </c>
      <c r="U12" s="14" t="s">
        <v>62</v>
      </c>
      <c r="V12" s="14" t="s">
        <v>62</v>
      </c>
      <c r="W12" s="14" t="s">
        <v>62</v>
      </c>
      <c r="X12" s="14" t="s">
        <v>62</v>
      </c>
      <c r="Y12" s="14" t="s">
        <v>62</v>
      </c>
      <c r="Z12" s="14" t="s">
        <v>62</v>
      </c>
      <c r="AA12" s="14" t="s">
        <v>62</v>
      </c>
      <c r="AB12" s="14" t="s">
        <v>62</v>
      </c>
      <c r="AC12" s="14" t="s">
        <v>62</v>
      </c>
      <c r="AD12" s="14" t="s">
        <v>62</v>
      </c>
      <c r="AE12" s="14" t="s">
        <v>62</v>
      </c>
      <c r="AF12" s="14" t="s">
        <v>62</v>
      </c>
      <c r="AG12" s="14" t="s">
        <v>62</v>
      </c>
      <c r="AH12" s="14" t="s">
        <v>62</v>
      </c>
      <c r="AI12" s="14" t="s">
        <v>62</v>
      </c>
      <c r="AJ12" s="14" t="s">
        <v>62</v>
      </c>
      <c r="AK12" s="14" t="s">
        <v>62</v>
      </c>
      <c r="AL12" s="14" t="s">
        <v>62</v>
      </c>
      <c r="AM12" s="14" t="s">
        <v>62</v>
      </c>
      <c r="AN12" s="14" t="s">
        <v>62</v>
      </c>
      <c r="AO12" s="14" t="s">
        <v>62</v>
      </c>
      <c r="AP12" s="14" t="s">
        <v>62</v>
      </c>
      <c r="AQ12" s="14" t="s">
        <v>62</v>
      </c>
      <c r="AR12" s="14" t="s">
        <v>62</v>
      </c>
      <c r="AS12" s="14" t="s">
        <v>62</v>
      </c>
      <c r="AT12" s="14" t="s">
        <v>62</v>
      </c>
      <c r="AU12" s="14" t="s">
        <v>62</v>
      </c>
      <c r="AV12" s="14" t="s">
        <v>62</v>
      </c>
      <c r="AW12" s="14" t="s">
        <v>62</v>
      </c>
      <c r="AX12" s="14" t="s">
        <v>62</v>
      </c>
      <c r="AY12" s="14" t="s">
        <v>62</v>
      </c>
      <c r="AZ12" s="14" t="s">
        <v>62</v>
      </c>
      <c r="BA12" s="14" t="s">
        <v>62</v>
      </c>
      <c r="BB12" s="14" t="s">
        <v>62</v>
      </c>
      <c r="BC12" s="14" t="s">
        <v>62</v>
      </c>
      <c r="BD12" s="14" t="s">
        <v>62</v>
      </c>
      <c r="BE12" s="14" t="s">
        <v>62</v>
      </c>
      <c r="BF12" s="14" t="s">
        <v>62</v>
      </c>
      <c r="BG12" s="14" t="s">
        <v>62</v>
      </c>
      <c r="BH12" s="14" t="s">
        <v>62</v>
      </c>
      <c r="BI12" s="14" t="s">
        <v>62</v>
      </c>
      <c r="BJ12" s="15" t="s">
        <v>62</v>
      </c>
    </row>
    <row r="13" spans="1:62" x14ac:dyDescent="0.3">
      <c r="A13" s="10" t="s">
        <v>10</v>
      </c>
      <c r="B13" s="11">
        <f>27+(32/60)</f>
        <v>27.533333333333335</v>
      </c>
      <c r="C13" s="13">
        <f>27+(26/60)</f>
        <v>27.433333333333334</v>
      </c>
      <c r="D13" s="13">
        <f>21+(28/60)</f>
        <v>21.466666666666665</v>
      </c>
      <c r="E13" s="13">
        <f>14+(45/60)</f>
        <v>14.75</v>
      </c>
      <c r="F13" s="13">
        <f>10+(18/60)</f>
        <v>10.3</v>
      </c>
      <c r="G13" s="13">
        <f>30+(8/60)</f>
        <v>30.133333333333333</v>
      </c>
      <c r="H13" s="13">
        <f>47+(1/60)</f>
        <v>47.016666666666666</v>
      </c>
      <c r="I13" s="13">
        <f>45+(43/60)</f>
        <v>45.716666666666669</v>
      </c>
      <c r="J13" s="13">
        <f>6+(26/60)</f>
        <v>6.4333333333333336</v>
      </c>
      <c r="K13" s="12">
        <v>0</v>
      </c>
      <c r="L13" s="13">
        <v>42.18333333333333</v>
      </c>
      <c r="M13" s="13">
        <v>49</v>
      </c>
      <c r="N13" s="13">
        <v>48</v>
      </c>
      <c r="O13" s="14" t="s">
        <v>62</v>
      </c>
      <c r="P13" s="14" t="s">
        <v>62</v>
      </c>
      <c r="Q13" s="14" t="s">
        <v>62</v>
      </c>
      <c r="R13" s="14" t="s">
        <v>62</v>
      </c>
      <c r="S13" s="14" t="s">
        <v>62</v>
      </c>
      <c r="T13" s="14" t="s">
        <v>62</v>
      </c>
      <c r="U13" s="14" t="s">
        <v>62</v>
      </c>
      <c r="V13" s="14" t="s">
        <v>62</v>
      </c>
      <c r="W13" s="14" t="s">
        <v>62</v>
      </c>
      <c r="X13" s="14" t="s">
        <v>62</v>
      </c>
      <c r="Y13" s="14" t="s">
        <v>62</v>
      </c>
      <c r="Z13" s="14" t="s">
        <v>62</v>
      </c>
      <c r="AA13" s="14" t="s">
        <v>62</v>
      </c>
      <c r="AB13" s="14" t="s">
        <v>62</v>
      </c>
      <c r="AC13" s="14" t="s">
        <v>62</v>
      </c>
      <c r="AD13" s="14" t="s">
        <v>62</v>
      </c>
      <c r="AE13" s="14" t="s">
        <v>62</v>
      </c>
      <c r="AF13" s="14" t="s">
        <v>62</v>
      </c>
      <c r="AG13" s="14" t="s">
        <v>62</v>
      </c>
      <c r="AH13" s="14" t="s">
        <v>62</v>
      </c>
      <c r="AI13" s="14" t="s">
        <v>62</v>
      </c>
      <c r="AJ13" s="14" t="s">
        <v>62</v>
      </c>
      <c r="AK13" s="14" t="s">
        <v>62</v>
      </c>
      <c r="AL13" s="14" t="s">
        <v>62</v>
      </c>
      <c r="AM13" s="14" t="s">
        <v>62</v>
      </c>
      <c r="AN13" s="14" t="s">
        <v>62</v>
      </c>
      <c r="AO13" s="14" t="s">
        <v>62</v>
      </c>
      <c r="AP13" s="14" t="s">
        <v>62</v>
      </c>
      <c r="AQ13" s="14" t="s">
        <v>62</v>
      </c>
      <c r="AR13" s="14" t="s">
        <v>62</v>
      </c>
      <c r="AS13" s="14" t="s">
        <v>62</v>
      </c>
      <c r="AT13" s="14" t="s">
        <v>62</v>
      </c>
      <c r="AU13" s="14" t="s">
        <v>62</v>
      </c>
      <c r="AV13" s="14" t="s">
        <v>62</v>
      </c>
      <c r="AW13" s="14" t="s">
        <v>62</v>
      </c>
      <c r="AX13" s="14" t="s">
        <v>62</v>
      </c>
      <c r="AY13" s="14" t="s">
        <v>62</v>
      </c>
      <c r="AZ13" s="14" t="s">
        <v>62</v>
      </c>
      <c r="BA13" s="14" t="s">
        <v>62</v>
      </c>
      <c r="BB13" s="14" t="s">
        <v>62</v>
      </c>
      <c r="BC13" s="14" t="s">
        <v>62</v>
      </c>
      <c r="BD13" s="14" t="s">
        <v>62</v>
      </c>
      <c r="BE13" s="14" t="s">
        <v>62</v>
      </c>
      <c r="BF13" s="14" t="s">
        <v>62</v>
      </c>
      <c r="BG13" s="14" t="s">
        <v>62</v>
      </c>
      <c r="BH13" s="14" t="s">
        <v>62</v>
      </c>
      <c r="BI13" s="14" t="s">
        <v>62</v>
      </c>
      <c r="BJ13" s="15" t="s">
        <v>62</v>
      </c>
    </row>
    <row r="14" spans="1:62" x14ac:dyDescent="0.3">
      <c r="A14" s="10" t="s">
        <v>11</v>
      </c>
      <c r="B14" s="11">
        <f>48+1</f>
        <v>49</v>
      </c>
      <c r="C14" s="13">
        <f>40+(2/60)</f>
        <v>40.033333333333331</v>
      </c>
      <c r="D14" s="13">
        <f>20+(49/60)</f>
        <v>20.816666666666666</v>
      </c>
      <c r="E14" s="13">
        <f>27+(28/60)</f>
        <v>27.466666666666665</v>
      </c>
      <c r="F14" s="13">
        <f>39+(4/60)</f>
        <v>39.06666666666667</v>
      </c>
      <c r="G14" s="13">
        <f>18+(31/60)</f>
        <v>18.516666666666666</v>
      </c>
      <c r="H14" s="13">
        <f>12+(19/60)</f>
        <v>12.316666666666666</v>
      </c>
      <c r="I14" s="13">
        <f>24+(55/60)</f>
        <v>24.916666666666668</v>
      </c>
      <c r="J14" s="13">
        <f>35+(57/60)</f>
        <v>35.950000000000003</v>
      </c>
      <c r="K14" s="13">
        <f>42+(11/60)</f>
        <v>42.18333333333333</v>
      </c>
      <c r="L14" s="12">
        <v>0</v>
      </c>
      <c r="M14" s="13">
        <v>11.016666666666667</v>
      </c>
      <c r="N14" s="13">
        <v>48</v>
      </c>
      <c r="O14" s="14" t="s">
        <v>62</v>
      </c>
      <c r="P14" s="14" t="s">
        <v>62</v>
      </c>
      <c r="Q14" s="14" t="s">
        <v>62</v>
      </c>
      <c r="R14" s="14" t="s">
        <v>62</v>
      </c>
      <c r="S14" s="14" t="s">
        <v>62</v>
      </c>
      <c r="T14" s="14" t="s">
        <v>62</v>
      </c>
      <c r="U14" s="14" t="s">
        <v>62</v>
      </c>
      <c r="V14" s="14" t="s">
        <v>62</v>
      </c>
      <c r="W14" s="14" t="s">
        <v>62</v>
      </c>
      <c r="X14" s="14" t="s">
        <v>62</v>
      </c>
      <c r="Y14" s="14" t="s">
        <v>62</v>
      </c>
      <c r="Z14" s="14" t="s">
        <v>62</v>
      </c>
      <c r="AA14" s="14" t="s">
        <v>62</v>
      </c>
      <c r="AB14" s="14" t="s">
        <v>62</v>
      </c>
      <c r="AC14" s="14" t="s">
        <v>62</v>
      </c>
      <c r="AD14" s="14" t="s">
        <v>62</v>
      </c>
      <c r="AE14" s="14" t="s">
        <v>62</v>
      </c>
      <c r="AF14" s="14" t="s">
        <v>62</v>
      </c>
      <c r="AG14" s="14" t="s">
        <v>62</v>
      </c>
      <c r="AH14" s="14" t="s">
        <v>62</v>
      </c>
      <c r="AI14" s="14" t="s">
        <v>62</v>
      </c>
      <c r="AJ14" s="14" t="s">
        <v>62</v>
      </c>
      <c r="AK14" s="14" t="s">
        <v>62</v>
      </c>
      <c r="AL14" s="14" t="s">
        <v>62</v>
      </c>
      <c r="AM14" s="14" t="s">
        <v>62</v>
      </c>
      <c r="AN14" s="14" t="s">
        <v>62</v>
      </c>
      <c r="AO14" s="14" t="s">
        <v>62</v>
      </c>
      <c r="AP14" s="14" t="s">
        <v>62</v>
      </c>
      <c r="AQ14" s="14" t="s">
        <v>62</v>
      </c>
      <c r="AR14" s="14" t="s">
        <v>62</v>
      </c>
      <c r="AS14" s="14" t="s">
        <v>62</v>
      </c>
      <c r="AT14" s="14" t="s">
        <v>62</v>
      </c>
      <c r="AU14" s="14" t="s">
        <v>62</v>
      </c>
      <c r="AV14" s="14" t="s">
        <v>62</v>
      </c>
      <c r="AW14" s="14" t="s">
        <v>62</v>
      </c>
      <c r="AX14" s="14" t="s">
        <v>62</v>
      </c>
      <c r="AY14" s="14" t="s">
        <v>62</v>
      </c>
      <c r="AZ14" s="14" t="s">
        <v>62</v>
      </c>
      <c r="BA14" s="14" t="s">
        <v>62</v>
      </c>
      <c r="BB14" s="14" t="s">
        <v>62</v>
      </c>
      <c r="BC14" s="14" t="s">
        <v>62</v>
      </c>
      <c r="BD14" s="14" t="s">
        <v>62</v>
      </c>
      <c r="BE14" s="14" t="s">
        <v>62</v>
      </c>
      <c r="BF14" s="14" t="s">
        <v>62</v>
      </c>
      <c r="BG14" s="14" t="s">
        <v>62</v>
      </c>
      <c r="BH14" s="14" t="s">
        <v>62</v>
      </c>
      <c r="BI14" s="14" t="s">
        <v>62</v>
      </c>
      <c r="BJ14" s="15" t="s">
        <v>62</v>
      </c>
    </row>
    <row r="15" spans="1:62" x14ac:dyDescent="0.3">
      <c r="A15" s="10" t="s">
        <v>12</v>
      </c>
      <c r="B15" s="11">
        <f>48+7</f>
        <v>55</v>
      </c>
      <c r="C15" s="13">
        <f>44+(21/60)</f>
        <v>44.35</v>
      </c>
      <c r="D15" s="13">
        <f>28+(10/60)</f>
        <v>28.166666666666668</v>
      </c>
      <c r="E15" s="13">
        <f>34+(45/60)</f>
        <v>34.75</v>
      </c>
      <c r="F15" s="13">
        <f>46+(21/60)</f>
        <v>46.35</v>
      </c>
      <c r="G15" s="13">
        <f>22+(49/60)</f>
        <v>22.816666666666666</v>
      </c>
      <c r="H15" s="13">
        <f>2+(43/60)</f>
        <v>2.7166666666666668</v>
      </c>
      <c r="I15" s="13">
        <f>21+(51/60)</f>
        <v>21.85</v>
      </c>
      <c r="J15" s="13">
        <f>43+(14/60)</f>
        <v>43.233333333333334</v>
      </c>
      <c r="K15" s="13">
        <f>48+1</f>
        <v>49</v>
      </c>
      <c r="L15" s="13">
        <f>11+(1/60)</f>
        <v>11.016666666666667</v>
      </c>
      <c r="M15" s="12">
        <v>0</v>
      </c>
      <c r="N15" s="13">
        <f>48+2</f>
        <v>50</v>
      </c>
      <c r="O15" s="14" t="s">
        <v>62</v>
      </c>
      <c r="P15" s="14" t="s">
        <v>62</v>
      </c>
      <c r="Q15" s="14" t="s">
        <v>62</v>
      </c>
      <c r="R15" s="14" t="s">
        <v>62</v>
      </c>
      <c r="S15" s="14" t="s">
        <v>62</v>
      </c>
      <c r="T15" s="14" t="s">
        <v>62</v>
      </c>
      <c r="U15" s="14" t="s">
        <v>62</v>
      </c>
      <c r="V15" s="14" t="s">
        <v>62</v>
      </c>
      <c r="W15" s="14" t="s">
        <v>62</v>
      </c>
      <c r="X15" s="14" t="s">
        <v>62</v>
      </c>
      <c r="Y15" s="14" t="s">
        <v>62</v>
      </c>
      <c r="Z15" s="14" t="s">
        <v>62</v>
      </c>
      <c r="AA15" s="14" t="s">
        <v>62</v>
      </c>
      <c r="AB15" s="14" t="s">
        <v>62</v>
      </c>
      <c r="AC15" s="14" t="s">
        <v>62</v>
      </c>
      <c r="AD15" s="14" t="s">
        <v>62</v>
      </c>
      <c r="AE15" s="14" t="s">
        <v>62</v>
      </c>
      <c r="AF15" s="14" t="s">
        <v>62</v>
      </c>
      <c r="AG15" s="14" t="s">
        <v>62</v>
      </c>
      <c r="AH15" s="14" t="s">
        <v>62</v>
      </c>
      <c r="AI15" s="14" t="s">
        <v>62</v>
      </c>
      <c r="AJ15" s="14" t="s">
        <v>62</v>
      </c>
      <c r="AK15" s="14" t="s">
        <v>62</v>
      </c>
      <c r="AL15" s="14" t="s">
        <v>62</v>
      </c>
      <c r="AM15" s="14" t="s">
        <v>62</v>
      </c>
      <c r="AN15" s="14" t="s">
        <v>62</v>
      </c>
      <c r="AO15" s="14" t="s">
        <v>62</v>
      </c>
      <c r="AP15" s="14" t="s">
        <v>62</v>
      </c>
      <c r="AQ15" s="14" t="s">
        <v>62</v>
      </c>
      <c r="AR15" s="14" t="s">
        <v>62</v>
      </c>
      <c r="AS15" s="14" t="s">
        <v>62</v>
      </c>
      <c r="AT15" s="14" t="s">
        <v>62</v>
      </c>
      <c r="AU15" s="14" t="s">
        <v>62</v>
      </c>
      <c r="AV15" s="14" t="s">
        <v>62</v>
      </c>
      <c r="AW15" s="14" t="s">
        <v>62</v>
      </c>
      <c r="AX15" s="14" t="s">
        <v>62</v>
      </c>
      <c r="AY15" s="14" t="s">
        <v>62</v>
      </c>
      <c r="AZ15" s="14" t="s">
        <v>62</v>
      </c>
      <c r="BA15" s="14" t="s">
        <v>62</v>
      </c>
      <c r="BB15" s="14" t="s">
        <v>62</v>
      </c>
      <c r="BC15" s="14" t="s">
        <v>62</v>
      </c>
      <c r="BD15" s="14" t="s">
        <v>62</v>
      </c>
      <c r="BE15" s="14" t="s">
        <v>62</v>
      </c>
      <c r="BF15" s="14" t="s">
        <v>62</v>
      </c>
      <c r="BG15" s="14" t="s">
        <v>62</v>
      </c>
      <c r="BH15" s="14" t="s">
        <v>62</v>
      </c>
      <c r="BI15" s="14" t="s">
        <v>62</v>
      </c>
      <c r="BJ15" s="15" t="s">
        <v>62</v>
      </c>
    </row>
    <row r="16" spans="1:62" x14ac:dyDescent="0.3">
      <c r="A16" s="10" t="s">
        <v>13</v>
      </c>
      <c r="B16" s="11">
        <f>36+(36/60)</f>
        <v>36.6</v>
      </c>
      <c r="C16" s="13">
        <f>23+(4/60)</f>
        <v>23.066666666666666</v>
      </c>
      <c r="D16" s="13">
        <f>34+(12/60)</f>
        <v>34.200000000000003</v>
      </c>
      <c r="E16" s="13">
        <f>34+(11/60)</f>
        <v>34.18333333333333</v>
      </c>
      <c r="F16" s="13">
        <f>40+(23/60)</f>
        <v>40.383333333333333</v>
      </c>
      <c r="G16" s="13">
        <f>30+(28/60)</f>
        <v>30.466666666666665</v>
      </c>
      <c r="H16" s="13">
        <f>48</f>
        <v>48</v>
      </c>
      <c r="I16" s="13">
        <f>31+(16/60)</f>
        <v>31.266666666666666</v>
      </c>
      <c r="J16" s="13">
        <f>42+(1/60)</f>
        <v>42.016666666666666</v>
      </c>
      <c r="K16" s="13">
        <f>48</f>
        <v>48</v>
      </c>
      <c r="L16" s="13">
        <f>48</f>
        <v>48</v>
      </c>
      <c r="M16" s="13">
        <f>48+2</f>
        <v>50</v>
      </c>
      <c r="N16" s="12">
        <v>0</v>
      </c>
      <c r="O16" s="14" t="s">
        <v>62</v>
      </c>
      <c r="P16" s="14" t="s">
        <v>62</v>
      </c>
      <c r="Q16" s="14" t="s">
        <v>62</v>
      </c>
      <c r="R16" s="14" t="s">
        <v>62</v>
      </c>
      <c r="S16" s="14" t="s">
        <v>62</v>
      </c>
      <c r="T16" s="14" t="s">
        <v>62</v>
      </c>
      <c r="U16" s="14" t="s">
        <v>62</v>
      </c>
      <c r="V16" s="14" t="s">
        <v>62</v>
      </c>
      <c r="W16" s="14" t="s">
        <v>62</v>
      </c>
      <c r="X16" s="14" t="s">
        <v>62</v>
      </c>
      <c r="Y16" s="14" t="s">
        <v>62</v>
      </c>
      <c r="Z16" s="14" t="s">
        <v>62</v>
      </c>
      <c r="AA16" s="14" t="s">
        <v>62</v>
      </c>
      <c r="AB16" s="14" t="s">
        <v>62</v>
      </c>
      <c r="AC16" s="14" t="s">
        <v>62</v>
      </c>
      <c r="AD16" s="14" t="s">
        <v>62</v>
      </c>
      <c r="AE16" s="14" t="s">
        <v>62</v>
      </c>
      <c r="AF16" s="14" t="s">
        <v>62</v>
      </c>
      <c r="AG16" s="14" t="s">
        <v>62</v>
      </c>
      <c r="AH16" s="14" t="s">
        <v>62</v>
      </c>
      <c r="AI16" s="14" t="s">
        <v>62</v>
      </c>
      <c r="AJ16" s="14" t="s">
        <v>62</v>
      </c>
      <c r="AK16" s="14" t="s">
        <v>62</v>
      </c>
      <c r="AL16" s="14" t="s">
        <v>62</v>
      </c>
      <c r="AM16" s="14" t="s">
        <v>62</v>
      </c>
      <c r="AN16" s="14" t="s">
        <v>62</v>
      </c>
      <c r="AO16" s="14" t="s">
        <v>62</v>
      </c>
      <c r="AP16" s="14" t="s">
        <v>62</v>
      </c>
      <c r="AQ16" s="14" t="s">
        <v>62</v>
      </c>
      <c r="AR16" s="14" t="s">
        <v>62</v>
      </c>
      <c r="AS16" s="14" t="s">
        <v>62</v>
      </c>
      <c r="AT16" s="14" t="s">
        <v>62</v>
      </c>
      <c r="AU16" s="14" t="s">
        <v>62</v>
      </c>
      <c r="AV16" s="14" t="s">
        <v>62</v>
      </c>
      <c r="AW16" s="14" t="s">
        <v>62</v>
      </c>
      <c r="AX16" s="14" t="s">
        <v>62</v>
      </c>
      <c r="AY16" s="14" t="s">
        <v>62</v>
      </c>
      <c r="AZ16" s="14" t="s">
        <v>62</v>
      </c>
      <c r="BA16" s="14" t="s">
        <v>62</v>
      </c>
      <c r="BB16" s="14" t="s">
        <v>62</v>
      </c>
      <c r="BC16" s="14" t="s">
        <v>62</v>
      </c>
      <c r="BD16" s="14" t="s">
        <v>62</v>
      </c>
      <c r="BE16" s="14" t="s">
        <v>62</v>
      </c>
      <c r="BF16" s="14" t="s">
        <v>62</v>
      </c>
      <c r="BG16" s="14" t="s">
        <v>62</v>
      </c>
      <c r="BH16" s="14" t="s">
        <v>62</v>
      </c>
      <c r="BI16" s="14" t="s">
        <v>62</v>
      </c>
      <c r="BJ16" s="15" t="s">
        <v>62</v>
      </c>
    </row>
    <row r="17" spans="1:62" x14ac:dyDescent="0.3">
      <c r="A17" s="10" t="s">
        <v>14</v>
      </c>
      <c r="B17" s="16" t="s">
        <v>62</v>
      </c>
      <c r="C17" s="14" t="s">
        <v>62</v>
      </c>
      <c r="D17" s="14" t="s">
        <v>62</v>
      </c>
      <c r="E17" s="14" t="s">
        <v>62</v>
      </c>
      <c r="F17" s="14" t="s">
        <v>62</v>
      </c>
      <c r="G17" s="14" t="s">
        <v>62</v>
      </c>
      <c r="H17" s="14" t="s">
        <v>62</v>
      </c>
      <c r="I17" s="14" t="s">
        <v>62</v>
      </c>
      <c r="J17" s="14" t="s">
        <v>62</v>
      </c>
      <c r="K17" s="14" t="s">
        <v>62</v>
      </c>
      <c r="L17" s="14" t="s">
        <v>62</v>
      </c>
      <c r="M17" s="14" t="s">
        <v>62</v>
      </c>
      <c r="N17" s="14" t="s">
        <v>62</v>
      </c>
      <c r="O17" s="12">
        <v>0</v>
      </c>
      <c r="P17" s="13">
        <v>33.716666666666669</v>
      </c>
      <c r="Q17" s="14" t="s">
        <v>62</v>
      </c>
      <c r="R17" s="14" t="s">
        <v>62</v>
      </c>
      <c r="S17" s="14" t="s">
        <v>62</v>
      </c>
      <c r="T17" s="14" t="s">
        <v>62</v>
      </c>
      <c r="U17" s="14" t="s">
        <v>62</v>
      </c>
      <c r="V17" s="14" t="s">
        <v>62</v>
      </c>
      <c r="W17" s="14" t="s">
        <v>62</v>
      </c>
      <c r="X17" s="14" t="s">
        <v>62</v>
      </c>
      <c r="Y17" s="14" t="s">
        <v>62</v>
      </c>
      <c r="Z17" s="14" t="s">
        <v>62</v>
      </c>
      <c r="AA17" s="14" t="s">
        <v>62</v>
      </c>
      <c r="AB17" s="14" t="s">
        <v>62</v>
      </c>
      <c r="AC17" s="14" t="s">
        <v>62</v>
      </c>
      <c r="AD17" s="14" t="s">
        <v>62</v>
      </c>
      <c r="AE17" s="14" t="s">
        <v>62</v>
      </c>
      <c r="AF17" s="14" t="s">
        <v>62</v>
      </c>
      <c r="AG17" s="14" t="s">
        <v>62</v>
      </c>
      <c r="AH17" s="14" t="s">
        <v>62</v>
      </c>
      <c r="AI17" s="14" t="s">
        <v>62</v>
      </c>
      <c r="AJ17" s="14" t="s">
        <v>62</v>
      </c>
      <c r="AK17" s="14" t="s">
        <v>62</v>
      </c>
      <c r="AL17" s="14" t="s">
        <v>62</v>
      </c>
      <c r="AM17" s="14" t="s">
        <v>62</v>
      </c>
      <c r="AN17" s="14" t="s">
        <v>62</v>
      </c>
      <c r="AO17" s="14" t="s">
        <v>62</v>
      </c>
      <c r="AP17" s="14" t="s">
        <v>62</v>
      </c>
      <c r="AQ17" s="14" t="s">
        <v>62</v>
      </c>
      <c r="AR17" s="14" t="s">
        <v>62</v>
      </c>
      <c r="AS17" s="14" t="s">
        <v>62</v>
      </c>
      <c r="AT17" s="14" t="s">
        <v>62</v>
      </c>
      <c r="AU17" s="14" t="s">
        <v>62</v>
      </c>
      <c r="AV17" s="14" t="s">
        <v>62</v>
      </c>
      <c r="AW17" s="14" t="s">
        <v>62</v>
      </c>
      <c r="AX17" s="14" t="s">
        <v>62</v>
      </c>
      <c r="AY17" s="14" t="s">
        <v>62</v>
      </c>
      <c r="AZ17" s="14" t="s">
        <v>62</v>
      </c>
      <c r="BA17" s="14" t="s">
        <v>62</v>
      </c>
      <c r="BB17" s="14" t="s">
        <v>62</v>
      </c>
      <c r="BC17" s="14" t="s">
        <v>62</v>
      </c>
      <c r="BD17" s="14" t="s">
        <v>62</v>
      </c>
      <c r="BE17" s="14" t="s">
        <v>62</v>
      </c>
      <c r="BF17" s="14" t="s">
        <v>62</v>
      </c>
      <c r="BG17" s="14" t="s">
        <v>62</v>
      </c>
      <c r="BH17" s="12">
        <f>24*4+3</f>
        <v>99</v>
      </c>
      <c r="BI17" s="12">
        <f>41+(32/60)</f>
        <v>41.533333333333331</v>
      </c>
      <c r="BJ17" s="17">
        <f>31+(51/60)</f>
        <v>31.85</v>
      </c>
    </row>
    <row r="18" spans="1:62" x14ac:dyDescent="0.3">
      <c r="A18" s="10" t="s">
        <v>15</v>
      </c>
      <c r="B18" s="16" t="s">
        <v>62</v>
      </c>
      <c r="C18" s="14" t="s">
        <v>62</v>
      </c>
      <c r="D18" s="14" t="s">
        <v>62</v>
      </c>
      <c r="E18" s="14" t="s">
        <v>62</v>
      </c>
      <c r="F18" s="14" t="s">
        <v>62</v>
      </c>
      <c r="G18" s="14" t="s">
        <v>62</v>
      </c>
      <c r="H18" s="14" t="s">
        <v>62</v>
      </c>
      <c r="I18" s="14" t="s">
        <v>62</v>
      </c>
      <c r="J18" s="14" t="s">
        <v>62</v>
      </c>
      <c r="K18" s="14" t="s">
        <v>62</v>
      </c>
      <c r="L18" s="14" t="s">
        <v>62</v>
      </c>
      <c r="M18" s="14" t="s">
        <v>62</v>
      </c>
      <c r="N18" s="14" t="s">
        <v>62</v>
      </c>
      <c r="O18" s="13">
        <f>33+(43/60)</f>
        <v>33.716666666666669</v>
      </c>
      <c r="P18" s="12">
        <v>0</v>
      </c>
      <c r="Q18" s="14" t="s">
        <v>62</v>
      </c>
      <c r="R18" s="14" t="s">
        <v>62</v>
      </c>
      <c r="S18" s="14" t="s">
        <v>62</v>
      </c>
      <c r="T18" s="14" t="s">
        <v>62</v>
      </c>
      <c r="U18" s="14" t="s">
        <v>62</v>
      </c>
      <c r="V18" s="14" t="s">
        <v>62</v>
      </c>
      <c r="W18" s="14" t="s">
        <v>62</v>
      </c>
      <c r="X18" s="14" t="s">
        <v>62</v>
      </c>
      <c r="Y18" s="14" t="s">
        <v>62</v>
      </c>
      <c r="Z18" s="14" t="s">
        <v>62</v>
      </c>
      <c r="AA18" s="14" t="s">
        <v>62</v>
      </c>
      <c r="AB18" s="14" t="s">
        <v>62</v>
      </c>
      <c r="AC18" s="14" t="s">
        <v>62</v>
      </c>
      <c r="AD18" s="14" t="s">
        <v>62</v>
      </c>
      <c r="AE18" s="14" t="s">
        <v>62</v>
      </c>
      <c r="AF18" s="14" t="s">
        <v>62</v>
      </c>
      <c r="AG18" s="14" t="s">
        <v>62</v>
      </c>
      <c r="AH18" s="14" t="s">
        <v>62</v>
      </c>
      <c r="AI18" s="14" t="s">
        <v>62</v>
      </c>
      <c r="AJ18" s="14" t="s">
        <v>62</v>
      </c>
      <c r="AK18" s="14" t="s">
        <v>62</v>
      </c>
      <c r="AL18" s="14" t="s">
        <v>62</v>
      </c>
      <c r="AM18" s="14" t="s">
        <v>62</v>
      </c>
      <c r="AN18" s="14" t="s">
        <v>62</v>
      </c>
      <c r="AO18" s="14" t="s">
        <v>62</v>
      </c>
      <c r="AP18" s="14" t="s">
        <v>62</v>
      </c>
      <c r="AQ18" s="14" t="s">
        <v>62</v>
      </c>
      <c r="AR18" s="14" t="s">
        <v>62</v>
      </c>
      <c r="AS18" s="14" t="s">
        <v>62</v>
      </c>
      <c r="AT18" s="14" t="s">
        <v>62</v>
      </c>
      <c r="AU18" s="14" t="s">
        <v>62</v>
      </c>
      <c r="AV18" s="14" t="s">
        <v>62</v>
      </c>
      <c r="AW18" s="14" t="s">
        <v>62</v>
      </c>
      <c r="AX18" s="14" t="s">
        <v>62</v>
      </c>
      <c r="AY18" s="14" t="s">
        <v>62</v>
      </c>
      <c r="AZ18" s="14" t="s">
        <v>62</v>
      </c>
      <c r="BA18" s="14" t="s">
        <v>62</v>
      </c>
      <c r="BB18" s="14" t="s">
        <v>62</v>
      </c>
      <c r="BC18" s="14" t="s">
        <v>62</v>
      </c>
      <c r="BD18" s="14" t="s">
        <v>62</v>
      </c>
      <c r="BE18" s="14" t="s">
        <v>62</v>
      </c>
      <c r="BF18" s="14" t="s">
        <v>62</v>
      </c>
      <c r="BG18" s="14" t="s">
        <v>62</v>
      </c>
      <c r="BH18" s="13">
        <f>5*24+9</f>
        <v>129</v>
      </c>
      <c r="BI18" s="13">
        <f>24*3+2</f>
        <v>74</v>
      </c>
      <c r="BJ18" s="18">
        <f>24*2+16</f>
        <v>64</v>
      </c>
    </row>
    <row r="19" spans="1:62" x14ac:dyDescent="0.3">
      <c r="A19" s="10" t="s">
        <v>16</v>
      </c>
      <c r="B19" s="16" t="s">
        <v>62</v>
      </c>
      <c r="C19" s="14" t="s">
        <v>62</v>
      </c>
      <c r="D19" s="14" t="s">
        <v>62</v>
      </c>
      <c r="E19" s="14" t="s">
        <v>62</v>
      </c>
      <c r="F19" s="14" t="s">
        <v>62</v>
      </c>
      <c r="G19" s="14" t="s">
        <v>62</v>
      </c>
      <c r="H19" s="14" t="s">
        <v>62</v>
      </c>
      <c r="I19" s="14" t="s">
        <v>62</v>
      </c>
      <c r="J19" s="14" t="s">
        <v>62</v>
      </c>
      <c r="K19" s="14" t="s">
        <v>62</v>
      </c>
      <c r="L19" s="14" t="s">
        <v>62</v>
      </c>
      <c r="M19" s="14" t="s">
        <v>62</v>
      </c>
      <c r="N19" s="14" t="s">
        <v>62</v>
      </c>
      <c r="O19" s="14" t="s">
        <v>62</v>
      </c>
      <c r="P19" s="14" t="s">
        <v>62</v>
      </c>
      <c r="Q19" s="12">
        <v>0</v>
      </c>
      <c r="R19" s="13">
        <v>3.9</v>
      </c>
      <c r="S19" s="13">
        <v>6.833333333333333</v>
      </c>
      <c r="T19" s="13" t="s">
        <v>62</v>
      </c>
      <c r="U19" s="13" t="s">
        <v>62</v>
      </c>
      <c r="V19" s="13" t="s">
        <v>62</v>
      </c>
      <c r="W19" s="13" t="s">
        <v>62</v>
      </c>
      <c r="X19" s="13" t="s">
        <v>62</v>
      </c>
      <c r="Y19" s="13" t="s">
        <v>62</v>
      </c>
      <c r="Z19" s="13" t="s">
        <v>62</v>
      </c>
      <c r="AA19" s="13" t="s">
        <v>62</v>
      </c>
      <c r="AB19" s="13" t="s">
        <v>62</v>
      </c>
      <c r="AC19" s="13" t="s">
        <v>62</v>
      </c>
      <c r="AD19" s="13" t="s">
        <v>62</v>
      </c>
      <c r="AE19" s="13" t="s">
        <v>62</v>
      </c>
      <c r="AF19" s="13" t="s">
        <v>62</v>
      </c>
      <c r="AG19" s="13" t="s">
        <v>62</v>
      </c>
      <c r="AH19" s="14" t="s">
        <v>62</v>
      </c>
      <c r="AI19" s="14" t="s">
        <v>62</v>
      </c>
      <c r="AJ19" s="14" t="s">
        <v>62</v>
      </c>
      <c r="AK19" s="14" t="s">
        <v>62</v>
      </c>
      <c r="AL19" s="14" t="s">
        <v>62</v>
      </c>
      <c r="AM19" s="14" t="s">
        <v>62</v>
      </c>
      <c r="AN19" s="14" t="s">
        <v>62</v>
      </c>
      <c r="AO19" s="14" t="s">
        <v>62</v>
      </c>
      <c r="AP19" s="14" t="s">
        <v>62</v>
      </c>
      <c r="AQ19" s="14" t="s">
        <v>62</v>
      </c>
      <c r="AR19" s="14" t="s">
        <v>62</v>
      </c>
      <c r="AS19" s="14" t="s">
        <v>62</v>
      </c>
      <c r="AT19" s="14" t="s">
        <v>62</v>
      </c>
      <c r="AU19" s="14" t="s">
        <v>62</v>
      </c>
      <c r="AV19" s="14" t="s">
        <v>62</v>
      </c>
      <c r="AW19" s="14" t="s">
        <v>62</v>
      </c>
      <c r="AX19" s="14" t="s">
        <v>62</v>
      </c>
      <c r="AY19" s="14" t="s">
        <v>62</v>
      </c>
      <c r="AZ19" s="14" t="s">
        <v>62</v>
      </c>
      <c r="BA19" s="14" t="s">
        <v>62</v>
      </c>
      <c r="BB19" s="13" t="s">
        <v>62</v>
      </c>
      <c r="BC19" s="14" t="s">
        <v>62</v>
      </c>
      <c r="BD19" s="14" t="s">
        <v>62</v>
      </c>
      <c r="BE19" s="14" t="s">
        <v>62</v>
      </c>
      <c r="BF19" s="13" t="s">
        <v>62</v>
      </c>
      <c r="BG19" s="13" t="s">
        <v>62</v>
      </c>
      <c r="BH19" s="14" t="s">
        <v>62</v>
      </c>
      <c r="BI19" s="14" t="s">
        <v>62</v>
      </c>
      <c r="BJ19" s="15" t="s">
        <v>62</v>
      </c>
    </row>
    <row r="20" spans="1:62" x14ac:dyDescent="0.3">
      <c r="A20" s="10" t="s">
        <v>17</v>
      </c>
      <c r="B20" s="16" t="s">
        <v>62</v>
      </c>
      <c r="C20" s="14" t="s">
        <v>62</v>
      </c>
      <c r="D20" s="14" t="s">
        <v>62</v>
      </c>
      <c r="E20" s="14" t="s">
        <v>62</v>
      </c>
      <c r="F20" s="14" t="s">
        <v>62</v>
      </c>
      <c r="G20" s="14" t="s">
        <v>62</v>
      </c>
      <c r="H20" s="14" t="s">
        <v>62</v>
      </c>
      <c r="I20" s="14" t="s">
        <v>62</v>
      </c>
      <c r="J20" s="14" t="s">
        <v>62</v>
      </c>
      <c r="K20" s="14" t="s">
        <v>62</v>
      </c>
      <c r="L20" s="14" t="s">
        <v>62</v>
      </c>
      <c r="M20" s="14" t="s">
        <v>62</v>
      </c>
      <c r="N20" s="14" t="s">
        <v>62</v>
      </c>
      <c r="O20" s="14" t="s">
        <v>62</v>
      </c>
      <c r="P20" s="14" t="s">
        <v>62</v>
      </c>
      <c r="Q20" s="13">
        <f>3+(54/60)</f>
        <v>3.9</v>
      </c>
      <c r="R20" s="12">
        <v>0</v>
      </c>
      <c r="S20" s="13">
        <v>3.5833333333333335</v>
      </c>
      <c r="T20" s="13" t="s">
        <v>62</v>
      </c>
      <c r="U20" s="13" t="s">
        <v>62</v>
      </c>
      <c r="V20" s="13" t="s">
        <v>62</v>
      </c>
      <c r="W20" s="13" t="s">
        <v>62</v>
      </c>
      <c r="X20" s="13" t="s">
        <v>62</v>
      </c>
      <c r="Y20" s="13" t="s">
        <v>62</v>
      </c>
      <c r="Z20" s="13" t="s">
        <v>62</v>
      </c>
      <c r="AA20" s="13" t="s">
        <v>62</v>
      </c>
      <c r="AB20" s="13" t="s">
        <v>62</v>
      </c>
      <c r="AC20" s="13" t="s">
        <v>62</v>
      </c>
      <c r="AD20" s="13" t="s">
        <v>62</v>
      </c>
      <c r="AE20" s="13" t="s">
        <v>62</v>
      </c>
      <c r="AF20" s="13" t="s">
        <v>62</v>
      </c>
      <c r="AG20" s="13" t="s">
        <v>62</v>
      </c>
      <c r="AH20" s="14" t="s">
        <v>62</v>
      </c>
      <c r="AI20" s="14" t="s">
        <v>62</v>
      </c>
      <c r="AJ20" s="14" t="s">
        <v>62</v>
      </c>
      <c r="AK20" s="14" t="s">
        <v>62</v>
      </c>
      <c r="AL20" s="14" t="s">
        <v>62</v>
      </c>
      <c r="AM20" s="14" t="s">
        <v>62</v>
      </c>
      <c r="AN20" s="14" t="s">
        <v>62</v>
      </c>
      <c r="AO20" s="14" t="s">
        <v>62</v>
      </c>
      <c r="AP20" s="14" t="s">
        <v>62</v>
      </c>
      <c r="AQ20" s="14" t="s">
        <v>62</v>
      </c>
      <c r="AR20" s="14" t="s">
        <v>62</v>
      </c>
      <c r="AS20" s="14" t="s">
        <v>62</v>
      </c>
      <c r="AT20" s="14" t="s">
        <v>62</v>
      </c>
      <c r="AU20" s="14" t="s">
        <v>62</v>
      </c>
      <c r="AV20" s="14" t="s">
        <v>62</v>
      </c>
      <c r="AW20" s="14" t="s">
        <v>62</v>
      </c>
      <c r="AX20" s="14" t="s">
        <v>62</v>
      </c>
      <c r="AY20" s="14" t="s">
        <v>62</v>
      </c>
      <c r="AZ20" s="14" t="s">
        <v>62</v>
      </c>
      <c r="BA20" s="14" t="s">
        <v>62</v>
      </c>
      <c r="BB20" s="13" t="s">
        <v>62</v>
      </c>
      <c r="BC20" s="14" t="s">
        <v>62</v>
      </c>
      <c r="BD20" s="14" t="s">
        <v>62</v>
      </c>
      <c r="BE20" s="14" t="s">
        <v>62</v>
      </c>
      <c r="BF20" s="13" t="s">
        <v>62</v>
      </c>
      <c r="BG20" s="13" t="s">
        <v>62</v>
      </c>
      <c r="BH20" s="14" t="s">
        <v>62</v>
      </c>
      <c r="BI20" s="14" t="s">
        <v>62</v>
      </c>
      <c r="BJ20" s="15" t="s">
        <v>62</v>
      </c>
    </row>
    <row r="21" spans="1:62" x14ac:dyDescent="0.3">
      <c r="A21" s="10" t="s">
        <v>18</v>
      </c>
      <c r="B21" s="16" t="s">
        <v>62</v>
      </c>
      <c r="C21" s="14" t="s">
        <v>62</v>
      </c>
      <c r="D21" s="14" t="s">
        <v>62</v>
      </c>
      <c r="E21" s="14" t="s">
        <v>62</v>
      </c>
      <c r="F21" s="14" t="s">
        <v>62</v>
      </c>
      <c r="G21" s="14" t="s">
        <v>62</v>
      </c>
      <c r="H21" s="14" t="s">
        <v>62</v>
      </c>
      <c r="I21" s="14" t="s">
        <v>62</v>
      </c>
      <c r="J21" s="14" t="s">
        <v>62</v>
      </c>
      <c r="K21" s="14" t="s">
        <v>62</v>
      </c>
      <c r="L21" s="14" t="s">
        <v>62</v>
      </c>
      <c r="M21" s="14" t="s">
        <v>62</v>
      </c>
      <c r="N21" s="14" t="s">
        <v>62</v>
      </c>
      <c r="O21" s="14" t="s">
        <v>62</v>
      </c>
      <c r="P21" s="14" t="s">
        <v>62</v>
      </c>
      <c r="Q21" s="13">
        <f>6+(50/60)</f>
        <v>6.833333333333333</v>
      </c>
      <c r="R21" s="13">
        <f>3+(35/60)</f>
        <v>3.5833333333333335</v>
      </c>
      <c r="S21" s="12">
        <v>0</v>
      </c>
      <c r="T21" s="13" t="s">
        <v>62</v>
      </c>
      <c r="U21" s="13" t="s">
        <v>62</v>
      </c>
      <c r="V21" s="13" t="s">
        <v>62</v>
      </c>
      <c r="W21" s="13" t="s">
        <v>62</v>
      </c>
      <c r="X21" s="13" t="s">
        <v>62</v>
      </c>
      <c r="Y21" s="13" t="s">
        <v>62</v>
      </c>
      <c r="Z21" s="13" t="s">
        <v>62</v>
      </c>
      <c r="AA21" s="13" t="s">
        <v>62</v>
      </c>
      <c r="AB21" s="13" t="s">
        <v>62</v>
      </c>
      <c r="AC21" s="13" t="s">
        <v>62</v>
      </c>
      <c r="AD21" s="13" t="s">
        <v>62</v>
      </c>
      <c r="AE21" s="13" t="s">
        <v>62</v>
      </c>
      <c r="AF21" s="13" t="s">
        <v>62</v>
      </c>
      <c r="AG21" s="13" t="s">
        <v>62</v>
      </c>
      <c r="AH21" s="14" t="s">
        <v>62</v>
      </c>
      <c r="AI21" s="14" t="s">
        <v>62</v>
      </c>
      <c r="AJ21" s="14" t="s">
        <v>62</v>
      </c>
      <c r="AK21" s="14" t="s">
        <v>62</v>
      </c>
      <c r="AL21" s="14" t="s">
        <v>62</v>
      </c>
      <c r="AM21" s="14" t="s">
        <v>62</v>
      </c>
      <c r="AN21" s="14" t="s">
        <v>62</v>
      </c>
      <c r="AO21" s="14" t="s">
        <v>62</v>
      </c>
      <c r="AP21" s="14" t="s">
        <v>62</v>
      </c>
      <c r="AQ21" s="14" t="s">
        <v>62</v>
      </c>
      <c r="AR21" s="14" t="s">
        <v>62</v>
      </c>
      <c r="AS21" s="14" t="s">
        <v>62</v>
      </c>
      <c r="AT21" s="14" t="s">
        <v>62</v>
      </c>
      <c r="AU21" s="14" t="s">
        <v>62</v>
      </c>
      <c r="AV21" s="14" t="s">
        <v>62</v>
      </c>
      <c r="AW21" s="14" t="s">
        <v>62</v>
      </c>
      <c r="AX21" s="14" t="s">
        <v>62</v>
      </c>
      <c r="AY21" s="14" t="s">
        <v>62</v>
      </c>
      <c r="AZ21" s="14" t="s">
        <v>62</v>
      </c>
      <c r="BA21" s="14" t="s">
        <v>62</v>
      </c>
      <c r="BB21" s="13" t="s">
        <v>62</v>
      </c>
      <c r="BC21" s="14" t="s">
        <v>62</v>
      </c>
      <c r="BD21" s="14" t="s">
        <v>62</v>
      </c>
      <c r="BE21" s="14" t="s">
        <v>62</v>
      </c>
      <c r="BF21" s="13" t="s">
        <v>62</v>
      </c>
      <c r="BG21" s="13" t="s">
        <v>62</v>
      </c>
      <c r="BH21" s="14" t="s">
        <v>62</v>
      </c>
      <c r="BI21" s="14" t="s">
        <v>62</v>
      </c>
      <c r="BJ21" s="15" t="s">
        <v>62</v>
      </c>
    </row>
    <row r="22" spans="1:62" x14ac:dyDescent="0.3">
      <c r="A22" s="10" t="s">
        <v>19</v>
      </c>
      <c r="B22" s="16" t="s">
        <v>62</v>
      </c>
      <c r="C22" s="14" t="s">
        <v>62</v>
      </c>
      <c r="D22" s="14" t="s">
        <v>62</v>
      </c>
      <c r="E22" s="14" t="s">
        <v>62</v>
      </c>
      <c r="F22" s="14" t="s">
        <v>62</v>
      </c>
      <c r="G22" s="14" t="s">
        <v>62</v>
      </c>
      <c r="H22" s="14" t="s">
        <v>62</v>
      </c>
      <c r="I22" s="14" t="s">
        <v>62</v>
      </c>
      <c r="J22" s="14" t="s">
        <v>62</v>
      </c>
      <c r="K22" s="14" t="s">
        <v>62</v>
      </c>
      <c r="L22" s="14" t="s">
        <v>62</v>
      </c>
      <c r="M22" s="14" t="s">
        <v>62</v>
      </c>
      <c r="N22" s="14" t="s">
        <v>62</v>
      </c>
      <c r="O22" s="14" t="s">
        <v>62</v>
      </c>
      <c r="P22" s="14" t="s">
        <v>62</v>
      </c>
      <c r="Q22" s="13" t="s">
        <v>62</v>
      </c>
      <c r="R22" s="13" t="s">
        <v>62</v>
      </c>
      <c r="S22" s="13" t="s">
        <v>62</v>
      </c>
      <c r="T22" s="12">
        <v>0</v>
      </c>
      <c r="U22" s="13">
        <v>4.2833333333333332</v>
      </c>
      <c r="V22" s="13">
        <v>7.4666666666666668</v>
      </c>
      <c r="W22" s="13">
        <v>7.7833333333333332</v>
      </c>
      <c r="X22" s="13">
        <v>9.2333333333333325</v>
      </c>
      <c r="Y22" s="13">
        <v>5.2166666666666668</v>
      </c>
      <c r="Z22" s="13">
        <v>13.433333333333334</v>
      </c>
      <c r="AA22" s="13">
        <v>8.3000000000000007</v>
      </c>
      <c r="AB22" s="13">
        <v>11.866666666666667</v>
      </c>
      <c r="AC22" s="13">
        <v>9.5666666666666664</v>
      </c>
      <c r="AD22" s="13">
        <v>10.666666666666666</v>
      </c>
      <c r="AE22" s="13">
        <v>13.433333333333334</v>
      </c>
      <c r="AF22" s="13">
        <v>9.0166666666666675</v>
      </c>
      <c r="AG22" s="13">
        <v>11.533333333333333</v>
      </c>
      <c r="AH22" s="14" t="s">
        <v>62</v>
      </c>
      <c r="AI22" s="14">
        <v>117</v>
      </c>
      <c r="AJ22" s="14" t="s">
        <v>62</v>
      </c>
      <c r="AK22" s="14">
        <v>127</v>
      </c>
      <c r="AL22" s="14" t="s">
        <v>62</v>
      </c>
      <c r="AM22" s="14" t="s">
        <v>62</v>
      </c>
      <c r="AN22" s="14" t="s">
        <v>62</v>
      </c>
      <c r="AO22" s="14" t="s">
        <v>62</v>
      </c>
      <c r="AP22" s="14" t="s">
        <v>62</v>
      </c>
      <c r="AQ22" s="14" t="s">
        <v>62</v>
      </c>
      <c r="AR22" s="14" t="s">
        <v>62</v>
      </c>
      <c r="AS22" s="14">
        <v>61</v>
      </c>
      <c r="AT22" s="14">
        <v>58</v>
      </c>
      <c r="AU22" s="14">
        <f>5*24+11</f>
        <v>131</v>
      </c>
      <c r="AV22" s="14">
        <f>27+(44/60)</f>
        <v>27.733333333333334</v>
      </c>
      <c r="AW22" s="14">
        <f>3*24+11</f>
        <v>83</v>
      </c>
      <c r="AX22" s="14">
        <f>5*24+15</f>
        <v>135</v>
      </c>
      <c r="AY22" s="14">
        <f>4*24+5</f>
        <v>101</v>
      </c>
      <c r="AZ22" s="14">
        <f>4*24+21</f>
        <v>117</v>
      </c>
      <c r="BA22" s="14">
        <f>6*24+3</f>
        <v>147</v>
      </c>
      <c r="BB22" s="13">
        <f>18+(26/60)</f>
        <v>18.433333333333334</v>
      </c>
      <c r="BC22" s="14">
        <f>5*24+12</f>
        <v>132</v>
      </c>
      <c r="BD22" s="14">
        <f>4*24+20</f>
        <v>116</v>
      </c>
      <c r="BE22" s="14">
        <f>5*24+7</f>
        <v>127</v>
      </c>
      <c r="BF22" s="13">
        <f>23+(24/60)</f>
        <v>23.4</v>
      </c>
      <c r="BG22" s="13">
        <f>26+(48/60)</f>
        <v>26.8</v>
      </c>
      <c r="BH22" s="14" t="s">
        <v>62</v>
      </c>
      <c r="BI22" s="14" t="s">
        <v>62</v>
      </c>
      <c r="BJ22" s="15" t="s">
        <v>62</v>
      </c>
    </row>
    <row r="23" spans="1:62" x14ac:dyDescent="0.3">
      <c r="A23" s="10" t="s">
        <v>20</v>
      </c>
      <c r="B23" s="16" t="s">
        <v>62</v>
      </c>
      <c r="C23" s="14" t="s">
        <v>62</v>
      </c>
      <c r="D23" s="14" t="s">
        <v>62</v>
      </c>
      <c r="E23" s="14" t="s">
        <v>62</v>
      </c>
      <c r="F23" s="14" t="s">
        <v>62</v>
      </c>
      <c r="G23" s="14" t="s">
        <v>62</v>
      </c>
      <c r="H23" s="14" t="s">
        <v>62</v>
      </c>
      <c r="I23" s="14" t="s">
        <v>62</v>
      </c>
      <c r="J23" s="14" t="s">
        <v>62</v>
      </c>
      <c r="K23" s="14" t="s">
        <v>62</v>
      </c>
      <c r="L23" s="14" t="s">
        <v>62</v>
      </c>
      <c r="M23" s="14" t="s">
        <v>62</v>
      </c>
      <c r="N23" s="14" t="s">
        <v>62</v>
      </c>
      <c r="O23" s="14" t="s">
        <v>62</v>
      </c>
      <c r="P23" s="14" t="s">
        <v>62</v>
      </c>
      <c r="Q23" s="13" t="s">
        <v>62</v>
      </c>
      <c r="R23" s="13" t="s">
        <v>62</v>
      </c>
      <c r="S23" s="13" t="s">
        <v>62</v>
      </c>
      <c r="T23" s="13">
        <f>4+(17/60)</f>
        <v>4.2833333333333332</v>
      </c>
      <c r="U23" s="12">
        <v>0</v>
      </c>
      <c r="V23" s="13">
        <v>7.166666666666667</v>
      </c>
      <c r="W23" s="13">
        <v>10.283333333333333</v>
      </c>
      <c r="X23" s="13">
        <v>10.483333333333333</v>
      </c>
      <c r="Y23" s="13">
        <v>7.7666666666666666</v>
      </c>
      <c r="Z23" s="13">
        <v>9.3833333333333329</v>
      </c>
      <c r="AA23" s="13">
        <v>4.4833333333333334</v>
      </c>
      <c r="AB23" s="13">
        <v>11.533333333333333</v>
      </c>
      <c r="AC23" s="13">
        <v>5.9333333333333336</v>
      </c>
      <c r="AD23" s="13">
        <v>11.916666666666666</v>
      </c>
      <c r="AE23" s="13">
        <v>14.016666666666667</v>
      </c>
      <c r="AF23" s="13">
        <v>9.3833333333333329</v>
      </c>
      <c r="AG23" s="13">
        <v>11.7</v>
      </c>
      <c r="AH23" s="14" t="s">
        <v>62</v>
      </c>
      <c r="AI23" s="14" t="s">
        <v>62</v>
      </c>
      <c r="AJ23" s="14" t="s">
        <v>62</v>
      </c>
      <c r="AK23" s="14">
        <v>125</v>
      </c>
      <c r="AL23" s="14" t="s">
        <v>62</v>
      </c>
      <c r="AM23" s="14" t="s">
        <v>62</v>
      </c>
      <c r="AN23" s="14" t="s">
        <v>62</v>
      </c>
      <c r="AO23" s="14" t="s">
        <v>62</v>
      </c>
      <c r="AP23" s="14" t="s">
        <v>62</v>
      </c>
      <c r="AQ23" s="14" t="s">
        <v>62</v>
      </c>
      <c r="AR23" s="14" t="s">
        <v>62</v>
      </c>
      <c r="AS23" s="14">
        <v>58</v>
      </c>
      <c r="AT23" s="14">
        <v>55</v>
      </c>
      <c r="AU23" s="14">
        <f>5*24+12</f>
        <v>132</v>
      </c>
      <c r="AV23" s="14">
        <f>28+(59/60)</f>
        <v>28.983333333333334</v>
      </c>
      <c r="AW23" s="14">
        <f>3*24+13</f>
        <v>85</v>
      </c>
      <c r="AX23" s="14">
        <f>5*24+17</f>
        <v>137</v>
      </c>
      <c r="AY23" s="14">
        <f>4*24+2</f>
        <v>98</v>
      </c>
      <c r="AZ23" s="14">
        <f>4*24+19</f>
        <v>115</v>
      </c>
      <c r="BA23" s="14" t="s">
        <v>62</v>
      </c>
      <c r="BB23" s="13">
        <f>21</f>
        <v>21</v>
      </c>
      <c r="BC23" s="14">
        <f>5*24+13</f>
        <v>133</v>
      </c>
      <c r="BD23" s="14">
        <f>4*24+22</f>
        <v>118</v>
      </c>
      <c r="BE23" s="14">
        <f>5*24+9</f>
        <v>129</v>
      </c>
      <c r="BF23" s="13">
        <f>23+(59/60)</f>
        <v>23.983333333333334</v>
      </c>
      <c r="BG23" s="13">
        <f>24+(19/60)</f>
        <v>24.316666666666666</v>
      </c>
      <c r="BH23" s="14" t="s">
        <v>62</v>
      </c>
      <c r="BI23" s="14" t="s">
        <v>62</v>
      </c>
      <c r="BJ23" s="15" t="s">
        <v>62</v>
      </c>
    </row>
    <row r="24" spans="1:62" x14ac:dyDescent="0.3">
      <c r="A24" s="10" t="s">
        <v>21</v>
      </c>
      <c r="B24" s="16" t="s">
        <v>62</v>
      </c>
      <c r="C24" s="14" t="s">
        <v>62</v>
      </c>
      <c r="D24" s="14" t="s">
        <v>62</v>
      </c>
      <c r="E24" s="14" t="s">
        <v>62</v>
      </c>
      <c r="F24" s="14" t="s">
        <v>62</v>
      </c>
      <c r="G24" s="14" t="s">
        <v>62</v>
      </c>
      <c r="H24" s="14" t="s">
        <v>62</v>
      </c>
      <c r="I24" s="14" t="s">
        <v>62</v>
      </c>
      <c r="J24" s="14" t="s">
        <v>62</v>
      </c>
      <c r="K24" s="14" t="s">
        <v>62</v>
      </c>
      <c r="L24" s="14" t="s">
        <v>62</v>
      </c>
      <c r="M24" s="14" t="s">
        <v>62</v>
      </c>
      <c r="N24" s="14" t="s">
        <v>62</v>
      </c>
      <c r="O24" s="14" t="s">
        <v>62</v>
      </c>
      <c r="P24" s="14" t="s">
        <v>62</v>
      </c>
      <c r="Q24" s="13" t="s">
        <v>62</v>
      </c>
      <c r="R24" s="13" t="s">
        <v>62</v>
      </c>
      <c r="S24" s="13" t="s">
        <v>62</v>
      </c>
      <c r="T24" s="13">
        <f>7+(28/60)</f>
        <v>7.4666666666666668</v>
      </c>
      <c r="U24" s="13">
        <f>7+(10/60)</f>
        <v>7.166666666666667</v>
      </c>
      <c r="V24" s="12">
        <v>0</v>
      </c>
      <c r="W24" s="13">
        <v>6.6</v>
      </c>
      <c r="X24" s="13">
        <v>4.9000000000000004</v>
      </c>
      <c r="Y24" s="13">
        <v>5.2166666666666668</v>
      </c>
      <c r="Z24" s="13">
        <v>8.6666666666666661</v>
      </c>
      <c r="AA24" s="13">
        <v>5.083333333333333</v>
      </c>
      <c r="AB24" s="13">
        <v>18.45</v>
      </c>
      <c r="AC24" s="13">
        <v>12.866666666666667</v>
      </c>
      <c r="AD24" s="13">
        <v>6.333333333333333</v>
      </c>
      <c r="AE24" s="13">
        <v>8.1333333333333329</v>
      </c>
      <c r="AF24" s="13">
        <v>3.4166666666666665</v>
      </c>
      <c r="AG24" s="13">
        <v>4.5999999999999996</v>
      </c>
      <c r="AH24" s="14" t="s">
        <v>62</v>
      </c>
      <c r="AI24" s="14" t="s">
        <v>62</v>
      </c>
      <c r="AJ24" s="14" t="s">
        <v>62</v>
      </c>
      <c r="AK24" s="14">
        <v>120</v>
      </c>
      <c r="AL24" s="14" t="s">
        <v>62</v>
      </c>
      <c r="AM24" s="14" t="s">
        <v>62</v>
      </c>
      <c r="AN24" s="14" t="s">
        <v>62</v>
      </c>
      <c r="AO24" s="14" t="s">
        <v>62</v>
      </c>
      <c r="AP24" s="14" t="s">
        <v>62</v>
      </c>
      <c r="AQ24" s="14" t="s">
        <v>62</v>
      </c>
      <c r="AR24" s="14" t="s">
        <v>62</v>
      </c>
      <c r="AS24" s="14">
        <v>53</v>
      </c>
      <c r="AT24" s="14">
        <v>50</v>
      </c>
      <c r="AU24" s="14">
        <f>5*24+6</f>
        <v>126</v>
      </c>
      <c r="AV24" s="14">
        <f>23+(23/60)</f>
        <v>23.383333333333333</v>
      </c>
      <c r="AW24" s="14">
        <f>3*24+7</f>
        <v>79</v>
      </c>
      <c r="AX24" s="14">
        <f>5*24+11</f>
        <v>131</v>
      </c>
      <c r="AY24" s="14">
        <f>3*24+21</f>
        <v>93</v>
      </c>
      <c r="AZ24" s="14">
        <f>4*24+14</f>
        <v>110</v>
      </c>
      <c r="BA24" s="14" t="s">
        <v>62</v>
      </c>
      <c r="BB24" s="13">
        <f>17+(20/60)</f>
        <v>17.333333333333332</v>
      </c>
      <c r="BC24" s="14">
        <f>5*24+7</f>
        <v>127</v>
      </c>
      <c r="BD24" s="14">
        <f>4*24+16</f>
        <v>112</v>
      </c>
      <c r="BE24" s="14">
        <f>5*24+3</f>
        <v>123</v>
      </c>
      <c r="BF24" s="13">
        <f>18+(6/60)</f>
        <v>18.100000000000001</v>
      </c>
      <c r="BG24" s="13">
        <f>19+(26/60)</f>
        <v>19.433333333333334</v>
      </c>
      <c r="BH24" s="14" t="s">
        <v>62</v>
      </c>
      <c r="BI24" s="14" t="s">
        <v>62</v>
      </c>
      <c r="BJ24" s="15" t="s">
        <v>62</v>
      </c>
    </row>
    <row r="25" spans="1:62" x14ac:dyDescent="0.3">
      <c r="A25" s="10" t="s">
        <v>22</v>
      </c>
      <c r="B25" s="16" t="s">
        <v>62</v>
      </c>
      <c r="C25" s="14" t="s">
        <v>62</v>
      </c>
      <c r="D25" s="14" t="s">
        <v>62</v>
      </c>
      <c r="E25" s="14" t="s">
        <v>62</v>
      </c>
      <c r="F25" s="14" t="s">
        <v>62</v>
      </c>
      <c r="G25" s="14" t="s">
        <v>62</v>
      </c>
      <c r="H25" s="14" t="s">
        <v>62</v>
      </c>
      <c r="I25" s="14" t="s">
        <v>62</v>
      </c>
      <c r="J25" s="14" t="s">
        <v>62</v>
      </c>
      <c r="K25" s="14" t="s">
        <v>62</v>
      </c>
      <c r="L25" s="14" t="s">
        <v>62</v>
      </c>
      <c r="M25" s="14" t="s">
        <v>62</v>
      </c>
      <c r="N25" s="14" t="s">
        <v>62</v>
      </c>
      <c r="O25" s="14" t="s">
        <v>62</v>
      </c>
      <c r="P25" s="14" t="s">
        <v>62</v>
      </c>
      <c r="Q25" s="13" t="s">
        <v>62</v>
      </c>
      <c r="R25" s="13" t="s">
        <v>62</v>
      </c>
      <c r="S25" s="13" t="s">
        <v>62</v>
      </c>
      <c r="T25" s="13">
        <f>7+(47/60)</f>
        <v>7.7833333333333332</v>
      </c>
      <c r="U25" s="13">
        <f>10+(17/60)</f>
        <v>10.283333333333333</v>
      </c>
      <c r="V25" s="13">
        <f>6+(36/60)</f>
        <v>6.6</v>
      </c>
      <c r="W25" s="12">
        <v>0</v>
      </c>
      <c r="X25" s="13">
        <v>2.6</v>
      </c>
      <c r="Y25" s="13">
        <v>2.8666666666666667</v>
      </c>
      <c r="Z25" s="13">
        <v>14.85</v>
      </c>
      <c r="AA25" s="13">
        <v>10.233333333333333</v>
      </c>
      <c r="AB25" s="13">
        <v>19.666666666666668</v>
      </c>
      <c r="AC25" s="13">
        <v>16.116666666666667</v>
      </c>
      <c r="AD25" s="13">
        <v>3.6333333333333333</v>
      </c>
      <c r="AE25" s="13">
        <v>8.3666666666666671</v>
      </c>
      <c r="AF25" s="13">
        <v>5.333333333333333</v>
      </c>
      <c r="AG25" s="13">
        <v>8.35</v>
      </c>
      <c r="AH25" s="14" t="s">
        <v>62</v>
      </c>
      <c r="AI25" s="14">
        <v>112</v>
      </c>
      <c r="AJ25" s="14" t="s">
        <v>62</v>
      </c>
      <c r="AK25" s="14" t="s">
        <v>62</v>
      </c>
      <c r="AL25" s="14" t="s">
        <v>62</v>
      </c>
      <c r="AM25" s="14" t="s">
        <v>62</v>
      </c>
      <c r="AN25" s="14" t="s">
        <v>62</v>
      </c>
      <c r="AO25" s="14" t="s">
        <v>62</v>
      </c>
      <c r="AP25" s="14" t="s">
        <v>62</v>
      </c>
      <c r="AQ25" s="14" t="s">
        <v>62</v>
      </c>
      <c r="AR25" s="14">
        <v>66</v>
      </c>
      <c r="AS25" s="14">
        <v>58</v>
      </c>
      <c r="AT25" s="14">
        <v>55</v>
      </c>
      <c r="AU25" s="14">
        <f>5*24+4</f>
        <v>124</v>
      </c>
      <c r="AV25" s="14">
        <f>21+(24/60)</f>
        <v>21.4</v>
      </c>
      <c r="AW25" s="14">
        <f>3*24+5</f>
        <v>77</v>
      </c>
      <c r="AX25" s="14">
        <f>5*24+9</f>
        <v>129</v>
      </c>
      <c r="AY25" s="14">
        <f>4*24+2</f>
        <v>98</v>
      </c>
      <c r="AZ25" s="14">
        <f>4*24+19</f>
        <v>115</v>
      </c>
      <c r="BA25" s="14">
        <f>5*24+21</f>
        <v>141</v>
      </c>
      <c r="BB25" s="12">
        <f>10+(52/60)</f>
        <v>10.866666666666667</v>
      </c>
      <c r="BC25" s="14">
        <f>5*24+5</f>
        <v>125</v>
      </c>
      <c r="BD25" s="14">
        <f>4*24+14</f>
        <v>110</v>
      </c>
      <c r="BE25" s="14">
        <f>5*24+1</f>
        <v>121</v>
      </c>
      <c r="BF25" s="13">
        <f>17+(28/60)</f>
        <v>17.466666666666665</v>
      </c>
      <c r="BG25" s="13">
        <f>24+(12/60)</f>
        <v>24.2</v>
      </c>
      <c r="BH25" s="14" t="s">
        <v>62</v>
      </c>
      <c r="BI25" s="14" t="s">
        <v>62</v>
      </c>
      <c r="BJ25" s="15" t="s">
        <v>62</v>
      </c>
    </row>
    <row r="26" spans="1:62" x14ac:dyDescent="0.3">
      <c r="A26" s="10" t="s">
        <v>23</v>
      </c>
      <c r="B26" s="16" t="s">
        <v>62</v>
      </c>
      <c r="C26" s="14" t="s">
        <v>62</v>
      </c>
      <c r="D26" s="14" t="s">
        <v>62</v>
      </c>
      <c r="E26" s="14" t="s">
        <v>62</v>
      </c>
      <c r="F26" s="14" t="s">
        <v>62</v>
      </c>
      <c r="G26" s="14" t="s">
        <v>62</v>
      </c>
      <c r="H26" s="14" t="s">
        <v>62</v>
      </c>
      <c r="I26" s="14" t="s">
        <v>62</v>
      </c>
      <c r="J26" s="14" t="s">
        <v>62</v>
      </c>
      <c r="K26" s="14" t="s">
        <v>62</v>
      </c>
      <c r="L26" s="14" t="s">
        <v>62</v>
      </c>
      <c r="M26" s="14" t="s">
        <v>62</v>
      </c>
      <c r="N26" s="14" t="s">
        <v>62</v>
      </c>
      <c r="O26" s="14" t="s">
        <v>62</v>
      </c>
      <c r="P26" s="14" t="s">
        <v>62</v>
      </c>
      <c r="Q26" s="13" t="s">
        <v>62</v>
      </c>
      <c r="R26" s="13" t="s">
        <v>62</v>
      </c>
      <c r="S26" s="13" t="s">
        <v>62</v>
      </c>
      <c r="T26" s="13">
        <f>9+(14/60)</f>
        <v>9.2333333333333325</v>
      </c>
      <c r="U26" s="13">
        <f>10+(29/60)</f>
        <v>10.483333333333333</v>
      </c>
      <c r="V26" s="13">
        <f>4+(54/60)</f>
        <v>4.9000000000000004</v>
      </c>
      <c r="W26" s="13">
        <f>2+(36/60)</f>
        <v>2.6</v>
      </c>
      <c r="X26" s="12">
        <v>0</v>
      </c>
      <c r="Y26" s="13">
        <v>4.3666666666666663</v>
      </c>
      <c r="Z26" s="13">
        <v>13.333333333333334</v>
      </c>
      <c r="AA26" s="13">
        <v>9.3833333333333329</v>
      </c>
      <c r="AB26" s="13">
        <v>21.283333333333335</v>
      </c>
      <c r="AC26" s="13">
        <v>16.3</v>
      </c>
      <c r="AD26" s="13">
        <v>1.55</v>
      </c>
      <c r="AE26" s="13">
        <v>5.9</v>
      </c>
      <c r="AF26" s="13">
        <v>3.3333333333333335</v>
      </c>
      <c r="AG26" s="13">
        <v>6.35</v>
      </c>
      <c r="AH26" s="14" t="s">
        <v>62</v>
      </c>
      <c r="AI26" s="14">
        <v>109</v>
      </c>
      <c r="AJ26" s="14" t="s">
        <v>62</v>
      </c>
      <c r="AK26" s="14" t="s">
        <v>62</v>
      </c>
      <c r="AL26" s="14" t="s">
        <v>62</v>
      </c>
      <c r="AM26" s="14" t="s">
        <v>62</v>
      </c>
      <c r="AN26" s="14" t="s">
        <v>62</v>
      </c>
      <c r="AO26" s="14" t="s">
        <v>62</v>
      </c>
      <c r="AP26" s="14" t="s">
        <v>62</v>
      </c>
      <c r="AQ26" s="14" t="s">
        <v>62</v>
      </c>
      <c r="AR26" s="14">
        <v>64</v>
      </c>
      <c r="AS26" s="14">
        <v>56</v>
      </c>
      <c r="AT26" s="14">
        <v>53</v>
      </c>
      <c r="AU26" s="14">
        <f>5*24+2</f>
        <v>122</v>
      </c>
      <c r="AV26" s="14">
        <f>19+(11/60)</f>
        <v>19.183333333333334</v>
      </c>
      <c r="AW26" s="14">
        <f>3*24+3</f>
        <v>75</v>
      </c>
      <c r="AX26" s="14">
        <f>5*24+7</f>
        <v>127</v>
      </c>
      <c r="AY26" s="14">
        <f>4*24</f>
        <v>96</v>
      </c>
      <c r="AZ26" s="14">
        <f>4*24+17</f>
        <v>113</v>
      </c>
      <c r="BA26" s="14">
        <f>5*24+18</f>
        <v>138</v>
      </c>
      <c r="BB26" s="13">
        <f>13+(29/60)</f>
        <v>13.483333333333333</v>
      </c>
      <c r="BC26" s="14">
        <f>5*24+3</f>
        <v>123</v>
      </c>
      <c r="BD26" s="14">
        <f>4*24+12</f>
        <v>108</v>
      </c>
      <c r="BE26" s="14">
        <f>4*24+23</f>
        <v>119</v>
      </c>
      <c r="BF26" s="13">
        <f>15+(16/60)</f>
        <v>15.266666666666667</v>
      </c>
      <c r="BG26" s="13">
        <f>22+(12/60)</f>
        <v>22.2</v>
      </c>
      <c r="BH26" s="14" t="s">
        <v>62</v>
      </c>
      <c r="BI26" s="14" t="s">
        <v>62</v>
      </c>
      <c r="BJ26" s="15" t="s">
        <v>62</v>
      </c>
    </row>
    <row r="27" spans="1:62" x14ac:dyDescent="0.3">
      <c r="A27" s="10" t="s">
        <v>24</v>
      </c>
      <c r="B27" s="16" t="s">
        <v>62</v>
      </c>
      <c r="C27" s="14" t="s">
        <v>62</v>
      </c>
      <c r="D27" s="14" t="s">
        <v>62</v>
      </c>
      <c r="E27" s="14" t="s">
        <v>62</v>
      </c>
      <c r="F27" s="14" t="s">
        <v>62</v>
      </c>
      <c r="G27" s="14" t="s">
        <v>62</v>
      </c>
      <c r="H27" s="14" t="s">
        <v>62</v>
      </c>
      <c r="I27" s="14" t="s">
        <v>62</v>
      </c>
      <c r="J27" s="14" t="s">
        <v>62</v>
      </c>
      <c r="K27" s="14" t="s">
        <v>62</v>
      </c>
      <c r="L27" s="14" t="s">
        <v>62</v>
      </c>
      <c r="M27" s="14" t="s">
        <v>62</v>
      </c>
      <c r="N27" s="14" t="s">
        <v>62</v>
      </c>
      <c r="O27" s="14" t="s">
        <v>62</v>
      </c>
      <c r="P27" s="14" t="s">
        <v>62</v>
      </c>
      <c r="Q27" s="13" t="s">
        <v>62</v>
      </c>
      <c r="R27" s="13" t="s">
        <v>62</v>
      </c>
      <c r="S27" s="13" t="s">
        <v>62</v>
      </c>
      <c r="T27" s="13">
        <f>5+(13/60)</f>
        <v>5.2166666666666668</v>
      </c>
      <c r="U27" s="13">
        <f>7+(46/60)</f>
        <v>7.7666666666666666</v>
      </c>
      <c r="V27" s="13">
        <f>5+(13/60)</f>
        <v>5.2166666666666668</v>
      </c>
      <c r="W27" s="13">
        <f>2+(52/60)</f>
        <v>2.8666666666666667</v>
      </c>
      <c r="X27" s="13">
        <f>4+(22/60)</f>
        <v>4.3666666666666663</v>
      </c>
      <c r="Y27" s="12">
        <v>0</v>
      </c>
      <c r="Z27" s="13">
        <v>13.383333333333333</v>
      </c>
      <c r="AA27" s="13">
        <v>8.1333333333333329</v>
      </c>
      <c r="AB27" s="13">
        <v>17.149999999999999</v>
      </c>
      <c r="AC27" s="13">
        <v>13.683333333333334</v>
      </c>
      <c r="AD27" s="13">
        <v>5.7</v>
      </c>
      <c r="AE27" s="13">
        <v>8.7833333333333332</v>
      </c>
      <c r="AF27" s="13">
        <v>5.55</v>
      </c>
      <c r="AG27" s="13">
        <v>8.5666666666666664</v>
      </c>
      <c r="AH27" s="14" t="s">
        <v>62</v>
      </c>
      <c r="AI27" s="14">
        <v>113</v>
      </c>
      <c r="AJ27" s="14" t="s">
        <v>62</v>
      </c>
      <c r="AK27" s="14">
        <v>123</v>
      </c>
      <c r="AL27" s="14" t="s">
        <v>62</v>
      </c>
      <c r="AM27" s="14" t="s">
        <v>62</v>
      </c>
      <c r="AN27" s="14" t="s">
        <v>62</v>
      </c>
      <c r="AO27" s="14" t="s">
        <v>62</v>
      </c>
      <c r="AP27" s="14" t="s">
        <v>62</v>
      </c>
      <c r="AQ27" s="14" t="s">
        <v>62</v>
      </c>
      <c r="AR27" s="14">
        <v>66</v>
      </c>
      <c r="AS27" s="14">
        <v>58</v>
      </c>
      <c r="AT27" s="14">
        <v>55</v>
      </c>
      <c r="AU27" s="14">
        <f>5*24+6</f>
        <v>126</v>
      </c>
      <c r="AV27" s="14">
        <f>22+(47/60)</f>
        <v>22.783333333333335</v>
      </c>
      <c r="AW27" s="14">
        <f>3*24+6</f>
        <v>78</v>
      </c>
      <c r="AX27" s="14">
        <f>5*24+10</f>
        <v>130</v>
      </c>
      <c r="AY27" s="14">
        <f>4*24+2</f>
        <v>98</v>
      </c>
      <c r="AZ27" s="14">
        <f>4*24+19</f>
        <v>115</v>
      </c>
      <c r="BA27" s="14">
        <f>5*24+22</f>
        <v>142</v>
      </c>
      <c r="BB27" s="13">
        <f>13+(30/60)</f>
        <v>13.5</v>
      </c>
      <c r="BC27" s="14">
        <f>5*24+7</f>
        <v>127</v>
      </c>
      <c r="BD27" s="14">
        <f>4*24+16</f>
        <v>112</v>
      </c>
      <c r="BE27" s="14">
        <f>5*24+2</f>
        <v>122</v>
      </c>
      <c r="BF27" s="13">
        <f>18+(45/60)</f>
        <v>18.75</v>
      </c>
      <c r="BG27" s="13">
        <f>24+(3/60)</f>
        <v>24.05</v>
      </c>
      <c r="BH27" s="14" t="s">
        <v>62</v>
      </c>
      <c r="BI27" s="14" t="s">
        <v>62</v>
      </c>
      <c r="BJ27" s="15" t="s">
        <v>62</v>
      </c>
    </row>
    <row r="28" spans="1:62" x14ac:dyDescent="0.3">
      <c r="A28" s="10" t="s">
        <v>25</v>
      </c>
      <c r="B28" s="16" t="s">
        <v>62</v>
      </c>
      <c r="C28" s="14" t="s">
        <v>62</v>
      </c>
      <c r="D28" s="14" t="s">
        <v>62</v>
      </c>
      <c r="E28" s="14" t="s">
        <v>62</v>
      </c>
      <c r="F28" s="14" t="s">
        <v>62</v>
      </c>
      <c r="G28" s="14" t="s">
        <v>62</v>
      </c>
      <c r="H28" s="14" t="s">
        <v>62</v>
      </c>
      <c r="I28" s="14" t="s">
        <v>62</v>
      </c>
      <c r="J28" s="14" t="s">
        <v>62</v>
      </c>
      <c r="K28" s="14" t="s">
        <v>62</v>
      </c>
      <c r="L28" s="14" t="s">
        <v>62</v>
      </c>
      <c r="M28" s="14" t="s">
        <v>62</v>
      </c>
      <c r="N28" s="14" t="s">
        <v>62</v>
      </c>
      <c r="O28" s="14" t="s">
        <v>62</v>
      </c>
      <c r="P28" s="14" t="s">
        <v>62</v>
      </c>
      <c r="Q28" s="13" t="s">
        <v>62</v>
      </c>
      <c r="R28" s="13" t="s">
        <v>62</v>
      </c>
      <c r="S28" s="13" t="s">
        <v>62</v>
      </c>
      <c r="T28" s="13">
        <f>13+(26/60)</f>
        <v>13.433333333333334</v>
      </c>
      <c r="U28" s="13">
        <f>9+(23/60)</f>
        <v>9.3833333333333329</v>
      </c>
      <c r="V28" s="13">
        <f>8+(40/60)</f>
        <v>8.6666666666666661</v>
      </c>
      <c r="W28" s="13">
        <f>14+(51/60)</f>
        <v>14.85</v>
      </c>
      <c r="X28" s="13">
        <f>13+(20/60)</f>
        <v>13.333333333333334</v>
      </c>
      <c r="Y28" s="13">
        <f>13+(23/60)</f>
        <v>13.383333333333333</v>
      </c>
      <c r="Z28" s="12">
        <v>0</v>
      </c>
      <c r="AA28" s="13">
        <v>5.333333333333333</v>
      </c>
      <c r="AB28" s="13">
        <v>18.683333333333334</v>
      </c>
      <c r="AC28" s="13">
        <v>13.083333333333334</v>
      </c>
      <c r="AD28" s="13">
        <v>14.85</v>
      </c>
      <c r="AE28" s="13">
        <v>14.866666666666667</v>
      </c>
      <c r="AF28" s="13">
        <v>11.933333333333334</v>
      </c>
      <c r="AG28" s="13">
        <v>10.95</v>
      </c>
      <c r="AH28" s="14" t="s">
        <v>62</v>
      </c>
      <c r="AI28" s="14" t="s">
        <v>62</v>
      </c>
      <c r="AJ28" s="14" t="s">
        <v>62</v>
      </c>
      <c r="AK28" s="14" t="s">
        <v>62</v>
      </c>
      <c r="AL28" s="14" t="s">
        <v>62</v>
      </c>
      <c r="AM28" s="14" t="s">
        <v>62</v>
      </c>
      <c r="AN28" s="14" t="s">
        <v>62</v>
      </c>
      <c r="AO28" s="14" t="s">
        <v>62</v>
      </c>
      <c r="AP28" s="14" t="s">
        <v>62</v>
      </c>
      <c r="AQ28" s="14" t="s">
        <v>62</v>
      </c>
      <c r="AR28" s="14" t="s">
        <v>62</v>
      </c>
      <c r="AS28" s="14">
        <v>56</v>
      </c>
      <c r="AT28" s="14" t="s">
        <v>62</v>
      </c>
      <c r="AU28" s="14">
        <f>5*24+14</f>
        <v>134</v>
      </c>
      <c r="AV28" s="14">
        <f>31+(28/60)</f>
        <v>31.466666666666665</v>
      </c>
      <c r="AW28" s="14">
        <f>3*24+15</f>
        <v>87</v>
      </c>
      <c r="AX28" s="14">
        <f>5*24+19</f>
        <v>139</v>
      </c>
      <c r="AY28" s="14">
        <f>4*24+1</f>
        <v>97</v>
      </c>
      <c r="AZ28" s="14">
        <f>4*24+17</f>
        <v>113</v>
      </c>
      <c r="BA28" s="14" t="s">
        <v>62</v>
      </c>
      <c r="BB28" s="13">
        <f>25+(48/60)</f>
        <v>25.8</v>
      </c>
      <c r="BC28" s="14">
        <f>5*24+15</f>
        <v>135</v>
      </c>
      <c r="BD28" s="14">
        <f>5*24</f>
        <v>120</v>
      </c>
      <c r="BE28" s="14">
        <f>5*24+11</f>
        <v>131</v>
      </c>
      <c r="BF28" s="13">
        <f>24+(50/60)</f>
        <v>24.833333333333332</v>
      </c>
      <c r="BG28" s="13" t="s">
        <v>62</v>
      </c>
      <c r="BH28" s="14" t="s">
        <v>62</v>
      </c>
      <c r="BI28" s="14" t="s">
        <v>62</v>
      </c>
      <c r="BJ28" s="15" t="s">
        <v>62</v>
      </c>
    </row>
    <row r="29" spans="1:62" x14ac:dyDescent="0.3">
      <c r="A29" s="10" t="s">
        <v>26</v>
      </c>
      <c r="B29" s="16" t="s">
        <v>62</v>
      </c>
      <c r="C29" s="14" t="s">
        <v>62</v>
      </c>
      <c r="D29" s="14" t="s">
        <v>62</v>
      </c>
      <c r="E29" s="14" t="s">
        <v>62</v>
      </c>
      <c r="F29" s="14" t="s">
        <v>62</v>
      </c>
      <c r="G29" s="14" t="s">
        <v>62</v>
      </c>
      <c r="H29" s="14" t="s">
        <v>62</v>
      </c>
      <c r="I29" s="14" t="s">
        <v>62</v>
      </c>
      <c r="J29" s="14" t="s">
        <v>62</v>
      </c>
      <c r="K29" s="14" t="s">
        <v>62</v>
      </c>
      <c r="L29" s="14" t="s">
        <v>62</v>
      </c>
      <c r="M29" s="14" t="s">
        <v>62</v>
      </c>
      <c r="N29" s="14" t="s">
        <v>62</v>
      </c>
      <c r="O29" s="14" t="s">
        <v>62</v>
      </c>
      <c r="P29" s="14" t="s">
        <v>62</v>
      </c>
      <c r="Q29" s="13" t="s">
        <v>62</v>
      </c>
      <c r="R29" s="13" t="s">
        <v>62</v>
      </c>
      <c r="S29" s="13" t="s">
        <v>62</v>
      </c>
      <c r="T29" s="13">
        <f>8+(18/60)</f>
        <v>8.3000000000000007</v>
      </c>
      <c r="U29" s="13">
        <f>4+(29/60)</f>
        <v>4.4833333333333334</v>
      </c>
      <c r="V29" s="13">
        <f>5+(5/60)</f>
        <v>5.083333333333333</v>
      </c>
      <c r="W29" s="13">
        <f>10+(14/60)</f>
        <v>10.233333333333333</v>
      </c>
      <c r="X29" s="13">
        <f>9+(23/60)</f>
        <v>9.3833333333333329</v>
      </c>
      <c r="Y29" s="13">
        <f>8+(8/60)</f>
        <v>8.1333333333333329</v>
      </c>
      <c r="Z29" s="13">
        <f>5+(20/60)</f>
        <v>5.333333333333333</v>
      </c>
      <c r="AA29" s="12">
        <v>0</v>
      </c>
      <c r="AB29" s="13">
        <v>14.933333333333334</v>
      </c>
      <c r="AC29" s="13">
        <v>9.35</v>
      </c>
      <c r="AD29" s="13">
        <v>10.8</v>
      </c>
      <c r="AE29" s="13">
        <v>12.466666666666667</v>
      </c>
      <c r="AF29" s="13">
        <v>8.2333333333333325</v>
      </c>
      <c r="AG29" s="13">
        <v>8.5666666666666664</v>
      </c>
      <c r="AH29" s="14" t="s">
        <v>62</v>
      </c>
      <c r="AI29" s="14" t="s">
        <v>62</v>
      </c>
      <c r="AJ29" s="14" t="s">
        <v>62</v>
      </c>
      <c r="AK29" s="14">
        <v>121</v>
      </c>
      <c r="AL29" s="14" t="s">
        <v>62</v>
      </c>
      <c r="AM29" s="14" t="s">
        <v>62</v>
      </c>
      <c r="AN29" s="14" t="s">
        <v>62</v>
      </c>
      <c r="AO29" s="14" t="s">
        <v>62</v>
      </c>
      <c r="AP29" s="14" t="s">
        <v>62</v>
      </c>
      <c r="AQ29" s="14" t="s">
        <v>62</v>
      </c>
      <c r="AR29" s="14" t="s">
        <v>62</v>
      </c>
      <c r="AS29" s="14">
        <v>54</v>
      </c>
      <c r="AT29" s="14">
        <v>51</v>
      </c>
      <c r="AU29" s="14">
        <f>5*24+11</f>
        <v>131</v>
      </c>
      <c r="AV29" s="14">
        <f>27+(52/60)</f>
        <v>27.866666666666667</v>
      </c>
      <c r="AW29" s="14">
        <f>3*24+11</f>
        <v>83</v>
      </c>
      <c r="AX29" s="14">
        <f>5*24+15</f>
        <v>135</v>
      </c>
      <c r="AY29" s="14">
        <f>3*24+22</f>
        <v>94</v>
      </c>
      <c r="AZ29" s="14">
        <f>4*24+15</f>
        <v>111</v>
      </c>
      <c r="BA29" s="14" t="s">
        <v>62</v>
      </c>
      <c r="BB29" s="13">
        <f>20+(57/60)</f>
        <v>20.95</v>
      </c>
      <c r="BC29" s="14">
        <f>5*24+12</f>
        <v>132</v>
      </c>
      <c r="BD29" s="14">
        <f>4*24+21</f>
        <v>117</v>
      </c>
      <c r="BE29" s="14">
        <f>5*24+8</f>
        <v>128</v>
      </c>
      <c r="BF29" s="13">
        <f>22+(26/60)</f>
        <v>22.433333333333334</v>
      </c>
      <c r="BG29" s="13">
        <f>20+(4/60)</f>
        <v>20.066666666666666</v>
      </c>
      <c r="BH29" s="14" t="s">
        <v>62</v>
      </c>
      <c r="BI29" s="14" t="s">
        <v>62</v>
      </c>
      <c r="BJ29" s="15" t="s">
        <v>62</v>
      </c>
    </row>
    <row r="30" spans="1:62" x14ac:dyDescent="0.3">
      <c r="A30" s="10" t="s">
        <v>27</v>
      </c>
      <c r="B30" s="16" t="s">
        <v>62</v>
      </c>
      <c r="C30" s="14" t="s">
        <v>62</v>
      </c>
      <c r="D30" s="14" t="s">
        <v>62</v>
      </c>
      <c r="E30" s="14" t="s">
        <v>62</v>
      </c>
      <c r="F30" s="14" t="s">
        <v>62</v>
      </c>
      <c r="G30" s="14" t="s">
        <v>62</v>
      </c>
      <c r="H30" s="14" t="s">
        <v>62</v>
      </c>
      <c r="I30" s="14" t="s">
        <v>62</v>
      </c>
      <c r="J30" s="14" t="s">
        <v>62</v>
      </c>
      <c r="K30" s="14" t="s">
        <v>62</v>
      </c>
      <c r="L30" s="14" t="s">
        <v>62</v>
      </c>
      <c r="M30" s="14" t="s">
        <v>62</v>
      </c>
      <c r="N30" s="14" t="s">
        <v>62</v>
      </c>
      <c r="O30" s="14" t="s">
        <v>62</v>
      </c>
      <c r="P30" s="14" t="s">
        <v>62</v>
      </c>
      <c r="Q30" s="13" t="s">
        <v>62</v>
      </c>
      <c r="R30" s="13" t="s">
        <v>62</v>
      </c>
      <c r="S30" s="13" t="s">
        <v>62</v>
      </c>
      <c r="T30" s="13">
        <f>11+(52/60)</f>
        <v>11.866666666666667</v>
      </c>
      <c r="U30" s="13">
        <f>11+(32/60)</f>
        <v>11.533333333333333</v>
      </c>
      <c r="V30" s="13">
        <f>18+(27/60)</f>
        <v>18.45</v>
      </c>
      <c r="W30" s="13">
        <f>19+(40/60)</f>
        <v>19.666666666666668</v>
      </c>
      <c r="X30" s="13">
        <f>21+(17/60)</f>
        <v>21.283333333333335</v>
      </c>
      <c r="Y30" s="13">
        <f>17+(9/60)</f>
        <v>17.149999999999999</v>
      </c>
      <c r="Z30" s="13">
        <f>18+(41/60)</f>
        <v>18.683333333333334</v>
      </c>
      <c r="AA30" s="13">
        <f>14+(56/60)</f>
        <v>14.933333333333334</v>
      </c>
      <c r="AB30" s="12">
        <v>0</v>
      </c>
      <c r="AC30" s="13">
        <v>5.9666666666666668</v>
      </c>
      <c r="AD30" s="13">
        <v>22.5</v>
      </c>
      <c r="AE30" s="13">
        <v>25.133333333333333</v>
      </c>
      <c r="AF30" s="13">
        <v>20.5</v>
      </c>
      <c r="AG30" s="13">
        <v>22.9</v>
      </c>
      <c r="AH30" s="14" t="s">
        <v>62</v>
      </c>
      <c r="AI30" s="14" t="s">
        <v>62</v>
      </c>
      <c r="AJ30" s="14" t="s">
        <v>62</v>
      </c>
      <c r="AK30" s="14">
        <v>135</v>
      </c>
      <c r="AL30" s="14" t="s">
        <v>62</v>
      </c>
      <c r="AM30" s="14" t="s">
        <v>62</v>
      </c>
      <c r="AN30" s="14" t="s">
        <v>62</v>
      </c>
      <c r="AO30" s="14" t="s">
        <v>62</v>
      </c>
      <c r="AP30" s="14" t="s">
        <v>62</v>
      </c>
      <c r="AQ30" s="14" t="s">
        <v>62</v>
      </c>
      <c r="AR30" s="14" t="s">
        <v>62</v>
      </c>
      <c r="AS30" s="14">
        <v>69</v>
      </c>
      <c r="AT30" s="14">
        <v>66</v>
      </c>
      <c r="AU30" s="14">
        <f>5*24+22</f>
        <v>142</v>
      </c>
      <c r="AV30" s="14">
        <f>39+(39/60)</f>
        <v>39.65</v>
      </c>
      <c r="AW30" s="14">
        <f>3*24+23</f>
        <v>95</v>
      </c>
      <c r="AX30" s="14">
        <f>6*24+2</f>
        <v>146</v>
      </c>
      <c r="AY30" s="14" t="s">
        <v>62</v>
      </c>
      <c r="AZ30" s="14">
        <f>5*24+6</f>
        <v>126</v>
      </c>
      <c r="BA30" s="14" t="s">
        <v>62</v>
      </c>
      <c r="BB30" s="13">
        <f>30+(22/60)</f>
        <v>30.366666666666667</v>
      </c>
      <c r="BC30" s="14">
        <f>6*24</f>
        <v>144</v>
      </c>
      <c r="BD30" s="14">
        <f>5*24+8</f>
        <v>128</v>
      </c>
      <c r="BE30" s="14">
        <f>5*24+19</f>
        <v>139</v>
      </c>
      <c r="BF30" s="13">
        <f>35+(8/60)</f>
        <v>35.133333333333333</v>
      </c>
      <c r="BG30" s="13">
        <f>34+(43/60)</f>
        <v>34.716666666666669</v>
      </c>
      <c r="BH30" s="14" t="s">
        <v>62</v>
      </c>
      <c r="BI30" s="14" t="s">
        <v>62</v>
      </c>
      <c r="BJ30" s="15" t="s">
        <v>62</v>
      </c>
    </row>
    <row r="31" spans="1:62" x14ac:dyDescent="0.3">
      <c r="A31" s="10" t="s">
        <v>65</v>
      </c>
      <c r="B31" s="16" t="s">
        <v>62</v>
      </c>
      <c r="C31" s="14" t="s">
        <v>62</v>
      </c>
      <c r="D31" s="14" t="s">
        <v>62</v>
      </c>
      <c r="E31" s="14" t="s">
        <v>62</v>
      </c>
      <c r="F31" s="14" t="s">
        <v>62</v>
      </c>
      <c r="G31" s="14" t="s">
        <v>62</v>
      </c>
      <c r="H31" s="14" t="s">
        <v>62</v>
      </c>
      <c r="I31" s="14" t="s">
        <v>62</v>
      </c>
      <c r="J31" s="14" t="s">
        <v>62</v>
      </c>
      <c r="K31" s="14" t="s">
        <v>62</v>
      </c>
      <c r="L31" s="14" t="s">
        <v>62</v>
      </c>
      <c r="M31" s="14" t="s">
        <v>62</v>
      </c>
      <c r="N31" s="14" t="s">
        <v>62</v>
      </c>
      <c r="O31" s="14" t="s">
        <v>62</v>
      </c>
      <c r="P31" s="14" t="s">
        <v>62</v>
      </c>
      <c r="Q31" s="13" t="s">
        <v>62</v>
      </c>
      <c r="R31" s="13" t="s">
        <v>62</v>
      </c>
      <c r="S31" s="13" t="s">
        <v>62</v>
      </c>
      <c r="T31" s="13">
        <f>9+(34/60)</f>
        <v>9.5666666666666664</v>
      </c>
      <c r="U31" s="13">
        <f>5+(56/60)</f>
        <v>5.9333333333333336</v>
      </c>
      <c r="V31" s="13">
        <f>12+(52/60)</f>
        <v>12.866666666666667</v>
      </c>
      <c r="W31" s="13">
        <f>16+(7/60)</f>
        <v>16.116666666666667</v>
      </c>
      <c r="X31" s="13">
        <f>16+(18/60)</f>
        <v>16.3</v>
      </c>
      <c r="Y31" s="13">
        <f>13+(41/60)</f>
        <v>13.683333333333334</v>
      </c>
      <c r="Z31" s="13">
        <f>13+(5/60)</f>
        <v>13.083333333333334</v>
      </c>
      <c r="AA31" s="13">
        <f>9+(21/60)</f>
        <v>9.35</v>
      </c>
      <c r="AB31" s="13">
        <f>5+(58/60)</f>
        <v>5.9666666666666668</v>
      </c>
      <c r="AC31" s="12">
        <v>0</v>
      </c>
      <c r="AD31" s="13">
        <v>17.766666666666666</v>
      </c>
      <c r="AE31" s="13">
        <v>19.866666666666667</v>
      </c>
      <c r="AF31" s="13">
        <v>15.233333333333333</v>
      </c>
      <c r="AG31" s="13">
        <v>17.383333333333333</v>
      </c>
      <c r="AH31" s="14" t="s">
        <v>62</v>
      </c>
      <c r="AI31" s="14" t="s">
        <v>62</v>
      </c>
      <c r="AJ31" s="14" t="s">
        <v>62</v>
      </c>
      <c r="AK31" s="14" t="s">
        <v>62</v>
      </c>
      <c r="AL31" s="14" t="s">
        <v>62</v>
      </c>
      <c r="AM31" s="14" t="s">
        <v>62</v>
      </c>
      <c r="AN31" s="14" t="s">
        <v>62</v>
      </c>
      <c r="AO31" s="14" t="s">
        <v>62</v>
      </c>
      <c r="AP31" s="14" t="s">
        <v>62</v>
      </c>
      <c r="AQ31" s="14" t="s">
        <v>62</v>
      </c>
      <c r="AR31" s="14" t="s">
        <v>62</v>
      </c>
      <c r="AS31" s="14">
        <v>63</v>
      </c>
      <c r="AT31" s="14">
        <v>60</v>
      </c>
      <c r="AU31" s="14">
        <f>5*24+17</f>
        <v>137</v>
      </c>
      <c r="AV31" s="14">
        <f>34+(40/60)</f>
        <v>34.666666666666664</v>
      </c>
      <c r="AW31" s="14">
        <f>3*24+18</f>
        <v>90</v>
      </c>
      <c r="AX31" s="14">
        <f>5*24+21</f>
        <v>141</v>
      </c>
      <c r="AY31" s="14">
        <f>4*24+8</f>
        <v>104</v>
      </c>
      <c r="AZ31" s="14">
        <f>5*24</f>
        <v>120</v>
      </c>
      <c r="BA31" s="14" t="s">
        <v>62</v>
      </c>
      <c r="BB31" s="13">
        <f>26+(54/60)</f>
        <v>26.9</v>
      </c>
      <c r="BC31" s="14">
        <f>5*24+19</f>
        <v>139</v>
      </c>
      <c r="BD31" s="14">
        <f>5*24+3</f>
        <v>123</v>
      </c>
      <c r="BE31" s="14">
        <f>5*24+14</f>
        <v>134</v>
      </c>
      <c r="BF31" s="13">
        <f>29+(50/60)</f>
        <v>29.833333333333332</v>
      </c>
      <c r="BG31" s="13">
        <f>29+(8/60)</f>
        <v>29.133333333333333</v>
      </c>
      <c r="BH31" s="14" t="s">
        <v>62</v>
      </c>
      <c r="BI31" s="14" t="s">
        <v>62</v>
      </c>
      <c r="BJ31" s="15" t="s">
        <v>62</v>
      </c>
    </row>
    <row r="32" spans="1:62" x14ac:dyDescent="0.3">
      <c r="A32" s="10" t="s">
        <v>29</v>
      </c>
      <c r="B32" s="16" t="s">
        <v>62</v>
      </c>
      <c r="C32" s="14" t="s">
        <v>62</v>
      </c>
      <c r="D32" s="14" t="s">
        <v>62</v>
      </c>
      <c r="E32" s="14" t="s">
        <v>62</v>
      </c>
      <c r="F32" s="14" t="s">
        <v>62</v>
      </c>
      <c r="G32" s="14" t="s">
        <v>62</v>
      </c>
      <c r="H32" s="14" t="s">
        <v>62</v>
      </c>
      <c r="I32" s="14" t="s">
        <v>62</v>
      </c>
      <c r="J32" s="14" t="s">
        <v>62</v>
      </c>
      <c r="K32" s="14" t="s">
        <v>62</v>
      </c>
      <c r="L32" s="14" t="s">
        <v>62</v>
      </c>
      <c r="M32" s="14" t="s">
        <v>62</v>
      </c>
      <c r="N32" s="14" t="s">
        <v>62</v>
      </c>
      <c r="O32" s="14" t="s">
        <v>62</v>
      </c>
      <c r="P32" s="14" t="s">
        <v>62</v>
      </c>
      <c r="Q32" s="13" t="s">
        <v>62</v>
      </c>
      <c r="R32" s="13" t="s">
        <v>62</v>
      </c>
      <c r="S32" s="13" t="s">
        <v>62</v>
      </c>
      <c r="T32" s="13">
        <f>10+(40/60)</f>
        <v>10.666666666666666</v>
      </c>
      <c r="U32" s="13">
        <f>11+(55/60)</f>
        <v>11.916666666666666</v>
      </c>
      <c r="V32" s="13">
        <f>6+(20/60)</f>
        <v>6.333333333333333</v>
      </c>
      <c r="W32" s="13">
        <f>3+(38/60)</f>
        <v>3.6333333333333333</v>
      </c>
      <c r="X32" s="13">
        <f>1+(33/60)</f>
        <v>1.55</v>
      </c>
      <c r="Y32" s="13">
        <f>5+(42/60)</f>
        <v>5.7</v>
      </c>
      <c r="Z32" s="13">
        <f>14+(51/60)</f>
        <v>14.85</v>
      </c>
      <c r="AA32" s="13">
        <f>10+(48/60)</f>
        <v>10.8</v>
      </c>
      <c r="AB32" s="13">
        <f>22+(30/60)</f>
        <v>22.5</v>
      </c>
      <c r="AC32" s="13">
        <f>17+(46/60)</f>
        <v>17.766666666666666</v>
      </c>
      <c r="AD32" s="12">
        <v>0</v>
      </c>
      <c r="AE32" s="13">
        <v>6.1</v>
      </c>
      <c r="AF32" s="13">
        <v>4.55</v>
      </c>
      <c r="AG32" s="13">
        <v>7.5666666666666664</v>
      </c>
      <c r="AH32" s="14" t="s">
        <v>62</v>
      </c>
      <c r="AI32" s="14" t="s">
        <v>62</v>
      </c>
      <c r="AJ32" s="14" t="s">
        <v>62</v>
      </c>
      <c r="AK32" s="14" t="s">
        <v>62</v>
      </c>
      <c r="AL32" s="14" t="s">
        <v>62</v>
      </c>
      <c r="AM32" s="14" t="s">
        <v>62</v>
      </c>
      <c r="AN32" s="14" t="s">
        <v>62</v>
      </c>
      <c r="AO32" s="14" t="s">
        <v>62</v>
      </c>
      <c r="AP32" s="14" t="s">
        <v>62</v>
      </c>
      <c r="AQ32" s="14" t="s">
        <v>62</v>
      </c>
      <c r="AR32" s="14">
        <v>65</v>
      </c>
      <c r="AS32" s="14">
        <v>57</v>
      </c>
      <c r="AT32" s="14">
        <v>54</v>
      </c>
      <c r="AU32" s="14">
        <f>5*24+2</f>
        <v>122</v>
      </c>
      <c r="AV32" s="14">
        <f>19+(1/60)</f>
        <v>19.016666666666666</v>
      </c>
      <c r="AW32" s="14">
        <f>3*24+3</f>
        <v>75</v>
      </c>
      <c r="AX32" s="14">
        <f>5*24+6</f>
        <v>126</v>
      </c>
      <c r="AY32" s="14">
        <f>4*24+2</f>
        <v>98</v>
      </c>
      <c r="AZ32" s="14">
        <f>4*24+18</f>
        <v>114</v>
      </c>
      <c r="BA32" s="14">
        <f>5*24+18</f>
        <v>138</v>
      </c>
      <c r="BB32" s="13" t="s">
        <v>62</v>
      </c>
      <c r="BC32" s="14">
        <f>5*24+3</f>
        <v>123</v>
      </c>
      <c r="BD32" s="14">
        <f>4*24+12</f>
        <v>108</v>
      </c>
      <c r="BE32" s="14">
        <f>4*24+23</f>
        <v>119</v>
      </c>
      <c r="BF32" s="13">
        <f>15+(12/60)</f>
        <v>15.2</v>
      </c>
      <c r="BG32" s="13">
        <f>23+(17/60)</f>
        <v>23.283333333333335</v>
      </c>
      <c r="BH32" s="14" t="s">
        <v>62</v>
      </c>
      <c r="BI32" s="14" t="s">
        <v>62</v>
      </c>
      <c r="BJ32" s="15" t="s">
        <v>62</v>
      </c>
    </row>
    <row r="33" spans="1:62" x14ac:dyDescent="0.3">
      <c r="A33" s="10" t="s">
        <v>30</v>
      </c>
      <c r="B33" s="16" t="s">
        <v>62</v>
      </c>
      <c r="C33" s="14" t="s">
        <v>62</v>
      </c>
      <c r="D33" s="14" t="s">
        <v>62</v>
      </c>
      <c r="E33" s="14" t="s">
        <v>62</v>
      </c>
      <c r="F33" s="14" t="s">
        <v>62</v>
      </c>
      <c r="G33" s="14" t="s">
        <v>62</v>
      </c>
      <c r="H33" s="14" t="s">
        <v>62</v>
      </c>
      <c r="I33" s="14" t="s">
        <v>62</v>
      </c>
      <c r="J33" s="14" t="s">
        <v>62</v>
      </c>
      <c r="K33" s="14" t="s">
        <v>62</v>
      </c>
      <c r="L33" s="14" t="s">
        <v>62</v>
      </c>
      <c r="M33" s="14" t="s">
        <v>62</v>
      </c>
      <c r="N33" s="14" t="s">
        <v>62</v>
      </c>
      <c r="O33" s="14" t="s">
        <v>62</v>
      </c>
      <c r="P33" s="14" t="s">
        <v>62</v>
      </c>
      <c r="Q33" s="13" t="s">
        <v>62</v>
      </c>
      <c r="R33" s="13" t="s">
        <v>62</v>
      </c>
      <c r="S33" s="13" t="s">
        <v>62</v>
      </c>
      <c r="T33" s="13">
        <f>13+(26/60)</f>
        <v>13.433333333333334</v>
      </c>
      <c r="U33" s="13">
        <f>14+(1/60)</f>
        <v>14.016666666666667</v>
      </c>
      <c r="V33" s="13">
        <f>8+(8/60)</f>
        <v>8.1333333333333329</v>
      </c>
      <c r="W33" s="13">
        <f>8+(22/60)</f>
        <v>8.3666666666666671</v>
      </c>
      <c r="X33" s="13">
        <f>5+(54/60)</f>
        <v>5.9</v>
      </c>
      <c r="Y33" s="13">
        <f>8+(47/60)</f>
        <v>8.7833333333333332</v>
      </c>
      <c r="Z33" s="13">
        <f>14+(52/60)</f>
        <v>14.866666666666667</v>
      </c>
      <c r="AA33" s="13">
        <f>12+(28/60)</f>
        <v>12.466666666666667</v>
      </c>
      <c r="AB33" s="13">
        <f>25+(8/60)</f>
        <v>25.133333333333333</v>
      </c>
      <c r="AC33" s="13">
        <f>19+(52/60)</f>
        <v>19.866666666666667</v>
      </c>
      <c r="AD33" s="13">
        <f>6+(6/60)</f>
        <v>6.1</v>
      </c>
      <c r="AE33" s="12">
        <v>0</v>
      </c>
      <c r="AF33" s="13">
        <v>4.9833333333333334</v>
      </c>
      <c r="AG33" s="13">
        <v>4.2666666666666666</v>
      </c>
      <c r="AH33" s="14" t="s">
        <v>62</v>
      </c>
      <c r="AI33" s="14">
        <v>105</v>
      </c>
      <c r="AJ33" s="14" t="s">
        <v>62</v>
      </c>
      <c r="AK33" s="14" t="s">
        <v>62</v>
      </c>
      <c r="AL33" s="14" t="s">
        <v>62</v>
      </c>
      <c r="AM33" s="14" t="s">
        <v>62</v>
      </c>
      <c r="AN33" s="14" t="s">
        <v>62</v>
      </c>
      <c r="AO33" s="14" t="s">
        <v>62</v>
      </c>
      <c r="AP33" s="14" t="s">
        <v>62</v>
      </c>
      <c r="AQ33" s="14" t="s">
        <v>62</v>
      </c>
      <c r="AR33" s="14" t="s">
        <v>62</v>
      </c>
      <c r="AS33" s="14">
        <v>54</v>
      </c>
      <c r="AT33" s="14" t="s">
        <v>62</v>
      </c>
      <c r="AU33" s="14">
        <f>5*24</f>
        <v>120</v>
      </c>
      <c r="AV33" s="12">
        <f>17+(26/60)</f>
        <v>17.433333333333334</v>
      </c>
      <c r="AW33" s="14">
        <f>3*24+1</f>
        <v>73</v>
      </c>
      <c r="AX33" s="14">
        <f>5*24+4</f>
        <v>124</v>
      </c>
      <c r="AY33" s="14">
        <f>3*24+22</f>
        <v>94</v>
      </c>
      <c r="AZ33" s="14">
        <f>4*24+15</f>
        <v>111</v>
      </c>
      <c r="BA33" s="14">
        <f>5*24+17</f>
        <v>137</v>
      </c>
      <c r="BB33" s="13">
        <f>10+(9/60)</f>
        <v>10.15</v>
      </c>
      <c r="BC33" s="14">
        <f>5*24+1</f>
        <v>121</v>
      </c>
      <c r="BD33" s="14">
        <f>4*24+10</f>
        <v>106</v>
      </c>
      <c r="BE33" s="14">
        <f>4*24+21</f>
        <v>117</v>
      </c>
      <c r="BF33" s="12">
        <f>10+(13/60)</f>
        <v>10.216666666666667</v>
      </c>
      <c r="BG33" s="13">
        <f>19+(48/60)</f>
        <v>19.8</v>
      </c>
      <c r="BH33" s="14" t="s">
        <v>62</v>
      </c>
      <c r="BI33" s="14" t="s">
        <v>62</v>
      </c>
      <c r="BJ33" s="15" t="s">
        <v>62</v>
      </c>
    </row>
    <row r="34" spans="1:62" x14ac:dyDescent="0.3">
      <c r="A34" s="10" t="s">
        <v>31</v>
      </c>
      <c r="B34" s="16" t="s">
        <v>62</v>
      </c>
      <c r="C34" s="14" t="s">
        <v>62</v>
      </c>
      <c r="D34" s="14" t="s">
        <v>62</v>
      </c>
      <c r="E34" s="14" t="s">
        <v>62</v>
      </c>
      <c r="F34" s="14" t="s">
        <v>62</v>
      </c>
      <c r="G34" s="14" t="s">
        <v>62</v>
      </c>
      <c r="H34" s="14" t="s">
        <v>62</v>
      </c>
      <c r="I34" s="14" t="s">
        <v>62</v>
      </c>
      <c r="J34" s="14" t="s">
        <v>62</v>
      </c>
      <c r="K34" s="14" t="s">
        <v>62</v>
      </c>
      <c r="L34" s="14" t="s">
        <v>62</v>
      </c>
      <c r="M34" s="14" t="s">
        <v>62</v>
      </c>
      <c r="N34" s="14" t="s">
        <v>62</v>
      </c>
      <c r="O34" s="14" t="s">
        <v>62</v>
      </c>
      <c r="P34" s="14" t="s">
        <v>62</v>
      </c>
      <c r="Q34" s="13" t="s">
        <v>62</v>
      </c>
      <c r="R34" s="13" t="s">
        <v>62</v>
      </c>
      <c r="S34" s="13" t="s">
        <v>62</v>
      </c>
      <c r="T34" s="13">
        <f>9+(1/60)</f>
        <v>9.0166666666666675</v>
      </c>
      <c r="U34" s="13">
        <f>9+(23/60)</f>
        <v>9.3833333333333329</v>
      </c>
      <c r="V34" s="13">
        <f>3+(25/60)</f>
        <v>3.4166666666666665</v>
      </c>
      <c r="W34" s="13">
        <f>5+(20/60)</f>
        <v>5.333333333333333</v>
      </c>
      <c r="X34" s="13">
        <f>3+(20/60)</f>
        <v>3.3333333333333335</v>
      </c>
      <c r="Y34" s="13">
        <f>5+(33/60)</f>
        <v>5.55</v>
      </c>
      <c r="Z34" s="13">
        <f>11+(56/60)</f>
        <v>11.933333333333334</v>
      </c>
      <c r="AA34" s="13">
        <f>8+(14/60)</f>
        <v>8.2333333333333325</v>
      </c>
      <c r="AB34" s="13">
        <f>20+(30/60)</f>
        <v>20.5</v>
      </c>
      <c r="AC34" s="13">
        <f>15+(14/60)</f>
        <v>15.233333333333333</v>
      </c>
      <c r="AD34" s="13">
        <f>4+(33/60)</f>
        <v>4.55</v>
      </c>
      <c r="AE34" s="13">
        <f>4+(59/60)</f>
        <v>4.9833333333333334</v>
      </c>
      <c r="AF34" s="12">
        <v>0</v>
      </c>
      <c r="AG34" s="13">
        <v>3.1166666666666667</v>
      </c>
      <c r="AH34" s="14" t="s">
        <v>62</v>
      </c>
      <c r="AI34" s="14" t="s">
        <v>62</v>
      </c>
      <c r="AJ34" s="14" t="s">
        <v>62</v>
      </c>
      <c r="AK34" s="14" t="s">
        <v>62</v>
      </c>
      <c r="AL34" s="14" t="s">
        <v>62</v>
      </c>
      <c r="AM34" s="14" t="s">
        <v>62</v>
      </c>
      <c r="AN34" s="14" t="s">
        <v>62</v>
      </c>
      <c r="AO34" s="14" t="s">
        <v>62</v>
      </c>
      <c r="AP34" s="14" t="s">
        <v>62</v>
      </c>
      <c r="AQ34" s="14" t="s">
        <v>62</v>
      </c>
      <c r="AR34" s="14" t="s">
        <v>62</v>
      </c>
      <c r="AS34" s="14">
        <v>53</v>
      </c>
      <c r="AT34" s="14" t="s">
        <v>62</v>
      </c>
      <c r="AU34" s="14">
        <f>5*24+3</f>
        <v>123</v>
      </c>
      <c r="AV34" s="14">
        <f>20+(36/60)</f>
        <v>20.6</v>
      </c>
      <c r="AW34" s="14">
        <f>3*24+4</f>
        <v>76</v>
      </c>
      <c r="AX34" s="14">
        <f>5*24+7</f>
        <v>127</v>
      </c>
      <c r="AY34" s="14">
        <f>3*24+21</f>
        <v>93</v>
      </c>
      <c r="AZ34" s="14">
        <f>4*24+14</f>
        <v>110</v>
      </c>
      <c r="BA34" s="14" t="s">
        <v>62</v>
      </c>
      <c r="BB34" s="13">
        <f>16+(6/60)</f>
        <v>16.100000000000001</v>
      </c>
      <c r="BC34" s="14">
        <f>5*24+5</f>
        <v>125</v>
      </c>
      <c r="BD34" s="14">
        <f>4*24+13</f>
        <v>109</v>
      </c>
      <c r="BE34" s="14">
        <f>5*24</f>
        <v>120</v>
      </c>
      <c r="BF34" s="13">
        <f>14+(58/60)</f>
        <v>14.966666666666667</v>
      </c>
      <c r="BG34" s="13">
        <f>18+(50/60)</f>
        <v>18.833333333333332</v>
      </c>
      <c r="BH34" s="14" t="s">
        <v>62</v>
      </c>
      <c r="BI34" s="14" t="s">
        <v>62</v>
      </c>
      <c r="BJ34" s="15" t="s">
        <v>62</v>
      </c>
    </row>
    <row r="35" spans="1:62" x14ac:dyDescent="0.3">
      <c r="A35" s="10" t="s">
        <v>32</v>
      </c>
      <c r="B35" s="16" t="s">
        <v>62</v>
      </c>
      <c r="C35" s="14" t="s">
        <v>62</v>
      </c>
      <c r="D35" s="14" t="s">
        <v>62</v>
      </c>
      <c r="E35" s="14" t="s">
        <v>62</v>
      </c>
      <c r="F35" s="14" t="s">
        <v>62</v>
      </c>
      <c r="G35" s="14" t="s">
        <v>62</v>
      </c>
      <c r="H35" s="14" t="s">
        <v>62</v>
      </c>
      <c r="I35" s="14" t="s">
        <v>62</v>
      </c>
      <c r="J35" s="14" t="s">
        <v>62</v>
      </c>
      <c r="K35" s="14" t="s">
        <v>62</v>
      </c>
      <c r="L35" s="14" t="s">
        <v>62</v>
      </c>
      <c r="M35" s="14" t="s">
        <v>62</v>
      </c>
      <c r="N35" s="14" t="s">
        <v>62</v>
      </c>
      <c r="O35" s="14" t="s">
        <v>62</v>
      </c>
      <c r="P35" s="14" t="s">
        <v>62</v>
      </c>
      <c r="Q35" s="13" t="s">
        <v>62</v>
      </c>
      <c r="R35" s="13" t="s">
        <v>62</v>
      </c>
      <c r="S35" s="13" t="s">
        <v>62</v>
      </c>
      <c r="T35" s="13">
        <f>11+(32/60)</f>
        <v>11.533333333333333</v>
      </c>
      <c r="U35" s="13">
        <f>11+(42/60)</f>
        <v>11.7</v>
      </c>
      <c r="V35" s="13">
        <f>4+(36/60)</f>
        <v>4.5999999999999996</v>
      </c>
      <c r="W35" s="13">
        <f>8+(21/60)</f>
        <v>8.35</v>
      </c>
      <c r="X35" s="13">
        <f>6+(21/60)</f>
        <v>6.35</v>
      </c>
      <c r="Y35" s="13">
        <f>8+(34/60)</f>
        <v>8.5666666666666664</v>
      </c>
      <c r="Z35" s="13">
        <f>10+(57/60)</f>
        <v>10.95</v>
      </c>
      <c r="AA35" s="13">
        <f>8+(34/60)</f>
        <v>8.5666666666666664</v>
      </c>
      <c r="AB35" s="13">
        <f>22+(54/60)</f>
        <v>22.9</v>
      </c>
      <c r="AC35" s="13">
        <f>17+(23/60)</f>
        <v>17.383333333333333</v>
      </c>
      <c r="AD35" s="13">
        <f>7+(34/60)</f>
        <v>7.5666666666666664</v>
      </c>
      <c r="AE35" s="13">
        <f>4+(16/60)</f>
        <v>4.2666666666666666</v>
      </c>
      <c r="AF35" s="13">
        <f>3+(7/60)</f>
        <v>3.1166666666666667</v>
      </c>
      <c r="AG35" s="12">
        <v>0</v>
      </c>
      <c r="AH35" s="14" t="s">
        <v>62</v>
      </c>
      <c r="AI35" s="14" t="s">
        <v>62</v>
      </c>
      <c r="AJ35" s="14" t="s">
        <v>62</v>
      </c>
      <c r="AK35" s="14">
        <v>117</v>
      </c>
      <c r="AL35" s="14" t="s">
        <v>62</v>
      </c>
      <c r="AM35" s="14" t="s">
        <v>62</v>
      </c>
      <c r="AN35" s="14" t="s">
        <v>62</v>
      </c>
      <c r="AO35" s="14" t="s">
        <v>62</v>
      </c>
      <c r="AP35" s="14" t="s">
        <v>62</v>
      </c>
      <c r="AQ35" s="14" t="s">
        <v>62</v>
      </c>
      <c r="AR35" s="14" t="s">
        <v>62</v>
      </c>
      <c r="AS35" s="14">
        <v>50</v>
      </c>
      <c r="AT35" s="14" t="s">
        <v>62</v>
      </c>
      <c r="AU35" s="14">
        <f>5*24+4</f>
        <v>124</v>
      </c>
      <c r="AV35" s="14">
        <f>20+(46/60)</f>
        <v>20.766666666666666</v>
      </c>
      <c r="AW35" s="14">
        <f>3*24+4</f>
        <v>76</v>
      </c>
      <c r="AX35" s="14">
        <f>5*24+7</f>
        <v>127</v>
      </c>
      <c r="AY35" s="14">
        <f>3*24+18</f>
        <v>90</v>
      </c>
      <c r="AZ35" s="14">
        <f>4*24+11</f>
        <v>107</v>
      </c>
      <c r="BA35" s="14" t="s">
        <v>62</v>
      </c>
      <c r="BB35" s="13">
        <f>19+(7/60)</f>
        <v>19.116666666666667</v>
      </c>
      <c r="BC35" s="14">
        <f>5*24+5</f>
        <v>125</v>
      </c>
      <c r="BD35" s="14">
        <f>4*24+13</f>
        <v>109</v>
      </c>
      <c r="BE35" s="14">
        <f>5*24</f>
        <v>120</v>
      </c>
      <c r="BF35" s="13">
        <f>14+(15/60)</f>
        <v>14.25</v>
      </c>
      <c r="BG35" s="12">
        <f>15+(52/60)</f>
        <v>15.866666666666667</v>
      </c>
      <c r="BH35" s="14" t="s">
        <v>62</v>
      </c>
      <c r="BI35" s="14" t="s">
        <v>62</v>
      </c>
      <c r="BJ35" s="15" t="s">
        <v>62</v>
      </c>
    </row>
    <row r="36" spans="1:62" x14ac:dyDescent="0.3">
      <c r="A36" s="10" t="s">
        <v>33</v>
      </c>
      <c r="B36" s="16" t="s">
        <v>62</v>
      </c>
      <c r="C36" s="14" t="s">
        <v>62</v>
      </c>
      <c r="D36" s="14" t="s">
        <v>62</v>
      </c>
      <c r="E36" s="14" t="s">
        <v>62</v>
      </c>
      <c r="F36" s="14" t="s">
        <v>62</v>
      </c>
      <c r="G36" s="14" t="s">
        <v>62</v>
      </c>
      <c r="H36" s="14" t="s">
        <v>62</v>
      </c>
      <c r="I36" s="14" t="s">
        <v>62</v>
      </c>
      <c r="J36" s="14" t="s">
        <v>62</v>
      </c>
      <c r="K36" s="14" t="s">
        <v>62</v>
      </c>
      <c r="L36" s="14" t="s">
        <v>62</v>
      </c>
      <c r="M36" s="14" t="s">
        <v>62</v>
      </c>
      <c r="N36" s="14" t="s">
        <v>62</v>
      </c>
      <c r="O36" s="14" t="s">
        <v>62</v>
      </c>
      <c r="P36" s="14" t="s">
        <v>62</v>
      </c>
      <c r="Q36" s="14" t="s">
        <v>62</v>
      </c>
      <c r="R36" s="14" t="s">
        <v>62</v>
      </c>
      <c r="S36" s="14" t="s">
        <v>62</v>
      </c>
      <c r="T36" s="14" t="s">
        <v>62</v>
      </c>
      <c r="U36" s="14" t="s">
        <v>62</v>
      </c>
      <c r="V36" s="14" t="s">
        <v>62</v>
      </c>
      <c r="W36" s="14" t="s">
        <v>62</v>
      </c>
      <c r="X36" s="14" t="s">
        <v>62</v>
      </c>
      <c r="Y36" s="14" t="s">
        <v>62</v>
      </c>
      <c r="Z36" s="14" t="s">
        <v>62</v>
      </c>
      <c r="AA36" s="14" t="s">
        <v>62</v>
      </c>
      <c r="AB36" s="14" t="s">
        <v>62</v>
      </c>
      <c r="AC36" s="14" t="s">
        <v>62</v>
      </c>
      <c r="AD36" s="14" t="s">
        <v>62</v>
      </c>
      <c r="AE36" s="14" t="s">
        <v>62</v>
      </c>
      <c r="AF36" s="14" t="s">
        <v>62</v>
      </c>
      <c r="AG36" s="14" t="s">
        <v>62</v>
      </c>
      <c r="AH36" s="12">
        <v>0</v>
      </c>
      <c r="AI36" s="13">
        <v>19.666666666666668</v>
      </c>
      <c r="AJ36" s="13">
        <v>12.433333333333334</v>
      </c>
      <c r="AK36" s="13">
        <v>30</v>
      </c>
      <c r="AL36" s="13" t="s">
        <v>62</v>
      </c>
      <c r="AM36" s="13" t="s">
        <v>62</v>
      </c>
      <c r="AN36" s="13" t="s">
        <v>62</v>
      </c>
      <c r="AO36" s="14" t="s">
        <v>62</v>
      </c>
      <c r="AP36" s="14" t="s">
        <v>62</v>
      </c>
      <c r="AQ36" s="14" t="s">
        <v>62</v>
      </c>
      <c r="AR36" s="13" t="s">
        <v>62</v>
      </c>
      <c r="AS36" s="13" t="s">
        <v>62</v>
      </c>
      <c r="AT36" s="13" t="s">
        <v>62</v>
      </c>
      <c r="AU36" s="13">
        <f>3*24+7</f>
        <v>79</v>
      </c>
      <c r="AV36" s="13" t="s">
        <v>62</v>
      </c>
      <c r="AW36" s="12">
        <f>3*24+1</f>
        <v>73</v>
      </c>
      <c r="AX36" s="13">
        <f>3*24+12</f>
        <v>84</v>
      </c>
      <c r="AY36" s="14" t="s">
        <v>62</v>
      </c>
      <c r="AZ36" s="14">
        <f>5*24+18</f>
        <v>138</v>
      </c>
      <c r="BA36" s="13">
        <f>2*24+9</f>
        <v>57</v>
      </c>
      <c r="BB36" s="14" t="s">
        <v>62</v>
      </c>
      <c r="BC36" s="13">
        <f>2*24+17</f>
        <v>65</v>
      </c>
      <c r="BD36" s="13">
        <f>2*24+17</f>
        <v>65</v>
      </c>
      <c r="BE36" s="13">
        <f>2*24+23</f>
        <v>71</v>
      </c>
      <c r="BF36" s="14" t="s">
        <v>62</v>
      </c>
      <c r="BG36" s="14" t="s">
        <v>62</v>
      </c>
      <c r="BH36" s="14" t="s">
        <v>62</v>
      </c>
      <c r="BI36" s="14" t="s">
        <v>62</v>
      </c>
      <c r="BJ36" s="15" t="s">
        <v>62</v>
      </c>
    </row>
    <row r="37" spans="1:62" x14ac:dyDescent="0.3">
      <c r="A37" s="10" t="s">
        <v>34</v>
      </c>
      <c r="B37" s="16" t="s">
        <v>62</v>
      </c>
      <c r="C37" s="14" t="s">
        <v>62</v>
      </c>
      <c r="D37" s="14" t="s">
        <v>62</v>
      </c>
      <c r="E37" s="14" t="s">
        <v>62</v>
      </c>
      <c r="F37" s="14" t="s">
        <v>62</v>
      </c>
      <c r="G37" s="14" t="s">
        <v>62</v>
      </c>
      <c r="H37" s="14" t="s">
        <v>62</v>
      </c>
      <c r="I37" s="14" t="s">
        <v>62</v>
      </c>
      <c r="J37" s="14" t="s">
        <v>62</v>
      </c>
      <c r="K37" s="14" t="s">
        <v>62</v>
      </c>
      <c r="L37" s="14" t="s">
        <v>62</v>
      </c>
      <c r="M37" s="14" t="s">
        <v>62</v>
      </c>
      <c r="N37" s="14" t="s">
        <v>62</v>
      </c>
      <c r="O37" s="14" t="s">
        <v>62</v>
      </c>
      <c r="P37" s="14" t="s">
        <v>62</v>
      </c>
      <c r="Q37" s="14" t="s">
        <v>62</v>
      </c>
      <c r="R37" s="14" t="s">
        <v>62</v>
      </c>
      <c r="S37" s="14" t="s">
        <v>62</v>
      </c>
      <c r="T37" s="14">
        <f>4*24+21</f>
        <v>117</v>
      </c>
      <c r="U37" s="14" t="s">
        <v>62</v>
      </c>
      <c r="V37" s="14" t="s">
        <v>62</v>
      </c>
      <c r="W37" s="14">
        <f>4*24+16</f>
        <v>112</v>
      </c>
      <c r="X37" s="14">
        <f>4*24+13</f>
        <v>109</v>
      </c>
      <c r="Y37" s="14">
        <f>4*24+17</f>
        <v>113</v>
      </c>
      <c r="Z37" s="14" t="s">
        <v>62</v>
      </c>
      <c r="AA37" s="14" t="s">
        <v>62</v>
      </c>
      <c r="AB37" s="14" t="s">
        <v>62</v>
      </c>
      <c r="AC37" s="14" t="s">
        <v>62</v>
      </c>
      <c r="AD37" s="14" t="s">
        <v>62</v>
      </c>
      <c r="AE37" s="14">
        <f>4*24+9</f>
        <v>105</v>
      </c>
      <c r="AF37" s="14" t="s">
        <v>62</v>
      </c>
      <c r="AG37" s="14" t="s">
        <v>62</v>
      </c>
      <c r="AH37" s="13">
        <f>19+(40/60)</f>
        <v>19.666666666666668</v>
      </c>
      <c r="AI37" s="12">
        <v>0</v>
      </c>
      <c r="AJ37" s="13">
        <v>17.483333333333334</v>
      </c>
      <c r="AK37" s="13">
        <v>23.416666666666668</v>
      </c>
      <c r="AL37" s="13" t="s">
        <v>62</v>
      </c>
      <c r="AM37" s="13" t="s">
        <v>62</v>
      </c>
      <c r="AN37" s="13" t="s">
        <v>62</v>
      </c>
      <c r="AO37" s="14" t="s">
        <v>62</v>
      </c>
      <c r="AP37" s="14" t="s">
        <v>62</v>
      </c>
      <c r="AQ37" s="14" t="s">
        <v>62</v>
      </c>
      <c r="AR37" s="13" t="s">
        <v>62</v>
      </c>
      <c r="AS37" s="13" t="s">
        <v>62</v>
      </c>
      <c r="AT37" s="13" t="s">
        <v>62</v>
      </c>
      <c r="AU37" s="12">
        <f>2*24+23</f>
        <v>71</v>
      </c>
      <c r="AV37" s="13">
        <f>3*24+19</f>
        <v>91</v>
      </c>
      <c r="AW37" s="13">
        <f>3*24+12</f>
        <v>84</v>
      </c>
      <c r="AX37" s="12">
        <f>3*24+4</f>
        <v>76</v>
      </c>
      <c r="AY37" s="14" t="s">
        <v>62</v>
      </c>
      <c r="AZ37" s="14">
        <f>6*24+13</f>
        <v>157</v>
      </c>
      <c r="BA37" s="13">
        <f>42+(22/60)</f>
        <v>42.366666666666667</v>
      </c>
      <c r="BB37" s="14">
        <f>5*24</f>
        <v>120</v>
      </c>
      <c r="BC37" s="12">
        <f>2*24+4</f>
        <v>52</v>
      </c>
      <c r="BD37" s="12">
        <f>2*24+9</f>
        <v>57</v>
      </c>
      <c r="BE37" s="12">
        <f>2*24+12</f>
        <v>60</v>
      </c>
      <c r="BF37" s="14" t="s">
        <v>62</v>
      </c>
      <c r="BG37" s="14" t="s">
        <v>62</v>
      </c>
      <c r="BH37" s="14" t="s">
        <v>62</v>
      </c>
      <c r="BI37" s="14" t="s">
        <v>62</v>
      </c>
      <c r="BJ37" s="15" t="s">
        <v>62</v>
      </c>
    </row>
    <row r="38" spans="1:62" x14ac:dyDescent="0.3">
      <c r="A38" s="10" t="s">
        <v>35</v>
      </c>
      <c r="B38" s="16" t="s">
        <v>62</v>
      </c>
      <c r="C38" s="14" t="s">
        <v>62</v>
      </c>
      <c r="D38" s="14" t="s">
        <v>62</v>
      </c>
      <c r="E38" s="14" t="s">
        <v>62</v>
      </c>
      <c r="F38" s="14" t="s">
        <v>62</v>
      </c>
      <c r="G38" s="14" t="s">
        <v>62</v>
      </c>
      <c r="H38" s="14" t="s">
        <v>62</v>
      </c>
      <c r="I38" s="14" t="s">
        <v>62</v>
      </c>
      <c r="J38" s="14" t="s">
        <v>62</v>
      </c>
      <c r="K38" s="14" t="s">
        <v>62</v>
      </c>
      <c r="L38" s="14" t="s">
        <v>62</v>
      </c>
      <c r="M38" s="14" t="s">
        <v>62</v>
      </c>
      <c r="N38" s="14" t="s">
        <v>62</v>
      </c>
      <c r="O38" s="14" t="s">
        <v>62</v>
      </c>
      <c r="P38" s="14" t="s">
        <v>62</v>
      </c>
      <c r="Q38" s="14" t="s">
        <v>62</v>
      </c>
      <c r="R38" s="14" t="s">
        <v>62</v>
      </c>
      <c r="S38" s="14" t="s">
        <v>62</v>
      </c>
      <c r="T38" s="14" t="s">
        <v>62</v>
      </c>
      <c r="U38" s="14" t="s">
        <v>62</v>
      </c>
      <c r="V38" s="14" t="s">
        <v>62</v>
      </c>
      <c r="W38" s="14" t="s">
        <v>62</v>
      </c>
      <c r="X38" s="14" t="s">
        <v>62</v>
      </c>
      <c r="Y38" s="14" t="s">
        <v>62</v>
      </c>
      <c r="Z38" s="14" t="s">
        <v>62</v>
      </c>
      <c r="AA38" s="14" t="s">
        <v>62</v>
      </c>
      <c r="AB38" s="14" t="s">
        <v>62</v>
      </c>
      <c r="AC38" s="14" t="s">
        <v>62</v>
      </c>
      <c r="AD38" s="14" t="s">
        <v>62</v>
      </c>
      <c r="AE38" s="14" t="s">
        <v>62</v>
      </c>
      <c r="AF38" s="14" t="s">
        <v>62</v>
      </c>
      <c r="AG38" s="14" t="s">
        <v>62</v>
      </c>
      <c r="AH38" s="13">
        <f>12+(26/60)</f>
        <v>12.433333333333334</v>
      </c>
      <c r="AI38" s="13">
        <f>17+(29/60)</f>
        <v>17.483333333333334</v>
      </c>
      <c r="AJ38" s="12">
        <v>0</v>
      </c>
      <c r="AK38" s="13">
        <v>17.583333333333332</v>
      </c>
      <c r="AL38" s="13" t="s">
        <v>62</v>
      </c>
      <c r="AM38" s="13" t="s">
        <v>62</v>
      </c>
      <c r="AN38" s="13" t="s">
        <v>62</v>
      </c>
      <c r="AO38" s="14" t="s">
        <v>62</v>
      </c>
      <c r="AP38" s="14" t="s">
        <v>62</v>
      </c>
      <c r="AQ38" s="14" t="s">
        <v>62</v>
      </c>
      <c r="AR38" s="13">
        <v>78</v>
      </c>
      <c r="AS38" s="13">
        <v>80</v>
      </c>
      <c r="AT38" s="13">
        <v>72</v>
      </c>
      <c r="AU38" s="13">
        <f>3*24+9</f>
        <v>81</v>
      </c>
      <c r="AV38" s="13" t="s">
        <v>62</v>
      </c>
      <c r="AW38" s="13">
        <f>3*24+13</f>
        <v>85</v>
      </c>
      <c r="AX38" s="13">
        <f>3*24+14</f>
        <v>86</v>
      </c>
      <c r="AY38" s="14" t="s">
        <v>62</v>
      </c>
      <c r="AZ38" s="14">
        <f>6*24+6</f>
        <v>150</v>
      </c>
      <c r="BA38" s="13">
        <f>2*24+10</f>
        <v>58</v>
      </c>
      <c r="BB38" s="14" t="s">
        <v>62</v>
      </c>
      <c r="BC38" s="13">
        <f>2*24+18</f>
        <v>66</v>
      </c>
      <c r="BD38" s="13">
        <f>2*24+19</f>
        <v>67</v>
      </c>
      <c r="BE38" s="13">
        <f>3*24+1</f>
        <v>73</v>
      </c>
      <c r="BF38" s="14" t="s">
        <v>62</v>
      </c>
      <c r="BG38" s="14" t="s">
        <v>62</v>
      </c>
      <c r="BH38" s="14" t="s">
        <v>62</v>
      </c>
      <c r="BI38" s="14" t="s">
        <v>62</v>
      </c>
      <c r="BJ38" s="15" t="s">
        <v>62</v>
      </c>
    </row>
    <row r="39" spans="1:62" x14ac:dyDescent="0.3">
      <c r="A39" s="10" t="s">
        <v>36</v>
      </c>
      <c r="B39" s="16" t="s">
        <v>62</v>
      </c>
      <c r="C39" s="14" t="s">
        <v>62</v>
      </c>
      <c r="D39" s="14" t="s">
        <v>62</v>
      </c>
      <c r="E39" s="14" t="s">
        <v>62</v>
      </c>
      <c r="F39" s="14" t="s">
        <v>62</v>
      </c>
      <c r="G39" s="14" t="s">
        <v>62</v>
      </c>
      <c r="H39" s="14" t="s">
        <v>62</v>
      </c>
      <c r="I39" s="14" t="s">
        <v>62</v>
      </c>
      <c r="J39" s="14" t="s">
        <v>62</v>
      </c>
      <c r="K39" s="14" t="s">
        <v>62</v>
      </c>
      <c r="L39" s="14" t="s">
        <v>62</v>
      </c>
      <c r="M39" s="14" t="s">
        <v>62</v>
      </c>
      <c r="N39" s="14" t="s">
        <v>62</v>
      </c>
      <c r="O39" s="14" t="s">
        <v>62</v>
      </c>
      <c r="P39" s="14" t="s">
        <v>62</v>
      </c>
      <c r="Q39" s="14" t="s">
        <v>62</v>
      </c>
      <c r="R39" s="14" t="s">
        <v>62</v>
      </c>
      <c r="S39" s="14" t="s">
        <v>62</v>
      </c>
      <c r="T39" s="14">
        <f>24*5+7</f>
        <v>127</v>
      </c>
      <c r="U39" s="14">
        <f>5*24+5</f>
        <v>125</v>
      </c>
      <c r="V39" s="14">
        <f>5*24</f>
        <v>120</v>
      </c>
      <c r="W39" s="14" t="s">
        <v>62</v>
      </c>
      <c r="X39" s="14" t="s">
        <v>62</v>
      </c>
      <c r="Y39" s="14">
        <f>5*24+3</f>
        <v>123</v>
      </c>
      <c r="Z39" s="14" t="s">
        <v>62</v>
      </c>
      <c r="AA39" s="14">
        <f>5*24+1</f>
        <v>121</v>
      </c>
      <c r="AB39" s="14">
        <f>5*24+15</f>
        <v>135</v>
      </c>
      <c r="AC39" s="14" t="s">
        <v>62</v>
      </c>
      <c r="AD39" s="14" t="s">
        <v>62</v>
      </c>
      <c r="AE39" s="14" t="s">
        <v>62</v>
      </c>
      <c r="AF39" s="14" t="s">
        <v>62</v>
      </c>
      <c r="AG39" s="14">
        <f>4*24+21</f>
        <v>117</v>
      </c>
      <c r="AH39" s="13">
        <f>30</f>
        <v>30</v>
      </c>
      <c r="AI39" s="13">
        <f>23+(25/60)</f>
        <v>23.416666666666668</v>
      </c>
      <c r="AJ39" s="13">
        <f>17+(35/60)</f>
        <v>17.583333333333332</v>
      </c>
      <c r="AK39" s="12">
        <v>0</v>
      </c>
      <c r="AL39" s="13" t="s">
        <v>62</v>
      </c>
      <c r="AM39" s="13" t="s">
        <v>62</v>
      </c>
      <c r="AN39" s="13" t="s">
        <v>62</v>
      </c>
      <c r="AO39" s="14" t="s">
        <v>62</v>
      </c>
      <c r="AP39" s="14" t="s">
        <v>62</v>
      </c>
      <c r="AQ39" s="14" t="s">
        <v>62</v>
      </c>
      <c r="AR39" s="13">
        <v>95</v>
      </c>
      <c r="AS39" s="13">
        <v>98</v>
      </c>
      <c r="AT39" s="13">
        <v>89</v>
      </c>
      <c r="AU39" s="13">
        <f>3*24+22</f>
        <v>94</v>
      </c>
      <c r="AV39" s="13" t="s">
        <v>62</v>
      </c>
      <c r="AW39" s="13">
        <f>4*24+7</f>
        <v>103</v>
      </c>
      <c r="AX39" s="13">
        <f>4*24+2</f>
        <v>98</v>
      </c>
      <c r="AY39" s="14" t="s">
        <v>62</v>
      </c>
      <c r="AZ39" s="14">
        <f>7*24</f>
        <v>168</v>
      </c>
      <c r="BA39" s="13">
        <f>2*24+17</f>
        <v>65</v>
      </c>
      <c r="BB39" s="14" t="s">
        <v>62</v>
      </c>
      <c r="BC39" s="13">
        <f>3*24+3</f>
        <v>75</v>
      </c>
      <c r="BD39" s="13">
        <f>3*24+8</f>
        <v>80</v>
      </c>
      <c r="BE39" s="13">
        <f>3*24+12</f>
        <v>84</v>
      </c>
      <c r="BF39" s="14" t="s">
        <v>62</v>
      </c>
      <c r="BG39" s="14" t="s">
        <v>62</v>
      </c>
      <c r="BH39" s="14" t="s">
        <v>62</v>
      </c>
      <c r="BI39" s="14" t="s">
        <v>62</v>
      </c>
      <c r="BJ39" s="15" t="s">
        <v>62</v>
      </c>
    </row>
    <row r="40" spans="1:62" x14ac:dyDescent="0.3">
      <c r="A40" s="10" t="s">
        <v>37</v>
      </c>
      <c r="B40" s="16" t="s">
        <v>62</v>
      </c>
      <c r="C40" s="14" t="s">
        <v>62</v>
      </c>
      <c r="D40" s="14" t="s">
        <v>62</v>
      </c>
      <c r="E40" s="14" t="s">
        <v>62</v>
      </c>
      <c r="F40" s="14" t="s">
        <v>62</v>
      </c>
      <c r="G40" s="14" t="s">
        <v>62</v>
      </c>
      <c r="H40" s="14" t="s">
        <v>62</v>
      </c>
      <c r="I40" s="14" t="s">
        <v>62</v>
      </c>
      <c r="J40" s="14" t="s">
        <v>62</v>
      </c>
      <c r="K40" s="14" t="s">
        <v>62</v>
      </c>
      <c r="L40" s="14" t="s">
        <v>62</v>
      </c>
      <c r="M40" s="14" t="s">
        <v>62</v>
      </c>
      <c r="N40" s="14" t="s">
        <v>62</v>
      </c>
      <c r="O40" s="14" t="s">
        <v>62</v>
      </c>
      <c r="P40" s="14" t="s">
        <v>62</v>
      </c>
      <c r="Q40" s="14" t="s">
        <v>62</v>
      </c>
      <c r="R40" s="14" t="s">
        <v>62</v>
      </c>
      <c r="S40" s="14" t="s">
        <v>62</v>
      </c>
      <c r="T40" s="14" t="s">
        <v>62</v>
      </c>
      <c r="U40" s="14" t="s">
        <v>62</v>
      </c>
      <c r="V40" s="14" t="s">
        <v>62</v>
      </c>
      <c r="W40" s="14" t="s">
        <v>62</v>
      </c>
      <c r="X40" s="14" t="s">
        <v>62</v>
      </c>
      <c r="Y40" s="14" t="s">
        <v>62</v>
      </c>
      <c r="Z40" s="14" t="s">
        <v>62</v>
      </c>
      <c r="AA40" s="14" t="s">
        <v>62</v>
      </c>
      <c r="AB40" s="14" t="s">
        <v>62</v>
      </c>
      <c r="AC40" s="14" t="s">
        <v>62</v>
      </c>
      <c r="AD40" s="14" t="s">
        <v>62</v>
      </c>
      <c r="AE40" s="14" t="s">
        <v>62</v>
      </c>
      <c r="AF40" s="14" t="s">
        <v>62</v>
      </c>
      <c r="AG40" s="14" t="s">
        <v>62</v>
      </c>
      <c r="AH40" s="13" t="s">
        <v>62</v>
      </c>
      <c r="AI40" s="13" t="s">
        <v>62</v>
      </c>
      <c r="AJ40" s="13" t="s">
        <v>62</v>
      </c>
      <c r="AK40" s="13" t="s">
        <v>62</v>
      </c>
      <c r="AL40" s="12">
        <v>0</v>
      </c>
      <c r="AM40" s="13">
        <v>5.416666666666667</v>
      </c>
      <c r="AN40" s="13">
        <v>13.033333333333333</v>
      </c>
      <c r="AO40" s="14" t="s">
        <v>62</v>
      </c>
      <c r="AP40" s="14" t="s">
        <v>62</v>
      </c>
      <c r="AQ40" s="14" t="s">
        <v>62</v>
      </c>
      <c r="AR40" s="13" t="s">
        <v>62</v>
      </c>
      <c r="AS40" s="13" t="s">
        <v>62</v>
      </c>
      <c r="AT40" s="13" t="s">
        <v>62</v>
      </c>
      <c r="AU40" s="13" t="s">
        <v>62</v>
      </c>
      <c r="AV40" s="13" t="s">
        <v>62</v>
      </c>
      <c r="AW40" s="13" t="s">
        <v>62</v>
      </c>
      <c r="AX40" s="13" t="s">
        <v>62</v>
      </c>
      <c r="AY40" s="14" t="s">
        <v>62</v>
      </c>
      <c r="AZ40" s="14" t="s">
        <v>62</v>
      </c>
      <c r="BA40" s="13" t="s">
        <v>62</v>
      </c>
      <c r="BB40" s="14" t="s">
        <v>62</v>
      </c>
      <c r="BC40" s="13" t="s">
        <v>62</v>
      </c>
      <c r="BD40" s="13" t="s">
        <v>62</v>
      </c>
      <c r="BE40" s="13" t="s">
        <v>62</v>
      </c>
      <c r="BF40" s="14" t="s">
        <v>62</v>
      </c>
      <c r="BG40" s="14" t="s">
        <v>62</v>
      </c>
      <c r="BH40" s="14" t="s">
        <v>62</v>
      </c>
      <c r="BI40" s="14" t="s">
        <v>62</v>
      </c>
      <c r="BJ40" s="15" t="s">
        <v>62</v>
      </c>
    </row>
    <row r="41" spans="1:62" x14ac:dyDescent="0.3">
      <c r="A41" s="10" t="s">
        <v>38</v>
      </c>
      <c r="B41" s="16" t="s">
        <v>62</v>
      </c>
      <c r="C41" s="14" t="s">
        <v>62</v>
      </c>
      <c r="D41" s="14" t="s">
        <v>62</v>
      </c>
      <c r="E41" s="14" t="s">
        <v>62</v>
      </c>
      <c r="F41" s="14" t="s">
        <v>62</v>
      </c>
      <c r="G41" s="14" t="s">
        <v>62</v>
      </c>
      <c r="H41" s="14" t="s">
        <v>62</v>
      </c>
      <c r="I41" s="14" t="s">
        <v>62</v>
      </c>
      <c r="J41" s="14" t="s">
        <v>62</v>
      </c>
      <c r="K41" s="14" t="s">
        <v>62</v>
      </c>
      <c r="L41" s="14" t="s">
        <v>62</v>
      </c>
      <c r="M41" s="14" t="s">
        <v>62</v>
      </c>
      <c r="N41" s="14" t="s">
        <v>62</v>
      </c>
      <c r="O41" s="14" t="s">
        <v>62</v>
      </c>
      <c r="P41" s="14" t="s">
        <v>62</v>
      </c>
      <c r="Q41" s="14" t="s">
        <v>62</v>
      </c>
      <c r="R41" s="14" t="s">
        <v>62</v>
      </c>
      <c r="S41" s="14" t="s">
        <v>62</v>
      </c>
      <c r="T41" s="14" t="s">
        <v>62</v>
      </c>
      <c r="U41" s="14" t="s">
        <v>62</v>
      </c>
      <c r="V41" s="14" t="s">
        <v>62</v>
      </c>
      <c r="W41" s="14" t="s">
        <v>62</v>
      </c>
      <c r="X41" s="14" t="s">
        <v>62</v>
      </c>
      <c r="Y41" s="14" t="s">
        <v>62</v>
      </c>
      <c r="Z41" s="14" t="s">
        <v>62</v>
      </c>
      <c r="AA41" s="14" t="s">
        <v>62</v>
      </c>
      <c r="AB41" s="14" t="s">
        <v>62</v>
      </c>
      <c r="AC41" s="14" t="s">
        <v>62</v>
      </c>
      <c r="AD41" s="14" t="s">
        <v>62</v>
      </c>
      <c r="AE41" s="14" t="s">
        <v>62</v>
      </c>
      <c r="AF41" s="14" t="s">
        <v>62</v>
      </c>
      <c r="AG41" s="14" t="s">
        <v>62</v>
      </c>
      <c r="AH41" s="13" t="s">
        <v>62</v>
      </c>
      <c r="AI41" s="13" t="s">
        <v>62</v>
      </c>
      <c r="AJ41" s="13" t="s">
        <v>62</v>
      </c>
      <c r="AK41" s="13" t="s">
        <v>62</v>
      </c>
      <c r="AL41" s="13">
        <f>5+(25/60)</f>
        <v>5.416666666666667</v>
      </c>
      <c r="AM41" s="12">
        <v>0</v>
      </c>
      <c r="AN41" s="13">
        <v>7.8666666666666671</v>
      </c>
      <c r="AO41" s="14" t="s">
        <v>62</v>
      </c>
      <c r="AP41" s="14" t="s">
        <v>62</v>
      </c>
      <c r="AQ41" s="14" t="s">
        <v>62</v>
      </c>
      <c r="AR41" s="13" t="s">
        <v>62</v>
      </c>
      <c r="AS41" s="13" t="s">
        <v>62</v>
      </c>
      <c r="AT41" s="13" t="s">
        <v>62</v>
      </c>
      <c r="AU41" s="13" t="s">
        <v>62</v>
      </c>
      <c r="AV41" s="13" t="s">
        <v>62</v>
      </c>
      <c r="AW41" s="13" t="s">
        <v>62</v>
      </c>
      <c r="AX41" s="13" t="s">
        <v>62</v>
      </c>
      <c r="AY41" s="14" t="s">
        <v>62</v>
      </c>
      <c r="AZ41" s="14" t="s">
        <v>62</v>
      </c>
      <c r="BA41" s="13" t="s">
        <v>62</v>
      </c>
      <c r="BB41" s="14" t="s">
        <v>62</v>
      </c>
      <c r="BC41" s="13" t="s">
        <v>62</v>
      </c>
      <c r="BD41" s="13" t="s">
        <v>62</v>
      </c>
      <c r="BE41" s="13" t="s">
        <v>62</v>
      </c>
      <c r="BF41" s="14" t="s">
        <v>62</v>
      </c>
      <c r="BG41" s="14" t="s">
        <v>62</v>
      </c>
      <c r="BH41" s="14" t="s">
        <v>62</v>
      </c>
      <c r="BI41" s="14" t="s">
        <v>62</v>
      </c>
      <c r="BJ41" s="15" t="s">
        <v>62</v>
      </c>
    </row>
    <row r="42" spans="1:62" x14ac:dyDescent="0.3">
      <c r="A42" s="10" t="s">
        <v>39</v>
      </c>
      <c r="B42" s="16" t="s">
        <v>62</v>
      </c>
      <c r="C42" s="14" t="s">
        <v>62</v>
      </c>
      <c r="D42" s="14" t="s">
        <v>62</v>
      </c>
      <c r="E42" s="14" t="s">
        <v>62</v>
      </c>
      <c r="F42" s="14" t="s">
        <v>62</v>
      </c>
      <c r="G42" s="14" t="s">
        <v>62</v>
      </c>
      <c r="H42" s="14" t="s">
        <v>62</v>
      </c>
      <c r="I42" s="14" t="s">
        <v>62</v>
      </c>
      <c r="J42" s="14" t="s">
        <v>62</v>
      </c>
      <c r="K42" s="14" t="s">
        <v>62</v>
      </c>
      <c r="L42" s="14" t="s">
        <v>62</v>
      </c>
      <c r="M42" s="14" t="s">
        <v>62</v>
      </c>
      <c r="N42" s="14" t="s">
        <v>62</v>
      </c>
      <c r="O42" s="14" t="s">
        <v>62</v>
      </c>
      <c r="P42" s="14" t="s">
        <v>62</v>
      </c>
      <c r="Q42" s="14" t="s">
        <v>62</v>
      </c>
      <c r="R42" s="14" t="s">
        <v>62</v>
      </c>
      <c r="S42" s="14" t="s">
        <v>62</v>
      </c>
      <c r="T42" s="14" t="s">
        <v>62</v>
      </c>
      <c r="U42" s="14" t="s">
        <v>62</v>
      </c>
      <c r="V42" s="14" t="s">
        <v>62</v>
      </c>
      <c r="W42" s="14" t="s">
        <v>62</v>
      </c>
      <c r="X42" s="14" t="s">
        <v>62</v>
      </c>
      <c r="Y42" s="14" t="s">
        <v>62</v>
      </c>
      <c r="Z42" s="14" t="s">
        <v>62</v>
      </c>
      <c r="AA42" s="14" t="s">
        <v>62</v>
      </c>
      <c r="AB42" s="14" t="s">
        <v>62</v>
      </c>
      <c r="AC42" s="14" t="s">
        <v>62</v>
      </c>
      <c r="AD42" s="14" t="s">
        <v>62</v>
      </c>
      <c r="AE42" s="14" t="s">
        <v>62</v>
      </c>
      <c r="AF42" s="14" t="s">
        <v>62</v>
      </c>
      <c r="AG42" s="14" t="s">
        <v>62</v>
      </c>
      <c r="AH42" s="13" t="s">
        <v>62</v>
      </c>
      <c r="AI42" s="13" t="s">
        <v>62</v>
      </c>
      <c r="AJ42" s="13" t="s">
        <v>62</v>
      </c>
      <c r="AK42" s="13" t="s">
        <v>62</v>
      </c>
      <c r="AL42" s="13">
        <f>13+(2/60)</f>
        <v>13.033333333333333</v>
      </c>
      <c r="AM42" s="13">
        <f>7+(52/60)</f>
        <v>7.8666666666666671</v>
      </c>
      <c r="AN42" s="12">
        <v>0</v>
      </c>
      <c r="AO42" s="14" t="s">
        <v>62</v>
      </c>
      <c r="AP42" s="14" t="s">
        <v>62</v>
      </c>
      <c r="AQ42" s="14" t="s">
        <v>62</v>
      </c>
      <c r="AR42" s="13" t="s">
        <v>62</v>
      </c>
      <c r="AS42" s="13" t="s">
        <v>62</v>
      </c>
      <c r="AT42" s="13" t="s">
        <v>62</v>
      </c>
      <c r="AU42" s="13" t="s">
        <v>62</v>
      </c>
      <c r="AV42" s="13" t="s">
        <v>62</v>
      </c>
      <c r="AW42" s="13" t="s">
        <v>62</v>
      </c>
      <c r="AX42" s="13" t="s">
        <v>62</v>
      </c>
      <c r="AY42" s="14" t="s">
        <v>62</v>
      </c>
      <c r="AZ42" s="14" t="s">
        <v>62</v>
      </c>
      <c r="BA42" s="13" t="s">
        <v>62</v>
      </c>
      <c r="BB42" s="14" t="s">
        <v>62</v>
      </c>
      <c r="BC42" s="13" t="s">
        <v>62</v>
      </c>
      <c r="BD42" s="13" t="s">
        <v>62</v>
      </c>
      <c r="BE42" s="13" t="s">
        <v>62</v>
      </c>
      <c r="BF42" s="14" t="s">
        <v>62</v>
      </c>
      <c r="BG42" s="14" t="s">
        <v>62</v>
      </c>
      <c r="BH42" s="14" t="s">
        <v>62</v>
      </c>
      <c r="BI42" s="14" t="s">
        <v>62</v>
      </c>
      <c r="BJ42" s="15" t="s">
        <v>62</v>
      </c>
    </row>
    <row r="43" spans="1:62" x14ac:dyDescent="0.3">
      <c r="A43" s="10" t="s">
        <v>40</v>
      </c>
      <c r="B43" s="16" t="s">
        <v>62</v>
      </c>
      <c r="C43" s="14" t="s">
        <v>62</v>
      </c>
      <c r="D43" s="14" t="s">
        <v>62</v>
      </c>
      <c r="E43" s="14" t="s">
        <v>62</v>
      </c>
      <c r="F43" s="14" t="s">
        <v>62</v>
      </c>
      <c r="G43" s="14" t="s">
        <v>62</v>
      </c>
      <c r="H43" s="14" t="s">
        <v>62</v>
      </c>
      <c r="I43" s="14" t="s">
        <v>62</v>
      </c>
      <c r="J43" s="14" t="s">
        <v>62</v>
      </c>
      <c r="K43" s="14" t="s">
        <v>62</v>
      </c>
      <c r="L43" s="14" t="s">
        <v>62</v>
      </c>
      <c r="M43" s="14" t="s">
        <v>62</v>
      </c>
      <c r="N43" s="14" t="s">
        <v>62</v>
      </c>
      <c r="O43" s="14" t="s">
        <v>62</v>
      </c>
      <c r="P43" s="14" t="s">
        <v>62</v>
      </c>
      <c r="Q43" s="14" t="s">
        <v>62</v>
      </c>
      <c r="R43" s="14" t="s">
        <v>62</v>
      </c>
      <c r="S43" s="14" t="s">
        <v>62</v>
      </c>
      <c r="T43" s="14" t="s">
        <v>62</v>
      </c>
      <c r="U43" s="14" t="s">
        <v>62</v>
      </c>
      <c r="V43" s="14" t="s">
        <v>62</v>
      </c>
      <c r="W43" s="14" t="s">
        <v>62</v>
      </c>
      <c r="X43" s="14" t="s">
        <v>62</v>
      </c>
      <c r="Y43" s="14" t="s">
        <v>62</v>
      </c>
      <c r="Z43" s="14" t="s">
        <v>62</v>
      </c>
      <c r="AA43" s="14" t="s">
        <v>62</v>
      </c>
      <c r="AB43" s="14" t="s">
        <v>62</v>
      </c>
      <c r="AC43" s="14" t="s">
        <v>62</v>
      </c>
      <c r="AD43" s="14" t="s">
        <v>62</v>
      </c>
      <c r="AE43" s="14" t="s">
        <v>62</v>
      </c>
      <c r="AF43" s="14" t="s">
        <v>62</v>
      </c>
      <c r="AG43" s="14" t="s">
        <v>62</v>
      </c>
      <c r="AH43" s="14" t="s">
        <v>62</v>
      </c>
      <c r="AI43" s="14" t="s">
        <v>62</v>
      </c>
      <c r="AJ43" s="14" t="s">
        <v>62</v>
      </c>
      <c r="AK43" s="14" t="s">
        <v>62</v>
      </c>
      <c r="AL43" s="14" t="s">
        <v>62</v>
      </c>
      <c r="AM43" s="14" t="s">
        <v>62</v>
      </c>
      <c r="AN43" s="14" t="s">
        <v>62</v>
      </c>
      <c r="AO43" s="12">
        <v>0</v>
      </c>
      <c r="AP43" s="19">
        <v>8.9666666666666668</v>
      </c>
      <c r="AQ43" s="19">
        <v>35.75</v>
      </c>
      <c r="AR43" s="14" t="s">
        <v>62</v>
      </c>
      <c r="AS43" s="14" t="s">
        <v>62</v>
      </c>
      <c r="AT43" s="14" t="s">
        <v>62</v>
      </c>
      <c r="AU43" s="14" t="s">
        <v>62</v>
      </c>
      <c r="AV43" s="14" t="s">
        <v>62</v>
      </c>
      <c r="AW43" s="14" t="s">
        <v>62</v>
      </c>
      <c r="AX43" s="14" t="s">
        <v>62</v>
      </c>
      <c r="AY43" s="14" t="s">
        <v>62</v>
      </c>
      <c r="AZ43" s="14" t="s">
        <v>62</v>
      </c>
      <c r="BA43" s="14" t="s">
        <v>62</v>
      </c>
      <c r="BB43" s="14" t="s">
        <v>62</v>
      </c>
      <c r="BC43" s="14" t="s">
        <v>62</v>
      </c>
      <c r="BD43" s="14" t="s">
        <v>62</v>
      </c>
      <c r="BE43" s="14" t="s">
        <v>62</v>
      </c>
      <c r="BF43" s="14" t="s">
        <v>62</v>
      </c>
      <c r="BG43" s="14" t="s">
        <v>62</v>
      </c>
      <c r="BH43" s="14" t="s">
        <v>62</v>
      </c>
      <c r="BI43" s="14" t="s">
        <v>62</v>
      </c>
      <c r="BJ43" s="15" t="s">
        <v>62</v>
      </c>
    </row>
    <row r="44" spans="1:62" x14ac:dyDescent="0.3">
      <c r="A44" s="10" t="s">
        <v>41</v>
      </c>
      <c r="B44" s="16" t="s">
        <v>62</v>
      </c>
      <c r="C44" s="14" t="s">
        <v>62</v>
      </c>
      <c r="D44" s="14" t="s">
        <v>62</v>
      </c>
      <c r="E44" s="14" t="s">
        <v>62</v>
      </c>
      <c r="F44" s="14" t="s">
        <v>62</v>
      </c>
      <c r="G44" s="14" t="s">
        <v>62</v>
      </c>
      <c r="H44" s="14" t="s">
        <v>62</v>
      </c>
      <c r="I44" s="14" t="s">
        <v>62</v>
      </c>
      <c r="J44" s="14" t="s">
        <v>62</v>
      </c>
      <c r="K44" s="14" t="s">
        <v>62</v>
      </c>
      <c r="L44" s="14" t="s">
        <v>62</v>
      </c>
      <c r="M44" s="14" t="s">
        <v>62</v>
      </c>
      <c r="N44" s="14" t="s">
        <v>62</v>
      </c>
      <c r="O44" s="14" t="s">
        <v>62</v>
      </c>
      <c r="P44" s="14" t="s">
        <v>62</v>
      </c>
      <c r="Q44" s="14" t="s">
        <v>62</v>
      </c>
      <c r="R44" s="14" t="s">
        <v>62</v>
      </c>
      <c r="S44" s="14" t="s">
        <v>62</v>
      </c>
      <c r="T44" s="14" t="s">
        <v>62</v>
      </c>
      <c r="U44" s="14" t="s">
        <v>62</v>
      </c>
      <c r="V44" s="14" t="s">
        <v>62</v>
      </c>
      <c r="W44" s="14" t="s">
        <v>62</v>
      </c>
      <c r="X44" s="14" t="s">
        <v>62</v>
      </c>
      <c r="Y44" s="14" t="s">
        <v>62</v>
      </c>
      <c r="Z44" s="14" t="s">
        <v>62</v>
      </c>
      <c r="AA44" s="14" t="s">
        <v>62</v>
      </c>
      <c r="AB44" s="14" t="s">
        <v>62</v>
      </c>
      <c r="AC44" s="14" t="s">
        <v>62</v>
      </c>
      <c r="AD44" s="14" t="s">
        <v>62</v>
      </c>
      <c r="AE44" s="14" t="s">
        <v>62</v>
      </c>
      <c r="AF44" s="14" t="s">
        <v>62</v>
      </c>
      <c r="AG44" s="14" t="s">
        <v>62</v>
      </c>
      <c r="AH44" s="14" t="s">
        <v>62</v>
      </c>
      <c r="AI44" s="14" t="s">
        <v>62</v>
      </c>
      <c r="AJ44" s="14" t="s">
        <v>62</v>
      </c>
      <c r="AK44" s="14" t="s">
        <v>62</v>
      </c>
      <c r="AL44" s="14" t="s">
        <v>62</v>
      </c>
      <c r="AM44" s="14" t="s">
        <v>62</v>
      </c>
      <c r="AN44" s="14" t="s">
        <v>62</v>
      </c>
      <c r="AO44" s="13">
        <f>8+(58/60)</f>
        <v>8.9666666666666668</v>
      </c>
      <c r="AP44" s="12">
        <v>0</v>
      </c>
      <c r="AQ44" s="13">
        <v>40.883333333333333</v>
      </c>
      <c r="AR44" s="14" t="s">
        <v>62</v>
      </c>
      <c r="AS44" s="14" t="s">
        <v>62</v>
      </c>
      <c r="AT44" s="14" t="s">
        <v>62</v>
      </c>
      <c r="AU44" s="14" t="s">
        <v>62</v>
      </c>
      <c r="AV44" s="14" t="s">
        <v>62</v>
      </c>
      <c r="AW44" s="14" t="s">
        <v>62</v>
      </c>
      <c r="AX44" s="14" t="s">
        <v>62</v>
      </c>
      <c r="AY44" s="14" t="s">
        <v>62</v>
      </c>
      <c r="AZ44" s="14" t="s">
        <v>62</v>
      </c>
      <c r="BA44" s="14" t="s">
        <v>62</v>
      </c>
      <c r="BB44" s="14" t="s">
        <v>62</v>
      </c>
      <c r="BC44" s="14" t="s">
        <v>62</v>
      </c>
      <c r="BD44" s="14" t="s">
        <v>62</v>
      </c>
      <c r="BE44" s="14" t="s">
        <v>62</v>
      </c>
      <c r="BF44" s="14" t="s">
        <v>62</v>
      </c>
      <c r="BG44" s="14" t="s">
        <v>62</v>
      </c>
      <c r="BH44" s="14" t="s">
        <v>62</v>
      </c>
      <c r="BI44" s="14" t="s">
        <v>62</v>
      </c>
      <c r="BJ44" s="15" t="s">
        <v>62</v>
      </c>
    </row>
    <row r="45" spans="1:62" x14ac:dyDescent="0.3">
      <c r="A45" s="10" t="s">
        <v>42</v>
      </c>
      <c r="B45" s="16" t="s">
        <v>62</v>
      </c>
      <c r="C45" s="14" t="s">
        <v>62</v>
      </c>
      <c r="D45" s="14" t="s">
        <v>62</v>
      </c>
      <c r="E45" s="14" t="s">
        <v>62</v>
      </c>
      <c r="F45" s="14" t="s">
        <v>62</v>
      </c>
      <c r="G45" s="14" t="s">
        <v>62</v>
      </c>
      <c r="H45" s="14" t="s">
        <v>62</v>
      </c>
      <c r="I45" s="14" t="s">
        <v>62</v>
      </c>
      <c r="J45" s="14" t="s">
        <v>62</v>
      </c>
      <c r="K45" s="14" t="s">
        <v>62</v>
      </c>
      <c r="L45" s="14" t="s">
        <v>62</v>
      </c>
      <c r="M45" s="14" t="s">
        <v>62</v>
      </c>
      <c r="N45" s="14" t="s">
        <v>62</v>
      </c>
      <c r="O45" s="14" t="s">
        <v>62</v>
      </c>
      <c r="P45" s="14" t="s">
        <v>62</v>
      </c>
      <c r="Q45" s="14" t="s">
        <v>62</v>
      </c>
      <c r="R45" s="14" t="s">
        <v>62</v>
      </c>
      <c r="S45" s="14" t="s">
        <v>62</v>
      </c>
      <c r="T45" s="14" t="s">
        <v>62</v>
      </c>
      <c r="U45" s="14" t="s">
        <v>62</v>
      </c>
      <c r="V45" s="14" t="s">
        <v>62</v>
      </c>
      <c r="W45" s="14" t="s">
        <v>62</v>
      </c>
      <c r="X45" s="14" t="s">
        <v>62</v>
      </c>
      <c r="Y45" s="14" t="s">
        <v>62</v>
      </c>
      <c r="Z45" s="14" t="s">
        <v>62</v>
      </c>
      <c r="AA45" s="14" t="s">
        <v>62</v>
      </c>
      <c r="AB45" s="14" t="s">
        <v>62</v>
      </c>
      <c r="AC45" s="14" t="s">
        <v>62</v>
      </c>
      <c r="AD45" s="14" t="s">
        <v>62</v>
      </c>
      <c r="AE45" s="14" t="s">
        <v>62</v>
      </c>
      <c r="AF45" s="14" t="s">
        <v>62</v>
      </c>
      <c r="AG45" s="14" t="s">
        <v>62</v>
      </c>
      <c r="AH45" s="14" t="s">
        <v>62</v>
      </c>
      <c r="AI45" s="14" t="s">
        <v>62</v>
      </c>
      <c r="AJ45" s="14" t="s">
        <v>62</v>
      </c>
      <c r="AK45" s="14" t="s">
        <v>62</v>
      </c>
      <c r="AL45" s="14" t="s">
        <v>62</v>
      </c>
      <c r="AM45" s="14" t="s">
        <v>62</v>
      </c>
      <c r="AN45" s="14" t="s">
        <v>62</v>
      </c>
      <c r="AO45" s="13">
        <f>35+(45/60)</f>
        <v>35.75</v>
      </c>
      <c r="AP45" s="13">
        <f>40+(53/60)</f>
        <v>40.883333333333333</v>
      </c>
      <c r="AQ45" s="12">
        <v>0</v>
      </c>
      <c r="AR45" s="14" t="s">
        <v>62</v>
      </c>
      <c r="AS45" s="14" t="s">
        <v>62</v>
      </c>
      <c r="AT45" s="14" t="s">
        <v>62</v>
      </c>
      <c r="AU45" s="14" t="s">
        <v>62</v>
      </c>
      <c r="AV45" s="14" t="s">
        <v>62</v>
      </c>
      <c r="AW45" s="14" t="s">
        <v>62</v>
      </c>
      <c r="AX45" s="14" t="s">
        <v>62</v>
      </c>
      <c r="AY45" s="14" t="s">
        <v>62</v>
      </c>
      <c r="AZ45" s="14" t="s">
        <v>62</v>
      </c>
      <c r="BA45" s="14" t="s">
        <v>62</v>
      </c>
      <c r="BB45" s="14" t="s">
        <v>62</v>
      </c>
      <c r="BC45" s="14" t="s">
        <v>62</v>
      </c>
      <c r="BD45" s="14" t="s">
        <v>62</v>
      </c>
      <c r="BE45" s="14" t="s">
        <v>62</v>
      </c>
      <c r="BF45" s="14" t="s">
        <v>62</v>
      </c>
      <c r="BG45" s="14" t="s">
        <v>62</v>
      </c>
      <c r="BH45" s="14" t="s">
        <v>62</v>
      </c>
      <c r="BI45" s="14" t="s">
        <v>62</v>
      </c>
      <c r="BJ45" s="15" t="s">
        <v>62</v>
      </c>
    </row>
    <row r="46" spans="1:62" x14ac:dyDescent="0.3">
      <c r="A46" s="10" t="s">
        <v>43</v>
      </c>
      <c r="B46" s="16" t="s">
        <v>62</v>
      </c>
      <c r="C46" s="14" t="s">
        <v>62</v>
      </c>
      <c r="D46" s="14" t="s">
        <v>62</v>
      </c>
      <c r="E46" s="14" t="s">
        <v>62</v>
      </c>
      <c r="F46" s="14" t="s">
        <v>62</v>
      </c>
      <c r="G46" s="14" t="s">
        <v>62</v>
      </c>
      <c r="H46" s="14" t="s">
        <v>62</v>
      </c>
      <c r="I46" s="14" t="s">
        <v>62</v>
      </c>
      <c r="J46" s="14" t="s">
        <v>62</v>
      </c>
      <c r="K46" s="14" t="s">
        <v>62</v>
      </c>
      <c r="L46" s="14" t="s">
        <v>62</v>
      </c>
      <c r="M46" s="14" t="s">
        <v>62</v>
      </c>
      <c r="N46" s="14" t="s">
        <v>62</v>
      </c>
      <c r="O46" s="14" t="s">
        <v>62</v>
      </c>
      <c r="P46" s="14" t="s">
        <v>62</v>
      </c>
      <c r="Q46" s="14" t="s">
        <v>62</v>
      </c>
      <c r="R46" s="14" t="s">
        <v>62</v>
      </c>
      <c r="S46" s="14" t="s">
        <v>62</v>
      </c>
      <c r="T46" s="14" t="s">
        <v>62</v>
      </c>
      <c r="U46" s="14" t="s">
        <v>62</v>
      </c>
      <c r="V46" s="14" t="s">
        <v>62</v>
      </c>
      <c r="W46" s="14">
        <f>2*24+18</f>
        <v>66</v>
      </c>
      <c r="X46" s="14">
        <f>2*24+16</f>
        <v>64</v>
      </c>
      <c r="Y46" s="14">
        <f>2*24+18</f>
        <v>66</v>
      </c>
      <c r="Z46" s="14" t="s">
        <v>62</v>
      </c>
      <c r="AA46" s="14" t="s">
        <v>62</v>
      </c>
      <c r="AB46" s="14" t="s">
        <v>62</v>
      </c>
      <c r="AC46" s="14" t="s">
        <v>62</v>
      </c>
      <c r="AD46" s="14">
        <f>2*24+17</f>
        <v>65</v>
      </c>
      <c r="AE46" s="14" t="s">
        <v>62</v>
      </c>
      <c r="AF46" s="14" t="s">
        <v>62</v>
      </c>
      <c r="AG46" s="14" t="s">
        <v>62</v>
      </c>
      <c r="AH46" s="13" t="s">
        <v>62</v>
      </c>
      <c r="AI46" s="13" t="s">
        <v>62</v>
      </c>
      <c r="AJ46" s="13">
        <f>3*24+6</f>
        <v>78</v>
      </c>
      <c r="AK46" s="13">
        <f>3*24+23</f>
        <v>95</v>
      </c>
      <c r="AL46" s="13" t="s">
        <v>62</v>
      </c>
      <c r="AM46" s="13" t="s">
        <v>62</v>
      </c>
      <c r="AN46" s="13" t="s">
        <v>62</v>
      </c>
      <c r="AO46" s="14" t="s">
        <v>62</v>
      </c>
      <c r="AP46" s="14" t="s">
        <v>62</v>
      </c>
      <c r="AQ46" s="14" t="s">
        <v>62</v>
      </c>
      <c r="AR46" s="12">
        <v>0</v>
      </c>
      <c r="AS46" s="13">
        <v>19.833333333333332</v>
      </c>
      <c r="AT46" s="13">
        <v>11.333333333333334</v>
      </c>
      <c r="AU46" s="13" t="s">
        <v>62</v>
      </c>
      <c r="AV46" s="13">
        <f>2*24+15</f>
        <v>63</v>
      </c>
      <c r="AW46" s="13">
        <f>4*24+4</f>
        <v>100</v>
      </c>
      <c r="AX46" s="13" t="s">
        <v>62</v>
      </c>
      <c r="AY46" s="14">
        <f>3*24+12</f>
        <v>84</v>
      </c>
      <c r="AZ46" s="14">
        <f>4*24+4</f>
        <v>100</v>
      </c>
      <c r="BA46" s="13">
        <f>5*24+3</f>
        <v>123</v>
      </c>
      <c r="BB46" s="14">
        <f>3*24+5</f>
        <v>77</v>
      </c>
      <c r="BC46" s="13" t="s">
        <v>62</v>
      </c>
      <c r="BD46" s="13" t="s">
        <v>62</v>
      </c>
      <c r="BE46" s="13" t="s">
        <v>62</v>
      </c>
      <c r="BF46" s="14">
        <f>2*24+14</f>
        <v>62</v>
      </c>
      <c r="BG46" s="14" t="s">
        <v>62</v>
      </c>
      <c r="BH46" s="14" t="s">
        <v>62</v>
      </c>
      <c r="BI46" s="14" t="s">
        <v>62</v>
      </c>
      <c r="BJ46" s="15" t="s">
        <v>62</v>
      </c>
    </row>
    <row r="47" spans="1:62" x14ac:dyDescent="0.3">
      <c r="A47" s="10" t="s">
        <v>44</v>
      </c>
      <c r="B47" s="16" t="s">
        <v>62</v>
      </c>
      <c r="C47" s="14" t="s">
        <v>62</v>
      </c>
      <c r="D47" s="14" t="s">
        <v>62</v>
      </c>
      <c r="E47" s="14" t="s">
        <v>62</v>
      </c>
      <c r="F47" s="14" t="s">
        <v>62</v>
      </c>
      <c r="G47" s="14" t="s">
        <v>62</v>
      </c>
      <c r="H47" s="14" t="s">
        <v>62</v>
      </c>
      <c r="I47" s="14" t="s">
        <v>62</v>
      </c>
      <c r="J47" s="14" t="s">
        <v>62</v>
      </c>
      <c r="K47" s="14" t="s">
        <v>62</v>
      </c>
      <c r="L47" s="14" t="s">
        <v>62</v>
      </c>
      <c r="M47" s="14" t="s">
        <v>62</v>
      </c>
      <c r="N47" s="14" t="s">
        <v>62</v>
      </c>
      <c r="O47" s="14" t="s">
        <v>62</v>
      </c>
      <c r="P47" s="14" t="s">
        <v>62</v>
      </c>
      <c r="Q47" s="14" t="s">
        <v>62</v>
      </c>
      <c r="R47" s="14" t="s">
        <v>62</v>
      </c>
      <c r="S47" s="14" t="s">
        <v>62</v>
      </c>
      <c r="T47" s="14">
        <f>2*24+13</f>
        <v>61</v>
      </c>
      <c r="U47" s="14">
        <f>2*24+10</f>
        <v>58</v>
      </c>
      <c r="V47" s="14">
        <f>2*24+5</f>
        <v>53</v>
      </c>
      <c r="W47" s="14">
        <f>2*24+10</f>
        <v>58</v>
      </c>
      <c r="X47" s="14">
        <f>2*24+8</f>
        <v>56</v>
      </c>
      <c r="Y47" s="14">
        <f>2*24+10</f>
        <v>58</v>
      </c>
      <c r="Z47" s="14">
        <f>2*24+8</f>
        <v>56</v>
      </c>
      <c r="AA47" s="14">
        <f>2*24+6</f>
        <v>54</v>
      </c>
      <c r="AB47" s="14">
        <f>2*24+21</f>
        <v>69</v>
      </c>
      <c r="AC47" s="14">
        <f>2*24+15</f>
        <v>63</v>
      </c>
      <c r="AD47" s="14">
        <f>2*24+9</f>
        <v>57</v>
      </c>
      <c r="AE47" s="14">
        <f>2*24+6</f>
        <v>54</v>
      </c>
      <c r="AF47" s="14">
        <f>2*24+5</f>
        <v>53</v>
      </c>
      <c r="AG47" s="14">
        <f>2*24+2</f>
        <v>50</v>
      </c>
      <c r="AH47" s="13" t="s">
        <v>62</v>
      </c>
      <c r="AI47" s="13" t="s">
        <v>62</v>
      </c>
      <c r="AJ47" s="13">
        <f>3*24+8</f>
        <v>80</v>
      </c>
      <c r="AK47" s="13">
        <f>4*24+2</f>
        <v>98</v>
      </c>
      <c r="AL47" s="13" t="s">
        <v>62</v>
      </c>
      <c r="AM47" s="13" t="s">
        <v>62</v>
      </c>
      <c r="AN47" s="13" t="s">
        <v>62</v>
      </c>
      <c r="AO47" s="14" t="s">
        <v>62</v>
      </c>
      <c r="AP47" s="14" t="s">
        <v>62</v>
      </c>
      <c r="AQ47" s="14" t="s">
        <v>62</v>
      </c>
      <c r="AR47" s="13">
        <f>19+(50/60)</f>
        <v>19.833333333333332</v>
      </c>
      <c r="AS47" s="12">
        <v>0</v>
      </c>
      <c r="AT47" s="13">
        <f>8+(37/60)</f>
        <v>8.6166666666666671</v>
      </c>
      <c r="AU47" s="13" t="s">
        <v>62</v>
      </c>
      <c r="AV47" s="13" t="s">
        <v>62</v>
      </c>
      <c r="AW47" s="13" t="s">
        <v>62</v>
      </c>
      <c r="AX47" s="13">
        <f>5*24+3</f>
        <v>123</v>
      </c>
      <c r="AY47" s="12">
        <f>2*24+22</f>
        <v>70</v>
      </c>
      <c r="AZ47" s="12">
        <f>3*24+14</f>
        <v>86</v>
      </c>
      <c r="BA47" s="13">
        <f>5*24+6</f>
        <v>126</v>
      </c>
      <c r="BB47" s="14">
        <f>2*24+21</f>
        <v>69</v>
      </c>
      <c r="BC47" s="13" t="s">
        <v>62</v>
      </c>
      <c r="BD47" s="13" t="s">
        <v>62</v>
      </c>
      <c r="BE47" s="13" t="s">
        <v>62</v>
      </c>
      <c r="BF47" s="14" t="s">
        <v>62</v>
      </c>
      <c r="BG47" s="14">
        <f>48+(41/60)</f>
        <v>48.68333333333333</v>
      </c>
      <c r="BH47" s="14" t="s">
        <v>62</v>
      </c>
      <c r="BI47" s="14" t="s">
        <v>62</v>
      </c>
      <c r="BJ47" s="15" t="s">
        <v>62</v>
      </c>
    </row>
    <row r="48" spans="1:62" x14ac:dyDescent="0.3">
      <c r="A48" s="20" t="s">
        <v>45</v>
      </c>
      <c r="B48" s="21" t="s">
        <v>62</v>
      </c>
      <c r="C48" s="22" t="s">
        <v>62</v>
      </c>
      <c r="D48" s="22" t="s">
        <v>62</v>
      </c>
      <c r="E48" s="22" t="s">
        <v>62</v>
      </c>
      <c r="F48" s="22" t="s">
        <v>62</v>
      </c>
      <c r="G48" s="22" t="s">
        <v>62</v>
      </c>
      <c r="H48" s="22" t="s">
        <v>62</v>
      </c>
      <c r="I48" s="22" t="s">
        <v>62</v>
      </c>
      <c r="J48" s="22" t="s">
        <v>62</v>
      </c>
      <c r="K48" s="22" t="s">
        <v>62</v>
      </c>
      <c r="L48" s="22" t="s">
        <v>62</v>
      </c>
      <c r="M48" s="22" t="s">
        <v>62</v>
      </c>
      <c r="N48" s="22" t="s">
        <v>62</v>
      </c>
      <c r="O48" s="22" t="s">
        <v>62</v>
      </c>
      <c r="P48" s="22" t="s">
        <v>62</v>
      </c>
      <c r="Q48" s="22" t="s">
        <v>62</v>
      </c>
      <c r="R48" s="22" t="s">
        <v>62</v>
      </c>
      <c r="S48" s="22" t="s">
        <v>62</v>
      </c>
      <c r="T48" s="22">
        <f>2*24+10</f>
        <v>58</v>
      </c>
      <c r="U48" s="22">
        <f>2*24+7</f>
        <v>55</v>
      </c>
      <c r="V48" s="22">
        <f>2*24+2</f>
        <v>50</v>
      </c>
      <c r="W48" s="22">
        <f>2*24+7</f>
        <v>55</v>
      </c>
      <c r="X48" s="22">
        <f>2*24+5</f>
        <v>53</v>
      </c>
      <c r="Y48" s="22">
        <f>2*24+7</f>
        <v>55</v>
      </c>
      <c r="Z48" s="22" t="s">
        <v>62</v>
      </c>
      <c r="AA48" s="22">
        <f>2*24+3</f>
        <v>51</v>
      </c>
      <c r="AB48" s="22">
        <f>2*24+18</f>
        <v>66</v>
      </c>
      <c r="AC48" s="22">
        <f>2*24+12</f>
        <v>60</v>
      </c>
      <c r="AD48" s="22">
        <f>2*24+6</f>
        <v>54</v>
      </c>
      <c r="AE48" s="22" t="s">
        <v>62</v>
      </c>
      <c r="AF48" s="22" t="s">
        <v>62</v>
      </c>
      <c r="AG48" s="22" t="s">
        <v>62</v>
      </c>
      <c r="AH48" s="23" t="s">
        <v>62</v>
      </c>
      <c r="AI48" s="23" t="s">
        <v>62</v>
      </c>
      <c r="AJ48" s="23">
        <f>3*24</f>
        <v>72</v>
      </c>
      <c r="AK48" s="23">
        <f>3*24+17</f>
        <v>89</v>
      </c>
      <c r="AL48" s="23" t="s">
        <v>62</v>
      </c>
      <c r="AM48" s="23" t="s">
        <v>62</v>
      </c>
      <c r="AN48" s="23" t="s">
        <v>62</v>
      </c>
      <c r="AO48" s="22" t="s">
        <v>62</v>
      </c>
      <c r="AP48" s="22" t="s">
        <v>62</v>
      </c>
      <c r="AQ48" s="22" t="s">
        <v>62</v>
      </c>
      <c r="AR48" s="23">
        <f>11+(20/60)</f>
        <v>11.333333333333334</v>
      </c>
      <c r="AS48" s="23">
        <f>8+(37/60)</f>
        <v>8.6166666666666671</v>
      </c>
      <c r="AT48" s="24">
        <v>0</v>
      </c>
      <c r="AU48" s="23" t="s">
        <v>62</v>
      </c>
      <c r="AV48" s="23" t="s">
        <v>62</v>
      </c>
      <c r="AW48" s="23" t="s">
        <v>62</v>
      </c>
      <c r="AX48" s="23">
        <f>4*24+18</f>
        <v>114</v>
      </c>
      <c r="AY48" s="22">
        <f>3*24+1</f>
        <v>73</v>
      </c>
      <c r="AZ48" s="22">
        <f>3*24+17</f>
        <v>89</v>
      </c>
      <c r="BA48" s="24">
        <f>4*24+21</f>
        <v>117</v>
      </c>
      <c r="BB48" s="22" t="s">
        <v>62</v>
      </c>
      <c r="BC48" s="23">
        <f>4*24+16</f>
        <v>112</v>
      </c>
      <c r="BD48" s="23" t="s">
        <v>62</v>
      </c>
      <c r="BE48" s="23">
        <f>4*24+11</f>
        <v>107</v>
      </c>
      <c r="BF48" s="22" t="s">
        <v>62</v>
      </c>
      <c r="BG48" s="22">
        <f>44+(42/60)</f>
        <v>44.7</v>
      </c>
      <c r="BH48" s="22" t="s">
        <v>62</v>
      </c>
      <c r="BI48" s="22" t="s">
        <v>62</v>
      </c>
      <c r="BJ48" s="25" t="s">
        <v>62</v>
      </c>
    </row>
    <row r="51" spans="1:188" ht="21" x14ac:dyDescent="0.3">
      <c r="A51" s="55" t="s">
        <v>140</v>
      </c>
      <c r="B51" s="56"/>
      <c r="BL51" s="58"/>
      <c r="BM51" s="58"/>
      <c r="DW51" s="58"/>
      <c r="DX51" s="58"/>
    </row>
    <row r="53" spans="1:188" x14ac:dyDescent="0.3">
      <c r="A53" s="1" t="s">
        <v>66</v>
      </c>
      <c r="B53" s="2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3" t="s">
        <v>13</v>
      </c>
      <c r="O53" s="3" t="s">
        <v>14</v>
      </c>
      <c r="P53" s="3" t="s">
        <v>15</v>
      </c>
      <c r="Q53" s="3" t="s">
        <v>16</v>
      </c>
      <c r="R53" s="3" t="s">
        <v>17</v>
      </c>
      <c r="S53" s="3" t="s">
        <v>18</v>
      </c>
      <c r="T53" s="3" t="s">
        <v>19</v>
      </c>
      <c r="U53" s="3" t="s">
        <v>20</v>
      </c>
      <c r="V53" s="3" t="s">
        <v>21</v>
      </c>
      <c r="W53" s="3" t="s">
        <v>22</v>
      </c>
      <c r="X53" s="3" t="s">
        <v>23</v>
      </c>
      <c r="Y53" s="3" t="s">
        <v>24</v>
      </c>
      <c r="Z53" s="3" t="s">
        <v>25</v>
      </c>
      <c r="AA53" s="3" t="s">
        <v>26</v>
      </c>
      <c r="AB53" s="3" t="s">
        <v>27</v>
      </c>
      <c r="AC53" s="3" t="s">
        <v>28</v>
      </c>
      <c r="AD53" s="3" t="s">
        <v>29</v>
      </c>
      <c r="AE53" s="3" t="s">
        <v>30</v>
      </c>
      <c r="AF53" s="3" t="s">
        <v>31</v>
      </c>
      <c r="AG53" s="3" t="s">
        <v>32</v>
      </c>
      <c r="AH53" s="3" t="s">
        <v>33</v>
      </c>
      <c r="AI53" s="3" t="s">
        <v>34</v>
      </c>
      <c r="AJ53" s="3" t="s">
        <v>35</v>
      </c>
      <c r="AK53" s="3" t="s">
        <v>36</v>
      </c>
      <c r="AL53" s="3" t="s">
        <v>37</v>
      </c>
      <c r="AM53" s="3" t="s">
        <v>38</v>
      </c>
      <c r="AN53" s="3" t="s">
        <v>39</v>
      </c>
      <c r="AO53" s="3" t="s">
        <v>40</v>
      </c>
      <c r="AP53" s="3" t="s">
        <v>41</v>
      </c>
      <c r="AQ53" s="3" t="s">
        <v>42</v>
      </c>
      <c r="AR53" s="3" t="s">
        <v>43</v>
      </c>
      <c r="AS53" s="3" t="s">
        <v>44</v>
      </c>
      <c r="AT53" s="3" t="s">
        <v>45</v>
      </c>
      <c r="AU53" s="3" t="s">
        <v>46</v>
      </c>
      <c r="AV53" s="3" t="s">
        <v>47</v>
      </c>
      <c r="AW53" s="3" t="s">
        <v>48</v>
      </c>
      <c r="AX53" s="3" t="s">
        <v>49</v>
      </c>
      <c r="AY53" s="3" t="s">
        <v>50</v>
      </c>
      <c r="AZ53" s="3" t="s">
        <v>51</v>
      </c>
      <c r="BA53" s="3" t="s">
        <v>52</v>
      </c>
      <c r="BB53" s="3" t="s">
        <v>53</v>
      </c>
      <c r="BC53" s="3" t="s">
        <v>54</v>
      </c>
      <c r="BD53" s="3" t="s">
        <v>55</v>
      </c>
      <c r="BE53" s="3" t="s">
        <v>56</v>
      </c>
      <c r="BF53" s="3" t="s">
        <v>57</v>
      </c>
      <c r="BG53" s="3" t="s">
        <v>58</v>
      </c>
      <c r="BH53" s="3" t="s">
        <v>59</v>
      </c>
      <c r="BI53" s="3" t="s">
        <v>60</v>
      </c>
      <c r="BJ53" s="4" t="s">
        <v>61</v>
      </c>
      <c r="BL53" s="51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W53" s="51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</row>
    <row r="54" spans="1:188" x14ac:dyDescent="0.3">
      <c r="A54" s="5" t="s">
        <v>1</v>
      </c>
      <c r="B54" s="6">
        <v>0</v>
      </c>
      <c r="C54" s="7">
        <v>44.883333333333333</v>
      </c>
      <c r="D54" s="7">
        <v>59</v>
      </c>
      <c r="E54" s="7">
        <v>46.116666666666667</v>
      </c>
      <c r="F54" s="7">
        <v>22.95</v>
      </c>
      <c r="G54" s="7">
        <v>64.366666666666674</v>
      </c>
      <c r="H54" s="7">
        <v>86.783333333333346</v>
      </c>
      <c r="I54" s="7">
        <v>94.733333333333334</v>
      </c>
      <c r="J54" s="7">
        <v>38.849999999999994</v>
      </c>
      <c r="K54" s="7">
        <v>37.766666666666659</v>
      </c>
      <c r="L54" s="7">
        <v>73.26666666666668</v>
      </c>
      <c r="M54" s="7">
        <v>88.133333333333354</v>
      </c>
      <c r="N54" s="7" t="s">
        <v>62</v>
      </c>
      <c r="O54" s="8" t="s">
        <v>62</v>
      </c>
      <c r="P54" s="8" t="s">
        <v>62</v>
      </c>
      <c r="Q54" s="8" t="s">
        <v>62</v>
      </c>
      <c r="R54" s="8" t="s">
        <v>62</v>
      </c>
      <c r="S54" s="8" t="s">
        <v>62</v>
      </c>
      <c r="T54" s="8" t="s">
        <v>62</v>
      </c>
      <c r="U54" s="8" t="s">
        <v>62</v>
      </c>
      <c r="V54" s="8" t="s">
        <v>62</v>
      </c>
      <c r="W54" s="8" t="s">
        <v>62</v>
      </c>
      <c r="X54" s="8" t="s">
        <v>62</v>
      </c>
      <c r="Y54" s="8" t="s">
        <v>62</v>
      </c>
      <c r="Z54" s="8" t="s">
        <v>62</v>
      </c>
      <c r="AA54" s="8" t="s">
        <v>62</v>
      </c>
      <c r="AB54" s="8" t="s">
        <v>62</v>
      </c>
      <c r="AC54" s="8" t="s">
        <v>62</v>
      </c>
      <c r="AD54" s="8" t="s">
        <v>62</v>
      </c>
      <c r="AE54" s="8" t="s">
        <v>62</v>
      </c>
      <c r="AF54" s="8" t="s">
        <v>62</v>
      </c>
      <c r="AG54" s="8" t="s">
        <v>62</v>
      </c>
      <c r="AH54" s="8" t="s">
        <v>62</v>
      </c>
      <c r="AI54" s="8" t="s">
        <v>62</v>
      </c>
      <c r="AJ54" s="8" t="s">
        <v>62</v>
      </c>
      <c r="AK54" s="8" t="s">
        <v>62</v>
      </c>
      <c r="AL54" s="8" t="s">
        <v>62</v>
      </c>
      <c r="AM54" s="8" t="s">
        <v>62</v>
      </c>
      <c r="AN54" s="8" t="s">
        <v>62</v>
      </c>
      <c r="AO54" s="8" t="s">
        <v>62</v>
      </c>
      <c r="AP54" s="8" t="s">
        <v>62</v>
      </c>
      <c r="AQ54" s="8" t="s">
        <v>62</v>
      </c>
      <c r="AR54" s="8" t="s">
        <v>62</v>
      </c>
      <c r="AS54" s="8" t="s">
        <v>62</v>
      </c>
      <c r="AT54" s="8" t="s">
        <v>62</v>
      </c>
      <c r="AU54" s="8" t="s">
        <v>62</v>
      </c>
      <c r="AV54" s="8" t="s">
        <v>62</v>
      </c>
      <c r="AW54" s="8" t="s">
        <v>62</v>
      </c>
      <c r="AX54" s="8" t="s">
        <v>62</v>
      </c>
      <c r="AY54" s="8" t="s">
        <v>62</v>
      </c>
      <c r="AZ54" s="8" t="s">
        <v>62</v>
      </c>
      <c r="BA54" s="8" t="s">
        <v>62</v>
      </c>
      <c r="BB54" s="8" t="s">
        <v>62</v>
      </c>
      <c r="BC54" s="8" t="s">
        <v>62</v>
      </c>
      <c r="BD54" s="8" t="s">
        <v>62</v>
      </c>
      <c r="BE54" s="8" t="s">
        <v>62</v>
      </c>
      <c r="BF54" s="8" t="s">
        <v>62</v>
      </c>
      <c r="BG54" s="8" t="s">
        <v>62</v>
      </c>
      <c r="BH54" s="8" t="s">
        <v>62</v>
      </c>
      <c r="BI54" s="8" t="s">
        <v>62</v>
      </c>
      <c r="BJ54" s="9" t="s">
        <v>62</v>
      </c>
      <c r="BL54" s="26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49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W54" s="26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49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</row>
    <row r="55" spans="1:188" x14ac:dyDescent="0.3">
      <c r="A55" s="10" t="s">
        <v>2</v>
      </c>
      <c r="B55" s="11">
        <f>45+(13/60)-(20/60)</f>
        <v>44.883333333333333</v>
      </c>
      <c r="C55" s="12">
        <v>0</v>
      </c>
      <c r="D55" s="13">
        <v>27.3</v>
      </c>
      <c r="E55" s="13">
        <v>19.5</v>
      </c>
      <c r="F55" s="13">
        <v>25.883333333333333</v>
      </c>
      <c r="G55" s="13" t="s">
        <v>62</v>
      </c>
      <c r="H55" s="13">
        <v>65.666666666666671</v>
      </c>
      <c r="I55" s="13">
        <v>46.583333333333336</v>
      </c>
      <c r="J55" s="13">
        <v>42.199999999999996</v>
      </c>
      <c r="K55" s="13">
        <v>40.699999999999996</v>
      </c>
      <c r="L55" s="13">
        <v>55</v>
      </c>
      <c r="M55" s="13">
        <v>67.016666666666666</v>
      </c>
      <c r="N55" s="13" t="s">
        <v>62</v>
      </c>
      <c r="O55" s="14" t="s">
        <v>62</v>
      </c>
      <c r="P55" s="14" t="s">
        <v>62</v>
      </c>
      <c r="Q55" s="14" t="s">
        <v>62</v>
      </c>
      <c r="R55" s="14" t="s">
        <v>62</v>
      </c>
      <c r="S55" s="14" t="s">
        <v>62</v>
      </c>
      <c r="T55" s="14" t="s">
        <v>62</v>
      </c>
      <c r="U55" s="14" t="s">
        <v>62</v>
      </c>
      <c r="V55" s="14" t="s">
        <v>62</v>
      </c>
      <c r="W55" s="14" t="s">
        <v>62</v>
      </c>
      <c r="X55" s="14" t="s">
        <v>62</v>
      </c>
      <c r="Y55" s="14" t="s">
        <v>62</v>
      </c>
      <c r="Z55" s="14" t="s">
        <v>62</v>
      </c>
      <c r="AA55" s="14" t="s">
        <v>62</v>
      </c>
      <c r="AB55" s="14" t="s">
        <v>62</v>
      </c>
      <c r="AC55" s="14" t="s">
        <v>62</v>
      </c>
      <c r="AD55" s="14" t="s">
        <v>62</v>
      </c>
      <c r="AE55" s="14" t="s">
        <v>62</v>
      </c>
      <c r="AF55" s="14" t="s">
        <v>62</v>
      </c>
      <c r="AG55" s="14" t="s">
        <v>62</v>
      </c>
      <c r="AH55" s="14" t="s">
        <v>62</v>
      </c>
      <c r="AI55" s="14" t="s">
        <v>62</v>
      </c>
      <c r="AJ55" s="14" t="s">
        <v>62</v>
      </c>
      <c r="AK55" s="14" t="s">
        <v>62</v>
      </c>
      <c r="AL55" s="14" t="s">
        <v>62</v>
      </c>
      <c r="AM55" s="14" t="s">
        <v>62</v>
      </c>
      <c r="AN55" s="14" t="s">
        <v>62</v>
      </c>
      <c r="AO55" s="14" t="s">
        <v>62</v>
      </c>
      <c r="AP55" s="14" t="s">
        <v>62</v>
      </c>
      <c r="AQ55" s="14" t="s">
        <v>62</v>
      </c>
      <c r="AR55" s="14" t="s">
        <v>62</v>
      </c>
      <c r="AS55" s="14" t="s">
        <v>62</v>
      </c>
      <c r="AT55" s="14" t="s">
        <v>62</v>
      </c>
      <c r="AU55" s="14" t="s">
        <v>62</v>
      </c>
      <c r="AV55" s="14" t="s">
        <v>62</v>
      </c>
      <c r="AW55" s="14" t="s">
        <v>62</v>
      </c>
      <c r="AX55" s="14" t="s">
        <v>62</v>
      </c>
      <c r="AY55" s="14" t="s">
        <v>62</v>
      </c>
      <c r="AZ55" s="14" t="s">
        <v>62</v>
      </c>
      <c r="BA55" s="14" t="s">
        <v>62</v>
      </c>
      <c r="BB55" s="14" t="s">
        <v>62</v>
      </c>
      <c r="BC55" s="14" t="s">
        <v>62</v>
      </c>
      <c r="BD55" s="14" t="s">
        <v>62</v>
      </c>
      <c r="BE55" s="14" t="s">
        <v>62</v>
      </c>
      <c r="BF55" s="14" t="s">
        <v>62</v>
      </c>
      <c r="BG55" s="14" t="s">
        <v>62</v>
      </c>
      <c r="BH55" s="14" t="s">
        <v>62</v>
      </c>
      <c r="BI55" s="14" t="s">
        <v>62</v>
      </c>
      <c r="BJ55" s="15" t="s">
        <v>62</v>
      </c>
      <c r="BL55" s="26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49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W55" s="26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49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</row>
    <row r="56" spans="1:188" x14ac:dyDescent="0.3">
      <c r="A56" s="10" t="s">
        <v>3</v>
      </c>
      <c r="B56" s="11">
        <f>48+11</f>
        <v>59</v>
      </c>
      <c r="C56" s="13">
        <f>19+(30/60)+7+(48/60)</f>
        <v>27.3</v>
      </c>
      <c r="D56" s="12">
        <v>0</v>
      </c>
      <c r="E56" s="13">
        <v>7.916666666666667</v>
      </c>
      <c r="F56" s="13">
        <v>24.516666666666669</v>
      </c>
      <c r="G56" s="13" t="s">
        <v>62</v>
      </c>
      <c r="H56" s="13">
        <v>38.083333333333336</v>
      </c>
      <c r="I56" s="13" t="s">
        <v>62</v>
      </c>
      <c r="J56" s="13">
        <v>22.266666666666666</v>
      </c>
      <c r="K56" s="13">
        <v>30.933333333333334</v>
      </c>
      <c r="L56" s="13">
        <v>24.56666666666667</v>
      </c>
      <c r="M56" s="13">
        <v>39.43333333333333</v>
      </c>
      <c r="N56" s="13" t="s">
        <v>62</v>
      </c>
      <c r="O56" s="14" t="s">
        <v>62</v>
      </c>
      <c r="P56" s="14" t="s">
        <v>62</v>
      </c>
      <c r="Q56" s="14" t="s">
        <v>62</v>
      </c>
      <c r="R56" s="14" t="s">
        <v>62</v>
      </c>
      <c r="S56" s="14" t="s">
        <v>62</v>
      </c>
      <c r="T56" s="14" t="s">
        <v>62</v>
      </c>
      <c r="U56" s="14" t="s">
        <v>62</v>
      </c>
      <c r="V56" s="14" t="s">
        <v>62</v>
      </c>
      <c r="W56" s="14" t="s">
        <v>62</v>
      </c>
      <c r="X56" s="14" t="s">
        <v>62</v>
      </c>
      <c r="Y56" s="14" t="s">
        <v>62</v>
      </c>
      <c r="Z56" s="14" t="s">
        <v>62</v>
      </c>
      <c r="AA56" s="14" t="s">
        <v>62</v>
      </c>
      <c r="AB56" s="14" t="s">
        <v>62</v>
      </c>
      <c r="AC56" s="14" t="s">
        <v>62</v>
      </c>
      <c r="AD56" s="14" t="s">
        <v>62</v>
      </c>
      <c r="AE56" s="14" t="s">
        <v>62</v>
      </c>
      <c r="AF56" s="14" t="s">
        <v>62</v>
      </c>
      <c r="AG56" s="14" t="s">
        <v>62</v>
      </c>
      <c r="AH56" s="14" t="s">
        <v>62</v>
      </c>
      <c r="AI56" s="14" t="s">
        <v>62</v>
      </c>
      <c r="AJ56" s="14" t="s">
        <v>62</v>
      </c>
      <c r="AK56" s="14" t="s">
        <v>62</v>
      </c>
      <c r="AL56" s="14" t="s">
        <v>62</v>
      </c>
      <c r="AM56" s="14" t="s">
        <v>62</v>
      </c>
      <c r="AN56" s="14" t="s">
        <v>62</v>
      </c>
      <c r="AO56" s="14" t="s">
        <v>62</v>
      </c>
      <c r="AP56" s="14" t="s">
        <v>62</v>
      </c>
      <c r="AQ56" s="14" t="s">
        <v>62</v>
      </c>
      <c r="AR56" s="14" t="s">
        <v>62</v>
      </c>
      <c r="AS56" s="14" t="s">
        <v>62</v>
      </c>
      <c r="AT56" s="14" t="s">
        <v>62</v>
      </c>
      <c r="AU56" s="14" t="s">
        <v>62</v>
      </c>
      <c r="AV56" s="14" t="s">
        <v>62</v>
      </c>
      <c r="AW56" s="14" t="s">
        <v>62</v>
      </c>
      <c r="AX56" s="14" t="s">
        <v>62</v>
      </c>
      <c r="AY56" s="14" t="s">
        <v>62</v>
      </c>
      <c r="AZ56" s="14" t="s">
        <v>62</v>
      </c>
      <c r="BA56" s="14" t="s">
        <v>62</v>
      </c>
      <c r="BB56" s="14" t="s">
        <v>62</v>
      </c>
      <c r="BC56" s="14" t="s">
        <v>62</v>
      </c>
      <c r="BD56" s="14" t="s">
        <v>62</v>
      </c>
      <c r="BE56" s="14" t="s">
        <v>62</v>
      </c>
      <c r="BF56" s="14" t="s">
        <v>62</v>
      </c>
      <c r="BG56" s="14" t="s">
        <v>62</v>
      </c>
      <c r="BH56" s="14" t="s">
        <v>62</v>
      </c>
      <c r="BI56" s="14" t="s">
        <v>62</v>
      </c>
      <c r="BJ56" s="15" t="s">
        <v>62</v>
      </c>
      <c r="BL56" s="26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49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W56" s="26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49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</row>
    <row r="57" spans="1:188" x14ac:dyDescent="0.3">
      <c r="A57" s="10" t="s">
        <v>4</v>
      </c>
      <c r="B57" s="11">
        <f>22+(26/60)+23+(41/60)</f>
        <v>46.116666666666667</v>
      </c>
      <c r="C57" s="13">
        <f>19+(30/60)</f>
        <v>19.5</v>
      </c>
      <c r="D57" s="13">
        <f>7+(55/60)</f>
        <v>7.916666666666667</v>
      </c>
      <c r="E57" s="12">
        <v>0</v>
      </c>
      <c r="F57" s="13">
        <v>17.416666666666668</v>
      </c>
      <c r="G57" s="13">
        <v>18.25</v>
      </c>
      <c r="H57" s="13">
        <v>46.166666666666664</v>
      </c>
      <c r="I57" s="13">
        <v>65</v>
      </c>
      <c r="J57" s="13">
        <v>14.766666666666667</v>
      </c>
      <c r="K57" s="13">
        <v>23.016666666666666</v>
      </c>
      <c r="L57" s="13">
        <v>32.650000000000006</v>
      </c>
      <c r="M57" s="13">
        <v>47.516666666666666</v>
      </c>
      <c r="N57" s="13" t="s">
        <v>62</v>
      </c>
      <c r="O57" s="14" t="s">
        <v>62</v>
      </c>
      <c r="P57" s="14" t="s">
        <v>62</v>
      </c>
      <c r="Q57" s="14" t="s">
        <v>62</v>
      </c>
      <c r="R57" s="14" t="s">
        <v>62</v>
      </c>
      <c r="S57" s="14" t="s">
        <v>62</v>
      </c>
      <c r="T57" s="14" t="s">
        <v>62</v>
      </c>
      <c r="U57" s="14" t="s">
        <v>62</v>
      </c>
      <c r="V57" s="14" t="s">
        <v>62</v>
      </c>
      <c r="W57" s="14" t="s">
        <v>62</v>
      </c>
      <c r="X57" s="14" t="s">
        <v>62</v>
      </c>
      <c r="Y57" s="14" t="s">
        <v>62</v>
      </c>
      <c r="Z57" s="14" t="s">
        <v>62</v>
      </c>
      <c r="AA57" s="14" t="s">
        <v>62</v>
      </c>
      <c r="AB57" s="14" t="s">
        <v>62</v>
      </c>
      <c r="AC57" s="14" t="s">
        <v>62</v>
      </c>
      <c r="AD57" s="14" t="s">
        <v>62</v>
      </c>
      <c r="AE57" s="14" t="s">
        <v>62</v>
      </c>
      <c r="AF57" s="14" t="s">
        <v>62</v>
      </c>
      <c r="AG57" s="14" t="s">
        <v>62</v>
      </c>
      <c r="AH57" s="14" t="s">
        <v>62</v>
      </c>
      <c r="AI57" s="14" t="s">
        <v>62</v>
      </c>
      <c r="AJ57" s="14" t="s">
        <v>62</v>
      </c>
      <c r="AK57" s="14" t="s">
        <v>62</v>
      </c>
      <c r="AL57" s="14" t="s">
        <v>62</v>
      </c>
      <c r="AM57" s="14" t="s">
        <v>62</v>
      </c>
      <c r="AN57" s="14" t="s">
        <v>62</v>
      </c>
      <c r="AO57" s="14" t="s">
        <v>62</v>
      </c>
      <c r="AP57" s="14" t="s">
        <v>62</v>
      </c>
      <c r="AQ57" s="14" t="s">
        <v>62</v>
      </c>
      <c r="AR57" s="14" t="s">
        <v>62</v>
      </c>
      <c r="AS57" s="14" t="s">
        <v>62</v>
      </c>
      <c r="AT57" s="14" t="s">
        <v>62</v>
      </c>
      <c r="AU57" s="14" t="s">
        <v>62</v>
      </c>
      <c r="AV57" s="14" t="s">
        <v>62</v>
      </c>
      <c r="AW57" s="14" t="s">
        <v>62</v>
      </c>
      <c r="AX57" s="14" t="s">
        <v>62</v>
      </c>
      <c r="AY57" s="14" t="s">
        <v>62</v>
      </c>
      <c r="AZ57" s="14" t="s">
        <v>62</v>
      </c>
      <c r="BA57" s="14" t="s">
        <v>62</v>
      </c>
      <c r="BB57" s="14" t="s">
        <v>62</v>
      </c>
      <c r="BC57" s="14" t="s">
        <v>62</v>
      </c>
      <c r="BD57" s="14" t="s">
        <v>62</v>
      </c>
      <c r="BE57" s="14" t="s">
        <v>62</v>
      </c>
      <c r="BF57" s="14" t="s">
        <v>62</v>
      </c>
      <c r="BG57" s="14" t="s">
        <v>62</v>
      </c>
      <c r="BH57" s="14" t="s">
        <v>62</v>
      </c>
      <c r="BI57" s="14" t="s">
        <v>62</v>
      </c>
      <c r="BJ57" s="15" t="s">
        <v>62</v>
      </c>
      <c r="BL57" s="26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49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W57" s="26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49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</row>
    <row r="58" spans="1:188" x14ac:dyDescent="0.3">
      <c r="A58" s="10" t="s">
        <v>5</v>
      </c>
      <c r="B58" s="11">
        <f>22+(57/60)</f>
        <v>22.95</v>
      </c>
      <c r="C58" s="13">
        <f>25+(53/60)</f>
        <v>25.883333333333333</v>
      </c>
      <c r="D58" s="13">
        <f>7+(55/60)+16+(36/60)</f>
        <v>24.516666666666669</v>
      </c>
      <c r="E58" s="13">
        <f>17+(25/60)</f>
        <v>17.416666666666668</v>
      </c>
      <c r="F58" s="12">
        <v>0</v>
      </c>
      <c r="G58" s="13">
        <v>35.916666666666671</v>
      </c>
      <c r="H58" s="13">
        <v>63.833333333333336</v>
      </c>
      <c r="I58" s="13">
        <v>72.61666666666666</v>
      </c>
      <c r="J58" s="13">
        <v>14.950000000000001</v>
      </c>
      <c r="K58" s="13">
        <v>13.75</v>
      </c>
      <c r="L58" s="13">
        <v>53</v>
      </c>
      <c r="M58" s="13">
        <v>65.183333333333351</v>
      </c>
      <c r="N58" s="13" t="s">
        <v>62</v>
      </c>
      <c r="O58" s="14" t="s">
        <v>62</v>
      </c>
      <c r="P58" s="14" t="s">
        <v>62</v>
      </c>
      <c r="Q58" s="14" t="s">
        <v>62</v>
      </c>
      <c r="R58" s="14" t="s">
        <v>62</v>
      </c>
      <c r="S58" s="14" t="s">
        <v>62</v>
      </c>
      <c r="T58" s="14" t="s">
        <v>62</v>
      </c>
      <c r="U58" s="14" t="s">
        <v>62</v>
      </c>
      <c r="V58" s="14" t="s">
        <v>62</v>
      </c>
      <c r="W58" s="14" t="s">
        <v>62</v>
      </c>
      <c r="X58" s="14" t="s">
        <v>62</v>
      </c>
      <c r="Y58" s="14" t="s">
        <v>62</v>
      </c>
      <c r="Z58" s="14" t="s">
        <v>62</v>
      </c>
      <c r="AA58" s="14" t="s">
        <v>62</v>
      </c>
      <c r="AB58" s="14" t="s">
        <v>62</v>
      </c>
      <c r="AC58" s="14" t="s">
        <v>62</v>
      </c>
      <c r="AD58" s="14" t="s">
        <v>62</v>
      </c>
      <c r="AE58" s="14" t="s">
        <v>62</v>
      </c>
      <c r="AF58" s="14" t="s">
        <v>62</v>
      </c>
      <c r="AG58" s="14" t="s">
        <v>62</v>
      </c>
      <c r="AH58" s="14" t="s">
        <v>62</v>
      </c>
      <c r="AI58" s="14" t="s">
        <v>62</v>
      </c>
      <c r="AJ58" s="14" t="s">
        <v>62</v>
      </c>
      <c r="AK58" s="14" t="s">
        <v>62</v>
      </c>
      <c r="AL58" s="14" t="s">
        <v>62</v>
      </c>
      <c r="AM58" s="14" t="s">
        <v>62</v>
      </c>
      <c r="AN58" s="14" t="s">
        <v>62</v>
      </c>
      <c r="AO58" s="14" t="s">
        <v>62</v>
      </c>
      <c r="AP58" s="14" t="s">
        <v>62</v>
      </c>
      <c r="AQ58" s="14" t="s">
        <v>62</v>
      </c>
      <c r="AR58" s="14" t="s">
        <v>62</v>
      </c>
      <c r="AS58" s="14" t="s">
        <v>62</v>
      </c>
      <c r="AT58" s="14" t="s">
        <v>62</v>
      </c>
      <c r="AU58" s="14" t="s">
        <v>62</v>
      </c>
      <c r="AV58" s="14" t="s">
        <v>62</v>
      </c>
      <c r="AW58" s="14" t="s">
        <v>62</v>
      </c>
      <c r="AX58" s="14" t="s">
        <v>62</v>
      </c>
      <c r="AY58" s="14" t="s">
        <v>62</v>
      </c>
      <c r="AZ58" s="14" t="s">
        <v>62</v>
      </c>
      <c r="BA58" s="14" t="s">
        <v>62</v>
      </c>
      <c r="BB58" s="14" t="s">
        <v>62</v>
      </c>
      <c r="BC58" s="14" t="s">
        <v>62</v>
      </c>
      <c r="BD58" s="14" t="s">
        <v>62</v>
      </c>
      <c r="BE58" s="14" t="s">
        <v>62</v>
      </c>
      <c r="BF58" s="14" t="s">
        <v>62</v>
      </c>
      <c r="BG58" s="14" t="s">
        <v>62</v>
      </c>
      <c r="BH58" s="14" t="s">
        <v>62</v>
      </c>
      <c r="BI58" s="14" t="s">
        <v>62</v>
      </c>
      <c r="BJ58" s="15" t="s">
        <v>62</v>
      </c>
      <c r="BL58" s="26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49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W58" s="26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49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</row>
    <row r="59" spans="1:188" x14ac:dyDescent="0.3">
      <c r="A59" s="10" t="s">
        <v>6</v>
      </c>
      <c r="B59" s="11">
        <f>22+(26/60)+23+(41/60)+18+(15/60)</f>
        <v>64.366666666666674</v>
      </c>
      <c r="C59" s="13" t="s">
        <v>62</v>
      </c>
      <c r="D59" s="13" t="s">
        <v>62</v>
      </c>
      <c r="E59" s="13">
        <f>18+(15/60)</f>
        <v>18.25</v>
      </c>
      <c r="F59" s="13">
        <f>17+(40/60)+18+(15/60)</f>
        <v>35.916666666666671</v>
      </c>
      <c r="G59" s="12">
        <v>0</v>
      </c>
      <c r="H59" s="13">
        <v>51.083333333333336</v>
      </c>
      <c r="I59" s="13">
        <v>45.55</v>
      </c>
      <c r="J59" s="13">
        <v>33.016666666666673</v>
      </c>
      <c r="K59" s="13">
        <v>41.683333333333337</v>
      </c>
      <c r="L59" s="13" t="s">
        <v>62</v>
      </c>
      <c r="M59" s="13">
        <v>55.083333333333336</v>
      </c>
      <c r="N59" s="13" t="s">
        <v>62</v>
      </c>
      <c r="O59" s="14" t="s">
        <v>62</v>
      </c>
      <c r="P59" s="14" t="s">
        <v>62</v>
      </c>
      <c r="Q59" s="14" t="s">
        <v>62</v>
      </c>
      <c r="R59" s="14" t="s">
        <v>62</v>
      </c>
      <c r="S59" s="14" t="s">
        <v>62</v>
      </c>
      <c r="T59" s="14" t="s">
        <v>62</v>
      </c>
      <c r="U59" s="14" t="s">
        <v>62</v>
      </c>
      <c r="V59" s="14" t="s">
        <v>62</v>
      </c>
      <c r="W59" s="14" t="s">
        <v>62</v>
      </c>
      <c r="X59" s="14" t="s">
        <v>62</v>
      </c>
      <c r="Y59" s="14" t="s">
        <v>62</v>
      </c>
      <c r="Z59" s="14" t="s">
        <v>62</v>
      </c>
      <c r="AA59" s="14" t="s">
        <v>62</v>
      </c>
      <c r="AB59" s="14" t="s">
        <v>62</v>
      </c>
      <c r="AC59" s="14" t="s">
        <v>62</v>
      </c>
      <c r="AD59" s="14" t="s">
        <v>62</v>
      </c>
      <c r="AE59" s="14" t="s">
        <v>62</v>
      </c>
      <c r="AF59" s="14" t="s">
        <v>62</v>
      </c>
      <c r="AG59" s="14" t="s">
        <v>62</v>
      </c>
      <c r="AH59" s="14" t="s">
        <v>62</v>
      </c>
      <c r="AI59" s="14" t="s">
        <v>62</v>
      </c>
      <c r="AJ59" s="14" t="s">
        <v>62</v>
      </c>
      <c r="AK59" s="14" t="s">
        <v>62</v>
      </c>
      <c r="AL59" s="14" t="s">
        <v>62</v>
      </c>
      <c r="AM59" s="14" t="s">
        <v>62</v>
      </c>
      <c r="AN59" s="14" t="s">
        <v>62</v>
      </c>
      <c r="AO59" s="14" t="s">
        <v>62</v>
      </c>
      <c r="AP59" s="14" t="s">
        <v>62</v>
      </c>
      <c r="AQ59" s="14" t="s">
        <v>62</v>
      </c>
      <c r="AR59" s="14" t="s">
        <v>62</v>
      </c>
      <c r="AS59" s="14" t="s">
        <v>62</v>
      </c>
      <c r="AT59" s="14" t="s">
        <v>62</v>
      </c>
      <c r="AU59" s="14" t="s">
        <v>62</v>
      </c>
      <c r="AV59" s="14" t="s">
        <v>62</v>
      </c>
      <c r="AW59" s="14" t="s">
        <v>62</v>
      </c>
      <c r="AX59" s="14" t="s">
        <v>62</v>
      </c>
      <c r="AY59" s="14" t="s">
        <v>62</v>
      </c>
      <c r="AZ59" s="14" t="s">
        <v>62</v>
      </c>
      <c r="BA59" s="14" t="s">
        <v>62</v>
      </c>
      <c r="BB59" s="14" t="s">
        <v>62</v>
      </c>
      <c r="BC59" s="14" t="s">
        <v>62</v>
      </c>
      <c r="BD59" s="14" t="s">
        <v>62</v>
      </c>
      <c r="BE59" s="14" t="s">
        <v>62</v>
      </c>
      <c r="BF59" s="14" t="s">
        <v>62</v>
      </c>
      <c r="BG59" s="14" t="s">
        <v>62</v>
      </c>
      <c r="BH59" s="14" t="s">
        <v>62</v>
      </c>
      <c r="BI59" s="14" t="s">
        <v>62</v>
      </c>
      <c r="BJ59" s="15" t="s">
        <v>62</v>
      </c>
      <c r="BL59" s="26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49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W59" s="26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49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</row>
    <row r="60" spans="1:188" x14ac:dyDescent="0.3">
      <c r="A60" s="10" t="s">
        <v>63</v>
      </c>
      <c r="B60" s="11">
        <f>22+(57/60)+17+(40/60)+46+(10/60)</f>
        <v>86.783333333333346</v>
      </c>
      <c r="C60" s="13">
        <f>19+(30/60)+46+(10/60)</f>
        <v>65.666666666666671</v>
      </c>
      <c r="D60" s="13">
        <f>38+(5/60)</f>
        <v>38.083333333333336</v>
      </c>
      <c r="E60" s="13">
        <f>46+(10/60)</f>
        <v>46.166666666666664</v>
      </c>
      <c r="F60" s="13">
        <f>17+(40/60)+46+(10/60)</f>
        <v>63.833333333333336</v>
      </c>
      <c r="G60" s="13">
        <f>31+(8/60)+19+(57/60)</f>
        <v>51.083333333333336</v>
      </c>
      <c r="H60" s="12">
        <v>0</v>
      </c>
      <c r="I60" s="13">
        <v>35.25</v>
      </c>
      <c r="J60" s="13">
        <v>59.6</v>
      </c>
      <c r="K60" s="13">
        <v>68.266666666666666</v>
      </c>
      <c r="L60" s="13" t="s">
        <v>62</v>
      </c>
      <c r="M60" s="13">
        <v>4</v>
      </c>
      <c r="N60" s="13" t="s">
        <v>62</v>
      </c>
      <c r="O60" s="14" t="s">
        <v>62</v>
      </c>
      <c r="P60" s="14" t="s">
        <v>62</v>
      </c>
      <c r="Q60" s="14" t="s">
        <v>62</v>
      </c>
      <c r="R60" s="14" t="s">
        <v>62</v>
      </c>
      <c r="S60" s="14" t="s">
        <v>62</v>
      </c>
      <c r="T60" s="14" t="s">
        <v>62</v>
      </c>
      <c r="U60" s="14" t="s">
        <v>62</v>
      </c>
      <c r="V60" s="14" t="s">
        <v>62</v>
      </c>
      <c r="W60" s="14" t="s">
        <v>62</v>
      </c>
      <c r="X60" s="14" t="s">
        <v>62</v>
      </c>
      <c r="Y60" s="14" t="s">
        <v>62</v>
      </c>
      <c r="Z60" s="14" t="s">
        <v>62</v>
      </c>
      <c r="AA60" s="14" t="s">
        <v>62</v>
      </c>
      <c r="AB60" s="14" t="s">
        <v>62</v>
      </c>
      <c r="AC60" s="14" t="s">
        <v>62</v>
      </c>
      <c r="AD60" s="14" t="s">
        <v>62</v>
      </c>
      <c r="AE60" s="14" t="s">
        <v>62</v>
      </c>
      <c r="AF60" s="14" t="s">
        <v>62</v>
      </c>
      <c r="AG60" s="14" t="s">
        <v>62</v>
      </c>
      <c r="AH60" s="14" t="s">
        <v>62</v>
      </c>
      <c r="AI60" s="14" t="s">
        <v>62</v>
      </c>
      <c r="AJ60" s="14" t="s">
        <v>62</v>
      </c>
      <c r="AK60" s="14" t="s">
        <v>62</v>
      </c>
      <c r="AL60" s="14" t="s">
        <v>62</v>
      </c>
      <c r="AM60" s="14" t="s">
        <v>62</v>
      </c>
      <c r="AN60" s="14" t="s">
        <v>62</v>
      </c>
      <c r="AO60" s="14" t="s">
        <v>62</v>
      </c>
      <c r="AP60" s="14" t="s">
        <v>62</v>
      </c>
      <c r="AQ60" s="14" t="s">
        <v>62</v>
      </c>
      <c r="AR60" s="14" t="s">
        <v>62</v>
      </c>
      <c r="AS60" s="14" t="s">
        <v>62</v>
      </c>
      <c r="AT60" s="14" t="s">
        <v>62</v>
      </c>
      <c r="AU60" s="14" t="s">
        <v>62</v>
      </c>
      <c r="AV60" s="14" t="s">
        <v>62</v>
      </c>
      <c r="AW60" s="14" t="s">
        <v>62</v>
      </c>
      <c r="AX60" s="14" t="s">
        <v>62</v>
      </c>
      <c r="AY60" s="14" t="s">
        <v>62</v>
      </c>
      <c r="AZ60" s="14" t="s">
        <v>62</v>
      </c>
      <c r="BA60" s="14" t="s">
        <v>62</v>
      </c>
      <c r="BB60" s="14" t="s">
        <v>62</v>
      </c>
      <c r="BC60" s="14" t="s">
        <v>62</v>
      </c>
      <c r="BD60" s="14" t="s">
        <v>62</v>
      </c>
      <c r="BE60" s="14" t="s">
        <v>62</v>
      </c>
      <c r="BF60" s="14" t="s">
        <v>62</v>
      </c>
      <c r="BG60" s="14" t="s">
        <v>62</v>
      </c>
      <c r="BH60" s="14" t="s">
        <v>62</v>
      </c>
      <c r="BI60" s="14" t="s">
        <v>62</v>
      </c>
      <c r="BJ60" s="15" t="s">
        <v>62</v>
      </c>
      <c r="BL60" s="26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49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W60" s="26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49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</row>
    <row r="61" spans="1:188" x14ac:dyDescent="0.3">
      <c r="A61" s="10" t="s">
        <v>8</v>
      </c>
      <c r="B61" s="11">
        <f>22+(26/60)+25+(43/60)+46+(35/60)</f>
        <v>94.733333333333334</v>
      </c>
      <c r="C61" s="13">
        <f>46+(35/60)</f>
        <v>46.583333333333336</v>
      </c>
      <c r="D61" s="13" t="s">
        <v>62</v>
      </c>
      <c r="E61" s="13">
        <f>48+17</f>
        <v>65</v>
      </c>
      <c r="F61" s="13">
        <f>26+(2/60)+46+(35/60)</f>
        <v>72.61666666666666</v>
      </c>
      <c r="G61" s="13">
        <f>31+(8/60)+14+(25/60)</f>
        <v>45.55</v>
      </c>
      <c r="H61" s="13">
        <f>35+(15/60)</f>
        <v>35.25</v>
      </c>
      <c r="I61" s="12">
        <v>0</v>
      </c>
      <c r="J61" s="13" t="s">
        <v>62</v>
      </c>
      <c r="K61" s="13">
        <v>84.01666666666668</v>
      </c>
      <c r="L61" s="13">
        <v>54</v>
      </c>
      <c r="M61" s="13">
        <v>33.766666666666666</v>
      </c>
      <c r="N61" s="13" t="s">
        <v>62</v>
      </c>
      <c r="O61" s="14" t="s">
        <v>62</v>
      </c>
      <c r="P61" s="14" t="s">
        <v>62</v>
      </c>
      <c r="Q61" s="14" t="s">
        <v>62</v>
      </c>
      <c r="R61" s="14" t="s">
        <v>62</v>
      </c>
      <c r="S61" s="14" t="s">
        <v>62</v>
      </c>
      <c r="T61" s="14" t="s">
        <v>62</v>
      </c>
      <c r="U61" s="14" t="s">
        <v>62</v>
      </c>
      <c r="V61" s="14" t="s">
        <v>62</v>
      </c>
      <c r="W61" s="14" t="s">
        <v>62</v>
      </c>
      <c r="X61" s="14" t="s">
        <v>62</v>
      </c>
      <c r="Y61" s="14" t="s">
        <v>62</v>
      </c>
      <c r="Z61" s="14" t="s">
        <v>62</v>
      </c>
      <c r="AA61" s="14" t="s">
        <v>62</v>
      </c>
      <c r="AB61" s="14" t="s">
        <v>62</v>
      </c>
      <c r="AC61" s="14" t="s">
        <v>62</v>
      </c>
      <c r="AD61" s="14" t="s">
        <v>62</v>
      </c>
      <c r="AE61" s="14" t="s">
        <v>62</v>
      </c>
      <c r="AF61" s="14" t="s">
        <v>62</v>
      </c>
      <c r="AG61" s="14" t="s">
        <v>62</v>
      </c>
      <c r="AH61" s="14" t="s">
        <v>62</v>
      </c>
      <c r="AI61" s="14" t="s">
        <v>62</v>
      </c>
      <c r="AJ61" s="14" t="s">
        <v>62</v>
      </c>
      <c r="AK61" s="14" t="s">
        <v>62</v>
      </c>
      <c r="AL61" s="14" t="s">
        <v>62</v>
      </c>
      <c r="AM61" s="14" t="s">
        <v>62</v>
      </c>
      <c r="AN61" s="14" t="s">
        <v>62</v>
      </c>
      <c r="AO61" s="14" t="s">
        <v>62</v>
      </c>
      <c r="AP61" s="14" t="s">
        <v>62</v>
      </c>
      <c r="AQ61" s="14" t="s">
        <v>62</v>
      </c>
      <c r="AR61" s="14" t="s">
        <v>62</v>
      </c>
      <c r="AS61" s="14" t="s">
        <v>62</v>
      </c>
      <c r="AT61" s="14" t="s">
        <v>62</v>
      </c>
      <c r="AU61" s="14" t="s">
        <v>62</v>
      </c>
      <c r="AV61" s="14" t="s">
        <v>62</v>
      </c>
      <c r="AW61" s="14" t="s">
        <v>62</v>
      </c>
      <c r="AX61" s="14" t="s">
        <v>62</v>
      </c>
      <c r="AY61" s="14" t="s">
        <v>62</v>
      </c>
      <c r="AZ61" s="14" t="s">
        <v>62</v>
      </c>
      <c r="BA61" s="14" t="s">
        <v>62</v>
      </c>
      <c r="BB61" s="14" t="s">
        <v>62</v>
      </c>
      <c r="BC61" s="14" t="s">
        <v>62</v>
      </c>
      <c r="BD61" s="14" t="s">
        <v>62</v>
      </c>
      <c r="BE61" s="14" t="s">
        <v>62</v>
      </c>
      <c r="BF61" s="14" t="s">
        <v>62</v>
      </c>
      <c r="BG61" s="14" t="s">
        <v>62</v>
      </c>
      <c r="BH61" s="14" t="s">
        <v>62</v>
      </c>
      <c r="BI61" s="14" t="s">
        <v>62</v>
      </c>
      <c r="BJ61" s="15" t="s">
        <v>62</v>
      </c>
      <c r="BL61" s="26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49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W61" s="26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49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</row>
    <row r="62" spans="1:188" x14ac:dyDescent="0.3">
      <c r="A62" s="10" t="s">
        <v>64</v>
      </c>
      <c r="B62" s="11">
        <f>26+(50/60)+12+(1/60)</f>
        <v>38.849999999999994</v>
      </c>
      <c r="C62" s="13">
        <f>29+(46/60)+12+(26/60)</f>
        <v>42.199999999999996</v>
      </c>
      <c r="D62" s="13">
        <f>7+(55/60)+10+(16/60)+4+(5/60)</f>
        <v>22.266666666666666</v>
      </c>
      <c r="E62" s="13">
        <f>10+(16/60)+4+(30/60)</f>
        <v>14.766666666666667</v>
      </c>
      <c r="F62" s="13">
        <f>2+(49/60)+12+(1/60)+(7/60)</f>
        <v>14.950000000000001</v>
      </c>
      <c r="G62" s="13">
        <f>18+(40/60)+10+(16/60)+4+(5/60)</f>
        <v>33.016666666666673</v>
      </c>
      <c r="H62" s="13">
        <f>45+(15/60)+10+(16/60)+4+(5/60)</f>
        <v>59.6</v>
      </c>
      <c r="I62" s="13" t="s">
        <v>62</v>
      </c>
      <c r="J62" s="12">
        <v>0</v>
      </c>
      <c r="K62" s="13">
        <v>5.7833333333333332</v>
      </c>
      <c r="L62" s="13" t="s">
        <v>62</v>
      </c>
      <c r="M62" s="13">
        <v>62.266666666666666</v>
      </c>
      <c r="N62" s="13" t="s">
        <v>62</v>
      </c>
      <c r="O62" s="14" t="s">
        <v>62</v>
      </c>
      <c r="P62" s="14" t="s">
        <v>62</v>
      </c>
      <c r="Q62" s="14" t="s">
        <v>62</v>
      </c>
      <c r="R62" s="14" t="s">
        <v>62</v>
      </c>
      <c r="S62" s="14" t="s">
        <v>62</v>
      </c>
      <c r="T62" s="14" t="s">
        <v>62</v>
      </c>
      <c r="U62" s="14" t="s">
        <v>62</v>
      </c>
      <c r="V62" s="14" t="s">
        <v>62</v>
      </c>
      <c r="W62" s="14" t="s">
        <v>62</v>
      </c>
      <c r="X62" s="14" t="s">
        <v>62</v>
      </c>
      <c r="Y62" s="14" t="s">
        <v>62</v>
      </c>
      <c r="Z62" s="14" t="s">
        <v>62</v>
      </c>
      <c r="AA62" s="14" t="s">
        <v>62</v>
      </c>
      <c r="AB62" s="14" t="s">
        <v>62</v>
      </c>
      <c r="AC62" s="14" t="s">
        <v>62</v>
      </c>
      <c r="AD62" s="14" t="s">
        <v>62</v>
      </c>
      <c r="AE62" s="14" t="s">
        <v>62</v>
      </c>
      <c r="AF62" s="14" t="s">
        <v>62</v>
      </c>
      <c r="AG62" s="14" t="s">
        <v>62</v>
      </c>
      <c r="AH62" s="14" t="s">
        <v>62</v>
      </c>
      <c r="AI62" s="14" t="s">
        <v>62</v>
      </c>
      <c r="AJ62" s="14" t="s">
        <v>62</v>
      </c>
      <c r="AK62" s="14" t="s">
        <v>62</v>
      </c>
      <c r="AL62" s="14" t="s">
        <v>62</v>
      </c>
      <c r="AM62" s="14" t="s">
        <v>62</v>
      </c>
      <c r="AN62" s="14" t="s">
        <v>62</v>
      </c>
      <c r="AO62" s="14" t="s">
        <v>62</v>
      </c>
      <c r="AP62" s="14" t="s">
        <v>62</v>
      </c>
      <c r="AQ62" s="14" t="s">
        <v>62</v>
      </c>
      <c r="AR62" s="14" t="s">
        <v>62</v>
      </c>
      <c r="AS62" s="14" t="s">
        <v>62</v>
      </c>
      <c r="AT62" s="14" t="s">
        <v>62</v>
      </c>
      <c r="AU62" s="14" t="s">
        <v>62</v>
      </c>
      <c r="AV62" s="14" t="s">
        <v>62</v>
      </c>
      <c r="AW62" s="14" t="s">
        <v>62</v>
      </c>
      <c r="AX62" s="14" t="s">
        <v>62</v>
      </c>
      <c r="AY62" s="14" t="s">
        <v>62</v>
      </c>
      <c r="AZ62" s="14" t="s">
        <v>62</v>
      </c>
      <c r="BA62" s="14" t="s">
        <v>62</v>
      </c>
      <c r="BB62" s="14" t="s">
        <v>62</v>
      </c>
      <c r="BC62" s="14" t="s">
        <v>62</v>
      </c>
      <c r="BD62" s="14" t="s">
        <v>62</v>
      </c>
      <c r="BE62" s="14" t="s">
        <v>62</v>
      </c>
      <c r="BF62" s="14" t="s">
        <v>62</v>
      </c>
      <c r="BG62" s="14" t="s">
        <v>62</v>
      </c>
      <c r="BH62" s="14" t="s">
        <v>62</v>
      </c>
      <c r="BI62" s="14" t="s">
        <v>62</v>
      </c>
      <c r="BJ62" s="15" t="s">
        <v>62</v>
      </c>
      <c r="BL62" s="26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49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W62" s="26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49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</row>
    <row r="63" spans="1:188" x14ac:dyDescent="0.3">
      <c r="A63" s="10" t="s">
        <v>10</v>
      </c>
      <c r="B63" s="11">
        <f>26+(50/60)+10+(56/60)</f>
        <v>37.766666666666659</v>
      </c>
      <c r="C63" s="13">
        <f>29+(46/60)+10+(56/60)</f>
        <v>40.699999999999996</v>
      </c>
      <c r="D63" s="13">
        <f>7+(55/60)+15+(23/60)+7+(38/60)</f>
        <v>30.933333333333334</v>
      </c>
      <c r="E63" s="13">
        <f>15+(23/60)+7+(38/60)</f>
        <v>23.016666666666666</v>
      </c>
      <c r="F63" s="13">
        <f>2+(49/60)+10+(56/60)</f>
        <v>13.75</v>
      </c>
      <c r="G63" s="13">
        <f>18+(40/60)+15+(23/60)+7+(38/60)</f>
        <v>41.683333333333337</v>
      </c>
      <c r="H63" s="13">
        <f>45+(15/60)+15+(23/60)+7+(38/60)</f>
        <v>68.266666666666666</v>
      </c>
      <c r="I63" s="13">
        <f>2*24+13+15+(23/60)+7+(38/60)</f>
        <v>84.01666666666668</v>
      </c>
      <c r="J63" s="13">
        <f>(36/60)+5+(11/60)</f>
        <v>5.7833333333333332</v>
      </c>
      <c r="K63" s="12">
        <v>0</v>
      </c>
      <c r="L63" s="13" t="s">
        <v>62</v>
      </c>
      <c r="M63" s="13">
        <v>69.76666666666668</v>
      </c>
      <c r="N63" s="13" t="s">
        <v>62</v>
      </c>
      <c r="O63" s="14" t="s">
        <v>62</v>
      </c>
      <c r="P63" s="14" t="s">
        <v>62</v>
      </c>
      <c r="Q63" s="14" t="s">
        <v>62</v>
      </c>
      <c r="R63" s="14" t="s">
        <v>62</v>
      </c>
      <c r="S63" s="14" t="s">
        <v>62</v>
      </c>
      <c r="T63" s="14" t="s">
        <v>62</v>
      </c>
      <c r="U63" s="14" t="s">
        <v>62</v>
      </c>
      <c r="V63" s="14" t="s">
        <v>62</v>
      </c>
      <c r="W63" s="14" t="s">
        <v>62</v>
      </c>
      <c r="X63" s="14" t="s">
        <v>62</v>
      </c>
      <c r="Y63" s="14" t="s">
        <v>62</v>
      </c>
      <c r="Z63" s="14" t="s">
        <v>62</v>
      </c>
      <c r="AA63" s="14" t="s">
        <v>62</v>
      </c>
      <c r="AB63" s="14" t="s">
        <v>62</v>
      </c>
      <c r="AC63" s="14" t="s">
        <v>62</v>
      </c>
      <c r="AD63" s="14" t="s">
        <v>62</v>
      </c>
      <c r="AE63" s="14" t="s">
        <v>62</v>
      </c>
      <c r="AF63" s="14" t="s">
        <v>62</v>
      </c>
      <c r="AG63" s="14" t="s">
        <v>62</v>
      </c>
      <c r="AH63" s="14" t="s">
        <v>62</v>
      </c>
      <c r="AI63" s="14" t="s">
        <v>62</v>
      </c>
      <c r="AJ63" s="14" t="s">
        <v>62</v>
      </c>
      <c r="AK63" s="14" t="s">
        <v>62</v>
      </c>
      <c r="AL63" s="14" t="s">
        <v>62</v>
      </c>
      <c r="AM63" s="14" t="s">
        <v>62</v>
      </c>
      <c r="AN63" s="14" t="s">
        <v>62</v>
      </c>
      <c r="AO63" s="14" t="s">
        <v>62</v>
      </c>
      <c r="AP63" s="14" t="s">
        <v>62</v>
      </c>
      <c r="AQ63" s="14" t="s">
        <v>62</v>
      </c>
      <c r="AR63" s="14" t="s">
        <v>62</v>
      </c>
      <c r="AS63" s="14" t="s">
        <v>62</v>
      </c>
      <c r="AT63" s="14" t="s">
        <v>62</v>
      </c>
      <c r="AU63" s="14" t="s">
        <v>62</v>
      </c>
      <c r="AV63" s="14" t="s">
        <v>62</v>
      </c>
      <c r="AW63" s="14" t="s">
        <v>62</v>
      </c>
      <c r="AX63" s="14" t="s">
        <v>62</v>
      </c>
      <c r="AY63" s="14" t="s">
        <v>62</v>
      </c>
      <c r="AZ63" s="14" t="s">
        <v>62</v>
      </c>
      <c r="BA63" s="14" t="s">
        <v>62</v>
      </c>
      <c r="BB63" s="14" t="s">
        <v>62</v>
      </c>
      <c r="BC63" s="14" t="s">
        <v>62</v>
      </c>
      <c r="BD63" s="14" t="s">
        <v>62</v>
      </c>
      <c r="BE63" s="14" t="s">
        <v>62</v>
      </c>
      <c r="BF63" s="14" t="s">
        <v>62</v>
      </c>
      <c r="BG63" s="14" t="s">
        <v>62</v>
      </c>
      <c r="BH63" s="14" t="s">
        <v>62</v>
      </c>
      <c r="BI63" s="14" t="s">
        <v>62</v>
      </c>
      <c r="BJ63" s="15" t="s">
        <v>62</v>
      </c>
      <c r="BL63" s="26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49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W63" s="26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49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</row>
    <row r="64" spans="1:188" x14ac:dyDescent="0.3">
      <c r="A64" s="10" t="s">
        <v>11</v>
      </c>
      <c r="B64" s="11">
        <f>22+(57/60)+17+(40/60)+28+(2/60)+(40/60)+1+(17/60)+2+(40/60)</f>
        <v>73.26666666666668</v>
      </c>
      <c r="C64" s="13">
        <f>48+7</f>
        <v>55</v>
      </c>
      <c r="D64" s="13">
        <f>19+(57/60)+(40/60)+1+(17/60)+2+(40/60)</f>
        <v>24.56666666666667</v>
      </c>
      <c r="E64" s="13">
        <f>28+(2/60)+(40/60)+1+(17/60)+2+(40/60)</f>
        <v>32.650000000000006</v>
      </c>
      <c r="F64" s="13">
        <f>2*24+5</f>
        <v>53</v>
      </c>
      <c r="G64" s="13" t="s">
        <v>62</v>
      </c>
      <c r="H64" s="13" t="s">
        <v>62</v>
      </c>
      <c r="I64" s="13">
        <f>2*24+6</f>
        <v>54</v>
      </c>
      <c r="J64" s="13" t="s">
        <v>62</v>
      </c>
      <c r="K64" s="13" t="s">
        <v>62</v>
      </c>
      <c r="L64" s="12">
        <v>0</v>
      </c>
      <c r="M64" s="13" t="s">
        <v>62</v>
      </c>
      <c r="N64" s="13" t="s">
        <v>62</v>
      </c>
      <c r="O64" s="14" t="s">
        <v>62</v>
      </c>
      <c r="P64" s="14" t="s">
        <v>62</v>
      </c>
      <c r="Q64" s="14" t="s">
        <v>62</v>
      </c>
      <c r="R64" s="14" t="s">
        <v>62</v>
      </c>
      <c r="S64" s="14" t="s">
        <v>62</v>
      </c>
      <c r="T64" s="14" t="s">
        <v>62</v>
      </c>
      <c r="U64" s="14" t="s">
        <v>62</v>
      </c>
      <c r="V64" s="14" t="s">
        <v>62</v>
      </c>
      <c r="W64" s="14" t="s">
        <v>62</v>
      </c>
      <c r="X64" s="14" t="s">
        <v>62</v>
      </c>
      <c r="Y64" s="14" t="s">
        <v>62</v>
      </c>
      <c r="Z64" s="14" t="s">
        <v>62</v>
      </c>
      <c r="AA64" s="14" t="s">
        <v>62</v>
      </c>
      <c r="AB64" s="14" t="s">
        <v>62</v>
      </c>
      <c r="AC64" s="14" t="s">
        <v>62</v>
      </c>
      <c r="AD64" s="14" t="s">
        <v>62</v>
      </c>
      <c r="AE64" s="14" t="s">
        <v>62</v>
      </c>
      <c r="AF64" s="14" t="s">
        <v>62</v>
      </c>
      <c r="AG64" s="14" t="s">
        <v>62</v>
      </c>
      <c r="AH64" s="14" t="s">
        <v>62</v>
      </c>
      <c r="AI64" s="14" t="s">
        <v>62</v>
      </c>
      <c r="AJ64" s="14" t="s">
        <v>62</v>
      </c>
      <c r="AK64" s="14" t="s">
        <v>62</v>
      </c>
      <c r="AL64" s="14" t="s">
        <v>62</v>
      </c>
      <c r="AM64" s="14" t="s">
        <v>62</v>
      </c>
      <c r="AN64" s="14" t="s">
        <v>62</v>
      </c>
      <c r="AO64" s="14" t="s">
        <v>62</v>
      </c>
      <c r="AP64" s="14" t="s">
        <v>62</v>
      </c>
      <c r="AQ64" s="14" t="s">
        <v>62</v>
      </c>
      <c r="AR64" s="14" t="s">
        <v>62</v>
      </c>
      <c r="AS64" s="14" t="s">
        <v>62</v>
      </c>
      <c r="AT64" s="14" t="s">
        <v>62</v>
      </c>
      <c r="AU64" s="14" t="s">
        <v>62</v>
      </c>
      <c r="AV64" s="14" t="s">
        <v>62</v>
      </c>
      <c r="AW64" s="14" t="s">
        <v>62</v>
      </c>
      <c r="AX64" s="14" t="s">
        <v>62</v>
      </c>
      <c r="AY64" s="14" t="s">
        <v>62</v>
      </c>
      <c r="AZ64" s="14" t="s">
        <v>62</v>
      </c>
      <c r="BA64" s="14" t="s">
        <v>62</v>
      </c>
      <c r="BB64" s="14" t="s">
        <v>62</v>
      </c>
      <c r="BC64" s="14" t="s">
        <v>62</v>
      </c>
      <c r="BD64" s="14" t="s">
        <v>62</v>
      </c>
      <c r="BE64" s="14" t="s">
        <v>62</v>
      </c>
      <c r="BF64" s="14" t="s">
        <v>62</v>
      </c>
      <c r="BG64" s="14" t="s">
        <v>62</v>
      </c>
      <c r="BH64" s="14" t="s">
        <v>62</v>
      </c>
      <c r="BI64" s="14" t="s">
        <v>62</v>
      </c>
      <c r="BJ64" s="15" t="s">
        <v>62</v>
      </c>
      <c r="BL64" s="26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49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W64" s="26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49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</row>
    <row r="65" spans="1:188" x14ac:dyDescent="0.3">
      <c r="A65" s="10" t="s">
        <v>12</v>
      </c>
      <c r="B65" s="11">
        <f>22+(57/60)+17+(40/60)+44+(23/60)+3+(8/60)</f>
        <v>88.133333333333354</v>
      </c>
      <c r="C65" s="13">
        <f>19+(30/60)+44+(23/60)+3+(8/60)</f>
        <v>67.016666666666666</v>
      </c>
      <c r="D65" s="13">
        <f>36+(18/60)+3+(8/60)</f>
        <v>39.43333333333333</v>
      </c>
      <c r="E65" s="13">
        <f>44+(23/60)+3+(8/60)</f>
        <v>47.516666666666666</v>
      </c>
      <c r="F65" s="13">
        <f>17+(40/60)+44+(23/60)+3+(8/60)</f>
        <v>65.183333333333351</v>
      </c>
      <c r="G65" s="13">
        <f>31+(8/60)+19+(57/60)+4</f>
        <v>55.083333333333336</v>
      </c>
      <c r="H65" s="13">
        <f>4</f>
        <v>4</v>
      </c>
      <c r="I65" s="13">
        <f>33+(46/60)</f>
        <v>33.766666666666666</v>
      </c>
      <c r="J65" s="13">
        <f>4+(15/60)+10+(30/60)+44+(23/60)+3+(8/60)</f>
        <v>62.266666666666666</v>
      </c>
      <c r="K65" s="13">
        <f>6+(58/60)+15+(17/60)+44+(23/60)+3+(8/60)</f>
        <v>69.76666666666668</v>
      </c>
      <c r="L65" s="13" t="s">
        <v>62</v>
      </c>
      <c r="M65" s="12">
        <v>0</v>
      </c>
      <c r="N65" s="13" t="s">
        <v>62</v>
      </c>
      <c r="O65" s="14" t="s">
        <v>62</v>
      </c>
      <c r="P65" s="14" t="s">
        <v>62</v>
      </c>
      <c r="Q65" s="14" t="s">
        <v>62</v>
      </c>
      <c r="R65" s="14" t="s">
        <v>62</v>
      </c>
      <c r="S65" s="14" t="s">
        <v>62</v>
      </c>
      <c r="T65" s="14" t="s">
        <v>62</v>
      </c>
      <c r="U65" s="14" t="s">
        <v>62</v>
      </c>
      <c r="V65" s="14" t="s">
        <v>62</v>
      </c>
      <c r="W65" s="14" t="s">
        <v>62</v>
      </c>
      <c r="X65" s="14" t="s">
        <v>62</v>
      </c>
      <c r="Y65" s="14" t="s">
        <v>62</v>
      </c>
      <c r="Z65" s="14" t="s">
        <v>62</v>
      </c>
      <c r="AA65" s="14" t="s">
        <v>62</v>
      </c>
      <c r="AB65" s="14" t="s">
        <v>62</v>
      </c>
      <c r="AC65" s="14" t="s">
        <v>62</v>
      </c>
      <c r="AD65" s="14" t="s">
        <v>62</v>
      </c>
      <c r="AE65" s="14" t="s">
        <v>62</v>
      </c>
      <c r="AF65" s="14" t="s">
        <v>62</v>
      </c>
      <c r="AG65" s="14" t="s">
        <v>62</v>
      </c>
      <c r="AH65" s="14" t="s">
        <v>62</v>
      </c>
      <c r="AI65" s="14" t="s">
        <v>62</v>
      </c>
      <c r="AJ65" s="14" t="s">
        <v>62</v>
      </c>
      <c r="AK65" s="14" t="s">
        <v>62</v>
      </c>
      <c r="AL65" s="14" t="s">
        <v>62</v>
      </c>
      <c r="AM65" s="14" t="s">
        <v>62</v>
      </c>
      <c r="AN65" s="14" t="s">
        <v>62</v>
      </c>
      <c r="AO65" s="14" t="s">
        <v>62</v>
      </c>
      <c r="AP65" s="14" t="s">
        <v>62</v>
      </c>
      <c r="AQ65" s="14" t="s">
        <v>62</v>
      </c>
      <c r="AR65" s="14" t="s">
        <v>62</v>
      </c>
      <c r="AS65" s="14" t="s">
        <v>62</v>
      </c>
      <c r="AT65" s="14" t="s">
        <v>62</v>
      </c>
      <c r="AU65" s="14" t="s">
        <v>62</v>
      </c>
      <c r="AV65" s="14" t="s">
        <v>62</v>
      </c>
      <c r="AW65" s="14" t="s">
        <v>62</v>
      </c>
      <c r="AX65" s="14" t="s">
        <v>62</v>
      </c>
      <c r="AY65" s="14" t="s">
        <v>62</v>
      </c>
      <c r="AZ65" s="14" t="s">
        <v>62</v>
      </c>
      <c r="BA65" s="14" t="s">
        <v>62</v>
      </c>
      <c r="BB65" s="14" t="s">
        <v>62</v>
      </c>
      <c r="BC65" s="14" t="s">
        <v>62</v>
      </c>
      <c r="BD65" s="14" t="s">
        <v>62</v>
      </c>
      <c r="BE65" s="14" t="s">
        <v>62</v>
      </c>
      <c r="BF65" s="14" t="s">
        <v>62</v>
      </c>
      <c r="BG65" s="14" t="s">
        <v>62</v>
      </c>
      <c r="BH65" s="14" t="s">
        <v>62</v>
      </c>
      <c r="BI65" s="14" t="s">
        <v>62</v>
      </c>
      <c r="BJ65" s="15" t="s">
        <v>62</v>
      </c>
      <c r="BL65" s="26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49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W65" s="26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49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</row>
    <row r="66" spans="1:188" x14ac:dyDescent="0.3">
      <c r="A66" s="10" t="s">
        <v>13</v>
      </c>
      <c r="B66" s="11" t="s">
        <v>62</v>
      </c>
      <c r="C66" s="13" t="s">
        <v>62</v>
      </c>
      <c r="D66" s="13" t="s">
        <v>62</v>
      </c>
      <c r="E66" s="13" t="s">
        <v>62</v>
      </c>
      <c r="F66" s="13" t="s">
        <v>62</v>
      </c>
      <c r="G66" s="13" t="s">
        <v>62</v>
      </c>
      <c r="H66" s="13" t="s">
        <v>62</v>
      </c>
      <c r="I66" s="13" t="s">
        <v>62</v>
      </c>
      <c r="J66" s="13" t="s">
        <v>62</v>
      </c>
      <c r="K66" s="13" t="s">
        <v>62</v>
      </c>
      <c r="L66" s="13" t="s">
        <v>62</v>
      </c>
      <c r="M66" s="13" t="s">
        <v>62</v>
      </c>
      <c r="N66" s="12">
        <v>0</v>
      </c>
      <c r="O66" s="14" t="s">
        <v>62</v>
      </c>
      <c r="P66" s="14" t="s">
        <v>62</v>
      </c>
      <c r="Q66" s="14" t="s">
        <v>62</v>
      </c>
      <c r="R66" s="14" t="s">
        <v>62</v>
      </c>
      <c r="S66" s="14" t="s">
        <v>62</v>
      </c>
      <c r="T66" s="14" t="s">
        <v>62</v>
      </c>
      <c r="U66" s="14" t="s">
        <v>62</v>
      </c>
      <c r="V66" s="14" t="s">
        <v>62</v>
      </c>
      <c r="W66" s="14" t="s">
        <v>62</v>
      </c>
      <c r="X66" s="14" t="s">
        <v>62</v>
      </c>
      <c r="Y66" s="14" t="s">
        <v>62</v>
      </c>
      <c r="Z66" s="14" t="s">
        <v>62</v>
      </c>
      <c r="AA66" s="14" t="s">
        <v>62</v>
      </c>
      <c r="AB66" s="14" t="s">
        <v>62</v>
      </c>
      <c r="AC66" s="14" t="s">
        <v>62</v>
      </c>
      <c r="AD66" s="14" t="s">
        <v>62</v>
      </c>
      <c r="AE66" s="14" t="s">
        <v>62</v>
      </c>
      <c r="AF66" s="14" t="s">
        <v>62</v>
      </c>
      <c r="AG66" s="14" t="s">
        <v>62</v>
      </c>
      <c r="AH66" s="14" t="s">
        <v>62</v>
      </c>
      <c r="AI66" s="14" t="s">
        <v>62</v>
      </c>
      <c r="AJ66" s="14" t="s">
        <v>62</v>
      </c>
      <c r="AK66" s="14" t="s">
        <v>62</v>
      </c>
      <c r="AL66" s="14" t="s">
        <v>62</v>
      </c>
      <c r="AM66" s="14" t="s">
        <v>62</v>
      </c>
      <c r="AN66" s="14" t="s">
        <v>62</v>
      </c>
      <c r="AO66" s="14" t="s">
        <v>62</v>
      </c>
      <c r="AP66" s="14" t="s">
        <v>62</v>
      </c>
      <c r="AQ66" s="14" t="s">
        <v>62</v>
      </c>
      <c r="AR66" s="14" t="s">
        <v>62</v>
      </c>
      <c r="AS66" s="14" t="s">
        <v>62</v>
      </c>
      <c r="AT66" s="14" t="s">
        <v>62</v>
      </c>
      <c r="AU66" s="14" t="s">
        <v>62</v>
      </c>
      <c r="AV66" s="14" t="s">
        <v>62</v>
      </c>
      <c r="AW66" s="14" t="s">
        <v>62</v>
      </c>
      <c r="AX66" s="14" t="s">
        <v>62</v>
      </c>
      <c r="AY66" s="14" t="s">
        <v>62</v>
      </c>
      <c r="AZ66" s="14" t="s">
        <v>62</v>
      </c>
      <c r="BA66" s="14" t="s">
        <v>62</v>
      </c>
      <c r="BB66" s="14" t="s">
        <v>62</v>
      </c>
      <c r="BC66" s="14" t="s">
        <v>62</v>
      </c>
      <c r="BD66" s="14" t="s">
        <v>62</v>
      </c>
      <c r="BE66" s="14" t="s">
        <v>62</v>
      </c>
      <c r="BF66" s="14" t="s">
        <v>62</v>
      </c>
      <c r="BG66" s="14" t="s">
        <v>62</v>
      </c>
      <c r="BH66" s="14" t="s">
        <v>62</v>
      </c>
      <c r="BI66" s="14" t="s">
        <v>62</v>
      </c>
      <c r="BJ66" s="15" t="s">
        <v>62</v>
      </c>
      <c r="BL66" s="26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49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W66" s="26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49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</row>
    <row r="67" spans="1:188" x14ac:dyDescent="0.3">
      <c r="A67" s="10" t="s">
        <v>14</v>
      </c>
      <c r="B67" s="16" t="s">
        <v>62</v>
      </c>
      <c r="C67" s="14" t="s">
        <v>62</v>
      </c>
      <c r="D67" s="14" t="s">
        <v>62</v>
      </c>
      <c r="E67" s="14" t="s">
        <v>62</v>
      </c>
      <c r="F67" s="14" t="s">
        <v>62</v>
      </c>
      <c r="G67" s="14" t="s">
        <v>62</v>
      </c>
      <c r="H67" s="14" t="s">
        <v>62</v>
      </c>
      <c r="I67" s="14" t="s">
        <v>62</v>
      </c>
      <c r="J67" s="14" t="s">
        <v>62</v>
      </c>
      <c r="K67" s="14" t="s">
        <v>62</v>
      </c>
      <c r="L67" s="14" t="s">
        <v>62</v>
      </c>
      <c r="M67" s="14" t="s">
        <v>62</v>
      </c>
      <c r="N67" s="14" t="s">
        <v>62</v>
      </c>
      <c r="O67" s="12">
        <v>0</v>
      </c>
      <c r="P67" s="13" t="s">
        <v>62</v>
      </c>
      <c r="Q67" s="14" t="s">
        <v>62</v>
      </c>
      <c r="R67" s="14" t="s">
        <v>62</v>
      </c>
      <c r="S67" s="14" t="s">
        <v>62</v>
      </c>
      <c r="T67" s="14" t="s">
        <v>62</v>
      </c>
      <c r="U67" s="14" t="s">
        <v>62</v>
      </c>
      <c r="V67" s="14" t="s">
        <v>62</v>
      </c>
      <c r="W67" s="14" t="s">
        <v>62</v>
      </c>
      <c r="X67" s="14" t="s">
        <v>62</v>
      </c>
      <c r="Y67" s="14" t="s">
        <v>62</v>
      </c>
      <c r="Z67" s="14" t="s">
        <v>62</v>
      </c>
      <c r="AA67" s="14" t="s">
        <v>62</v>
      </c>
      <c r="AB67" s="14" t="s">
        <v>62</v>
      </c>
      <c r="AC67" s="14" t="s">
        <v>62</v>
      </c>
      <c r="AD67" s="14" t="s">
        <v>62</v>
      </c>
      <c r="AE67" s="14" t="s">
        <v>62</v>
      </c>
      <c r="AF67" s="14" t="s">
        <v>62</v>
      </c>
      <c r="AG67" s="14" t="s">
        <v>62</v>
      </c>
      <c r="AH67" s="14" t="s">
        <v>62</v>
      </c>
      <c r="AI67" s="14" t="s">
        <v>62</v>
      </c>
      <c r="AJ67" s="14" t="s">
        <v>62</v>
      </c>
      <c r="AK67" s="14" t="s">
        <v>62</v>
      </c>
      <c r="AL67" s="14" t="s">
        <v>62</v>
      </c>
      <c r="AM67" s="14" t="s">
        <v>62</v>
      </c>
      <c r="AN67" s="14" t="s">
        <v>62</v>
      </c>
      <c r="AO67" s="14" t="s">
        <v>62</v>
      </c>
      <c r="AP67" s="14" t="s">
        <v>62</v>
      </c>
      <c r="AQ67" s="14" t="s">
        <v>62</v>
      </c>
      <c r="AR67" s="14" t="s">
        <v>62</v>
      </c>
      <c r="AS67" s="14" t="s">
        <v>62</v>
      </c>
      <c r="AT67" s="14" t="s">
        <v>62</v>
      </c>
      <c r="AU67" s="14" t="s">
        <v>62</v>
      </c>
      <c r="AV67" s="14" t="s">
        <v>62</v>
      </c>
      <c r="AW67" s="14" t="s">
        <v>62</v>
      </c>
      <c r="AX67" s="14" t="s">
        <v>62</v>
      </c>
      <c r="AY67" s="14" t="s">
        <v>62</v>
      </c>
      <c r="AZ67" s="14" t="s">
        <v>62</v>
      </c>
      <c r="BA67" s="14" t="s">
        <v>62</v>
      </c>
      <c r="BB67" s="14" t="s">
        <v>62</v>
      </c>
      <c r="BC67" s="14" t="s">
        <v>62</v>
      </c>
      <c r="BD67" s="14" t="s">
        <v>62</v>
      </c>
      <c r="BE67" s="14" t="s">
        <v>62</v>
      </c>
      <c r="BF67" s="14" t="s">
        <v>62</v>
      </c>
      <c r="BG67" s="14" t="s">
        <v>62</v>
      </c>
      <c r="BH67" s="12" t="s">
        <v>62</v>
      </c>
      <c r="BI67" s="12" t="s">
        <v>62</v>
      </c>
      <c r="BJ67" s="17" t="s">
        <v>62</v>
      </c>
      <c r="BL67" s="26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W67" s="26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</row>
    <row r="68" spans="1:188" x14ac:dyDescent="0.3">
      <c r="A68" s="10" t="s">
        <v>15</v>
      </c>
      <c r="B68" s="16" t="s">
        <v>62</v>
      </c>
      <c r="C68" s="14" t="s">
        <v>62</v>
      </c>
      <c r="D68" s="14" t="s">
        <v>62</v>
      </c>
      <c r="E68" s="14" t="s">
        <v>62</v>
      </c>
      <c r="F68" s="14" t="s">
        <v>62</v>
      </c>
      <c r="G68" s="14" t="s">
        <v>62</v>
      </c>
      <c r="H68" s="14" t="s">
        <v>62</v>
      </c>
      <c r="I68" s="14" t="s">
        <v>62</v>
      </c>
      <c r="J68" s="14" t="s">
        <v>62</v>
      </c>
      <c r="K68" s="14" t="s">
        <v>62</v>
      </c>
      <c r="L68" s="14" t="s">
        <v>62</v>
      </c>
      <c r="M68" s="14" t="s">
        <v>62</v>
      </c>
      <c r="N68" s="14" t="s">
        <v>62</v>
      </c>
      <c r="O68" s="13" t="s">
        <v>62</v>
      </c>
      <c r="P68" s="12">
        <v>0</v>
      </c>
      <c r="Q68" s="14" t="s">
        <v>62</v>
      </c>
      <c r="R68" s="14" t="s">
        <v>62</v>
      </c>
      <c r="S68" s="14" t="s">
        <v>62</v>
      </c>
      <c r="T68" s="14" t="s">
        <v>62</v>
      </c>
      <c r="U68" s="14" t="s">
        <v>62</v>
      </c>
      <c r="V68" s="14" t="s">
        <v>62</v>
      </c>
      <c r="W68" s="14" t="s">
        <v>62</v>
      </c>
      <c r="X68" s="14" t="s">
        <v>62</v>
      </c>
      <c r="Y68" s="14" t="s">
        <v>62</v>
      </c>
      <c r="Z68" s="14" t="s">
        <v>62</v>
      </c>
      <c r="AA68" s="14" t="s">
        <v>62</v>
      </c>
      <c r="AB68" s="14" t="s">
        <v>62</v>
      </c>
      <c r="AC68" s="14" t="s">
        <v>62</v>
      </c>
      <c r="AD68" s="14" t="s">
        <v>62</v>
      </c>
      <c r="AE68" s="14" t="s">
        <v>62</v>
      </c>
      <c r="AF68" s="14" t="s">
        <v>62</v>
      </c>
      <c r="AG68" s="14" t="s">
        <v>62</v>
      </c>
      <c r="AH68" s="14" t="s">
        <v>62</v>
      </c>
      <c r="AI68" s="14" t="s">
        <v>62</v>
      </c>
      <c r="AJ68" s="14" t="s">
        <v>62</v>
      </c>
      <c r="AK68" s="14" t="s">
        <v>62</v>
      </c>
      <c r="AL68" s="14" t="s">
        <v>62</v>
      </c>
      <c r="AM68" s="14" t="s">
        <v>62</v>
      </c>
      <c r="AN68" s="14" t="s">
        <v>62</v>
      </c>
      <c r="AO68" s="14" t="s">
        <v>62</v>
      </c>
      <c r="AP68" s="14" t="s">
        <v>62</v>
      </c>
      <c r="AQ68" s="14" t="s">
        <v>62</v>
      </c>
      <c r="AR68" s="14" t="s">
        <v>62</v>
      </c>
      <c r="AS68" s="14" t="s">
        <v>62</v>
      </c>
      <c r="AT68" s="14" t="s">
        <v>62</v>
      </c>
      <c r="AU68" s="14" t="s">
        <v>62</v>
      </c>
      <c r="AV68" s="14" t="s">
        <v>62</v>
      </c>
      <c r="AW68" s="14" t="s">
        <v>62</v>
      </c>
      <c r="AX68" s="14" t="s">
        <v>62</v>
      </c>
      <c r="AY68" s="14" t="s">
        <v>62</v>
      </c>
      <c r="AZ68" s="14" t="s">
        <v>62</v>
      </c>
      <c r="BA68" s="14" t="s">
        <v>62</v>
      </c>
      <c r="BB68" s="14" t="s">
        <v>62</v>
      </c>
      <c r="BC68" s="14" t="s">
        <v>62</v>
      </c>
      <c r="BD68" s="14" t="s">
        <v>62</v>
      </c>
      <c r="BE68" s="14" t="s">
        <v>62</v>
      </c>
      <c r="BF68" s="14" t="s">
        <v>62</v>
      </c>
      <c r="BG68" s="14" t="s">
        <v>62</v>
      </c>
      <c r="BH68" s="13" t="s">
        <v>62</v>
      </c>
      <c r="BI68" s="13" t="s">
        <v>62</v>
      </c>
      <c r="BJ68" s="18" t="s">
        <v>62</v>
      </c>
      <c r="BL68" s="26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W68" s="26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</row>
    <row r="69" spans="1:188" x14ac:dyDescent="0.3">
      <c r="A69" s="10" t="s">
        <v>16</v>
      </c>
      <c r="B69" s="16" t="s">
        <v>62</v>
      </c>
      <c r="C69" s="14" t="s">
        <v>62</v>
      </c>
      <c r="D69" s="14" t="s">
        <v>62</v>
      </c>
      <c r="E69" s="14" t="s">
        <v>62</v>
      </c>
      <c r="F69" s="14" t="s">
        <v>62</v>
      </c>
      <c r="G69" s="14" t="s">
        <v>62</v>
      </c>
      <c r="H69" s="14" t="s">
        <v>62</v>
      </c>
      <c r="I69" s="14" t="s">
        <v>62</v>
      </c>
      <c r="J69" s="14" t="s">
        <v>62</v>
      </c>
      <c r="K69" s="14" t="s">
        <v>62</v>
      </c>
      <c r="L69" s="14" t="s">
        <v>62</v>
      </c>
      <c r="M69" s="14" t="s">
        <v>62</v>
      </c>
      <c r="N69" s="14" t="s">
        <v>62</v>
      </c>
      <c r="O69" s="14" t="s">
        <v>62</v>
      </c>
      <c r="P69" s="14" t="s">
        <v>62</v>
      </c>
      <c r="Q69" s="12">
        <v>0</v>
      </c>
      <c r="R69" s="13">
        <v>3.4</v>
      </c>
      <c r="S69" s="13">
        <v>4.4833333333333334</v>
      </c>
      <c r="T69" s="13">
        <v>6.85</v>
      </c>
      <c r="U69" s="13">
        <v>9.0833333333333339</v>
      </c>
      <c r="V69" s="13">
        <v>15.316666666666666</v>
      </c>
      <c r="W69" s="13">
        <v>14.55</v>
      </c>
      <c r="X69" s="13">
        <v>16.966666666666665</v>
      </c>
      <c r="Y69" s="13">
        <v>11.683333333333334</v>
      </c>
      <c r="Z69" s="13">
        <v>22.983333333333334</v>
      </c>
      <c r="AA69" s="13">
        <v>18.45</v>
      </c>
      <c r="AB69" s="13">
        <v>20.966666666666665</v>
      </c>
      <c r="AC69" s="13">
        <v>15.7</v>
      </c>
      <c r="AD69" s="13">
        <v>18.666666666666668</v>
      </c>
      <c r="AE69" s="13">
        <v>23.45</v>
      </c>
      <c r="AF69" s="13">
        <v>19.516666666666666</v>
      </c>
      <c r="AG69" s="13">
        <v>20.666666666666668</v>
      </c>
      <c r="AH69" s="14" t="s">
        <v>62</v>
      </c>
      <c r="AI69" s="14" t="s">
        <v>62</v>
      </c>
      <c r="AJ69" s="14" t="s">
        <v>62</v>
      </c>
      <c r="AK69" s="14" t="s">
        <v>62</v>
      </c>
      <c r="AL69" s="14" t="s">
        <v>62</v>
      </c>
      <c r="AM69" s="14" t="s">
        <v>62</v>
      </c>
      <c r="AN69" s="14" t="s">
        <v>62</v>
      </c>
      <c r="AO69" s="14" t="s">
        <v>62</v>
      </c>
      <c r="AP69" s="14" t="s">
        <v>62</v>
      </c>
      <c r="AQ69" s="14" t="s">
        <v>62</v>
      </c>
      <c r="AR69" s="14" t="s">
        <v>62</v>
      </c>
      <c r="AS69" s="14" t="s">
        <v>62</v>
      </c>
      <c r="AT69" s="14" t="s">
        <v>62</v>
      </c>
      <c r="AU69" s="14" t="s">
        <v>62</v>
      </c>
      <c r="AV69" s="14">
        <f>2*24+6</f>
        <v>54</v>
      </c>
      <c r="AW69" s="14" t="s">
        <v>62</v>
      </c>
      <c r="AX69" s="14" t="s">
        <v>62</v>
      </c>
      <c r="AY69" s="14" t="s">
        <v>62</v>
      </c>
      <c r="AZ69" s="14" t="s">
        <v>62</v>
      </c>
      <c r="BA69" s="14" t="s">
        <v>62</v>
      </c>
      <c r="BB69" s="13">
        <f>27+(59/60)</f>
        <v>27.983333333333334</v>
      </c>
      <c r="BC69" s="14" t="s">
        <v>62</v>
      </c>
      <c r="BD69" s="14" t="s">
        <v>62</v>
      </c>
      <c r="BE69" s="14" t="s">
        <v>62</v>
      </c>
      <c r="BF69" s="13">
        <f>38+(27/60)</f>
        <v>38.450000000000003</v>
      </c>
      <c r="BG69" s="13">
        <f>45+(31/60)</f>
        <v>45.516666666666666</v>
      </c>
      <c r="BH69" s="14" t="s">
        <v>62</v>
      </c>
      <c r="BI69" s="14" t="s">
        <v>62</v>
      </c>
      <c r="BJ69" s="15" t="s">
        <v>62</v>
      </c>
      <c r="BL69" s="26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W69" s="26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</row>
    <row r="70" spans="1:188" x14ac:dyDescent="0.3">
      <c r="A70" s="10" t="s">
        <v>17</v>
      </c>
      <c r="B70" s="16" t="s">
        <v>62</v>
      </c>
      <c r="C70" s="14" t="s">
        <v>62</v>
      </c>
      <c r="D70" s="14" t="s">
        <v>62</v>
      </c>
      <c r="E70" s="14" t="s">
        <v>62</v>
      </c>
      <c r="F70" s="14" t="s">
        <v>62</v>
      </c>
      <c r="G70" s="14" t="s">
        <v>62</v>
      </c>
      <c r="H70" s="14" t="s">
        <v>62</v>
      </c>
      <c r="I70" s="14" t="s">
        <v>62</v>
      </c>
      <c r="J70" s="14" t="s">
        <v>62</v>
      </c>
      <c r="K70" s="14" t="s">
        <v>62</v>
      </c>
      <c r="L70" s="14" t="s">
        <v>62</v>
      </c>
      <c r="M70" s="14" t="s">
        <v>62</v>
      </c>
      <c r="N70" s="14" t="s">
        <v>62</v>
      </c>
      <c r="O70" s="14" t="s">
        <v>62</v>
      </c>
      <c r="P70" s="14" t="s">
        <v>62</v>
      </c>
      <c r="Q70" s="13">
        <f>2+(33/60)+(51/60)</f>
        <v>3.4</v>
      </c>
      <c r="R70" s="12">
        <v>0</v>
      </c>
      <c r="S70" s="13">
        <v>2.25</v>
      </c>
      <c r="T70" s="13" t="s">
        <v>62</v>
      </c>
      <c r="U70" s="13" t="s">
        <v>62</v>
      </c>
      <c r="V70" s="13" t="s">
        <v>62</v>
      </c>
      <c r="W70" s="13" t="s">
        <v>62</v>
      </c>
      <c r="X70" s="13" t="s">
        <v>62</v>
      </c>
      <c r="Y70" s="13" t="s">
        <v>62</v>
      </c>
      <c r="Z70" s="13" t="s">
        <v>62</v>
      </c>
      <c r="AA70" s="13" t="s">
        <v>62</v>
      </c>
      <c r="AB70" s="13" t="s">
        <v>62</v>
      </c>
      <c r="AC70" s="13" t="s">
        <v>62</v>
      </c>
      <c r="AD70" s="13" t="s">
        <v>62</v>
      </c>
      <c r="AE70" s="13" t="s">
        <v>62</v>
      </c>
      <c r="AF70" s="13" t="s">
        <v>62</v>
      </c>
      <c r="AG70" s="13" t="s">
        <v>62</v>
      </c>
      <c r="AH70" s="14" t="s">
        <v>62</v>
      </c>
      <c r="AI70" s="14" t="s">
        <v>62</v>
      </c>
      <c r="AJ70" s="14" t="s">
        <v>62</v>
      </c>
      <c r="AK70" s="14" t="s">
        <v>62</v>
      </c>
      <c r="AL70" s="14" t="s">
        <v>62</v>
      </c>
      <c r="AM70" s="14" t="s">
        <v>62</v>
      </c>
      <c r="AN70" s="14" t="s">
        <v>62</v>
      </c>
      <c r="AO70" s="14" t="s">
        <v>62</v>
      </c>
      <c r="AP70" s="14" t="s">
        <v>62</v>
      </c>
      <c r="AQ70" s="14" t="s">
        <v>62</v>
      </c>
      <c r="AR70" s="14" t="s">
        <v>62</v>
      </c>
      <c r="AS70" s="14" t="s">
        <v>62</v>
      </c>
      <c r="AT70" s="14" t="s">
        <v>62</v>
      </c>
      <c r="AU70" s="14" t="s">
        <v>62</v>
      </c>
      <c r="AV70" s="14" t="s">
        <v>62</v>
      </c>
      <c r="AW70" s="14" t="s">
        <v>62</v>
      </c>
      <c r="AX70" s="14" t="s">
        <v>62</v>
      </c>
      <c r="AY70" s="14" t="s">
        <v>62</v>
      </c>
      <c r="AZ70" s="14" t="s">
        <v>62</v>
      </c>
      <c r="BA70" s="14" t="s">
        <v>62</v>
      </c>
      <c r="BB70" s="13" t="s">
        <v>62</v>
      </c>
      <c r="BC70" s="14" t="s">
        <v>62</v>
      </c>
      <c r="BD70" s="14" t="s">
        <v>62</v>
      </c>
      <c r="BE70" s="14" t="s">
        <v>62</v>
      </c>
      <c r="BF70" s="13" t="s">
        <v>62</v>
      </c>
      <c r="BG70" s="13" t="s">
        <v>62</v>
      </c>
      <c r="BH70" s="14" t="s">
        <v>62</v>
      </c>
      <c r="BI70" s="14" t="s">
        <v>62</v>
      </c>
      <c r="BJ70" s="15" t="s">
        <v>62</v>
      </c>
      <c r="BL70" s="26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W70" s="26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</row>
    <row r="71" spans="1:188" x14ac:dyDescent="0.3">
      <c r="A71" s="10" t="s">
        <v>18</v>
      </c>
      <c r="B71" s="16" t="s">
        <v>62</v>
      </c>
      <c r="C71" s="14" t="s">
        <v>62</v>
      </c>
      <c r="D71" s="14" t="s">
        <v>62</v>
      </c>
      <c r="E71" s="14" t="s">
        <v>62</v>
      </c>
      <c r="F71" s="14" t="s">
        <v>62</v>
      </c>
      <c r="G71" s="14" t="s">
        <v>62</v>
      </c>
      <c r="H71" s="14" t="s">
        <v>62</v>
      </c>
      <c r="I71" s="14" t="s">
        <v>62</v>
      </c>
      <c r="J71" s="14" t="s">
        <v>62</v>
      </c>
      <c r="K71" s="14" t="s">
        <v>62</v>
      </c>
      <c r="L71" s="14" t="s">
        <v>62</v>
      </c>
      <c r="M71" s="14" t="s">
        <v>62</v>
      </c>
      <c r="N71" s="14" t="s">
        <v>62</v>
      </c>
      <c r="O71" s="14" t="s">
        <v>62</v>
      </c>
      <c r="P71" s="14" t="s">
        <v>62</v>
      </c>
      <c r="Q71" s="13">
        <f>4+(29/60)</f>
        <v>4.4833333333333334</v>
      </c>
      <c r="R71" s="13">
        <f>2+(15/60)</f>
        <v>2.25</v>
      </c>
      <c r="S71" s="12">
        <v>0</v>
      </c>
      <c r="T71" s="13">
        <v>2.3666666666666667</v>
      </c>
      <c r="U71" s="13">
        <v>5.2666666666666666</v>
      </c>
      <c r="V71" s="13">
        <v>9.8333333333333339</v>
      </c>
      <c r="W71" s="13">
        <v>9.0666666666666664</v>
      </c>
      <c r="X71" s="13">
        <v>10.183333333333334</v>
      </c>
      <c r="Y71" s="13">
        <v>6.15</v>
      </c>
      <c r="Z71" s="13">
        <v>16.466666666666665</v>
      </c>
      <c r="AA71" s="13">
        <v>11.9</v>
      </c>
      <c r="AB71" s="13">
        <v>14.283333333333333</v>
      </c>
      <c r="AC71" s="13">
        <v>10.216666666666667</v>
      </c>
      <c r="AD71" s="13">
        <v>14.283333333333333</v>
      </c>
      <c r="AE71" s="13">
        <v>17.966666666666665</v>
      </c>
      <c r="AF71" s="13">
        <v>14.033333333333333</v>
      </c>
      <c r="AG71" s="13">
        <v>15.183333333333334</v>
      </c>
      <c r="AH71" s="14" t="s">
        <v>62</v>
      </c>
      <c r="AI71" s="14" t="s">
        <v>62</v>
      </c>
      <c r="AJ71" s="14" t="s">
        <v>62</v>
      </c>
      <c r="AK71" s="14" t="s">
        <v>62</v>
      </c>
      <c r="AL71" s="14" t="s">
        <v>62</v>
      </c>
      <c r="AM71" s="14" t="s">
        <v>62</v>
      </c>
      <c r="AN71" s="14" t="s">
        <v>62</v>
      </c>
      <c r="AO71" s="14" t="s">
        <v>62</v>
      </c>
      <c r="AP71" s="14" t="s">
        <v>62</v>
      </c>
      <c r="AQ71" s="14" t="s">
        <v>62</v>
      </c>
      <c r="AR71" s="14" t="s">
        <v>62</v>
      </c>
      <c r="AS71" s="14" t="s">
        <v>62</v>
      </c>
      <c r="AT71" s="14" t="s">
        <v>62</v>
      </c>
      <c r="AU71" s="14" t="s">
        <v>62</v>
      </c>
      <c r="AV71" s="14">
        <f>44+(53/60)</f>
        <v>44.883333333333333</v>
      </c>
      <c r="AW71" s="14" t="s">
        <v>62</v>
      </c>
      <c r="AX71" s="14">
        <f>9*24+12</f>
        <v>228</v>
      </c>
      <c r="AY71" s="14" t="s">
        <v>62</v>
      </c>
      <c r="AZ71" s="14" t="s">
        <v>62</v>
      </c>
      <c r="BA71" s="14" t="s">
        <v>62</v>
      </c>
      <c r="BB71" s="13">
        <f>23+(11/60)</f>
        <v>23.183333333333334</v>
      </c>
      <c r="BC71" s="14" t="s">
        <v>62</v>
      </c>
      <c r="BD71" s="14" t="s">
        <v>62</v>
      </c>
      <c r="BE71" s="14" t="s">
        <v>62</v>
      </c>
      <c r="BF71" s="13">
        <f>33+(39/60)</f>
        <v>33.65</v>
      </c>
      <c r="BG71" s="13">
        <f>35+(13/60)</f>
        <v>35.216666666666669</v>
      </c>
      <c r="BH71" s="14" t="s">
        <v>62</v>
      </c>
      <c r="BI71" s="14" t="s">
        <v>62</v>
      </c>
      <c r="BJ71" s="15" t="s">
        <v>62</v>
      </c>
      <c r="BL71" s="26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W71" s="26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</row>
    <row r="72" spans="1:188" x14ac:dyDescent="0.3">
      <c r="A72" s="10" t="s">
        <v>19</v>
      </c>
      <c r="B72" s="16" t="s">
        <v>62</v>
      </c>
      <c r="C72" s="14" t="s">
        <v>62</v>
      </c>
      <c r="D72" s="14" t="s">
        <v>62</v>
      </c>
      <c r="E72" s="14" t="s">
        <v>62</v>
      </c>
      <c r="F72" s="14" t="s">
        <v>62</v>
      </c>
      <c r="G72" s="14" t="s">
        <v>62</v>
      </c>
      <c r="H72" s="14" t="s">
        <v>62</v>
      </c>
      <c r="I72" s="14" t="s">
        <v>62</v>
      </c>
      <c r="J72" s="14" t="s">
        <v>62</v>
      </c>
      <c r="K72" s="14" t="s">
        <v>62</v>
      </c>
      <c r="L72" s="14" t="s">
        <v>62</v>
      </c>
      <c r="M72" s="14" t="s">
        <v>62</v>
      </c>
      <c r="N72" s="14" t="s">
        <v>62</v>
      </c>
      <c r="O72" s="14" t="s">
        <v>62</v>
      </c>
      <c r="P72" s="14" t="s">
        <v>62</v>
      </c>
      <c r="Q72" s="13">
        <f>4+(29/60)+2+(22/60)</f>
        <v>6.85</v>
      </c>
      <c r="R72" s="13" t="s">
        <v>62</v>
      </c>
      <c r="S72" s="13">
        <f>2+(22/60)</f>
        <v>2.3666666666666667</v>
      </c>
      <c r="T72" s="12">
        <v>0</v>
      </c>
      <c r="U72" s="13">
        <v>1.9333333333333333</v>
      </c>
      <c r="V72" s="13">
        <v>5.833333333333333</v>
      </c>
      <c r="W72" s="13">
        <v>7.6</v>
      </c>
      <c r="X72" s="13">
        <v>8.3000000000000007</v>
      </c>
      <c r="Y72" s="13">
        <v>4.7166666666666668</v>
      </c>
      <c r="Z72" s="13">
        <v>12.633333333333333</v>
      </c>
      <c r="AA72" s="13">
        <v>8.3000000000000007</v>
      </c>
      <c r="AB72" s="13">
        <v>10.716666666666667</v>
      </c>
      <c r="AC72" s="13">
        <v>6.65</v>
      </c>
      <c r="AD72" s="13">
        <v>11.716666666666667</v>
      </c>
      <c r="AE72" s="13">
        <v>16.533333333333335</v>
      </c>
      <c r="AF72" s="13">
        <v>11.533333333333333</v>
      </c>
      <c r="AG72" s="13">
        <v>12.583333333333334</v>
      </c>
      <c r="AH72" s="14" t="s">
        <v>62</v>
      </c>
      <c r="AI72" s="14" t="s">
        <v>62</v>
      </c>
      <c r="AJ72" s="14" t="s">
        <v>62</v>
      </c>
      <c r="AK72" s="14" t="s">
        <v>62</v>
      </c>
      <c r="AL72" s="14" t="s">
        <v>62</v>
      </c>
      <c r="AM72" s="14" t="s">
        <v>62</v>
      </c>
      <c r="AN72" s="14" t="s">
        <v>62</v>
      </c>
      <c r="AO72" s="14" t="s">
        <v>62</v>
      </c>
      <c r="AP72" s="14" t="s">
        <v>62</v>
      </c>
      <c r="AQ72" s="14" t="s">
        <v>62</v>
      </c>
      <c r="AR72" s="14" t="s">
        <v>62</v>
      </c>
      <c r="AS72" s="14" t="s">
        <v>62</v>
      </c>
      <c r="AT72" s="14" t="s">
        <v>62</v>
      </c>
      <c r="AU72" s="14" t="s">
        <v>62</v>
      </c>
      <c r="AV72" s="14">
        <f>43+(31/60)</f>
        <v>43.516666666666666</v>
      </c>
      <c r="AW72" s="14" t="s">
        <v>62</v>
      </c>
      <c r="AX72" s="14">
        <f>9*24+9</f>
        <v>225</v>
      </c>
      <c r="AY72" s="14" t="s">
        <v>62</v>
      </c>
      <c r="AZ72" s="14" t="s">
        <v>62</v>
      </c>
      <c r="BA72" s="14" t="s">
        <v>62</v>
      </c>
      <c r="BB72" s="13">
        <f>21+(40/60)</f>
        <v>21.666666666666668</v>
      </c>
      <c r="BC72" s="14" t="s">
        <v>62</v>
      </c>
      <c r="BD72" s="14">
        <f>8*24+4</f>
        <v>196</v>
      </c>
      <c r="BE72" s="14" t="s">
        <v>62</v>
      </c>
      <c r="BF72" s="13">
        <f>33</f>
        <v>33</v>
      </c>
      <c r="BG72" s="13">
        <f>31+(42/60)</f>
        <v>31.7</v>
      </c>
      <c r="BH72" s="14" t="s">
        <v>62</v>
      </c>
      <c r="BI72" s="14" t="s">
        <v>62</v>
      </c>
      <c r="BJ72" s="15" t="s">
        <v>62</v>
      </c>
      <c r="BL72" s="26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W72" s="26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</row>
    <row r="73" spans="1:188" x14ac:dyDescent="0.3">
      <c r="A73" s="10" t="s">
        <v>20</v>
      </c>
      <c r="B73" s="16" t="s">
        <v>62</v>
      </c>
      <c r="C73" s="14" t="s">
        <v>62</v>
      </c>
      <c r="D73" s="14" t="s">
        <v>62</v>
      </c>
      <c r="E73" s="14" t="s">
        <v>62</v>
      </c>
      <c r="F73" s="14" t="s">
        <v>62</v>
      </c>
      <c r="G73" s="14" t="s">
        <v>62</v>
      </c>
      <c r="H73" s="14" t="s">
        <v>62</v>
      </c>
      <c r="I73" s="14" t="s">
        <v>62</v>
      </c>
      <c r="J73" s="14" t="s">
        <v>62</v>
      </c>
      <c r="K73" s="14" t="s">
        <v>62</v>
      </c>
      <c r="L73" s="14" t="s">
        <v>62</v>
      </c>
      <c r="M73" s="14" t="s">
        <v>62</v>
      </c>
      <c r="N73" s="14" t="s">
        <v>62</v>
      </c>
      <c r="O73" s="14" t="s">
        <v>62</v>
      </c>
      <c r="P73" s="14" t="s">
        <v>62</v>
      </c>
      <c r="Q73" s="13">
        <f>4+(29/60)+2+(49/60)+1+(47/60)</f>
        <v>9.0833333333333339</v>
      </c>
      <c r="R73" s="13" t="s">
        <v>62</v>
      </c>
      <c r="S73" s="13">
        <f>5+(16/60)</f>
        <v>5.2666666666666666</v>
      </c>
      <c r="T73" s="13">
        <f>1+(56/60)</f>
        <v>1.9333333333333333</v>
      </c>
      <c r="U73" s="12">
        <v>0</v>
      </c>
      <c r="V73" s="13">
        <v>8.3666666666666671</v>
      </c>
      <c r="W73" s="13">
        <v>10.883333333333333</v>
      </c>
      <c r="X73" s="13">
        <v>10.733333333333333</v>
      </c>
      <c r="Y73" s="13">
        <v>7.85</v>
      </c>
      <c r="Z73" s="13">
        <v>11.383333333333333</v>
      </c>
      <c r="AA73" s="13">
        <v>6.9666666666666668</v>
      </c>
      <c r="AB73" s="13">
        <v>9.15</v>
      </c>
      <c r="AC73" s="13">
        <v>5.083333333333333</v>
      </c>
      <c r="AD73" s="13">
        <v>14.133333333333333</v>
      </c>
      <c r="AE73" s="13">
        <v>18.883333333333333</v>
      </c>
      <c r="AF73" s="13">
        <v>19.366666666666667</v>
      </c>
      <c r="AG73" s="13">
        <v>15.283333333333333</v>
      </c>
      <c r="AH73" s="14" t="s">
        <v>62</v>
      </c>
      <c r="AI73" s="14" t="s">
        <v>62</v>
      </c>
      <c r="AJ73" s="14" t="s">
        <v>62</v>
      </c>
      <c r="AK73" s="14" t="s">
        <v>62</v>
      </c>
      <c r="AL73" s="14" t="s">
        <v>62</v>
      </c>
      <c r="AM73" s="14" t="s">
        <v>62</v>
      </c>
      <c r="AN73" s="14" t="s">
        <v>62</v>
      </c>
      <c r="AO73" s="14" t="s">
        <v>62</v>
      </c>
      <c r="AP73" s="14" t="s">
        <v>62</v>
      </c>
      <c r="AQ73" s="14" t="s">
        <v>62</v>
      </c>
      <c r="AR73" s="14" t="s">
        <v>62</v>
      </c>
      <c r="AS73" s="14" t="s">
        <v>62</v>
      </c>
      <c r="AT73" s="14" t="s">
        <v>62</v>
      </c>
      <c r="AU73" s="14" t="s">
        <v>62</v>
      </c>
      <c r="AV73" s="14">
        <f>45+(39/60)</f>
        <v>45.65</v>
      </c>
      <c r="AW73" s="14">
        <f>5*24+3</f>
        <v>123</v>
      </c>
      <c r="AX73" s="14">
        <f>9*24+14</f>
        <v>230</v>
      </c>
      <c r="AY73" s="14" t="s">
        <v>62</v>
      </c>
      <c r="AZ73" s="14" t="s">
        <v>62</v>
      </c>
      <c r="BA73" s="14" t="s">
        <v>62</v>
      </c>
      <c r="BB73" s="13">
        <f>24+(53/60)</f>
        <v>24.883333333333333</v>
      </c>
      <c r="BC73" s="14" t="s">
        <v>62</v>
      </c>
      <c r="BD73" s="14">
        <f>8*24+5</f>
        <v>197</v>
      </c>
      <c r="BE73" s="14" t="s">
        <v>62</v>
      </c>
      <c r="BF73" s="13">
        <f>34+(24/60)</f>
        <v>34.4</v>
      </c>
      <c r="BG73" s="13">
        <f>33+(50/60)</f>
        <v>33.833333333333336</v>
      </c>
      <c r="BH73" s="14" t="s">
        <v>62</v>
      </c>
      <c r="BI73" s="14" t="s">
        <v>62</v>
      </c>
      <c r="BJ73" s="15" t="s">
        <v>62</v>
      </c>
      <c r="BL73" s="26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W73" s="26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</row>
    <row r="74" spans="1:188" x14ac:dyDescent="0.3">
      <c r="A74" s="10" t="s">
        <v>21</v>
      </c>
      <c r="B74" s="16" t="s">
        <v>62</v>
      </c>
      <c r="C74" s="14" t="s">
        <v>62</v>
      </c>
      <c r="D74" s="14" t="s">
        <v>62</v>
      </c>
      <c r="E74" s="14" t="s">
        <v>62</v>
      </c>
      <c r="F74" s="14" t="s">
        <v>62</v>
      </c>
      <c r="G74" s="14" t="s">
        <v>62</v>
      </c>
      <c r="H74" s="14" t="s">
        <v>62</v>
      </c>
      <c r="I74" s="14" t="s">
        <v>62</v>
      </c>
      <c r="J74" s="14" t="s">
        <v>62</v>
      </c>
      <c r="K74" s="14" t="s">
        <v>62</v>
      </c>
      <c r="L74" s="14" t="s">
        <v>62</v>
      </c>
      <c r="M74" s="14" t="s">
        <v>62</v>
      </c>
      <c r="N74" s="14" t="s">
        <v>62</v>
      </c>
      <c r="O74" s="14" t="s">
        <v>62</v>
      </c>
      <c r="P74" s="14" t="s">
        <v>62</v>
      </c>
      <c r="Q74" s="13">
        <f>15+(19/60)</f>
        <v>15.316666666666666</v>
      </c>
      <c r="R74" s="13" t="s">
        <v>62</v>
      </c>
      <c r="S74" s="13">
        <f>9+(50/60)</f>
        <v>9.8333333333333339</v>
      </c>
      <c r="T74" s="13">
        <f>5+(50/60)</f>
        <v>5.833333333333333</v>
      </c>
      <c r="U74" s="13">
        <f>8+(22/60)</f>
        <v>8.3666666666666671</v>
      </c>
      <c r="V74" s="12">
        <v>0</v>
      </c>
      <c r="W74" s="13">
        <v>6.3666666666666663</v>
      </c>
      <c r="X74" s="13">
        <v>4.6500000000000004</v>
      </c>
      <c r="Y74" s="13">
        <v>5.9</v>
      </c>
      <c r="Z74" s="13">
        <v>9.3666666666666671</v>
      </c>
      <c r="AA74" s="13">
        <v>7.7666666666666666</v>
      </c>
      <c r="AB74" s="13" t="s">
        <v>62</v>
      </c>
      <c r="AC74" s="13" t="s">
        <v>62</v>
      </c>
      <c r="AD74" s="13">
        <v>7.95</v>
      </c>
      <c r="AE74" s="13">
        <v>10.7</v>
      </c>
      <c r="AF74" s="13">
        <v>8.0500000000000007</v>
      </c>
      <c r="AG74" s="13">
        <v>5.75</v>
      </c>
      <c r="AH74" s="14" t="s">
        <v>62</v>
      </c>
      <c r="AI74" s="14" t="s">
        <v>62</v>
      </c>
      <c r="AJ74" s="14" t="s">
        <v>62</v>
      </c>
      <c r="AK74" s="14" t="s">
        <v>62</v>
      </c>
      <c r="AL74" s="14" t="s">
        <v>62</v>
      </c>
      <c r="AM74" s="14" t="s">
        <v>62</v>
      </c>
      <c r="AN74" s="14" t="s">
        <v>62</v>
      </c>
      <c r="AO74" s="14" t="s">
        <v>62</v>
      </c>
      <c r="AP74" s="14" t="s">
        <v>62</v>
      </c>
      <c r="AQ74" s="14" t="s">
        <v>62</v>
      </c>
      <c r="AR74" s="14" t="s">
        <v>62</v>
      </c>
      <c r="AS74" s="14" t="s">
        <v>62</v>
      </c>
      <c r="AT74" s="14" t="s">
        <v>62</v>
      </c>
      <c r="AU74" s="14" t="s">
        <v>62</v>
      </c>
      <c r="AV74" s="14">
        <f>37+(11/60)</f>
        <v>37.18333333333333</v>
      </c>
      <c r="AW74" s="14">
        <f>4*24+17</f>
        <v>113</v>
      </c>
      <c r="AX74" s="14">
        <f>7*24+15</f>
        <v>183</v>
      </c>
      <c r="AY74" s="14" t="s">
        <v>62</v>
      </c>
      <c r="AZ74" s="14" t="s">
        <v>62</v>
      </c>
      <c r="BA74" s="14" t="s">
        <v>62</v>
      </c>
      <c r="BB74" s="13">
        <f>20+(57/60)</f>
        <v>20.95</v>
      </c>
      <c r="BC74" s="14" t="s">
        <v>62</v>
      </c>
      <c r="BD74" s="14" t="s">
        <v>62</v>
      </c>
      <c r="BE74" s="14" t="s">
        <v>62</v>
      </c>
      <c r="BF74" s="13" t="s">
        <v>62</v>
      </c>
      <c r="BG74" s="13" t="s">
        <v>62</v>
      </c>
      <c r="BH74" s="14" t="s">
        <v>62</v>
      </c>
      <c r="BI74" s="14" t="s">
        <v>62</v>
      </c>
      <c r="BJ74" s="15" t="s">
        <v>62</v>
      </c>
      <c r="BL74" s="26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W74" s="26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</row>
    <row r="75" spans="1:188" x14ac:dyDescent="0.3">
      <c r="A75" s="10" t="s">
        <v>22</v>
      </c>
      <c r="B75" s="16" t="s">
        <v>62</v>
      </c>
      <c r="C75" s="14" t="s">
        <v>62</v>
      </c>
      <c r="D75" s="14" t="s">
        <v>62</v>
      </c>
      <c r="E75" s="14" t="s">
        <v>62</v>
      </c>
      <c r="F75" s="14" t="s">
        <v>62</v>
      </c>
      <c r="G75" s="14" t="s">
        <v>62</v>
      </c>
      <c r="H75" s="14" t="s">
        <v>62</v>
      </c>
      <c r="I75" s="14" t="s">
        <v>62</v>
      </c>
      <c r="J75" s="14" t="s">
        <v>62</v>
      </c>
      <c r="K75" s="14" t="s">
        <v>62</v>
      </c>
      <c r="L75" s="14" t="s">
        <v>62</v>
      </c>
      <c r="M75" s="14" t="s">
        <v>62</v>
      </c>
      <c r="N75" s="14" t="s">
        <v>62</v>
      </c>
      <c r="O75" s="14" t="s">
        <v>62</v>
      </c>
      <c r="P75" s="14" t="s">
        <v>62</v>
      </c>
      <c r="Q75" s="13">
        <f>14+(33/60)</f>
        <v>14.55</v>
      </c>
      <c r="R75" s="13" t="s">
        <v>62</v>
      </c>
      <c r="S75" s="13">
        <f>9+(4/60)</f>
        <v>9.0666666666666664</v>
      </c>
      <c r="T75" s="13">
        <f>7+(36/60)</f>
        <v>7.6</v>
      </c>
      <c r="U75" s="13">
        <f>10+(53/60)</f>
        <v>10.883333333333333</v>
      </c>
      <c r="V75" s="13">
        <f>6+(22/60)</f>
        <v>6.3666666666666663</v>
      </c>
      <c r="W75" s="12">
        <v>0</v>
      </c>
      <c r="X75" s="13">
        <v>1.8333333333333335</v>
      </c>
      <c r="Y75" s="13">
        <v>2.7833333333333332</v>
      </c>
      <c r="Z75" s="13">
        <v>17.366666666666667</v>
      </c>
      <c r="AA75" s="13">
        <v>12.75</v>
      </c>
      <c r="AB75" s="13">
        <v>19.883333333333333</v>
      </c>
      <c r="AC75" s="13">
        <v>15.816666666666666</v>
      </c>
      <c r="AD75" s="13">
        <v>5.2333333333333334</v>
      </c>
      <c r="AE75" s="13">
        <v>9.9833333333333325</v>
      </c>
      <c r="AF75" s="13">
        <v>6.75</v>
      </c>
      <c r="AG75" s="13">
        <v>11.033333333333333</v>
      </c>
      <c r="AH75" s="14" t="s">
        <v>62</v>
      </c>
      <c r="AI75" s="14" t="s">
        <v>62</v>
      </c>
      <c r="AJ75" s="14" t="s">
        <v>62</v>
      </c>
      <c r="AK75" s="14" t="s">
        <v>62</v>
      </c>
      <c r="AL75" s="14" t="s">
        <v>62</v>
      </c>
      <c r="AM75" s="14" t="s">
        <v>62</v>
      </c>
      <c r="AN75" s="14" t="s">
        <v>62</v>
      </c>
      <c r="AO75" s="14" t="s">
        <v>62</v>
      </c>
      <c r="AP75" s="14" t="s">
        <v>62</v>
      </c>
      <c r="AQ75" s="14" t="s">
        <v>62</v>
      </c>
      <c r="AR75" s="14" t="s">
        <v>62</v>
      </c>
      <c r="AS75" s="14" t="s">
        <v>62</v>
      </c>
      <c r="AT75" s="14" t="s">
        <v>62</v>
      </c>
      <c r="AU75" s="14" t="s">
        <v>62</v>
      </c>
      <c r="AV75" s="14">
        <f>35+(52/60)</f>
        <v>35.866666666666667</v>
      </c>
      <c r="AW75" s="14">
        <f>4*24+13</f>
        <v>109</v>
      </c>
      <c r="AX75" s="14">
        <f>7*24+13</f>
        <v>181</v>
      </c>
      <c r="AY75" s="14" t="s">
        <v>62</v>
      </c>
      <c r="AZ75" s="14" t="s">
        <v>62</v>
      </c>
      <c r="BA75" s="14" t="s">
        <v>62</v>
      </c>
      <c r="BB75" s="12">
        <f>10+(38/60)</f>
        <v>10.633333333333333</v>
      </c>
      <c r="BC75" s="14" t="s">
        <v>62</v>
      </c>
      <c r="BD75" s="14" t="s">
        <v>62</v>
      </c>
      <c r="BE75" s="14" t="s">
        <v>62</v>
      </c>
      <c r="BF75" s="13">
        <f>24+(48/60)</f>
        <v>24.8</v>
      </c>
      <c r="BG75" s="13">
        <f>30+(4/60)</f>
        <v>30.066666666666666</v>
      </c>
      <c r="BH75" s="14" t="s">
        <v>62</v>
      </c>
      <c r="BI75" s="14" t="s">
        <v>62</v>
      </c>
      <c r="BJ75" s="15" t="s">
        <v>62</v>
      </c>
      <c r="BL75" s="26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W75" s="26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</row>
    <row r="76" spans="1:188" x14ac:dyDescent="0.3">
      <c r="A76" s="10" t="s">
        <v>23</v>
      </c>
      <c r="B76" s="16" t="s">
        <v>62</v>
      </c>
      <c r="C76" s="14" t="s">
        <v>62</v>
      </c>
      <c r="D76" s="14" t="s">
        <v>62</v>
      </c>
      <c r="E76" s="14" t="s">
        <v>62</v>
      </c>
      <c r="F76" s="14" t="s">
        <v>62</v>
      </c>
      <c r="G76" s="14" t="s">
        <v>62</v>
      </c>
      <c r="H76" s="14" t="s">
        <v>62</v>
      </c>
      <c r="I76" s="14" t="s">
        <v>62</v>
      </c>
      <c r="J76" s="14" t="s">
        <v>62</v>
      </c>
      <c r="K76" s="14" t="s">
        <v>62</v>
      </c>
      <c r="L76" s="14" t="s">
        <v>62</v>
      </c>
      <c r="M76" s="14" t="s">
        <v>62</v>
      </c>
      <c r="N76" s="14" t="s">
        <v>62</v>
      </c>
      <c r="O76" s="14" t="s">
        <v>62</v>
      </c>
      <c r="P76" s="14" t="s">
        <v>62</v>
      </c>
      <c r="Q76" s="13">
        <f>16+(58/60)</f>
        <v>16.966666666666665</v>
      </c>
      <c r="R76" s="13" t="s">
        <v>62</v>
      </c>
      <c r="S76" s="13">
        <f>10+(11/60)</f>
        <v>10.183333333333334</v>
      </c>
      <c r="T76" s="13">
        <f>8+(18/60)</f>
        <v>8.3000000000000007</v>
      </c>
      <c r="U76" s="13">
        <f>10+(44/60)</f>
        <v>10.733333333333333</v>
      </c>
      <c r="V76" s="13">
        <f>4+(39/60)</f>
        <v>4.6500000000000004</v>
      </c>
      <c r="W76" s="13">
        <f>1+(50/60)</f>
        <v>1.8333333333333335</v>
      </c>
      <c r="X76" s="12">
        <v>0</v>
      </c>
      <c r="Y76" s="13">
        <v>3.3666666666666667</v>
      </c>
      <c r="Z76" s="13">
        <v>15.266666666666667</v>
      </c>
      <c r="AA76" s="13">
        <v>12.633333333333333</v>
      </c>
      <c r="AB76" s="13">
        <v>21.333333333333332</v>
      </c>
      <c r="AC76" s="13">
        <v>17.266666666666666</v>
      </c>
      <c r="AD76" s="13">
        <v>2.9166666666666665</v>
      </c>
      <c r="AE76" s="13">
        <v>7.15</v>
      </c>
      <c r="AF76" s="13">
        <v>4.166666666666667</v>
      </c>
      <c r="AG76" s="13">
        <v>8.5666666666666664</v>
      </c>
      <c r="AH76" s="14" t="s">
        <v>62</v>
      </c>
      <c r="AI76" s="14" t="s">
        <v>62</v>
      </c>
      <c r="AJ76" s="14" t="s">
        <v>62</v>
      </c>
      <c r="AK76" s="14" t="s">
        <v>62</v>
      </c>
      <c r="AL76" s="14" t="s">
        <v>62</v>
      </c>
      <c r="AM76" s="14" t="s">
        <v>62</v>
      </c>
      <c r="AN76" s="14" t="s">
        <v>62</v>
      </c>
      <c r="AO76" s="14" t="s">
        <v>62</v>
      </c>
      <c r="AP76" s="14" t="s">
        <v>62</v>
      </c>
      <c r="AQ76" s="14" t="s">
        <v>62</v>
      </c>
      <c r="AR76" s="14" t="s">
        <v>62</v>
      </c>
      <c r="AS76" s="14" t="s">
        <v>62</v>
      </c>
      <c r="AT76" s="14" t="s">
        <v>62</v>
      </c>
      <c r="AU76" s="14" t="s">
        <v>62</v>
      </c>
      <c r="AV76" s="14">
        <f>33+(48/60)</f>
        <v>33.799999999999997</v>
      </c>
      <c r="AW76" s="14">
        <f>4*24+11</f>
        <v>107</v>
      </c>
      <c r="AX76" s="14">
        <f>7*24+8</f>
        <v>176</v>
      </c>
      <c r="AY76" s="14" t="s">
        <v>62</v>
      </c>
      <c r="AZ76" s="14" t="s">
        <v>62</v>
      </c>
      <c r="BA76" s="14" t="s">
        <v>62</v>
      </c>
      <c r="BB76" s="13">
        <f>16+(30/60)</f>
        <v>16.5</v>
      </c>
      <c r="BC76" s="14" t="s">
        <v>62</v>
      </c>
      <c r="BD76" s="14" t="s">
        <v>62</v>
      </c>
      <c r="BE76" s="14" t="s">
        <v>62</v>
      </c>
      <c r="BF76" s="13">
        <f>22+(45/60)</f>
        <v>22.75</v>
      </c>
      <c r="BG76" s="13">
        <f>27+(28/60)</f>
        <v>27.466666666666665</v>
      </c>
      <c r="BH76" s="14" t="s">
        <v>62</v>
      </c>
      <c r="BI76" s="14" t="s">
        <v>62</v>
      </c>
      <c r="BJ76" s="15" t="s">
        <v>62</v>
      </c>
      <c r="BL76" s="26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W76" s="26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</row>
    <row r="77" spans="1:188" x14ac:dyDescent="0.3">
      <c r="A77" s="10" t="s">
        <v>24</v>
      </c>
      <c r="B77" s="16" t="s">
        <v>62</v>
      </c>
      <c r="C77" s="14" t="s">
        <v>62</v>
      </c>
      <c r="D77" s="14" t="s">
        <v>62</v>
      </c>
      <c r="E77" s="14" t="s">
        <v>62</v>
      </c>
      <c r="F77" s="14" t="s">
        <v>62</v>
      </c>
      <c r="G77" s="14" t="s">
        <v>62</v>
      </c>
      <c r="H77" s="14" t="s">
        <v>62</v>
      </c>
      <c r="I77" s="14" t="s">
        <v>62</v>
      </c>
      <c r="J77" s="14" t="s">
        <v>62</v>
      </c>
      <c r="K77" s="14" t="s">
        <v>62</v>
      </c>
      <c r="L77" s="14" t="s">
        <v>62</v>
      </c>
      <c r="M77" s="14" t="s">
        <v>62</v>
      </c>
      <c r="N77" s="14" t="s">
        <v>62</v>
      </c>
      <c r="O77" s="14" t="s">
        <v>62</v>
      </c>
      <c r="P77" s="14" t="s">
        <v>62</v>
      </c>
      <c r="Q77" s="13">
        <f>11+(41/60)</f>
        <v>11.683333333333334</v>
      </c>
      <c r="R77" s="13" t="s">
        <v>62</v>
      </c>
      <c r="S77" s="13">
        <f>6+(9/60)</f>
        <v>6.15</v>
      </c>
      <c r="T77" s="13">
        <f>4+(43/60)</f>
        <v>4.7166666666666668</v>
      </c>
      <c r="U77" s="13">
        <f>7+(51/60)</f>
        <v>7.85</v>
      </c>
      <c r="V77" s="13">
        <f>5+(54/60)</f>
        <v>5.9</v>
      </c>
      <c r="W77" s="13">
        <f>2+(47/60)</f>
        <v>2.7833333333333332</v>
      </c>
      <c r="X77" s="13">
        <f>3+(22/60)</f>
        <v>3.3666666666666667</v>
      </c>
      <c r="Y77" s="12">
        <v>0</v>
      </c>
      <c r="Z77" s="13">
        <v>15.066666666666666</v>
      </c>
      <c r="AA77" s="13">
        <v>11.183333333333334</v>
      </c>
      <c r="AB77" s="13">
        <v>17.55</v>
      </c>
      <c r="AC77" s="13">
        <v>13.483333333333333</v>
      </c>
      <c r="AD77" s="13">
        <v>6.7666666666666666</v>
      </c>
      <c r="AE77" s="13">
        <v>11.45</v>
      </c>
      <c r="AF77" s="13">
        <v>8.5333333333333332</v>
      </c>
      <c r="AG77" s="13">
        <v>11.9</v>
      </c>
      <c r="AH77" s="14" t="s">
        <v>62</v>
      </c>
      <c r="AI77" s="14" t="s">
        <v>62</v>
      </c>
      <c r="AJ77" s="14" t="s">
        <v>62</v>
      </c>
      <c r="AK77" s="14" t="s">
        <v>62</v>
      </c>
      <c r="AL77" s="14" t="s">
        <v>62</v>
      </c>
      <c r="AM77" s="14" t="s">
        <v>62</v>
      </c>
      <c r="AN77" s="14" t="s">
        <v>62</v>
      </c>
      <c r="AO77" s="14" t="s">
        <v>62</v>
      </c>
      <c r="AP77" s="14" t="s">
        <v>62</v>
      </c>
      <c r="AQ77" s="14" t="s">
        <v>62</v>
      </c>
      <c r="AR77" s="14" t="s">
        <v>62</v>
      </c>
      <c r="AS77" s="14" t="s">
        <v>62</v>
      </c>
      <c r="AT77" s="14" t="s">
        <v>62</v>
      </c>
      <c r="AU77" s="14" t="s">
        <v>62</v>
      </c>
      <c r="AV77" s="14">
        <f>37+(45/60)</f>
        <v>37.75</v>
      </c>
      <c r="AW77" s="14">
        <f>4*24+15</f>
        <v>111</v>
      </c>
      <c r="AX77" s="14">
        <f>7*24+14</f>
        <v>182</v>
      </c>
      <c r="AY77" s="14" t="s">
        <v>62</v>
      </c>
      <c r="AZ77" s="14" t="s">
        <v>62</v>
      </c>
      <c r="BA77" s="14" t="s">
        <v>62</v>
      </c>
      <c r="BB77" s="13">
        <f>16+(56/60)</f>
        <v>16.933333333333334</v>
      </c>
      <c r="BC77" s="14" t="s">
        <v>62</v>
      </c>
      <c r="BD77" s="14" t="s">
        <v>62</v>
      </c>
      <c r="BE77" s="14" t="s">
        <v>62</v>
      </c>
      <c r="BF77" s="13">
        <f>26+(48/60)</f>
        <v>26.8</v>
      </c>
      <c r="BG77" s="13">
        <f>30+(36/60)</f>
        <v>30.6</v>
      </c>
      <c r="BH77" s="14" t="s">
        <v>62</v>
      </c>
      <c r="BI77" s="14" t="s">
        <v>62</v>
      </c>
      <c r="BJ77" s="15" t="s">
        <v>62</v>
      </c>
      <c r="BL77" s="26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W77" s="26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</row>
    <row r="78" spans="1:188" x14ac:dyDescent="0.3">
      <c r="A78" s="10" t="s">
        <v>25</v>
      </c>
      <c r="B78" s="16" t="s">
        <v>62</v>
      </c>
      <c r="C78" s="14" t="s">
        <v>62</v>
      </c>
      <c r="D78" s="14" t="s">
        <v>62</v>
      </c>
      <c r="E78" s="14" t="s">
        <v>62</v>
      </c>
      <c r="F78" s="14" t="s">
        <v>62</v>
      </c>
      <c r="G78" s="14" t="s">
        <v>62</v>
      </c>
      <c r="H78" s="14" t="s">
        <v>62</v>
      </c>
      <c r="I78" s="14" t="s">
        <v>62</v>
      </c>
      <c r="J78" s="14" t="s">
        <v>62</v>
      </c>
      <c r="K78" s="14" t="s">
        <v>62</v>
      </c>
      <c r="L78" s="14" t="s">
        <v>62</v>
      </c>
      <c r="M78" s="14" t="s">
        <v>62</v>
      </c>
      <c r="N78" s="14" t="s">
        <v>62</v>
      </c>
      <c r="O78" s="14" t="s">
        <v>62</v>
      </c>
      <c r="P78" s="14" t="s">
        <v>62</v>
      </c>
      <c r="Q78" s="13">
        <f>22+(59/60)</f>
        <v>22.983333333333334</v>
      </c>
      <c r="R78" s="13" t="s">
        <v>62</v>
      </c>
      <c r="S78" s="13">
        <f>16+(28/60)</f>
        <v>16.466666666666665</v>
      </c>
      <c r="T78" s="13">
        <f>12+(38/60)</f>
        <v>12.633333333333333</v>
      </c>
      <c r="U78" s="13">
        <f>11+(23/60)</f>
        <v>11.383333333333333</v>
      </c>
      <c r="V78" s="13">
        <f>9+(22/60)</f>
        <v>9.3666666666666671</v>
      </c>
      <c r="W78" s="13">
        <f>17+(22/60)</f>
        <v>17.366666666666667</v>
      </c>
      <c r="X78" s="13">
        <f>15+(16/60)</f>
        <v>15.266666666666667</v>
      </c>
      <c r="Y78" s="13">
        <f>15+(4/60)</f>
        <v>15.066666666666666</v>
      </c>
      <c r="Z78" s="12">
        <v>0</v>
      </c>
      <c r="AA78" s="13">
        <v>11.9</v>
      </c>
      <c r="AB78" s="13">
        <v>21.95</v>
      </c>
      <c r="AC78" s="13">
        <v>17.883333333333333</v>
      </c>
      <c r="AD78" s="13">
        <v>18.7</v>
      </c>
      <c r="AE78" s="13">
        <v>18.399999999999999</v>
      </c>
      <c r="AF78" s="13">
        <v>17.633333333333333</v>
      </c>
      <c r="AG78" s="13">
        <v>13.45</v>
      </c>
      <c r="AH78" s="14" t="s">
        <v>62</v>
      </c>
      <c r="AI78" s="14" t="s">
        <v>62</v>
      </c>
      <c r="AJ78" s="14" t="s">
        <v>62</v>
      </c>
      <c r="AK78" s="14" t="s">
        <v>62</v>
      </c>
      <c r="AL78" s="14" t="s">
        <v>62</v>
      </c>
      <c r="AM78" s="14" t="s">
        <v>62</v>
      </c>
      <c r="AN78" s="14" t="s">
        <v>62</v>
      </c>
      <c r="AO78" s="14" t="s">
        <v>62</v>
      </c>
      <c r="AP78" s="14" t="s">
        <v>62</v>
      </c>
      <c r="AQ78" s="14" t="s">
        <v>62</v>
      </c>
      <c r="AR78" s="14" t="s">
        <v>62</v>
      </c>
      <c r="AS78" s="14" t="s">
        <v>62</v>
      </c>
      <c r="AT78" s="14" t="s">
        <v>62</v>
      </c>
      <c r="AU78" s="14" t="s">
        <v>62</v>
      </c>
      <c r="AV78" s="14">
        <f>46+(16/60)</f>
        <v>46.266666666666666</v>
      </c>
      <c r="AW78" s="14">
        <f>5*24+5</f>
        <v>125</v>
      </c>
      <c r="AX78" s="14">
        <f>9*24+14</f>
        <v>230</v>
      </c>
      <c r="AY78" s="14" t="s">
        <v>62</v>
      </c>
      <c r="AZ78" s="14" t="s">
        <v>62</v>
      </c>
      <c r="BA78" s="14" t="s">
        <v>62</v>
      </c>
      <c r="BB78" s="13">
        <f>31+(31/60)</f>
        <v>31.516666666666666</v>
      </c>
      <c r="BC78" s="14" t="s">
        <v>62</v>
      </c>
      <c r="BD78" s="14">
        <f>8*24+2</f>
        <v>194</v>
      </c>
      <c r="BE78" s="14" t="s">
        <v>62</v>
      </c>
      <c r="BF78" s="13" t="s">
        <v>62</v>
      </c>
      <c r="BG78" s="13" t="s">
        <v>62</v>
      </c>
      <c r="BH78" s="14" t="s">
        <v>62</v>
      </c>
      <c r="BI78" s="14" t="s">
        <v>62</v>
      </c>
      <c r="BJ78" s="15" t="s">
        <v>62</v>
      </c>
      <c r="BL78" s="26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W78" s="26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</row>
    <row r="79" spans="1:188" x14ac:dyDescent="0.3">
      <c r="A79" s="10" t="s">
        <v>26</v>
      </c>
      <c r="B79" s="16" t="s">
        <v>62</v>
      </c>
      <c r="C79" s="14" t="s">
        <v>62</v>
      </c>
      <c r="D79" s="14" t="s">
        <v>62</v>
      </c>
      <c r="E79" s="14" t="s">
        <v>62</v>
      </c>
      <c r="F79" s="14" t="s">
        <v>62</v>
      </c>
      <c r="G79" s="14" t="s">
        <v>62</v>
      </c>
      <c r="H79" s="14" t="s">
        <v>62</v>
      </c>
      <c r="I79" s="14" t="s">
        <v>62</v>
      </c>
      <c r="J79" s="14" t="s">
        <v>62</v>
      </c>
      <c r="K79" s="14" t="s">
        <v>62</v>
      </c>
      <c r="L79" s="14" t="s">
        <v>62</v>
      </c>
      <c r="M79" s="14" t="s">
        <v>62</v>
      </c>
      <c r="N79" s="14" t="s">
        <v>62</v>
      </c>
      <c r="O79" s="14" t="s">
        <v>62</v>
      </c>
      <c r="P79" s="14" t="s">
        <v>62</v>
      </c>
      <c r="Q79" s="13">
        <f>18+(27/60)</f>
        <v>18.45</v>
      </c>
      <c r="R79" s="13" t="s">
        <v>62</v>
      </c>
      <c r="S79" s="13">
        <f>11+(54/60)</f>
        <v>11.9</v>
      </c>
      <c r="T79" s="13">
        <f>8+(18/60)</f>
        <v>8.3000000000000007</v>
      </c>
      <c r="U79" s="13">
        <f>6+(58/60)</f>
        <v>6.9666666666666668</v>
      </c>
      <c r="V79" s="13">
        <f>7+(46/60)</f>
        <v>7.7666666666666666</v>
      </c>
      <c r="W79" s="13">
        <f>12+(45/60)</f>
        <v>12.75</v>
      </c>
      <c r="X79" s="13">
        <f>12+(38/60)</f>
        <v>12.633333333333333</v>
      </c>
      <c r="Y79" s="13">
        <f>11+(11/60)</f>
        <v>11.183333333333334</v>
      </c>
      <c r="Z79" s="13">
        <f>11+(54/60)</f>
        <v>11.9</v>
      </c>
      <c r="AA79" s="12">
        <v>0</v>
      </c>
      <c r="AB79" s="13">
        <v>17.283333333333335</v>
      </c>
      <c r="AC79" s="13">
        <v>13.216666666666667</v>
      </c>
      <c r="AD79" s="13">
        <v>16.033333333333335</v>
      </c>
      <c r="AE79" s="13">
        <v>17.933333333333334</v>
      </c>
      <c r="AF79" s="13">
        <v>15.116666666666667</v>
      </c>
      <c r="AG79" s="13">
        <v>13</v>
      </c>
      <c r="AH79" s="14" t="s">
        <v>62</v>
      </c>
      <c r="AI79" s="14" t="s">
        <v>62</v>
      </c>
      <c r="AJ79" s="14" t="s">
        <v>62</v>
      </c>
      <c r="AK79" s="14" t="s">
        <v>62</v>
      </c>
      <c r="AL79" s="14" t="s">
        <v>62</v>
      </c>
      <c r="AM79" s="14" t="s">
        <v>62</v>
      </c>
      <c r="AN79" s="14" t="s">
        <v>62</v>
      </c>
      <c r="AO79" s="14" t="s">
        <v>62</v>
      </c>
      <c r="AP79" s="14" t="s">
        <v>62</v>
      </c>
      <c r="AQ79" s="14" t="s">
        <v>62</v>
      </c>
      <c r="AR79" s="14" t="s">
        <v>62</v>
      </c>
      <c r="AS79" s="14" t="s">
        <v>62</v>
      </c>
      <c r="AT79" s="14" t="s">
        <v>62</v>
      </c>
      <c r="AU79" s="14" t="s">
        <v>62</v>
      </c>
      <c r="AV79" s="14">
        <f>45+(18/60)</f>
        <v>45.3</v>
      </c>
      <c r="AW79" s="14">
        <f>5*24+4</f>
        <v>124</v>
      </c>
      <c r="AX79" s="14" t="s">
        <v>62</v>
      </c>
      <c r="AY79" s="14" t="s">
        <v>62</v>
      </c>
      <c r="AZ79" s="14" t="s">
        <v>62</v>
      </c>
      <c r="BA79" s="14" t="s">
        <v>62</v>
      </c>
      <c r="BB79" s="13">
        <f>26+(57/60)</f>
        <v>26.95</v>
      </c>
      <c r="BC79" s="14" t="s">
        <v>62</v>
      </c>
      <c r="BD79" s="14">
        <f>8*24+1</f>
        <v>193</v>
      </c>
      <c r="BE79" s="14" t="s">
        <v>62</v>
      </c>
      <c r="BF79" s="13" t="s">
        <v>62</v>
      </c>
      <c r="BG79" s="13" t="s">
        <v>62</v>
      </c>
      <c r="BH79" s="14" t="s">
        <v>62</v>
      </c>
      <c r="BI79" s="14" t="s">
        <v>62</v>
      </c>
      <c r="BJ79" s="15" t="s">
        <v>62</v>
      </c>
      <c r="BL79" s="26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W79" s="26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</row>
    <row r="80" spans="1:188" x14ac:dyDescent="0.3">
      <c r="A80" s="10" t="s">
        <v>27</v>
      </c>
      <c r="B80" s="16" t="s">
        <v>62</v>
      </c>
      <c r="C80" s="14" t="s">
        <v>62</v>
      </c>
      <c r="D80" s="14" t="s">
        <v>62</v>
      </c>
      <c r="E80" s="14" t="s">
        <v>62</v>
      </c>
      <c r="F80" s="14" t="s">
        <v>62</v>
      </c>
      <c r="G80" s="14" t="s">
        <v>62</v>
      </c>
      <c r="H80" s="14" t="s">
        <v>62</v>
      </c>
      <c r="I80" s="14" t="s">
        <v>62</v>
      </c>
      <c r="J80" s="14" t="s">
        <v>62</v>
      </c>
      <c r="K80" s="14" t="s">
        <v>62</v>
      </c>
      <c r="L80" s="14" t="s">
        <v>62</v>
      </c>
      <c r="M80" s="14" t="s">
        <v>62</v>
      </c>
      <c r="N80" s="14" t="s">
        <v>62</v>
      </c>
      <c r="O80" s="14" t="s">
        <v>62</v>
      </c>
      <c r="P80" s="14" t="s">
        <v>62</v>
      </c>
      <c r="Q80" s="13">
        <f>20+(58/60)</f>
        <v>20.966666666666665</v>
      </c>
      <c r="R80" s="13" t="s">
        <v>62</v>
      </c>
      <c r="S80" s="13">
        <f>14+(17/60)</f>
        <v>14.283333333333333</v>
      </c>
      <c r="T80" s="13">
        <f>10+(43/60)</f>
        <v>10.716666666666667</v>
      </c>
      <c r="U80" s="13">
        <f>9+(9/60)</f>
        <v>9.15</v>
      </c>
      <c r="V80" s="13" t="s">
        <v>62</v>
      </c>
      <c r="W80" s="13">
        <f>19+(53/60)</f>
        <v>19.883333333333333</v>
      </c>
      <c r="X80" s="13">
        <f>21+(20/60)</f>
        <v>21.333333333333332</v>
      </c>
      <c r="Y80" s="13">
        <f>17+(33/60)</f>
        <v>17.55</v>
      </c>
      <c r="Z80" s="13">
        <f>21+(57/60)</f>
        <v>21.95</v>
      </c>
      <c r="AA80" s="13">
        <f>17+(17/60)</f>
        <v>17.283333333333335</v>
      </c>
      <c r="AB80" s="12">
        <v>0</v>
      </c>
      <c r="AC80" s="13">
        <v>2.5</v>
      </c>
      <c r="AD80" s="13">
        <v>27.016666666666666</v>
      </c>
      <c r="AE80" s="13" t="s">
        <v>62</v>
      </c>
      <c r="AF80" s="13">
        <v>23.366666666666667</v>
      </c>
      <c r="AG80" s="13" t="s">
        <v>62</v>
      </c>
      <c r="AH80" s="14" t="s">
        <v>62</v>
      </c>
      <c r="AI80" s="14" t="s">
        <v>62</v>
      </c>
      <c r="AJ80" s="14" t="s">
        <v>62</v>
      </c>
      <c r="AK80" s="14" t="s">
        <v>62</v>
      </c>
      <c r="AL80" s="14" t="s">
        <v>62</v>
      </c>
      <c r="AM80" s="14" t="s">
        <v>62</v>
      </c>
      <c r="AN80" s="14" t="s">
        <v>62</v>
      </c>
      <c r="AO80" s="14" t="s">
        <v>62</v>
      </c>
      <c r="AP80" s="14" t="s">
        <v>62</v>
      </c>
      <c r="AQ80" s="14" t="s">
        <v>62</v>
      </c>
      <c r="AR80" s="14" t="s">
        <v>62</v>
      </c>
      <c r="AS80" s="14" t="s">
        <v>62</v>
      </c>
      <c r="AT80" s="14" t="s">
        <v>62</v>
      </c>
      <c r="AU80" s="14" t="s">
        <v>62</v>
      </c>
      <c r="AV80" s="14" t="s">
        <v>62</v>
      </c>
      <c r="AW80" s="14" t="s">
        <v>62</v>
      </c>
      <c r="AX80" s="14" t="s">
        <v>62</v>
      </c>
      <c r="AY80" s="14" t="s">
        <v>62</v>
      </c>
      <c r="AZ80" s="14" t="s">
        <v>62</v>
      </c>
      <c r="BA80" s="14" t="s">
        <v>62</v>
      </c>
      <c r="BB80" s="13">
        <f>35+(2/60)</f>
        <v>35.033333333333331</v>
      </c>
      <c r="BC80" s="14" t="s">
        <v>62</v>
      </c>
      <c r="BD80" s="14" t="s">
        <v>62</v>
      </c>
      <c r="BE80" s="14" t="s">
        <v>62</v>
      </c>
      <c r="BF80" s="13">
        <f>44+(33/60)</f>
        <v>44.55</v>
      </c>
      <c r="BG80" s="13" t="s">
        <v>62</v>
      </c>
      <c r="BH80" s="14" t="s">
        <v>62</v>
      </c>
      <c r="BI80" s="14" t="s">
        <v>62</v>
      </c>
      <c r="BJ80" s="15" t="s">
        <v>62</v>
      </c>
      <c r="BL80" s="26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W80" s="26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</row>
    <row r="81" spans="1:188" x14ac:dyDescent="0.3">
      <c r="A81" s="10" t="s">
        <v>65</v>
      </c>
      <c r="B81" s="16" t="s">
        <v>62</v>
      </c>
      <c r="C81" s="14" t="s">
        <v>62</v>
      </c>
      <c r="D81" s="14" t="s">
        <v>62</v>
      </c>
      <c r="E81" s="14" t="s">
        <v>62</v>
      </c>
      <c r="F81" s="14" t="s">
        <v>62</v>
      </c>
      <c r="G81" s="14" t="s">
        <v>62</v>
      </c>
      <c r="H81" s="14" t="s">
        <v>62</v>
      </c>
      <c r="I81" s="14" t="s">
        <v>62</v>
      </c>
      <c r="J81" s="14" t="s">
        <v>62</v>
      </c>
      <c r="K81" s="14" t="s">
        <v>62</v>
      </c>
      <c r="L81" s="14" t="s">
        <v>62</v>
      </c>
      <c r="M81" s="14" t="s">
        <v>62</v>
      </c>
      <c r="N81" s="14" t="s">
        <v>62</v>
      </c>
      <c r="O81" s="14" t="s">
        <v>62</v>
      </c>
      <c r="P81" s="14" t="s">
        <v>62</v>
      </c>
      <c r="Q81" s="13">
        <f>15+(42/60)</f>
        <v>15.7</v>
      </c>
      <c r="R81" s="13" t="s">
        <v>62</v>
      </c>
      <c r="S81" s="13">
        <f>10+(13/60)</f>
        <v>10.216666666666667</v>
      </c>
      <c r="T81" s="13">
        <f>6+(39/60)</f>
        <v>6.65</v>
      </c>
      <c r="U81" s="13">
        <f>5+(5/60)</f>
        <v>5.083333333333333</v>
      </c>
      <c r="V81" s="13" t="s">
        <v>62</v>
      </c>
      <c r="W81" s="13">
        <f>15+(49/60)</f>
        <v>15.816666666666666</v>
      </c>
      <c r="X81" s="13">
        <f>17+(16/60)</f>
        <v>17.266666666666666</v>
      </c>
      <c r="Y81" s="13">
        <f>13+(29/60)</f>
        <v>13.483333333333333</v>
      </c>
      <c r="Z81" s="13">
        <f>17+(53/60)</f>
        <v>17.883333333333333</v>
      </c>
      <c r="AA81" s="13">
        <f>13+(13/60)</f>
        <v>13.216666666666667</v>
      </c>
      <c r="AB81" s="13">
        <f>2+(30/60)</f>
        <v>2.5</v>
      </c>
      <c r="AC81" s="12">
        <v>0</v>
      </c>
      <c r="AD81" s="13">
        <v>22.066666666666666</v>
      </c>
      <c r="AE81" s="13">
        <v>24.866666666666667</v>
      </c>
      <c r="AF81" s="13">
        <v>25.45</v>
      </c>
      <c r="AG81" s="13">
        <v>21.366666666666667</v>
      </c>
      <c r="AH81" s="14" t="s">
        <v>62</v>
      </c>
      <c r="AI81" s="14" t="s">
        <v>62</v>
      </c>
      <c r="AJ81" s="14" t="s">
        <v>62</v>
      </c>
      <c r="AK81" s="14" t="s">
        <v>62</v>
      </c>
      <c r="AL81" s="14" t="s">
        <v>62</v>
      </c>
      <c r="AM81" s="14" t="s">
        <v>62</v>
      </c>
      <c r="AN81" s="14" t="s">
        <v>62</v>
      </c>
      <c r="AO81" s="14" t="s">
        <v>62</v>
      </c>
      <c r="AP81" s="14" t="s">
        <v>62</v>
      </c>
      <c r="AQ81" s="14" t="s">
        <v>62</v>
      </c>
      <c r="AR81" s="14" t="s">
        <v>62</v>
      </c>
      <c r="AS81" s="14" t="s">
        <v>62</v>
      </c>
      <c r="AT81" s="14" t="s">
        <v>62</v>
      </c>
      <c r="AU81" s="14" t="s">
        <v>62</v>
      </c>
      <c r="AV81" s="14" t="s">
        <v>62</v>
      </c>
      <c r="AW81" s="14" t="s">
        <v>62</v>
      </c>
      <c r="AX81" s="14" t="s">
        <v>62</v>
      </c>
      <c r="AY81" s="14" t="s">
        <v>62</v>
      </c>
      <c r="AZ81" s="14" t="s">
        <v>62</v>
      </c>
      <c r="BA81" s="14" t="s">
        <v>62</v>
      </c>
      <c r="BB81" s="13">
        <f>29+(31/60)</f>
        <v>29.516666666666666</v>
      </c>
      <c r="BC81" s="14" t="s">
        <v>62</v>
      </c>
      <c r="BD81" s="14" t="s">
        <v>62</v>
      </c>
      <c r="BE81" s="14" t="s">
        <v>62</v>
      </c>
      <c r="BF81" s="13">
        <f>40+(29/60)</f>
        <v>40.483333333333334</v>
      </c>
      <c r="BG81" s="13">
        <f>45+(36/60)</f>
        <v>45.6</v>
      </c>
      <c r="BH81" s="14" t="s">
        <v>62</v>
      </c>
      <c r="BI81" s="14" t="s">
        <v>62</v>
      </c>
      <c r="BJ81" s="15" t="s">
        <v>62</v>
      </c>
      <c r="BL81" s="26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W81" s="26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</row>
    <row r="82" spans="1:188" x14ac:dyDescent="0.3">
      <c r="A82" s="10" t="s">
        <v>29</v>
      </c>
      <c r="B82" s="16" t="s">
        <v>62</v>
      </c>
      <c r="C82" s="14" t="s">
        <v>62</v>
      </c>
      <c r="D82" s="14" t="s">
        <v>62</v>
      </c>
      <c r="E82" s="14" t="s">
        <v>62</v>
      </c>
      <c r="F82" s="14" t="s">
        <v>62</v>
      </c>
      <c r="G82" s="14" t="s">
        <v>62</v>
      </c>
      <c r="H82" s="14" t="s">
        <v>62</v>
      </c>
      <c r="I82" s="14" t="s">
        <v>62</v>
      </c>
      <c r="J82" s="14" t="s">
        <v>62</v>
      </c>
      <c r="K82" s="14" t="s">
        <v>62</v>
      </c>
      <c r="L82" s="14" t="s">
        <v>62</v>
      </c>
      <c r="M82" s="14" t="s">
        <v>62</v>
      </c>
      <c r="N82" s="14" t="s">
        <v>62</v>
      </c>
      <c r="O82" s="14" t="s">
        <v>62</v>
      </c>
      <c r="P82" s="14" t="s">
        <v>62</v>
      </c>
      <c r="Q82" s="13">
        <f>18+(40/60)</f>
        <v>18.666666666666668</v>
      </c>
      <c r="R82" s="13" t="s">
        <v>62</v>
      </c>
      <c r="S82" s="13">
        <f>14+(17/60)</f>
        <v>14.283333333333333</v>
      </c>
      <c r="T82" s="13">
        <f>11+(43/60)</f>
        <v>11.716666666666667</v>
      </c>
      <c r="U82" s="13">
        <f>14+(8/60)</f>
        <v>14.133333333333333</v>
      </c>
      <c r="V82" s="13">
        <f>7+(57/60)</f>
        <v>7.95</v>
      </c>
      <c r="W82" s="13">
        <f>5+(14/60)</f>
        <v>5.2333333333333334</v>
      </c>
      <c r="X82" s="13">
        <f>2+(55/60)</f>
        <v>2.9166666666666665</v>
      </c>
      <c r="Y82" s="13">
        <f>6+(46/60)</f>
        <v>6.7666666666666666</v>
      </c>
      <c r="Z82" s="13">
        <f>18+(42/60)</f>
        <v>18.7</v>
      </c>
      <c r="AA82" s="13">
        <f>16+(2/60)</f>
        <v>16.033333333333335</v>
      </c>
      <c r="AB82" s="13">
        <f>27+(1/60)</f>
        <v>27.016666666666666</v>
      </c>
      <c r="AC82" s="13">
        <f>22+(4/60)</f>
        <v>22.066666666666666</v>
      </c>
      <c r="AD82" s="12">
        <v>0</v>
      </c>
      <c r="AE82" s="13">
        <v>8.0666666666666664</v>
      </c>
      <c r="AF82" s="13">
        <v>7.5666666666666664</v>
      </c>
      <c r="AG82" s="13">
        <v>11.966666666666667</v>
      </c>
      <c r="AH82" s="14" t="s">
        <v>62</v>
      </c>
      <c r="AI82" s="14" t="s">
        <v>62</v>
      </c>
      <c r="AJ82" s="14" t="s">
        <v>62</v>
      </c>
      <c r="AK82" s="14" t="s">
        <v>62</v>
      </c>
      <c r="AL82" s="14" t="s">
        <v>62</v>
      </c>
      <c r="AM82" s="14" t="s">
        <v>62</v>
      </c>
      <c r="AN82" s="14" t="s">
        <v>62</v>
      </c>
      <c r="AO82" s="14" t="s">
        <v>62</v>
      </c>
      <c r="AP82" s="14" t="s">
        <v>62</v>
      </c>
      <c r="AQ82" s="14" t="s">
        <v>62</v>
      </c>
      <c r="AR82" s="14" t="s">
        <v>62</v>
      </c>
      <c r="AS82" s="14" t="s">
        <v>62</v>
      </c>
      <c r="AT82" s="14" t="s">
        <v>62</v>
      </c>
      <c r="AU82" s="14" t="s">
        <v>62</v>
      </c>
      <c r="AV82" s="14">
        <f>37+(12/60)</f>
        <v>37.200000000000003</v>
      </c>
      <c r="AW82" s="14">
        <f>4*24+8</f>
        <v>104</v>
      </c>
      <c r="AX82" s="14">
        <f>7*24+7</f>
        <v>175</v>
      </c>
      <c r="AY82" s="14" t="s">
        <v>62</v>
      </c>
      <c r="AZ82" s="14" t="s">
        <v>62</v>
      </c>
      <c r="BA82" s="14" t="s">
        <v>62</v>
      </c>
      <c r="BB82" s="13" t="s">
        <v>62</v>
      </c>
      <c r="BC82" s="14" t="s">
        <v>62</v>
      </c>
      <c r="BD82" s="14" t="s">
        <v>62</v>
      </c>
      <c r="BE82" s="14" t="s">
        <v>62</v>
      </c>
      <c r="BF82" s="13">
        <f>24+(34/60)</f>
        <v>24.566666666666666</v>
      </c>
      <c r="BG82" s="13" t="s">
        <v>62</v>
      </c>
      <c r="BH82" s="14" t="s">
        <v>62</v>
      </c>
      <c r="BI82" s="14" t="s">
        <v>62</v>
      </c>
      <c r="BJ82" s="15" t="s">
        <v>62</v>
      </c>
      <c r="BL82" s="26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W82" s="26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</row>
    <row r="83" spans="1:188" x14ac:dyDescent="0.3">
      <c r="A83" s="10" t="s">
        <v>30</v>
      </c>
      <c r="B83" s="16" t="s">
        <v>62</v>
      </c>
      <c r="C83" s="14" t="s">
        <v>62</v>
      </c>
      <c r="D83" s="14" t="s">
        <v>62</v>
      </c>
      <c r="E83" s="14" t="s">
        <v>62</v>
      </c>
      <c r="F83" s="14" t="s">
        <v>62</v>
      </c>
      <c r="G83" s="14" t="s">
        <v>62</v>
      </c>
      <c r="H83" s="14" t="s">
        <v>62</v>
      </c>
      <c r="I83" s="14" t="s">
        <v>62</v>
      </c>
      <c r="J83" s="14" t="s">
        <v>62</v>
      </c>
      <c r="K83" s="14" t="s">
        <v>62</v>
      </c>
      <c r="L83" s="14" t="s">
        <v>62</v>
      </c>
      <c r="M83" s="14" t="s">
        <v>62</v>
      </c>
      <c r="N83" s="14" t="s">
        <v>62</v>
      </c>
      <c r="O83" s="14" t="s">
        <v>62</v>
      </c>
      <c r="P83" s="14" t="s">
        <v>62</v>
      </c>
      <c r="Q83" s="13">
        <f>23+(27/60)</f>
        <v>23.45</v>
      </c>
      <c r="R83" s="13" t="s">
        <v>62</v>
      </c>
      <c r="S83" s="13">
        <f>17+(58/60)</f>
        <v>17.966666666666665</v>
      </c>
      <c r="T83" s="13">
        <f>16+(32/60)</f>
        <v>16.533333333333335</v>
      </c>
      <c r="U83" s="13">
        <f>18+(53/60)</f>
        <v>18.883333333333333</v>
      </c>
      <c r="V83" s="13">
        <f>10+(42/60)</f>
        <v>10.7</v>
      </c>
      <c r="W83" s="13">
        <f>9+(59/60)</f>
        <v>9.9833333333333325</v>
      </c>
      <c r="X83" s="13">
        <f>7+(9/60)</f>
        <v>7.15</v>
      </c>
      <c r="Y83" s="13">
        <f>11+(27/60)</f>
        <v>11.45</v>
      </c>
      <c r="Z83" s="13">
        <f>18+(24/60)</f>
        <v>18.399999999999999</v>
      </c>
      <c r="AA83" s="13">
        <f>17+(56/60)</f>
        <v>17.933333333333334</v>
      </c>
      <c r="AB83" s="13" t="s">
        <v>62</v>
      </c>
      <c r="AC83" s="13">
        <f>24+(52/60)</f>
        <v>24.866666666666667</v>
      </c>
      <c r="AD83" s="13">
        <f>8+(4/60)</f>
        <v>8.0666666666666664</v>
      </c>
      <c r="AE83" s="12">
        <v>0</v>
      </c>
      <c r="AF83" s="13">
        <v>6.3833333333333337</v>
      </c>
      <c r="AG83" s="13">
        <v>5.916666666666667</v>
      </c>
      <c r="AH83" s="14" t="s">
        <v>62</v>
      </c>
      <c r="AI83" s="14" t="s">
        <v>62</v>
      </c>
      <c r="AJ83" s="14" t="s">
        <v>62</v>
      </c>
      <c r="AK83" s="14" t="s">
        <v>62</v>
      </c>
      <c r="AL83" s="14" t="s">
        <v>62</v>
      </c>
      <c r="AM83" s="14" t="s">
        <v>62</v>
      </c>
      <c r="AN83" s="14" t="s">
        <v>62</v>
      </c>
      <c r="AO83" s="14" t="s">
        <v>62</v>
      </c>
      <c r="AP83" s="14" t="s">
        <v>62</v>
      </c>
      <c r="AQ83" s="14" t="s">
        <v>62</v>
      </c>
      <c r="AR83" s="14" t="s">
        <v>62</v>
      </c>
      <c r="AS83" s="14" t="s">
        <v>62</v>
      </c>
      <c r="AT83" s="14" t="s">
        <v>62</v>
      </c>
      <c r="AU83" s="14" t="s">
        <v>62</v>
      </c>
      <c r="AV83" s="12">
        <f>34+(44/60)</f>
        <v>34.733333333333334</v>
      </c>
      <c r="AW83" s="14">
        <f>3*24+23</f>
        <v>95</v>
      </c>
      <c r="AX83" s="14">
        <f>7*24+16</f>
        <v>184</v>
      </c>
      <c r="AY83" s="14" t="s">
        <v>62</v>
      </c>
      <c r="AZ83" s="14" t="s">
        <v>62</v>
      </c>
      <c r="BA83" s="14" t="s">
        <v>62</v>
      </c>
      <c r="BB83" s="13">
        <f>24+(39/60)</f>
        <v>24.65</v>
      </c>
      <c r="BC83" s="14" t="s">
        <v>62</v>
      </c>
      <c r="BD83" s="14" t="s">
        <v>62</v>
      </c>
      <c r="BE83" s="14" t="s">
        <v>62</v>
      </c>
      <c r="BF83" s="12">
        <f>17+(46/60)</f>
        <v>17.766666666666666</v>
      </c>
      <c r="BG83" s="13" t="s">
        <v>62</v>
      </c>
      <c r="BH83" s="14" t="s">
        <v>62</v>
      </c>
      <c r="BI83" s="14" t="s">
        <v>62</v>
      </c>
      <c r="BJ83" s="15" t="s">
        <v>62</v>
      </c>
      <c r="BL83" s="26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W83" s="26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</row>
    <row r="84" spans="1:188" x14ac:dyDescent="0.3">
      <c r="A84" s="10" t="s">
        <v>31</v>
      </c>
      <c r="B84" s="16" t="s">
        <v>62</v>
      </c>
      <c r="C84" s="14" t="s">
        <v>62</v>
      </c>
      <c r="D84" s="14" t="s">
        <v>62</v>
      </c>
      <c r="E84" s="14" t="s">
        <v>62</v>
      </c>
      <c r="F84" s="14" t="s">
        <v>62</v>
      </c>
      <c r="G84" s="14" t="s">
        <v>62</v>
      </c>
      <c r="H84" s="14" t="s">
        <v>62</v>
      </c>
      <c r="I84" s="14" t="s">
        <v>62</v>
      </c>
      <c r="J84" s="14" t="s">
        <v>62</v>
      </c>
      <c r="K84" s="14" t="s">
        <v>62</v>
      </c>
      <c r="L84" s="14" t="s">
        <v>62</v>
      </c>
      <c r="M84" s="14" t="s">
        <v>62</v>
      </c>
      <c r="N84" s="14" t="s">
        <v>62</v>
      </c>
      <c r="O84" s="14" t="s">
        <v>62</v>
      </c>
      <c r="P84" s="14" t="s">
        <v>62</v>
      </c>
      <c r="Q84" s="13">
        <f>19+(31/60)</f>
        <v>19.516666666666666</v>
      </c>
      <c r="R84" s="13" t="s">
        <v>62</v>
      </c>
      <c r="S84" s="13">
        <f>14+(2/60)</f>
        <v>14.033333333333333</v>
      </c>
      <c r="T84" s="13">
        <f>11+(32/60)</f>
        <v>11.533333333333333</v>
      </c>
      <c r="U84" s="13">
        <f>19+(22/60)</f>
        <v>19.366666666666667</v>
      </c>
      <c r="V84" s="13">
        <f>8+(3/60)</f>
        <v>8.0500000000000007</v>
      </c>
      <c r="W84" s="13">
        <f>6+(45/60)</f>
        <v>6.75</v>
      </c>
      <c r="X84" s="13">
        <f>4+(10/60)</f>
        <v>4.166666666666667</v>
      </c>
      <c r="Y84" s="13">
        <f>8+(32/60)</f>
        <v>8.5333333333333332</v>
      </c>
      <c r="Z84" s="13">
        <f>17+(38/60)</f>
        <v>17.633333333333333</v>
      </c>
      <c r="AA84" s="13">
        <f>15+(7/60)</f>
        <v>15.116666666666667</v>
      </c>
      <c r="AB84" s="13">
        <f>23+(22/60)</f>
        <v>23.366666666666667</v>
      </c>
      <c r="AC84" s="13">
        <f>25+(27/60)</f>
        <v>25.45</v>
      </c>
      <c r="AD84" s="13">
        <f>7+(34/60)</f>
        <v>7.5666666666666664</v>
      </c>
      <c r="AE84" s="13">
        <f>6+(23/60)</f>
        <v>6.3833333333333337</v>
      </c>
      <c r="AF84" s="12">
        <v>0</v>
      </c>
      <c r="AG84" s="13">
        <v>3.8666666666666667</v>
      </c>
      <c r="AH84" s="14" t="s">
        <v>62</v>
      </c>
      <c r="AI84" s="14" t="s">
        <v>62</v>
      </c>
      <c r="AJ84" s="14" t="s">
        <v>62</v>
      </c>
      <c r="AK84" s="14" t="s">
        <v>62</v>
      </c>
      <c r="AL84" s="14" t="s">
        <v>62</v>
      </c>
      <c r="AM84" s="14" t="s">
        <v>62</v>
      </c>
      <c r="AN84" s="14" t="s">
        <v>62</v>
      </c>
      <c r="AO84" s="14" t="s">
        <v>62</v>
      </c>
      <c r="AP84" s="14" t="s">
        <v>62</v>
      </c>
      <c r="AQ84" s="14" t="s">
        <v>62</v>
      </c>
      <c r="AR84" s="14" t="s">
        <v>62</v>
      </c>
      <c r="AS84" s="14" t="s">
        <v>62</v>
      </c>
      <c r="AT84" s="14" t="s">
        <v>62</v>
      </c>
      <c r="AU84" s="14" t="s">
        <v>62</v>
      </c>
      <c r="AV84" s="14">
        <f>27+(27/60)</f>
        <v>27.45</v>
      </c>
      <c r="AW84" s="14">
        <f>3*24+14</f>
        <v>86</v>
      </c>
      <c r="AX84" s="14">
        <f>7*24+6</f>
        <v>174</v>
      </c>
      <c r="AY84" s="14" t="s">
        <v>62</v>
      </c>
      <c r="AZ84" s="14" t="s">
        <v>62</v>
      </c>
      <c r="BA84" s="14" t="s">
        <v>62</v>
      </c>
      <c r="BB84" s="13">
        <f>21+(40/60)</f>
        <v>21.666666666666668</v>
      </c>
      <c r="BC84" s="14" t="s">
        <v>62</v>
      </c>
      <c r="BD84" s="14" t="s">
        <v>62</v>
      </c>
      <c r="BE84" s="14" t="s">
        <v>62</v>
      </c>
      <c r="BF84" s="13">
        <f>27+(30/60)</f>
        <v>27.5</v>
      </c>
      <c r="BG84" s="13" t="s">
        <v>62</v>
      </c>
      <c r="BH84" s="14" t="s">
        <v>62</v>
      </c>
      <c r="BI84" s="14" t="s">
        <v>62</v>
      </c>
      <c r="BJ84" s="15" t="s">
        <v>62</v>
      </c>
      <c r="BL84" s="26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W84" s="26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</row>
    <row r="85" spans="1:188" x14ac:dyDescent="0.3">
      <c r="A85" s="10" t="s">
        <v>32</v>
      </c>
      <c r="B85" s="16" t="s">
        <v>62</v>
      </c>
      <c r="C85" s="14" t="s">
        <v>62</v>
      </c>
      <c r="D85" s="14" t="s">
        <v>62</v>
      </c>
      <c r="E85" s="14" t="s">
        <v>62</v>
      </c>
      <c r="F85" s="14" t="s">
        <v>62</v>
      </c>
      <c r="G85" s="14" t="s">
        <v>62</v>
      </c>
      <c r="H85" s="14" t="s">
        <v>62</v>
      </c>
      <c r="I85" s="14" t="s">
        <v>62</v>
      </c>
      <c r="J85" s="14" t="s">
        <v>62</v>
      </c>
      <c r="K85" s="14" t="s">
        <v>62</v>
      </c>
      <c r="L85" s="14" t="s">
        <v>62</v>
      </c>
      <c r="M85" s="14" t="s">
        <v>62</v>
      </c>
      <c r="N85" s="14" t="s">
        <v>62</v>
      </c>
      <c r="O85" s="14" t="s">
        <v>62</v>
      </c>
      <c r="P85" s="14" t="s">
        <v>62</v>
      </c>
      <c r="Q85" s="13">
        <f>20+(40/60)</f>
        <v>20.666666666666668</v>
      </c>
      <c r="R85" s="13" t="s">
        <v>62</v>
      </c>
      <c r="S85" s="13">
        <f>15+(11/60)</f>
        <v>15.183333333333334</v>
      </c>
      <c r="T85" s="13">
        <f>12+(35/60)</f>
        <v>12.583333333333334</v>
      </c>
      <c r="U85" s="13">
        <f>15+(17/60)</f>
        <v>15.283333333333333</v>
      </c>
      <c r="V85" s="13">
        <f>5+(45/60)</f>
        <v>5.75</v>
      </c>
      <c r="W85" s="13">
        <f>11+(2/60)</f>
        <v>11.033333333333333</v>
      </c>
      <c r="X85" s="13">
        <f>8+(34/60)</f>
        <v>8.5666666666666664</v>
      </c>
      <c r="Y85" s="13">
        <f>11+(54/60)</f>
        <v>11.9</v>
      </c>
      <c r="Z85" s="13">
        <f>13+(27/60)</f>
        <v>13.45</v>
      </c>
      <c r="AA85" s="13">
        <f>13</f>
        <v>13</v>
      </c>
      <c r="AB85" s="13" t="s">
        <v>62</v>
      </c>
      <c r="AC85" s="13">
        <f>21+(22/60)</f>
        <v>21.366666666666667</v>
      </c>
      <c r="AD85" s="13">
        <f>11+(58/60)</f>
        <v>11.966666666666667</v>
      </c>
      <c r="AE85" s="13">
        <f>5+(55/60)</f>
        <v>5.916666666666667</v>
      </c>
      <c r="AF85" s="13">
        <f>3+(52/60)</f>
        <v>3.8666666666666667</v>
      </c>
      <c r="AG85" s="12">
        <v>0</v>
      </c>
      <c r="AH85" s="14" t="s">
        <v>62</v>
      </c>
      <c r="AI85" s="14" t="s">
        <v>62</v>
      </c>
      <c r="AJ85" s="14" t="s">
        <v>62</v>
      </c>
      <c r="AK85" s="14" t="s">
        <v>62</v>
      </c>
      <c r="AL85" s="14" t="s">
        <v>62</v>
      </c>
      <c r="AM85" s="14" t="s">
        <v>62</v>
      </c>
      <c r="AN85" s="14" t="s">
        <v>62</v>
      </c>
      <c r="AO85" s="14" t="s">
        <v>62</v>
      </c>
      <c r="AP85" s="14" t="s">
        <v>62</v>
      </c>
      <c r="AQ85" s="14" t="s">
        <v>62</v>
      </c>
      <c r="AR85" s="14" t="s">
        <v>62</v>
      </c>
      <c r="AS85" s="14" t="s">
        <v>62</v>
      </c>
      <c r="AT85" s="14" t="s">
        <v>62</v>
      </c>
      <c r="AU85" s="14" t="s">
        <v>62</v>
      </c>
      <c r="AV85" s="14">
        <f>33+(22/60)</f>
        <v>33.366666666666667</v>
      </c>
      <c r="AW85" s="14">
        <f>4*24+13</f>
        <v>109</v>
      </c>
      <c r="AX85" s="14">
        <f>7*24+13</f>
        <v>181</v>
      </c>
      <c r="AY85" s="14" t="s">
        <v>62</v>
      </c>
      <c r="AZ85" s="14" t="s">
        <v>62</v>
      </c>
      <c r="BA85" s="14" t="s">
        <v>62</v>
      </c>
      <c r="BB85" s="13">
        <f>22+(45/60)</f>
        <v>22.75</v>
      </c>
      <c r="BC85" s="14" t="s">
        <v>62</v>
      </c>
      <c r="BD85" s="14" t="s">
        <v>62</v>
      </c>
      <c r="BE85" s="14" t="s">
        <v>62</v>
      </c>
      <c r="BF85" s="13">
        <f>27+(8/60)</f>
        <v>27.133333333333333</v>
      </c>
      <c r="BG85" s="12" t="s">
        <v>62</v>
      </c>
      <c r="BH85" s="14" t="s">
        <v>62</v>
      </c>
      <c r="BI85" s="14" t="s">
        <v>62</v>
      </c>
      <c r="BJ85" s="15" t="s">
        <v>62</v>
      </c>
      <c r="BL85" s="26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W85" s="26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</row>
    <row r="86" spans="1:188" x14ac:dyDescent="0.3">
      <c r="A86" s="10" t="s">
        <v>33</v>
      </c>
      <c r="B86" s="16" t="s">
        <v>62</v>
      </c>
      <c r="C86" s="14" t="s">
        <v>62</v>
      </c>
      <c r="D86" s="14" t="s">
        <v>62</v>
      </c>
      <c r="E86" s="14" t="s">
        <v>62</v>
      </c>
      <c r="F86" s="14" t="s">
        <v>62</v>
      </c>
      <c r="G86" s="14" t="s">
        <v>62</v>
      </c>
      <c r="H86" s="14" t="s">
        <v>62</v>
      </c>
      <c r="I86" s="14" t="s">
        <v>62</v>
      </c>
      <c r="J86" s="14" t="s">
        <v>62</v>
      </c>
      <c r="K86" s="14" t="s">
        <v>62</v>
      </c>
      <c r="L86" s="14" t="s">
        <v>62</v>
      </c>
      <c r="M86" s="14" t="s">
        <v>62</v>
      </c>
      <c r="N86" s="14" t="s">
        <v>62</v>
      </c>
      <c r="O86" s="14" t="s">
        <v>62</v>
      </c>
      <c r="P86" s="14" t="s">
        <v>62</v>
      </c>
      <c r="Q86" s="14" t="s">
        <v>62</v>
      </c>
      <c r="R86" s="14" t="s">
        <v>62</v>
      </c>
      <c r="S86" s="14" t="s">
        <v>62</v>
      </c>
      <c r="T86" s="14" t="s">
        <v>62</v>
      </c>
      <c r="U86" s="14" t="s">
        <v>62</v>
      </c>
      <c r="V86" s="14" t="s">
        <v>62</v>
      </c>
      <c r="W86" s="14" t="s">
        <v>62</v>
      </c>
      <c r="X86" s="14" t="s">
        <v>62</v>
      </c>
      <c r="Y86" s="14" t="s">
        <v>62</v>
      </c>
      <c r="Z86" s="14" t="s">
        <v>62</v>
      </c>
      <c r="AA86" s="14" t="s">
        <v>62</v>
      </c>
      <c r="AB86" s="14" t="s">
        <v>62</v>
      </c>
      <c r="AC86" s="14" t="s">
        <v>62</v>
      </c>
      <c r="AD86" s="14" t="s">
        <v>62</v>
      </c>
      <c r="AE86" s="14" t="s">
        <v>62</v>
      </c>
      <c r="AF86" s="14" t="s">
        <v>62</v>
      </c>
      <c r="AG86" s="14" t="s">
        <v>62</v>
      </c>
      <c r="AH86" s="12">
        <v>0</v>
      </c>
      <c r="AI86" s="13">
        <v>17.75</v>
      </c>
      <c r="AJ86" s="13">
        <v>21.5</v>
      </c>
      <c r="AK86" s="13">
        <v>32.666666666666664</v>
      </c>
      <c r="AL86" s="13" t="s">
        <v>62</v>
      </c>
      <c r="AM86" s="13" t="s">
        <v>62</v>
      </c>
      <c r="AN86" s="13" t="s">
        <v>62</v>
      </c>
      <c r="AO86" s="14" t="s">
        <v>62</v>
      </c>
      <c r="AP86" s="14" t="s">
        <v>62</v>
      </c>
      <c r="AQ86" s="14" t="s">
        <v>62</v>
      </c>
      <c r="AR86" s="13" t="s">
        <v>62</v>
      </c>
      <c r="AS86" s="13" t="s">
        <v>62</v>
      </c>
      <c r="AT86" s="13" t="s">
        <v>62</v>
      </c>
      <c r="AU86" s="13" t="s">
        <v>62</v>
      </c>
      <c r="AV86" s="13" t="s">
        <v>62</v>
      </c>
      <c r="AW86" s="12">
        <f>7*24</f>
        <v>168</v>
      </c>
      <c r="AX86" s="13" t="s">
        <v>62</v>
      </c>
      <c r="AY86" s="14" t="s">
        <v>62</v>
      </c>
      <c r="AZ86" s="14" t="s">
        <v>62</v>
      </c>
      <c r="BA86" s="13" t="s">
        <v>62</v>
      </c>
      <c r="BB86" s="14" t="s">
        <v>62</v>
      </c>
      <c r="BC86" s="13" t="s">
        <v>62</v>
      </c>
      <c r="BD86" s="13">
        <f>3*24+14</f>
        <v>86</v>
      </c>
      <c r="BE86" s="13">
        <f>3*24+20</f>
        <v>92</v>
      </c>
      <c r="BF86" s="14" t="s">
        <v>62</v>
      </c>
      <c r="BG86" s="14" t="s">
        <v>62</v>
      </c>
      <c r="BH86" s="14" t="s">
        <v>62</v>
      </c>
      <c r="BI86" s="14" t="s">
        <v>62</v>
      </c>
      <c r="BJ86" s="15" t="s">
        <v>62</v>
      </c>
      <c r="BL86" s="26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W86" s="26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</row>
    <row r="87" spans="1:188" x14ac:dyDescent="0.3">
      <c r="A87" s="10" t="s">
        <v>34</v>
      </c>
      <c r="B87" s="16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14" t="s">
        <v>62</v>
      </c>
      <c r="I87" s="14" t="s">
        <v>62</v>
      </c>
      <c r="J87" s="14" t="s">
        <v>62</v>
      </c>
      <c r="K87" s="14" t="s">
        <v>62</v>
      </c>
      <c r="L87" s="14" t="s">
        <v>62</v>
      </c>
      <c r="M87" s="14" t="s">
        <v>62</v>
      </c>
      <c r="N87" s="14" t="s">
        <v>62</v>
      </c>
      <c r="O87" s="14" t="s">
        <v>62</v>
      </c>
      <c r="P87" s="14" t="s">
        <v>62</v>
      </c>
      <c r="Q87" s="14" t="s">
        <v>62</v>
      </c>
      <c r="R87" s="14" t="s">
        <v>62</v>
      </c>
      <c r="S87" s="14" t="s">
        <v>62</v>
      </c>
      <c r="T87" s="14" t="s">
        <v>62</v>
      </c>
      <c r="U87" s="14" t="s">
        <v>62</v>
      </c>
      <c r="V87" s="14" t="s">
        <v>62</v>
      </c>
      <c r="W87" s="14" t="s">
        <v>62</v>
      </c>
      <c r="X87" s="14" t="s">
        <v>62</v>
      </c>
      <c r="Y87" s="14" t="s">
        <v>62</v>
      </c>
      <c r="Z87" s="14" t="s">
        <v>62</v>
      </c>
      <c r="AA87" s="14" t="s">
        <v>62</v>
      </c>
      <c r="AB87" s="14" t="s">
        <v>62</v>
      </c>
      <c r="AC87" s="14" t="s">
        <v>62</v>
      </c>
      <c r="AD87" s="14" t="s">
        <v>62</v>
      </c>
      <c r="AE87" s="14" t="s">
        <v>62</v>
      </c>
      <c r="AF87" s="14" t="s">
        <v>62</v>
      </c>
      <c r="AG87" s="14" t="s">
        <v>62</v>
      </c>
      <c r="AH87" s="13">
        <f>17+(45/60)</f>
        <v>17.75</v>
      </c>
      <c r="AI87" s="12">
        <v>0</v>
      </c>
      <c r="AJ87" s="13">
        <v>32.416666666666664</v>
      </c>
      <c r="AK87" s="13">
        <v>26.166666666666668</v>
      </c>
      <c r="AL87" s="13" t="s">
        <v>62</v>
      </c>
      <c r="AM87" s="13" t="s">
        <v>62</v>
      </c>
      <c r="AN87" s="13" t="s">
        <v>62</v>
      </c>
      <c r="AO87" s="14" t="s">
        <v>62</v>
      </c>
      <c r="AP87" s="14" t="s">
        <v>62</v>
      </c>
      <c r="AQ87" s="14" t="s">
        <v>62</v>
      </c>
      <c r="AR87" s="13" t="s">
        <v>62</v>
      </c>
      <c r="AS87" s="13" t="s">
        <v>62</v>
      </c>
      <c r="AT87" s="13" t="s">
        <v>62</v>
      </c>
      <c r="AU87" s="12" t="s">
        <v>62</v>
      </c>
      <c r="AV87" s="13" t="s">
        <v>62</v>
      </c>
      <c r="AW87" s="13" t="s">
        <v>62</v>
      </c>
      <c r="AX87" s="12" t="s">
        <v>62</v>
      </c>
      <c r="AY87" s="14" t="s">
        <v>62</v>
      </c>
      <c r="AZ87" s="14" t="s">
        <v>62</v>
      </c>
      <c r="BA87" s="13" t="s">
        <v>62</v>
      </c>
      <c r="BB87" s="14" t="s">
        <v>62</v>
      </c>
      <c r="BC87" s="12" t="s">
        <v>62</v>
      </c>
      <c r="BD87" s="12">
        <f>2*24+19</f>
        <v>67</v>
      </c>
      <c r="BE87" s="12">
        <f>3*24+1</f>
        <v>73</v>
      </c>
      <c r="BF87" s="14" t="s">
        <v>62</v>
      </c>
      <c r="BG87" s="14" t="s">
        <v>62</v>
      </c>
      <c r="BH87" s="14" t="s">
        <v>62</v>
      </c>
      <c r="BI87" s="14" t="s">
        <v>62</v>
      </c>
      <c r="BJ87" s="15" t="s">
        <v>62</v>
      </c>
      <c r="BL87" s="26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W87" s="26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</row>
    <row r="88" spans="1:188" x14ac:dyDescent="0.3">
      <c r="A88" s="10" t="s">
        <v>35</v>
      </c>
      <c r="B88" s="16" t="s">
        <v>62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14" t="s">
        <v>62</v>
      </c>
      <c r="I88" s="14" t="s">
        <v>62</v>
      </c>
      <c r="J88" s="14" t="s">
        <v>62</v>
      </c>
      <c r="K88" s="14" t="s">
        <v>62</v>
      </c>
      <c r="L88" s="14" t="s">
        <v>62</v>
      </c>
      <c r="M88" s="14" t="s">
        <v>62</v>
      </c>
      <c r="N88" s="14" t="s">
        <v>62</v>
      </c>
      <c r="O88" s="14" t="s">
        <v>62</v>
      </c>
      <c r="P88" s="14" t="s">
        <v>62</v>
      </c>
      <c r="Q88" s="14" t="s">
        <v>62</v>
      </c>
      <c r="R88" s="14" t="s">
        <v>62</v>
      </c>
      <c r="S88" s="14" t="s">
        <v>62</v>
      </c>
      <c r="T88" s="14" t="s">
        <v>62</v>
      </c>
      <c r="U88" s="14" t="s">
        <v>62</v>
      </c>
      <c r="V88" s="14" t="s">
        <v>62</v>
      </c>
      <c r="W88" s="14" t="s">
        <v>62</v>
      </c>
      <c r="X88" s="14" t="s">
        <v>62</v>
      </c>
      <c r="Y88" s="14" t="s">
        <v>62</v>
      </c>
      <c r="Z88" s="14" t="s">
        <v>62</v>
      </c>
      <c r="AA88" s="14" t="s">
        <v>62</v>
      </c>
      <c r="AB88" s="14" t="s">
        <v>62</v>
      </c>
      <c r="AC88" s="14" t="s">
        <v>62</v>
      </c>
      <c r="AD88" s="14" t="s">
        <v>62</v>
      </c>
      <c r="AE88" s="14" t="s">
        <v>62</v>
      </c>
      <c r="AF88" s="14" t="s">
        <v>62</v>
      </c>
      <c r="AG88" s="14" t="s">
        <v>62</v>
      </c>
      <c r="AH88" s="13">
        <f>21+(30/60)</f>
        <v>21.5</v>
      </c>
      <c r="AI88" s="13">
        <f>32+(25/60)</f>
        <v>32.416666666666664</v>
      </c>
      <c r="AJ88" s="12">
        <v>0</v>
      </c>
      <c r="AK88" s="13">
        <v>23.916666666666668</v>
      </c>
      <c r="AL88" s="13" t="s">
        <v>62</v>
      </c>
      <c r="AM88" s="13" t="s">
        <v>62</v>
      </c>
      <c r="AN88" s="13" t="s">
        <v>62</v>
      </c>
      <c r="AO88" s="14" t="s">
        <v>62</v>
      </c>
      <c r="AP88" s="14" t="s">
        <v>62</v>
      </c>
      <c r="AQ88" s="14" t="s">
        <v>62</v>
      </c>
      <c r="AR88" s="13" t="s">
        <v>62</v>
      </c>
      <c r="AS88" s="13" t="s">
        <v>62</v>
      </c>
      <c r="AT88" s="13" t="s">
        <v>62</v>
      </c>
      <c r="AU88" s="13" t="s">
        <v>62</v>
      </c>
      <c r="AV88" s="13" t="s">
        <v>62</v>
      </c>
      <c r="AW88" s="13" t="s">
        <v>62</v>
      </c>
      <c r="AX88" s="13" t="s">
        <v>62</v>
      </c>
      <c r="AY88" s="14" t="s">
        <v>62</v>
      </c>
      <c r="AZ88" s="14" t="s">
        <v>62</v>
      </c>
      <c r="BA88" s="13" t="s">
        <v>62</v>
      </c>
      <c r="BB88" s="14" t="s">
        <v>62</v>
      </c>
      <c r="BC88" s="13" t="s">
        <v>62</v>
      </c>
      <c r="BD88" s="13">
        <f>4*24+2</f>
        <v>98</v>
      </c>
      <c r="BE88" s="13" t="s">
        <v>62</v>
      </c>
      <c r="BF88" s="14" t="s">
        <v>62</v>
      </c>
      <c r="BG88" s="14" t="s">
        <v>62</v>
      </c>
      <c r="BH88" s="14" t="s">
        <v>62</v>
      </c>
      <c r="BI88" s="14" t="s">
        <v>62</v>
      </c>
      <c r="BJ88" s="15" t="s">
        <v>62</v>
      </c>
      <c r="BL88" s="26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W88" s="26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</row>
    <row r="89" spans="1:188" x14ac:dyDescent="0.3">
      <c r="A89" s="10" t="s">
        <v>36</v>
      </c>
      <c r="B89" s="16" t="s">
        <v>62</v>
      </c>
      <c r="C89" s="14" t="s">
        <v>62</v>
      </c>
      <c r="D89" s="14" t="s">
        <v>62</v>
      </c>
      <c r="E89" s="14" t="s">
        <v>62</v>
      </c>
      <c r="F89" s="14" t="s">
        <v>62</v>
      </c>
      <c r="G89" s="14" t="s">
        <v>62</v>
      </c>
      <c r="H89" s="14" t="s">
        <v>62</v>
      </c>
      <c r="I89" s="14" t="s">
        <v>62</v>
      </c>
      <c r="J89" s="14" t="s">
        <v>62</v>
      </c>
      <c r="K89" s="14" t="s">
        <v>62</v>
      </c>
      <c r="L89" s="14" t="s">
        <v>62</v>
      </c>
      <c r="M89" s="14" t="s">
        <v>62</v>
      </c>
      <c r="N89" s="14" t="s">
        <v>62</v>
      </c>
      <c r="O89" s="14" t="s">
        <v>62</v>
      </c>
      <c r="P89" s="14" t="s">
        <v>62</v>
      </c>
      <c r="Q89" s="14" t="s">
        <v>62</v>
      </c>
      <c r="R89" s="14" t="s">
        <v>62</v>
      </c>
      <c r="S89" s="14" t="s">
        <v>62</v>
      </c>
      <c r="T89" s="14" t="s">
        <v>62</v>
      </c>
      <c r="U89" s="14" t="s">
        <v>62</v>
      </c>
      <c r="V89" s="14" t="s">
        <v>62</v>
      </c>
      <c r="W89" s="14" t="s">
        <v>62</v>
      </c>
      <c r="X89" s="14" t="s">
        <v>62</v>
      </c>
      <c r="Y89" s="14" t="s">
        <v>62</v>
      </c>
      <c r="Z89" s="14" t="s">
        <v>62</v>
      </c>
      <c r="AA89" s="14" t="s">
        <v>62</v>
      </c>
      <c r="AB89" s="14" t="s">
        <v>62</v>
      </c>
      <c r="AC89" s="14" t="s">
        <v>62</v>
      </c>
      <c r="AD89" s="14" t="s">
        <v>62</v>
      </c>
      <c r="AE89" s="14" t="s">
        <v>62</v>
      </c>
      <c r="AF89" s="14" t="s">
        <v>62</v>
      </c>
      <c r="AG89" s="14" t="s">
        <v>62</v>
      </c>
      <c r="AH89" s="13">
        <f>32+(40/60)</f>
        <v>32.666666666666664</v>
      </c>
      <c r="AI89" s="13">
        <f>26+(10/60)</f>
        <v>26.166666666666668</v>
      </c>
      <c r="AJ89" s="13">
        <f>23+(55/60)</f>
        <v>23.916666666666668</v>
      </c>
      <c r="AK89" s="12">
        <v>0</v>
      </c>
      <c r="AL89" s="13" t="s">
        <v>62</v>
      </c>
      <c r="AM89" s="13" t="s">
        <v>62</v>
      </c>
      <c r="AN89" s="13" t="s">
        <v>62</v>
      </c>
      <c r="AO89" s="14" t="s">
        <v>62</v>
      </c>
      <c r="AP89" s="14" t="s">
        <v>62</v>
      </c>
      <c r="AQ89" s="14" t="s">
        <v>62</v>
      </c>
      <c r="AR89" s="13" t="s">
        <v>62</v>
      </c>
      <c r="AS89" s="13" t="s">
        <v>62</v>
      </c>
      <c r="AT89" s="13" t="s">
        <v>62</v>
      </c>
      <c r="AU89" s="13" t="s">
        <v>62</v>
      </c>
      <c r="AV89" s="13" t="s">
        <v>62</v>
      </c>
      <c r="AW89" s="13">
        <f>7*24+6</f>
        <v>174</v>
      </c>
      <c r="AX89" s="13" t="s">
        <v>62</v>
      </c>
      <c r="AY89" s="14" t="s">
        <v>62</v>
      </c>
      <c r="AZ89" s="14" t="s">
        <v>62</v>
      </c>
      <c r="BA89" s="13" t="s">
        <v>62</v>
      </c>
      <c r="BB89" s="14" t="s">
        <v>62</v>
      </c>
      <c r="BC89" s="13" t="s">
        <v>62</v>
      </c>
      <c r="BD89" s="13">
        <f>3*24+21</f>
        <v>93</v>
      </c>
      <c r="BE89" s="13">
        <f>4*24+4</f>
        <v>100</v>
      </c>
      <c r="BF89" s="14" t="s">
        <v>62</v>
      </c>
      <c r="BG89" s="14" t="s">
        <v>62</v>
      </c>
      <c r="BH89" s="14" t="s">
        <v>62</v>
      </c>
      <c r="BI89" s="14" t="s">
        <v>62</v>
      </c>
      <c r="BJ89" s="15" t="s">
        <v>62</v>
      </c>
      <c r="BL89" s="26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W89" s="26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</row>
    <row r="90" spans="1:188" x14ac:dyDescent="0.3">
      <c r="A90" s="10" t="s">
        <v>37</v>
      </c>
      <c r="B90" s="16" t="s">
        <v>62</v>
      </c>
      <c r="C90" s="14" t="s">
        <v>62</v>
      </c>
      <c r="D90" s="14" t="s">
        <v>62</v>
      </c>
      <c r="E90" s="14" t="s">
        <v>62</v>
      </c>
      <c r="F90" s="14" t="s">
        <v>62</v>
      </c>
      <c r="G90" s="14" t="s">
        <v>62</v>
      </c>
      <c r="H90" s="14" t="s">
        <v>62</v>
      </c>
      <c r="I90" s="14" t="s">
        <v>62</v>
      </c>
      <c r="J90" s="14" t="s">
        <v>62</v>
      </c>
      <c r="K90" s="14" t="s">
        <v>62</v>
      </c>
      <c r="L90" s="14" t="s">
        <v>62</v>
      </c>
      <c r="M90" s="14" t="s">
        <v>62</v>
      </c>
      <c r="N90" s="14" t="s">
        <v>62</v>
      </c>
      <c r="O90" s="14" t="s">
        <v>62</v>
      </c>
      <c r="P90" s="14" t="s">
        <v>62</v>
      </c>
      <c r="Q90" s="14" t="s">
        <v>62</v>
      </c>
      <c r="R90" s="14" t="s">
        <v>62</v>
      </c>
      <c r="S90" s="14" t="s">
        <v>62</v>
      </c>
      <c r="T90" s="14" t="s">
        <v>62</v>
      </c>
      <c r="U90" s="14" t="s">
        <v>62</v>
      </c>
      <c r="V90" s="14" t="s">
        <v>62</v>
      </c>
      <c r="W90" s="14" t="s">
        <v>62</v>
      </c>
      <c r="X90" s="14" t="s">
        <v>62</v>
      </c>
      <c r="Y90" s="14" t="s">
        <v>62</v>
      </c>
      <c r="Z90" s="14" t="s">
        <v>62</v>
      </c>
      <c r="AA90" s="14" t="s">
        <v>62</v>
      </c>
      <c r="AB90" s="14" t="s">
        <v>62</v>
      </c>
      <c r="AC90" s="14" t="s">
        <v>62</v>
      </c>
      <c r="AD90" s="14" t="s">
        <v>62</v>
      </c>
      <c r="AE90" s="14" t="s">
        <v>62</v>
      </c>
      <c r="AF90" s="14" t="s">
        <v>62</v>
      </c>
      <c r="AG90" s="14" t="s">
        <v>62</v>
      </c>
      <c r="AH90" s="13" t="s">
        <v>62</v>
      </c>
      <c r="AI90" s="13" t="s">
        <v>62</v>
      </c>
      <c r="AJ90" s="13" t="s">
        <v>62</v>
      </c>
      <c r="AK90" s="13" t="s">
        <v>62</v>
      </c>
      <c r="AL90" s="12">
        <v>0</v>
      </c>
      <c r="AM90" s="13">
        <v>2.7</v>
      </c>
      <c r="AN90" s="13">
        <v>5.9833333333333334</v>
      </c>
      <c r="AO90" s="14" t="s">
        <v>62</v>
      </c>
      <c r="AP90" s="14" t="s">
        <v>62</v>
      </c>
      <c r="AQ90" s="14" t="s">
        <v>62</v>
      </c>
      <c r="AR90" s="13" t="s">
        <v>62</v>
      </c>
      <c r="AS90" s="13" t="s">
        <v>62</v>
      </c>
      <c r="AT90" s="13" t="s">
        <v>62</v>
      </c>
      <c r="AU90" s="13" t="s">
        <v>62</v>
      </c>
      <c r="AV90" s="13" t="s">
        <v>62</v>
      </c>
      <c r="AW90" s="13" t="s">
        <v>62</v>
      </c>
      <c r="AX90" s="13" t="s">
        <v>62</v>
      </c>
      <c r="AY90" s="14" t="s">
        <v>62</v>
      </c>
      <c r="AZ90" s="14" t="s">
        <v>62</v>
      </c>
      <c r="BA90" s="13" t="s">
        <v>62</v>
      </c>
      <c r="BB90" s="14" t="s">
        <v>62</v>
      </c>
      <c r="BC90" s="13" t="s">
        <v>62</v>
      </c>
      <c r="BD90" s="13" t="s">
        <v>62</v>
      </c>
      <c r="BE90" s="13" t="s">
        <v>62</v>
      </c>
      <c r="BF90" s="14" t="s">
        <v>62</v>
      </c>
      <c r="BG90" s="14" t="s">
        <v>62</v>
      </c>
      <c r="BH90" s="14" t="s">
        <v>62</v>
      </c>
      <c r="BI90" s="14" t="s">
        <v>62</v>
      </c>
      <c r="BJ90" s="15" t="s">
        <v>62</v>
      </c>
      <c r="BL90" s="26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W90" s="26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</row>
    <row r="91" spans="1:188" x14ac:dyDescent="0.3">
      <c r="A91" s="10" t="s">
        <v>38</v>
      </c>
      <c r="B91" s="16" t="s">
        <v>62</v>
      </c>
      <c r="C91" s="14" t="s">
        <v>62</v>
      </c>
      <c r="D91" s="14" t="s">
        <v>62</v>
      </c>
      <c r="E91" s="14" t="s">
        <v>62</v>
      </c>
      <c r="F91" s="14" t="s">
        <v>62</v>
      </c>
      <c r="G91" s="14" t="s">
        <v>62</v>
      </c>
      <c r="H91" s="14" t="s">
        <v>62</v>
      </c>
      <c r="I91" s="14" t="s">
        <v>62</v>
      </c>
      <c r="J91" s="14" t="s">
        <v>62</v>
      </c>
      <c r="K91" s="14" t="s">
        <v>62</v>
      </c>
      <c r="L91" s="14" t="s">
        <v>62</v>
      </c>
      <c r="M91" s="14" t="s">
        <v>62</v>
      </c>
      <c r="N91" s="14" t="s">
        <v>62</v>
      </c>
      <c r="O91" s="14" t="s">
        <v>62</v>
      </c>
      <c r="P91" s="14" t="s">
        <v>62</v>
      </c>
      <c r="Q91" s="14" t="s">
        <v>62</v>
      </c>
      <c r="R91" s="14" t="s">
        <v>62</v>
      </c>
      <c r="S91" s="14" t="s">
        <v>62</v>
      </c>
      <c r="T91" s="14" t="s">
        <v>62</v>
      </c>
      <c r="U91" s="14" t="s">
        <v>62</v>
      </c>
      <c r="V91" s="14" t="s">
        <v>62</v>
      </c>
      <c r="W91" s="14" t="s">
        <v>62</v>
      </c>
      <c r="X91" s="14" t="s">
        <v>62</v>
      </c>
      <c r="Y91" s="14" t="s">
        <v>62</v>
      </c>
      <c r="Z91" s="14" t="s">
        <v>62</v>
      </c>
      <c r="AA91" s="14" t="s">
        <v>62</v>
      </c>
      <c r="AB91" s="14" t="s">
        <v>62</v>
      </c>
      <c r="AC91" s="14" t="s">
        <v>62</v>
      </c>
      <c r="AD91" s="14" t="s">
        <v>62</v>
      </c>
      <c r="AE91" s="14" t="s">
        <v>62</v>
      </c>
      <c r="AF91" s="14" t="s">
        <v>62</v>
      </c>
      <c r="AG91" s="14" t="s">
        <v>62</v>
      </c>
      <c r="AH91" s="13" t="s">
        <v>62</v>
      </c>
      <c r="AI91" s="13" t="s">
        <v>62</v>
      </c>
      <c r="AJ91" s="13" t="s">
        <v>62</v>
      </c>
      <c r="AK91" s="13" t="s">
        <v>62</v>
      </c>
      <c r="AL91" s="13">
        <f>2+(42/60)</f>
        <v>2.7</v>
      </c>
      <c r="AM91" s="12">
        <v>0</v>
      </c>
      <c r="AN91" s="13">
        <v>3.9</v>
      </c>
      <c r="AO91" s="14" t="s">
        <v>62</v>
      </c>
      <c r="AP91" s="14" t="s">
        <v>62</v>
      </c>
      <c r="AQ91" s="14" t="s">
        <v>62</v>
      </c>
      <c r="AR91" s="13" t="s">
        <v>62</v>
      </c>
      <c r="AS91" s="13" t="s">
        <v>62</v>
      </c>
      <c r="AT91" s="13" t="s">
        <v>62</v>
      </c>
      <c r="AU91" s="13" t="s">
        <v>62</v>
      </c>
      <c r="AV91" s="13" t="s">
        <v>62</v>
      </c>
      <c r="AW91" s="13" t="s">
        <v>62</v>
      </c>
      <c r="AX91" s="13" t="s">
        <v>62</v>
      </c>
      <c r="AY91" s="14" t="s">
        <v>62</v>
      </c>
      <c r="AZ91" s="14" t="s">
        <v>62</v>
      </c>
      <c r="BA91" s="13" t="s">
        <v>62</v>
      </c>
      <c r="BB91" s="14" t="s">
        <v>62</v>
      </c>
      <c r="BC91" s="13" t="s">
        <v>62</v>
      </c>
      <c r="BD91" s="13" t="s">
        <v>62</v>
      </c>
      <c r="BE91" s="13" t="s">
        <v>62</v>
      </c>
      <c r="BF91" s="14" t="s">
        <v>62</v>
      </c>
      <c r="BG91" s="14" t="s">
        <v>62</v>
      </c>
      <c r="BH91" s="14" t="s">
        <v>62</v>
      </c>
      <c r="BI91" s="14" t="s">
        <v>62</v>
      </c>
      <c r="BJ91" s="15" t="s">
        <v>62</v>
      </c>
      <c r="BL91" s="26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W91" s="26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</row>
    <row r="92" spans="1:188" x14ac:dyDescent="0.3">
      <c r="A92" s="10" t="s">
        <v>39</v>
      </c>
      <c r="B92" s="16" t="s">
        <v>62</v>
      </c>
      <c r="C92" s="14" t="s">
        <v>62</v>
      </c>
      <c r="D92" s="14" t="s">
        <v>62</v>
      </c>
      <c r="E92" s="14" t="s">
        <v>62</v>
      </c>
      <c r="F92" s="14" t="s">
        <v>62</v>
      </c>
      <c r="G92" s="14" t="s">
        <v>62</v>
      </c>
      <c r="H92" s="14" t="s">
        <v>62</v>
      </c>
      <c r="I92" s="14" t="s">
        <v>62</v>
      </c>
      <c r="J92" s="14" t="s">
        <v>62</v>
      </c>
      <c r="K92" s="14" t="s">
        <v>62</v>
      </c>
      <c r="L92" s="14" t="s">
        <v>62</v>
      </c>
      <c r="M92" s="14" t="s">
        <v>62</v>
      </c>
      <c r="N92" s="14" t="s">
        <v>62</v>
      </c>
      <c r="O92" s="14" t="s">
        <v>62</v>
      </c>
      <c r="P92" s="14" t="s">
        <v>62</v>
      </c>
      <c r="Q92" s="14" t="s">
        <v>62</v>
      </c>
      <c r="R92" s="14" t="s">
        <v>62</v>
      </c>
      <c r="S92" s="14" t="s">
        <v>62</v>
      </c>
      <c r="T92" s="14" t="s">
        <v>62</v>
      </c>
      <c r="U92" s="14" t="s">
        <v>62</v>
      </c>
      <c r="V92" s="14" t="s">
        <v>62</v>
      </c>
      <c r="W92" s="14" t="s">
        <v>62</v>
      </c>
      <c r="X92" s="14" t="s">
        <v>62</v>
      </c>
      <c r="Y92" s="14" t="s">
        <v>62</v>
      </c>
      <c r="Z92" s="14" t="s">
        <v>62</v>
      </c>
      <c r="AA92" s="14" t="s">
        <v>62</v>
      </c>
      <c r="AB92" s="14" t="s">
        <v>62</v>
      </c>
      <c r="AC92" s="14" t="s">
        <v>62</v>
      </c>
      <c r="AD92" s="14" t="s">
        <v>62</v>
      </c>
      <c r="AE92" s="14" t="s">
        <v>62</v>
      </c>
      <c r="AF92" s="14" t="s">
        <v>62</v>
      </c>
      <c r="AG92" s="14" t="s">
        <v>62</v>
      </c>
      <c r="AH92" s="13" t="s">
        <v>62</v>
      </c>
      <c r="AI92" s="13" t="s">
        <v>62</v>
      </c>
      <c r="AJ92" s="13" t="s">
        <v>62</v>
      </c>
      <c r="AK92" s="13" t="s">
        <v>62</v>
      </c>
      <c r="AL92" s="13">
        <f>5+(59/60)</f>
        <v>5.9833333333333334</v>
      </c>
      <c r="AM92" s="13">
        <f>3+(54/60)</f>
        <v>3.9</v>
      </c>
      <c r="AN92" s="12">
        <v>0</v>
      </c>
      <c r="AO92" s="14" t="s">
        <v>62</v>
      </c>
      <c r="AP92" s="14" t="s">
        <v>62</v>
      </c>
      <c r="AQ92" s="14" t="s">
        <v>62</v>
      </c>
      <c r="AR92" s="13" t="s">
        <v>62</v>
      </c>
      <c r="AS92" s="13" t="s">
        <v>62</v>
      </c>
      <c r="AT92" s="13" t="s">
        <v>62</v>
      </c>
      <c r="AU92" s="13" t="s">
        <v>62</v>
      </c>
      <c r="AV92" s="13" t="s">
        <v>62</v>
      </c>
      <c r="AW92" s="13" t="s">
        <v>62</v>
      </c>
      <c r="AX92" s="13" t="s">
        <v>62</v>
      </c>
      <c r="AY92" s="14" t="s">
        <v>62</v>
      </c>
      <c r="AZ92" s="14" t="s">
        <v>62</v>
      </c>
      <c r="BA92" s="13" t="s">
        <v>62</v>
      </c>
      <c r="BB92" s="14" t="s">
        <v>62</v>
      </c>
      <c r="BC92" s="13" t="s">
        <v>62</v>
      </c>
      <c r="BD92" s="13" t="s">
        <v>62</v>
      </c>
      <c r="BE92" s="13" t="s">
        <v>62</v>
      </c>
      <c r="BF92" s="14" t="s">
        <v>62</v>
      </c>
      <c r="BG92" s="14" t="s">
        <v>62</v>
      </c>
      <c r="BH92" s="14" t="s">
        <v>62</v>
      </c>
      <c r="BI92" s="14" t="s">
        <v>62</v>
      </c>
      <c r="BJ92" s="15" t="s">
        <v>62</v>
      </c>
      <c r="BL92" s="26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W92" s="26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</row>
    <row r="93" spans="1:188" x14ac:dyDescent="0.3">
      <c r="A93" s="10" t="s">
        <v>40</v>
      </c>
      <c r="B93" s="16" t="s">
        <v>62</v>
      </c>
      <c r="C93" s="14" t="s">
        <v>62</v>
      </c>
      <c r="D93" s="14" t="s">
        <v>62</v>
      </c>
      <c r="E93" s="14" t="s">
        <v>62</v>
      </c>
      <c r="F93" s="14" t="s">
        <v>62</v>
      </c>
      <c r="G93" s="14" t="s">
        <v>62</v>
      </c>
      <c r="H93" s="14" t="s">
        <v>62</v>
      </c>
      <c r="I93" s="14" t="s">
        <v>62</v>
      </c>
      <c r="J93" s="14" t="s">
        <v>62</v>
      </c>
      <c r="K93" s="14" t="s">
        <v>62</v>
      </c>
      <c r="L93" s="14" t="s">
        <v>62</v>
      </c>
      <c r="M93" s="14" t="s">
        <v>62</v>
      </c>
      <c r="N93" s="14" t="s">
        <v>62</v>
      </c>
      <c r="O93" s="14" t="s">
        <v>62</v>
      </c>
      <c r="P93" s="14" t="s">
        <v>62</v>
      </c>
      <c r="Q93" s="14" t="s">
        <v>62</v>
      </c>
      <c r="R93" s="14" t="s">
        <v>62</v>
      </c>
      <c r="S93" s="14" t="s">
        <v>62</v>
      </c>
      <c r="T93" s="14" t="s">
        <v>62</v>
      </c>
      <c r="U93" s="14" t="s">
        <v>62</v>
      </c>
      <c r="V93" s="14" t="s">
        <v>62</v>
      </c>
      <c r="W93" s="14" t="s">
        <v>62</v>
      </c>
      <c r="X93" s="14" t="s">
        <v>62</v>
      </c>
      <c r="Y93" s="14" t="s">
        <v>62</v>
      </c>
      <c r="Z93" s="14" t="s">
        <v>62</v>
      </c>
      <c r="AA93" s="14" t="s">
        <v>62</v>
      </c>
      <c r="AB93" s="14" t="s">
        <v>62</v>
      </c>
      <c r="AC93" s="14" t="s">
        <v>62</v>
      </c>
      <c r="AD93" s="14" t="s">
        <v>62</v>
      </c>
      <c r="AE93" s="14" t="s">
        <v>62</v>
      </c>
      <c r="AF93" s="14" t="s">
        <v>62</v>
      </c>
      <c r="AG93" s="14" t="s">
        <v>62</v>
      </c>
      <c r="AH93" s="14" t="s">
        <v>62</v>
      </c>
      <c r="AI93" s="14" t="s">
        <v>62</v>
      </c>
      <c r="AJ93" s="14" t="s">
        <v>62</v>
      </c>
      <c r="AK93" s="14" t="s">
        <v>62</v>
      </c>
      <c r="AL93" s="14" t="s">
        <v>62</v>
      </c>
      <c r="AM93" s="14" t="s">
        <v>62</v>
      </c>
      <c r="AN93" s="14" t="s">
        <v>62</v>
      </c>
      <c r="AO93" s="12">
        <v>0</v>
      </c>
      <c r="AP93" s="19">
        <v>11.15</v>
      </c>
      <c r="AQ93" s="19">
        <v>55</v>
      </c>
      <c r="AR93" s="14" t="s">
        <v>62</v>
      </c>
      <c r="AS93" s="14" t="s">
        <v>62</v>
      </c>
      <c r="AT93" s="14" t="s">
        <v>62</v>
      </c>
      <c r="AU93" s="14" t="s">
        <v>62</v>
      </c>
      <c r="AV93" s="14" t="s">
        <v>62</v>
      </c>
      <c r="AW93" s="14" t="s">
        <v>62</v>
      </c>
      <c r="AX93" s="14" t="s">
        <v>62</v>
      </c>
      <c r="AY93" s="14" t="s">
        <v>62</v>
      </c>
      <c r="AZ93" s="14" t="s">
        <v>62</v>
      </c>
      <c r="BA93" s="14" t="s">
        <v>62</v>
      </c>
      <c r="BB93" s="14" t="s">
        <v>62</v>
      </c>
      <c r="BC93" s="14" t="s">
        <v>62</v>
      </c>
      <c r="BD93" s="14" t="s">
        <v>62</v>
      </c>
      <c r="BE93" s="14" t="s">
        <v>62</v>
      </c>
      <c r="BF93" s="14" t="s">
        <v>62</v>
      </c>
      <c r="BG93" s="14" t="s">
        <v>62</v>
      </c>
      <c r="BH93" s="14" t="s">
        <v>62</v>
      </c>
      <c r="BI93" s="14" t="s">
        <v>62</v>
      </c>
      <c r="BJ93" s="15" t="s">
        <v>62</v>
      </c>
      <c r="BL93" s="26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W93" s="26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</row>
    <row r="94" spans="1:188" x14ac:dyDescent="0.3">
      <c r="A94" s="10" t="s">
        <v>41</v>
      </c>
      <c r="B94" s="16" t="s">
        <v>62</v>
      </c>
      <c r="C94" s="14" t="s">
        <v>62</v>
      </c>
      <c r="D94" s="14" t="s">
        <v>62</v>
      </c>
      <c r="E94" s="14" t="s">
        <v>62</v>
      </c>
      <c r="F94" s="14" t="s">
        <v>62</v>
      </c>
      <c r="G94" s="14" t="s">
        <v>62</v>
      </c>
      <c r="H94" s="14" t="s">
        <v>62</v>
      </c>
      <c r="I94" s="14" t="s">
        <v>62</v>
      </c>
      <c r="J94" s="14" t="s">
        <v>62</v>
      </c>
      <c r="K94" s="14" t="s">
        <v>62</v>
      </c>
      <c r="L94" s="14" t="s">
        <v>62</v>
      </c>
      <c r="M94" s="14" t="s">
        <v>62</v>
      </c>
      <c r="N94" s="14" t="s">
        <v>62</v>
      </c>
      <c r="O94" s="14" t="s">
        <v>62</v>
      </c>
      <c r="P94" s="14" t="s">
        <v>62</v>
      </c>
      <c r="Q94" s="14" t="s">
        <v>62</v>
      </c>
      <c r="R94" s="14" t="s">
        <v>62</v>
      </c>
      <c r="S94" s="14" t="s">
        <v>62</v>
      </c>
      <c r="T94" s="14" t="s">
        <v>62</v>
      </c>
      <c r="U94" s="14" t="s">
        <v>62</v>
      </c>
      <c r="V94" s="14" t="s">
        <v>62</v>
      </c>
      <c r="W94" s="14" t="s">
        <v>62</v>
      </c>
      <c r="X94" s="14" t="s">
        <v>62</v>
      </c>
      <c r="Y94" s="14" t="s">
        <v>62</v>
      </c>
      <c r="Z94" s="14" t="s">
        <v>62</v>
      </c>
      <c r="AA94" s="14" t="s">
        <v>62</v>
      </c>
      <c r="AB94" s="14" t="s">
        <v>62</v>
      </c>
      <c r="AC94" s="14" t="s">
        <v>62</v>
      </c>
      <c r="AD94" s="14" t="s">
        <v>62</v>
      </c>
      <c r="AE94" s="14" t="s">
        <v>62</v>
      </c>
      <c r="AF94" s="14" t="s">
        <v>62</v>
      </c>
      <c r="AG94" s="14" t="s">
        <v>62</v>
      </c>
      <c r="AH94" s="14" t="s">
        <v>62</v>
      </c>
      <c r="AI94" s="14" t="s">
        <v>62</v>
      </c>
      <c r="AJ94" s="14" t="s">
        <v>62</v>
      </c>
      <c r="AK94" s="14" t="s">
        <v>62</v>
      </c>
      <c r="AL94" s="14" t="s">
        <v>62</v>
      </c>
      <c r="AM94" s="14" t="s">
        <v>62</v>
      </c>
      <c r="AN94" s="14" t="s">
        <v>62</v>
      </c>
      <c r="AO94" s="13">
        <f>11+(9/60)</f>
        <v>11.15</v>
      </c>
      <c r="AP94" s="12">
        <v>0</v>
      </c>
      <c r="AQ94" s="13">
        <v>76</v>
      </c>
      <c r="AR94" s="14" t="s">
        <v>62</v>
      </c>
      <c r="AS94" s="14" t="s">
        <v>62</v>
      </c>
      <c r="AT94" s="14" t="s">
        <v>62</v>
      </c>
      <c r="AU94" s="14" t="s">
        <v>62</v>
      </c>
      <c r="AV94" s="14" t="s">
        <v>62</v>
      </c>
      <c r="AW94" s="14" t="s">
        <v>62</v>
      </c>
      <c r="AX94" s="14" t="s">
        <v>62</v>
      </c>
      <c r="AY94" s="14" t="s">
        <v>62</v>
      </c>
      <c r="AZ94" s="14" t="s">
        <v>62</v>
      </c>
      <c r="BA94" s="14" t="s">
        <v>62</v>
      </c>
      <c r="BB94" s="14" t="s">
        <v>62</v>
      </c>
      <c r="BC94" s="14" t="s">
        <v>62</v>
      </c>
      <c r="BD94" s="14" t="s">
        <v>62</v>
      </c>
      <c r="BE94" s="14" t="s">
        <v>62</v>
      </c>
      <c r="BF94" s="14" t="s">
        <v>62</v>
      </c>
      <c r="BG94" s="14" t="s">
        <v>62</v>
      </c>
      <c r="BH94" s="14" t="s">
        <v>62</v>
      </c>
      <c r="BI94" s="14" t="s">
        <v>62</v>
      </c>
      <c r="BJ94" s="15" t="s">
        <v>62</v>
      </c>
      <c r="BL94" s="26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W94" s="26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</row>
    <row r="95" spans="1:188" x14ac:dyDescent="0.3">
      <c r="A95" s="10" t="s">
        <v>42</v>
      </c>
      <c r="B95" s="16" t="s">
        <v>62</v>
      </c>
      <c r="C95" s="14" t="s">
        <v>62</v>
      </c>
      <c r="D95" s="14" t="s">
        <v>62</v>
      </c>
      <c r="E95" s="14" t="s">
        <v>62</v>
      </c>
      <c r="F95" s="14" t="s">
        <v>62</v>
      </c>
      <c r="G95" s="14" t="s">
        <v>62</v>
      </c>
      <c r="H95" s="14" t="s">
        <v>62</v>
      </c>
      <c r="I95" s="14" t="s">
        <v>62</v>
      </c>
      <c r="J95" s="14" t="s">
        <v>62</v>
      </c>
      <c r="K95" s="14" t="s">
        <v>62</v>
      </c>
      <c r="L95" s="14" t="s">
        <v>62</v>
      </c>
      <c r="M95" s="14" t="s">
        <v>62</v>
      </c>
      <c r="N95" s="14" t="s">
        <v>62</v>
      </c>
      <c r="O95" s="14" t="s">
        <v>62</v>
      </c>
      <c r="P95" s="14" t="s">
        <v>62</v>
      </c>
      <c r="Q95" s="14" t="s">
        <v>62</v>
      </c>
      <c r="R95" s="14" t="s">
        <v>62</v>
      </c>
      <c r="S95" s="14" t="s">
        <v>62</v>
      </c>
      <c r="T95" s="14" t="s">
        <v>62</v>
      </c>
      <c r="U95" s="14" t="s">
        <v>62</v>
      </c>
      <c r="V95" s="14" t="s">
        <v>62</v>
      </c>
      <c r="W95" s="14" t="s">
        <v>62</v>
      </c>
      <c r="X95" s="14" t="s">
        <v>62</v>
      </c>
      <c r="Y95" s="14" t="s">
        <v>62</v>
      </c>
      <c r="Z95" s="14" t="s">
        <v>62</v>
      </c>
      <c r="AA95" s="14" t="s">
        <v>62</v>
      </c>
      <c r="AB95" s="14" t="s">
        <v>62</v>
      </c>
      <c r="AC95" s="14" t="s">
        <v>62</v>
      </c>
      <c r="AD95" s="14" t="s">
        <v>62</v>
      </c>
      <c r="AE95" s="14" t="s">
        <v>62</v>
      </c>
      <c r="AF95" s="14" t="s">
        <v>62</v>
      </c>
      <c r="AG95" s="14" t="s">
        <v>62</v>
      </c>
      <c r="AH95" s="14" t="s">
        <v>62</v>
      </c>
      <c r="AI95" s="14" t="s">
        <v>62</v>
      </c>
      <c r="AJ95" s="14" t="s">
        <v>62</v>
      </c>
      <c r="AK95" s="14" t="s">
        <v>62</v>
      </c>
      <c r="AL95" s="14" t="s">
        <v>62</v>
      </c>
      <c r="AM95" s="14" t="s">
        <v>62</v>
      </c>
      <c r="AN95" s="14" t="s">
        <v>62</v>
      </c>
      <c r="AO95" s="13">
        <f>2*24+7</f>
        <v>55</v>
      </c>
      <c r="AP95" s="13">
        <f>3*24+4</f>
        <v>76</v>
      </c>
      <c r="AQ95" s="12">
        <v>0</v>
      </c>
      <c r="AR95" s="14" t="s">
        <v>62</v>
      </c>
      <c r="AS95" s="14" t="s">
        <v>62</v>
      </c>
      <c r="AT95" s="14" t="s">
        <v>62</v>
      </c>
      <c r="AU95" s="14" t="s">
        <v>62</v>
      </c>
      <c r="AV95" s="14" t="s">
        <v>62</v>
      </c>
      <c r="AW95" s="14" t="s">
        <v>62</v>
      </c>
      <c r="AX95" s="14" t="s">
        <v>62</v>
      </c>
      <c r="AY95" s="14" t="s">
        <v>62</v>
      </c>
      <c r="AZ95" s="14" t="s">
        <v>62</v>
      </c>
      <c r="BA95" s="14" t="s">
        <v>62</v>
      </c>
      <c r="BB95" s="14" t="s">
        <v>62</v>
      </c>
      <c r="BC95" s="14" t="s">
        <v>62</v>
      </c>
      <c r="BD95" s="14" t="s">
        <v>62</v>
      </c>
      <c r="BE95" s="14" t="s">
        <v>62</v>
      </c>
      <c r="BF95" s="14" t="s">
        <v>62</v>
      </c>
      <c r="BG95" s="14" t="s">
        <v>62</v>
      </c>
      <c r="BH95" s="14" t="s">
        <v>62</v>
      </c>
      <c r="BI95" s="14" t="s">
        <v>62</v>
      </c>
      <c r="BJ95" s="15" t="s">
        <v>62</v>
      </c>
      <c r="BL95" s="26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W95" s="26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</row>
    <row r="96" spans="1:188" x14ac:dyDescent="0.3">
      <c r="A96" s="10" t="s">
        <v>43</v>
      </c>
      <c r="B96" s="16" t="s">
        <v>62</v>
      </c>
      <c r="C96" s="14" t="s">
        <v>62</v>
      </c>
      <c r="D96" s="14" t="s">
        <v>62</v>
      </c>
      <c r="E96" s="14" t="s">
        <v>62</v>
      </c>
      <c r="F96" s="14" t="s">
        <v>62</v>
      </c>
      <c r="G96" s="14" t="s">
        <v>62</v>
      </c>
      <c r="H96" s="14" t="s">
        <v>62</v>
      </c>
      <c r="I96" s="14" t="s">
        <v>62</v>
      </c>
      <c r="J96" s="14" t="s">
        <v>62</v>
      </c>
      <c r="K96" s="14" t="s">
        <v>62</v>
      </c>
      <c r="L96" s="14" t="s">
        <v>62</v>
      </c>
      <c r="M96" s="14" t="s">
        <v>62</v>
      </c>
      <c r="N96" s="14" t="s">
        <v>62</v>
      </c>
      <c r="O96" s="14" t="s">
        <v>62</v>
      </c>
      <c r="P96" s="14" t="s">
        <v>62</v>
      </c>
      <c r="Q96" s="14" t="s">
        <v>62</v>
      </c>
      <c r="R96" s="14" t="s">
        <v>62</v>
      </c>
      <c r="S96" s="14" t="s">
        <v>62</v>
      </c>
      <c r="T96" s="14" t="s">
        <v>62</v>
      </c>
      <c r="U96" s="14" t="s">
        <v>62</v>
      </c>
      <c r="V96" s="14" t="s">
        <v>62</v>
      </c>
      <c r="W96" s="14" t="s">
        <v>62</v>
      </c>
      <c r="X96" s="14" t="s">
        <v>62</v>
      </c>
      <c r="Y96" s="14" t="s">
        <v>62</v>
      </c>
      <c r="Z96" s="14" t="s">
        <v>62</v>
      </c>
      <c r="AA96" s="14" t="s">
        <v>62</v>
      </c>
      <c r="AB96" s="14" t="s">
        <v>62</v>
      </c>
      <c r="AC96" s="14" t="s">
        <v>62</v>
      </c>
      <c r="AD96" s="14" t="s">
        <v>62</v>
      </c>
      <c r="AE96" s="14" t="s">
        <v>62</v>
      </c>
      <c r="AF96" s="14" t="s">
        <v>62</v>
      </c>
      <c r="AG96" s="14" t="s">
        <v>62</v>
      </c>
      <c r="AH96" s="13" t="s">
        <v>62</v>
      </c>
      <c r="AI96" s="13" t="s">
        <v>62</v>
      </c>
      <c r="AJ96" s="13" t="s">
        <v>62</v>
      </c>
      <c r="AK96" s="13" t="s">
        <v>62</v>
      </c>
      <c r="AL96" s="13" t="s">
        <v>62</v>
      </c>
      <c r="AM96" s="13" t="s">
        <v>62</v>
      </c>
      <c r="AN96" s="13" t="s">
        <v>62</v>
      </c>
      <c r="AO96" s="14" t="s">
        <v>62</v>
      </c>
      <c r="AP96" s="14" t="s">
        <v>62</v>
      </c>
      <c r="AQ96" s="14" t="s">
        <v>62</v>
      </c>
      <c r="AR96" s="12">
        <v>0</v>
      </c>
      <c r="AS96" s="13" t="s">
        <v>62</v>
      </c>
      <c r="AT96" s="13" t="s">
        <v>62</v>
      </c>
      <c r="AU96" s="13" t="s">
        <v>62</v>
      </c>
      <c r="AV96" s="13" t="s">
        <v>62</v>
      </c>
      <c r="AW96" s="13" t="s">
        <v>62</v>
      </c>
      <c r="AX96" s="13" t="s">
        <v>62</v>
      </c>
      <c r="AY96" s="14" t="s">
        <v>62</v>
      </c>
      <c r="AZ96" s="14" t="s">
        <v>62</v>
      </c>
      <c r="BA96" s="13" t="s">
        <v>62</v>
      </c>
      <c r="BB96" s="14" t="s">
        <v>62</v>
      </c>
      <c r="BC96" s="13" t="s">
        <v>62</v>
      </c>
      <c r="BD96" s="13" t="s">
        <v>62</v>
      </c>
      <c r="BE96" s="13" t="s">
        <v>62</v>
      </c>
      <c r="BF96" s="14" t="s">
        <v>62</v>
      </c>
      <c r="BG96" s="14" t="s">
        <v>62</v>
      </c>
      <c r="BH96" s="14" t="s">
        <v>62</v>
      </c>
      <c r="BI96" s="14" t="s">
        <v>62</v>
      </c>
      <c r="BJ96" s="15" t="s">
        <v>62</v>
      </c>
      <c r="BL96" s="26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W96" s="26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</row>
    <row r="97" spans="1:191" x14ac:dyDescent="0.3">
      <c r="A97" s="10" t="s">
        <v>44</v>
      </c>
      <c r="B97" s="16" t="s">
        <v>62</v>
      </c>
      <c r="C97" s="14" t="s">
        <v>62</v>
      </c>
      <c r="D97" s="14" t="s">
        <v>62</v>
      </c>
      <c r="E97" s="14" t="s">
        <v>62</v>
      </c>
      <c r="F97" s="14" t="s">
        <v>62</v>
      </c>
      <c r="G97" s="14" t="s">
        <v>62</v>
      </c>
      <c r="H97" s="14" t="s">
        <v>62</v>
      </c>
      <c r="I97" s="14" t="s">
        <v>62</v>
      </c>
      <c r="J97" s="14" t="s">
        <v>62</v>
      </c>
      <c r="K97" s="14" t="s">
        <v>62</v>
      </c>
      <c r="L97" s="14" t="s">
        <v>62</v>
      </c>
      <c r="M97" s="14" t="s">
        <v>62</v>
      </c>
      <c r="N97" s="14" t="s">
        <v>62</v>
      </c>
      <c r="O97" s="14" t="s">
        <v>62</v>
      </c>
      <c r="P97" s="14" t="s">
        <v>62</v>
      </c>
      <c r="Q97" s="14" t="s">
        <v>62</v>
      </c>
      <c r="R97" s="14" t="s">
        <v>62</v>
      </c>
      <c r="S97" s="14" t="s">
        <v>62</v>
      </c>
      <c r="T97" s="14" t="s">
        <v>62</v>
      </c>
      <c r="U97" s="14" t="s">
        <v>62</v>
      </c>
      <c r="V97" s="14" t="s">
        <v>62</v>
      </c>
      <c r="W97" s="14" t="s">
        <v>62</v>
      </c>
      <c r="X97" s="14" t="s">
        <v>62</v>
      </c>
      <c r="Y97" s="14" t="s">
        <v>62</v>
      </c>
      <c r="Z97" s="14" t="s">
        <v>62</v>
      </c>
      <c r="AA97" s="14" t="s">
        <v>62</v>
      </c>
      <c r="AB97" s="14" t="s">
        <v>62</v>
      </c>
      <c r="AC97" s="14" t="s">
        <v>62</v>
      </c>
      <c r="AD97" s="14" t="s">
        <v>62</v>
      </c>
      <c r="AE97" s="14" t="s">
        <v>62</v>
      </c>
      <c r="AF97" s="14" t="s">
        <v>62</v>
      </c>
      <c r="AG97" s="14" t="s">
        <v>62</v>
      </c>
      <c r="AH97" s="13" t="s">
        <v>62</v>
      </c>
      <c r="AI97" s="13" t="s">
        <v>62</v>
      </c>
      <c r="AJ97" s="13" t="s">
        <v>62</v>
      </c>
      <c r="AK97" s="13" t="s">
        <v>62</v>
      </c>
      <c r="AL97" s="13" t="s">
        <v>62</v>
      </c>
      <c r="AM97" s="13" t="s">
        <v>62</v>
      </c>
      <c r="AN97" s="13" t="s">
        <v>62</v>
      </c>
      <c r="AO97" s="14" t="s">
        <v>62</v>
      </c>
      <c r="AP97" s="14" t="s">
        <v>62</v>
      </c>
      <c r="AQ97" s="14" t="s">
        <v>62</v>
      </c>
      <c r="AR97" s="13" t="s">
        <v>62</v>
      </c>
      <c r="AS97" s="12">
        <v>0</v>
      </c>
      <c r="AT97" s="13" t="s">
        <v>62</v>
      </c>
      <c r="AU97" s="13" t="s">
        <v>62</v>
      </c>
      <c r="AV97" s="13" t="s">
        <v>62</v>
      </c>
      <c r="AW97" s="13" t="s">
        <v>62</v>
      </c>
      <c r="AX97" s="13" t="s">
        <v>62</v>
      </c>
      <c r="AY97" s="12" t="s">
        <v>62</v>
      </c>
      <c r="AZ97" s="12" t="s">
        <v>62</v>
      </c>
      <c r="BA97" s="13" t="s">
        <v>62</v>
      </c>
      <c r="BB97" s="14" t="s">
        <v>62</v>
      </c>
      <c r="BC97" s="13" t="s">
        <v>62</v>
      </c>
      <c r="BD97" s="13" t="s">
        <v>62</v>
      </c>
      <c r="BE97" s="13" t="s">
        <v>62</v>
      </c>
      <c r="BF97" s="14" t="s">
        <v>62</v>
      </c>
      <c r="BG97" s="14" t="s">
        <v>62</v>
      </c>
      <c r="BH97" s="14" t="s">
        <v>62</v>
      </c>
      <c r="BI97" s="14" t="s">
        <v>62</v>
      </c>
      <c r="BJ97" s="15" t="s">
        <v>62</v>
      </c>
      <c r="BL97" s="26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W97" s="26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</row>
    <row r="98" spans="1:191" x14ac:dyDescent="0.3">
      <c r="A98" s="20" t="s">
        <v>45</v>
      </c>
      <c r="B98" s="21" t="s">
        <v>62</v>
      </c>
      <c r="C98" s="22" t="s">
        <v>62</v>
      </c>
      <c r="D98" s="22" t="s">
        <v>62</v>
      </c>
      <c r="E98" s="22" t="s">
        <v>62</v>
      </c>
      <c r="F98" s="22" t="s">
        <v>62</v>
      </c>
      <c r="G98" s="22" t="s">
        <v>62</v>
      </c>
      <c r="H98" s="22" t="s">
        <v>62</v>
      </c>
      <c r="I98" s="22" t="s">
        <v>62</v>
      </c>
      <c r="J98" s="22" t="s">
        <v>62</v>
      </c>
      <c r="K98" s="22" t="s">
        <v>62</v>
      </c>
      <c r="L98" s="22" t="s">
        <v>62</v>
      </c>
      <c r="M98" s="22" t="s">
        <v>62</v>
      </c>
      <c r="N98" s="22" t="s">
        <v>62</v>
      </c>
      <c r="O98" s="22" t="s">
        <v>62</v>
      </c>
      <c r="P98" s="22" t="s">
        <v>62</v>
      </c>
      <c r="Q98" s="22" t="s">
        <v>62</v>
      </c>
      <c r="R98" s="22" t="s">
        <v>62</v>
      </c>
      <c r="S98" s="22" t="s">
        <v>62</v>
      </c>
      <c r="T98" s="22" t="s">
        <v>62</v>
      </c>
      <c r="U98" s="22" t="s">
        <v>62</v>
      </c>
      <c r="V98" s="22" t="s">
        <v>62</v>
      </c>
      <c r="W98" s="22" t="s">
        <v>62</v>
      </c>
      <c r="X98" s="22" t="s">
        <v>62</v>
      </c>
      <c r="Y98" s="22" t="s">
        <v>62</v>
      </c>
      <c r="Z98" s="22" t="s">
        <v>62</v>
      </c>
      <c r="AA98" s="22" t="s">
        <v>62</v>
      </c>
      <c r="AB98" s="22" t="s">
        <v>62</v>
      </c>
      <c r="AC98" s="22" t="s">
        <v>62</v>
      </c>
      <c r="AD98" s="22" t="s">
        <v>62</v>
      </c>
      <c r="AE98" s="22" t="s">
        <v>62</v>
      </c>
      <c r="AF98" s="22" t="s">
        <v>62</v>
      </c>
      <c r="AG98" s="22" t="s">
        <v>62</v>
      </c>
      <c r="AH98" s="23" t="s">
        <v>62</v>
      </c>
      <c r="AI98" s="23" t="s">
        <v>62</v>
      </c>
      <c r="AJ98" s="23" t="s">
        <v>62</v>
      </c>
      <c r="AK98" s="23" t="s">
        <v>62</v>
      </c>
      <c r="AL98" s="23" t="s">
        <v>62</v>
      </c>
      <c r="AM98" s="23" t="s">
        <v>62</v>
      </c>
      <c r="AN98" s="23" t="s">
        <v>62</v>
      </c>
      <c r="AO98" s="22" t="s">
        <v>62</v>
      </c>
      <c r="AP98" s="22" t="s">
        <v>62</v>
      </c>
      <c r="AQ98" s="22" t="s">
        <v>62</v>
      </c>
      <c r="AR98" s="23" t="s">
        <v>62</v>
      </c>
      <c r="AS98" s="23" t="s">
        <v>62</v>
      </c>
      <c r="AT98" s="24">
        <v>0</v>
      </c>
      <c r="AU98" s="23" t="s">
        <v>62</v>
      </c>
      <c r="AV98" s="23" t="s">
        <v>62</v>
      </c>
      <c r="AW98" s="23" t="s">
        <v>62</v>
      </c>
      <c r="AX98" s="23" t="s">
        <v>62</v>
      </c>
      <c r="AY98" s="22" t="s">
        <v>62</v>
      </c>
      <c r="AZ98" s="22" t="s">
        <v>62</v>
      </c>
      <c r="BA98" s="24" t="s">
        <v>62</v>
      </c>
      <c r="BB98" s="22" t="s">
        <v>62</v>
      </c>
      <c r="BC98" s="23" t="s">
        <v>62</v>
      </c>
      <c r="BD98" s="23" t="s">
        <v>62</v>
      </c>
      <c r="BE98" s="23" t="s">
        <v>62</v>
      </c>
      <c r="BF98" s="22" t="s">
        <v>62</v>
      </c>
      <c r="BG98" s="22" t="s">
        <v>62</v>
      </c>
      <c r="BH98" s="22" t="s">
        <v>62</v>
      </c>
      <c r="BI98" s="22" t="s">
        <v>62</v>
      </c>
      <c r="BJ98" s="25" t="s">
        <v>62</v>
      </c>
      <c r="BL98" s="26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W98" s="26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</row>
    <row r="99" spans="1:19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</row>
    <row r="100" spans="1:19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</row>
    <row r="101" spans="1:191" ht="21" x14ac:dyDescent="0.3">
      <c r="A101" s="55" t="s">
        <v>141</v>
      </c>
      <c r="B101" s="56"/>
      <c r="BM101" s="55" t="s">
        <v>143</v>
      </c>
      <c r="BN101" s="57"/>
      <c r="BO101" s="57"/>
      <c r="BP101" s="56"/>
      <c r="DY101" s="55" t="s">
        <v>144</v>
      </c>
      <c r="DZ101" s="57"/>
      <c r="EA101" s="57"/>
      <c r="EB101" s="56"/>
    </row>
    <row r="103" spans="1:191" ht="28.8" x14ac:dyDescent="0.3">
      <c r="A103" s="53" t="s">
        <v>66</v>
      </c>
      <c r="B103" s="54"/>
      <c r="C103" s="2" t="s">
        <v>1</v>
      </c>
      <c r="D103" s="3" t="s">
        <v>2</v>
      </c>
      <c r="E103" s="3" t="s">
        <v>3</v>
      </c>
      <c r="F103" s="3" t="s">
        <v>4</v>
      </c>
      <c r="G103" s="3" t="s">
        <v>5</v>
      </c>
      <c r="H103" s="3" t="s">
        <v>6</v>
      </c>
      <c r="I103" s="3" t="s">
        <v>7</v>
      </c>
      <c r="J103" s="3" t="s">
        <v>8</v>
      </c>
      <c r="K103" s="3" t="s">
        <v>9</v>
      </c>
      <c r="L103" s="3" t="s">
        <v>10</v>
      </c>
      <c r="M103" s="3" t="s">
        <v>11</v>
      </c>
      <c r="N103" s="3" t="s">
        <v>12</v>
      </c>
      <c r="O103" s="3" t="s">
        <v>13</v>
      </c>
      <c r="P103" s="3" t="s">
        <v>14</v>
      </c>
      <c r="Q103" s="3" t="s">
        <v>15</v>
      </c>
      <c r="R103" s="3" t="s">
        <v>16</v>
      </c>
      <c r="S103" s="3" t="s">
        <v>17</v>
      </c>
      <c r="T103" s="3" t="s">
        <v>18</v>
      </c>
      <c r="U103" s="3" t="s">
        <v>19</v>
      </c>
      <c r="V103" s="3" t="s">
        <v>20</v>
      </c>
      <c r="W103" s="3" t="s">
        <v>21</v>
      </c>
      <c r="X103" s="3" t="s">
        <v>22</v>
      </c>
      <c r="Y103" s="3" t="s">
        <v>23</v>
      </c>
      <c r="Z103" s="3" t="s">
        <v>24</v>
      </c>
      <c r="AA103" s="3" t="s">
        <v>25</v>
      </c>
      <c r="AB103" s="3" t="s">
        <v>26</v>
      </c>
      <c r="AC103" s="3" t="s">
        <v>27</v>
      </c>
      <c r="AD103" s="3" t="s">
        <v>28</v>
      </c>
      <c r="AE103" s="3" t="s">
        <v>29</v>
      </c>
      <c r="AF103" s="3" t="s">
        <v>30</v>
      </c>
      <c r="AG103" s="3" t="s">
        <v>31</v>
      </c>
      <c r="AH103" s="3" t="s">
        <v>32</v>
      </c>
      <c r="AI103" s="3" t="s">
        <v>33</v>
      </c>
      <c r="AJ103" s="3" t="s">
        <v>34</v>
      </c>
      <c r="AK103" s="3" t="s">
        <v>35</v>
      </c>
      <c r="AL103" s="3" t="s">
        <v>36</v>
      </c>
      <c r="AM103" s="3" t="s">
        <v>37</v>
      </c>
      <c r="AN103" s="3" t="s">
        <v>38</v>
      </c>
      <c r="AO103" s="3" t="s">
        <v>39</v>
      </c>
      <c r="AP103" s="3" t="s">
        <v>40</v>
      </c>
      <c r="AQ103" s="3" t="s">
        <v>41</v>
      </c>
      <c r="AR103" s="3" t="s">
        <v>42</v>
      </c>
      <c r="AS103" s="3" t="s">
        <v>43</v>
      </c>
      <c r="AT103" s="3" t="s">
        <v>44</v>
      </c>
      <c r="AU103" s="3" t="s">
        <v>45</v>
      </c>
      <c r="AV103" s="3" t="s">
        <v>46</v>
      </c>
      <c r="AW103" s="3" t="s">
        <v>47</v>
      </c>
      <c r="AX103" s="3" t="s">
        <v>112</v>
      </c>
      <c r="AY103" s="3" t="s">
        <v>113</v>
      </c>
      <c r="AZ103" s="3" t="s">
        <v>114</v>
      </c>
      <c r="BA103" s="3" t="s">
        <v>51</v>
      </c>
      <c r="BB103" s="3" t="s">
        <v>52</v>
      </c>
      <c r="BC103" s="3" t="s">
        <v>53</v>
      </c>
      <c r="BD103" s="3" t="s">
        <v>54</v>
      </c>
      <c r="BE103" s="3" t="s">
        <v>71</v>
      </c>
      <c r="BF103" s="3" t="s">
        <v>56</v>
      </c>
      <c r="BG103" s="3" t="s">
        <v>57</v>
      </c>
      <c r="BH103" s="3" t="s">
        <v>58</v>
      </c>
      <c r="BI103" s="3" t="s">
        <v>59</v>
      </c>
      <c r="BJ103" s="3" t="s">
        <v>60</v>
      </c>
      <c r="BK103" s="4" t="s">
        <v>61</v>
      </c>
      <c r="BM103" s="1" t="s">
        <v>66</v>
      </c>
      <c r="BN103" s="52"/>
      <c r="BO103" s="2" t="s">
        <v>1</v>
      </c>
      <c r="BP103" s="3" t="s">
        <v>2</v>
      </c>
      <c r="BQ103" s="3" t="s">
        <v>3</v>
      </c>
      <c r="BR103" s="3" t="s">
        <v>4</v>
      </c>
      <c r="BS103" s="3" t="s">
        <v>5</v>
      </c>
      <c r="BT103" s="3" t="s">
        <v>6</v>
      </c>
      <c r="BU103" s="3" t="s">
        <v>7</v>
      </c>
      <c r="BV103" s="3" t="s">
        <v>8</v>
      </c>
      <c r="BW103" s="3" t="s">
        <v>67</v>
      </c>
      <c r="BX103" s="3" t="s">
        <v>10</v>
      </c>
      <c r="BY103" s="3" t="s">
        <v>11</v>
      </c>
      <c r="BZ103" s="3" t="s">
        <v>12</v>
      </c>
      <c r="CA103" s="3" t="s">
        <v>13</v>
      </c>
      <c r="CB103" s="3" t="s">
        <v>14</v>
      </c>
      <c r="CC103" s="3" t="s">
        <v>15</v>
      </c>
      <c r="CD103" s="3" t="s">
        <v>16</v>
      </c>
      <c r="CE103" s="3" t="s">
        <v>17</v>
      </c>
      <c r="CF103" s="3" t="s">
        <v>18</v>
      </c>
      <c r="CG103" s="3" t="s">
        <v>19</v>
      </c>
      <c r="CH103" s="3" t="s">
        <v>20</v>
      </c>
      <c r="CI103" s="3" t="s">
        <v>21</v>
      </c>
      <c r="CJ103" s="3" t="s">
        <v>22</v>
      </c>
      <c r="CK103" s="3" t="s">
        <v>23</v>
      </c>
      <c r="CL103" s="3" t="s">
        <v>24</v>
      </c>
      <c r="CM103" s="3" t="s">
        <v>25</v>
      </c>
      <c r="CN103" s="3" t="s">
        <v>26</v>
      </c>
      <c r="CO103" s="3" t="s">
        <v>27</v>
      </c>
      <c r="CP103" s="3" t="s">
        <v>28</v>
      </c>
      <c r="CQ103" s="3" t="s">
        <v>29</v>
      </c>
      <c r="CR103" s="3" t="s">
        <v>30</v>
      </c>
      <c r="CS103" s="3" t="s">
        <v>31</v>
      </c>
      <c r="CT103" s="3" t="s">
        <v>32</v>
      </c>
      <c r="CU103" s="3" t="s">
        <v>33</v>
      </c>
      <c r="CV103" s="3" t="s">
        <v>34</v>
      </c>
      <c r="CW103" s="3" t="s">
        <v>35</v>
      </c>
      <c r="CX103" s="3" t="s">
        <v>36</v>
      </c>
      <c r="CY103" s="3" t="s">
        <v>37</v>
      </c>
      <c r="CZ103" s="3" t="s">
        <v>38</v>
      </c>
      <c r="DA103" s="3" t="s">
        <v>39</v>
      </c>
      <c r="DB103" s="3" t="s">
        <v>40</v>
      </c>
      <c r="DC103" s="3" t="s">
        <v>41</v>
      </c>
      <c r="DD103" s="3" t="s">
        <v>68</v>
      </c>
      <c r="DE103" s="3" t="s">
        <v>69</v>
      </c>
      <c r="DF103" s="3" t="s">
        <v>44</v>
      </c>
      <c r="DG103" s="3" t="s">
        <v>45</v>
      </c>
      <c r="DH103" s="3" t="s">
        <v>46</v>
      </c>
      <c r="DI103" s="3" t="s">
        <v>47</v>
      </c>
      <c r="DJ103" s="3" t="s">
        <v>70</v>
      </c>
      <c r="DK103" s="3" t="s">
        <v>49</v>
      </c>
      <c r="DL103" s="3" t="s">
        <v>50</v>
      </c>
      <c r="DM103" s="3" t="s">
        <v>51</v>
      </c>
      <c r="DN103" s="3" t="s">
        <v>52</v>
      </c>
      <c r="DO103" s="3" t="s">
        <v>53</v>
      </c>
      <c r="DP103" s="3" t="s">
        <v>54</v>
      </c>
      <c r="DQ103" s="3" t="s">
        <v>71</v>
      </c>
      <c r="DR103" s="3" t="s">
        <v>56</v>
      </c>
      <c r="DS103" s="3" t="s">
        <v>57</v>
      </c>
      <c r="DT103" s="3" t="s">
        <v>58</v>
      </c>
      <c r="DU103" s="3" t="s">
        <v>59</v>
      </c>
      <c r="DV103" s="3" t="s">
        <v>60</v>
      </c>
      <c r="DW103" s="4" t="s">
        <v>61</v>
      </c>
      <c r="DX103" s="50"/>
      <c r="DY103" s="1" t="s">
        <v>66</v>
      </c>
      <c r="DZ103" s="52"/>
      <c r="EA103" s="2" t="s">
        <v>1</v>
      </c>
      <c r="EB103" s="3" t="s">
        <v>2</v>
      </c>
      <c r="EC103" s="3" t="s">
        <v>3</v>
      </c>
      <c r="ED103" s="3" t="s">
        <v>4</v>
      </c>
      <c r="EE103" s="3" t="s">
        <v>5</v>
      </c>
      <c r="EF103" s="3" t="s">
        <v>6</v>
      </c>
      <c r="EG103" s="3" t="s">
        <v>7</v>
      </c>
      <c r="EH103" s="3" t="s">
        <v>8</v>
      </c>
      <c r="EI103" s="3" t="s">
        <v>67</v>
      </c>
      <c r="EJ103" s="3" t="s">
        <v>10</v>
      </c>
      <c r="EK103" s="3" t="s">
        <v>11</v>
      </c>
      <c r="EL103" s="3" t="s">
        <v>12</v>
      </c>
      <c r="EM103" s="3" t="s">
        <v>13</v>
      </c>
      <c r="EN103" s="3" t="s">
        <v>14</v>
      </c>
      <c r="EO103" s="3" t="s">
        <v>15</v>
      </c>
      <c r="EP103" s="3" t="s">
        <v>16</v>
      </c>
      <c r="EQ103" s="3" t="s">
        <v>17</v>
      </c>
      <c r="ER103" s="3" t="s">
        <v>18</v>
      </c>
      <c r="ES103" s="3" t="s">
        <v>19</v>
      </c>
      <c r="ET103" s="3" t="s">
        <v>20</v>
      </c>
      <c r="EU103" s="3" t="s">
        <v>21</v>
      </c>
      <c r="EV103" s="3" t="s">
        <v>22</v>
      </c>
      <c r="EW103" s="3" t="s">
        <v>23</v>
      </c>
      <c r="EX103" s="3" t="s">
        <v>24</v>
      </c>
      <c r="EY103" s="3" t="s">
        <v>25</v>
      </c>
      <c r="EZ103" s="3" t="s">
        <v>26</v>
      </c>
      <c r="FA103" s="3" t="s">
        <v>27</v>
      </c>
      <c r="FB103" s="3" t="s">
        <v>28</v>
      </c>
      <c r="FC103" s="3" t="s">
        <v>29</v>
      </c>
      <c r="FD103" s="3" t="s">
        <v>30</v>
      </c>
      <c r="FE103" s="3" t="s">
        <v>31</v>
      </c>
      <c r="FF103" s="3" t="s">
        <v>32</v>
      </c>
      <c r="FG103" s="3" t="s">
        <v>33</v>
      </c>
      <c r="FH103" s="3" t="s">
        <v>34</v>
      </c>
      <c r="FI103" s="3" t="s">
        <v>35</v>
      </c>
      <c r="FJ103" s="3" t="s">
        <v>36</v>
      </c>
      <c r="FK103" s="3" t="s">
        <v>37</v>
      </c>
      <c r="FL103" s="3" t="s">
        <v>38</v>
      </c>
      <c r="FM103" s="3" t="s">
        <v>39</v>
      </c>
      <c r="FN103" s="3" t="s">
        <v>40</v>
      </c>
      <c r="FO103" s="3" t="s">
        <v>41</v>
      </c>
      <c r="FP103" s="3" t="s">
        <v>68</v>
      </c>
      <c r="FQ103" s="3" t="s">
        <v>69</v>
      </c>
      <c r="FR103" s="3" t="s">
        <v>44</v>
      </c>
      <c r="FS103" s="3" t="s">
        <v>45</v>
      </c>
      <c r="FT103" s="3" t="s">
        <v>46</v>
      </c>
      <c r="FU103" s="3" t="s">
        <v>47</v>
      </c>
      <c r="FV103" s="3" t="s">
        <v>70</v>
      </c>
      <c r="FW103" s="3" t="s">
        <v>49</v>
      </c>
      <c r="FX103" s="3" t="s">
        <v>50</v>
      </c>
      <c r="FY103" s="3" t="s">
        <v>51</v>
      </c>
      <c r="FZ103" s="3" t="s">
        <v>52</v>
      </c>
      <c r="GA103" s="3" t="s">
        <v>53</v>
      </c>
      <c r="GB103" s="3" t="s">
        <v>54</v>
      </c>
      <c r="GC103" s="3" t="s">
        <v>71</v>
      </c>
      <c r="GD103" s="3" t="s">
        <v>56</v>
      </c>
      <c r="GE103" s="3" t="s">
        <v>57</v>
      </c>
      <c r="GF103" s="3" t="s">
        <v>58</v>
      </c>
      <c r="GG103" s="3" t="s">
        <v>59</v>
      </c>
      <c r="GH103" s="3" t="s">
        <v>60</v>
      </c>
      <c r="GI103" s="4" t="s">
        <v>61</v>
      </c>
    </row>
    <row r="104" spans="1:191" x14ac:dyDescent="0.3">
      <c r="A104" s="29"/>
      <c r="B104" s="30" t="s">
        <v>72</v>
      </c>
      <c r="C104" s="31" t="s">
        <v>73</v>
      </c>
      <c r="D104" s="32" t="s">
        <v>73</v>
      </c>
      <c r="E104" s="32" t="s">
        <v>74</v>
      </c>
      <c r="F104" s="32" t="s">
        <v>73</v>
      </c>
      <c r="G104" s="32" t="s">
        <v>75</v>
      </c>
      <c r="H104" s="32" t="s">
        <v>8</v>
      </c>
      <c r="I104" s="32" t="s">
        <v>73</v>
      </c>
      <c r="J104" s="32" t="s">
        <v>73</v>
      </c>
      <c r="K104" s="32" t="s">
        <v>10</v>
      </c>
      <c r="L104" s="32" t="s">
        <v>73</v>
      </c>
      <c r="M104" s="32" t="s">
        <v>12</v>
      </c>
      <c r="N104" s="32" t="s">
        <v>73</v>
      </c>
      <c r="O104" s="32" t="s">
        <v>76</v>
      </c>
      <c r="P104" s="32" t="s">
        <v>77</v>
      </c>
      <c r="Q104" s="32" t="s">
        <v>78</v>
      </c>
      <c r="R104" s="32" t="s">
        <v>79</v>
      </c>
      <c r="S104" s="32" t="s">
        <v>73</v>
      </c>
      <c r="T104" s="32" t="s">
        <v>73</v>
      </c>
      <c r="U104" s="32" t="s">
        <v>80</v>
      </c>
      <c r="V104" s="32" t="s">
        <v>81</v>
      </c>
      <c r="W104" s="32" t="s">
        <v>82</v>
      </c>
      <c r="X104" s="32" t="s">
        <v>73</v>
      </c>
      <c r="Y104" s="32" t="s">
        <v>29</v>
      </c>
      <c r="Z104" s="32" t="s">
        <v>83</v>
      </c>
      <c r="AA104" s="32" t="s">
        <v>84</v>
      </c>
      <c r="AB104" s="32" t="s">
        <v>85</v>
      </c>
      <c r="AC104" s="32" t="s">
        <v>86</v>
      </c>
      <c r="AD104" s="32" t="s">
        <v>73</v>
      </c>
      <c r="AE104" s="32" t="s">
        <v>73</v>
      </c>
      <c r="AF104" s="32" t="s">
        <v>82</v>
      </c>
      <c r="AG104" s="32" t="s">
        <v>82</v>
      </c>
      <c r="AH104" s="32" t="s">
        <v>82</v>
      </c>
      <c r="AI104" s="32" t="s">
        <v>87</v>
      </c>
      <c r="AJ104" s="32" t="s">
        <v>73</v>
      </c>
      <c r="AK104" s="32" t="s">
        <v>87</v>
      </c>
      <c r="AL104" s="32" t="s">
        <v>73</v>
      </c>
      <c r="AM104" s="32" t="s">
        <v>73</v>
      </c>
      <c r="AN104" s="32" t="s">
        <v>73</v>
      </c>
      <c r="AO104" s="32" t="s">
        <v>88</v>
      </c>
      <c r="AP104" s="32" t="s">
        <v>73</v>
      </c>
      <c r="AQ104" s="32" t="s">
        <v>73</v>
      </c>
      <c r="AR104" s="32"/>
      <c r="AS104" s="32" t="s">
        <v>73</v>
      </c>
      <c r="AT104" s="32" t="s">
        <v>69</v>
      </c>
      <c r="AU104" s="32" t="s">
        <v>69</v>
      </c>
      <c r="AV104" s="32" t="s">
        <v>89</v>
      </c>
      <c r="AW104" s="32" t="s">
        <v>90</v>
      </c>
      <c r="AX104" s="32" t="s">
        <v>90</v>
      </c>
      <c r="AY104" s="32" t="s">
        <v>73</v>
      </c>
      <c r="AZ104" s="32" t="s">
        <v>91</v>
      </c>
      <c r="BA104" s="32" t="s">
        <v>92</v>
      </c>
      <c r="BB104" s="32" t="s">
        <v>73</v>
      </c>
      <c r="BC104" s="32" t="s">
        <v>73</v>
      </c>
      <c r="BD104" s="32" t="s">
        <v>73</v>
      </c>
      <c r="BE104" s="32" t="s">
        <v>93</v>
      </c>
      <c r="BF104" s="32" t="s">
        <v>73</v>
      </c>
      <c r="BG104" s="32" t="s">
        <v>94</v>
      </c>
      <c r="BH104" s="32" t="s">
        <v>95</v>
      </c>
      <c r="BI104" s="32" t="s">
        <v>96</v>
      </c>
      <c r="BJ104" s="32" t="s">
        <v>97</v>
      </c>
      <c r="BK104" s="33" t="s">
        <v>97</v>
      </c>
      <c r="BM104" s="29"/>
      <c r="BN104" s="30" t="s">
        <v>72</v>
      </c>
      <c r="BO104" s="31" t="s">
        <v>73</v>
      </c>
      <c r="BP104" s="32" t="s">
        <v>73</v>
      </c>
      <c r="BQ104" s="32" t="s">
        <v>74</v>
      </c>
      <c r="BR104" s="32" t="s">
        <v>73</v>
      </c>
      <c r="BS104" s="32" t="s">
        <v>75</v>
      </c>
      <c r="BT104" s="32" t="s">
        <v>8</v>
      </c>
      <c r="BU104" s="32" t="s">
        <v>73</v>
      </c>
      <c r="BV104" s="32" t="s">
        <v>73</v>
      </c>
      <c r="BW104" s="32" t="s">
        <v>10</v>
      </c>
      <c r="BX104" s="32" t="s">
        <v>73</v>
      </c>
      <c r="BY104" s="32" t="s">
        <v>12</v>
      </c>
      <c r="BZ104" s="32" t="s">
        <v>73</v>
      </c>
      <c r="CA104" s="32" t="s">
        <v>76</v>
      </c>
      <c r="CB104" s="32" t="s">
        <v>77</v>
      </c>
      <c r="CC104" s="32" t="s">
        <v>78</v>
      </c>
      <c r="CD104" s="32" t="s">
        <v>79</v>
      </c>
      <c r="CE104" s="32" t="s">
        <v>73</v>
      </c>
      <c r="CF104" s="32" t="s">
        <v>73</v>
      </c>
      <c r="CG104" s="32" t="s">
        <v>80</v>
      </c>
      <c r="CH104" s="32" t="s">
        <v>81</v>
      </c>
      <c r="CI104" s="32" t="s">
        <v>82</v>
      </c>
      <c r="CJ104" s="32" t="s">
        <v>73</v>
      </c>
      <c r="CK104" s="32" t="s">
        <v>29</v>
      </c>
      <c r="CL104" s="32" t="s">
        <v>83</v>
      </c>
      <c r="CM104" s="32" t="s">
        <v>84</v>
      </c>
      <c r="CN104" s="32" t="s">
        <v>85</v>
      </c>
      <c r="CO104" s="32" t="s">
        <v>86</v>
      </c>
      <c r="CP104" s="32" t="s">
        <v>73</v>
      </c>
      <c r="CQ104" s="32" t="s">
        <v>73</v>
      </c>
      <c r="CR104" s="32" t="s">
        <v>82</v>
      </c>
      <c r="CS104" s="32" t="s">
        <v>82</v>
      </c>
      <c r="CT104" s="32" t="s">
        <v>82</v>
      </c>
      <c r="CU104" s="32" t="s">
        <v>87</v>
      </c>
      <c r="CV104" s="32" t="s">
        <v>73</v>
      </c>
      <c r="CW104" s="32" t="s">
        <v>87</v>
      </c>
      <c r="CX104" s="32" t="s">
        <v>73</v>
      </c>
      <c r="CY104" s="32" t="s">
        <v>73</v>
      </c>
      <c r="CZ104" s="32" t="s">
        <v>73</v>
      </c>
      <c r="DA104" s="32" t="s">
        <v>88</v>
      </c>
      <c r="DB104" s="32" t="s">
        <v>73</v>
      </c>
      <c r="DC104" s="32" t="s">
        <v>73</v>
      </c>
      <c r="DD104" s="32"/>
      <c r="DE104" s="32" t="s">
        <v>73</v>
      </c>
      <c r="DF104" s="32" t="s">
        <v>69</v>
      </c>
      <c r="DG104" s="32" t="s">
        <v>69</v>
      </c>
      <c r="DH104" s="32" t="s">
        <v>89</v>
      </c>
      <c r="DI104" s="32" t="s">
        <v>90</v>
      </c>
      <c r="DJ104" s="32" t="s">
        <v>90</v>
      </c>
      <c r="DK104" s="32" t="s">
        <v>73</v>
      </c>
      <c r="DL104" s="32" t="s">
        <v>91</v>
      </c>
      <c r="DM104" s="32" t="s">
        <v>92</v>
      </c>
      <c r="DN104" s="32" t="s">
        <v>73</v>
      </c>
      <c r="DO104" s="32" t="s">
        <v>73</v>
      </c>
      <c r="DP104" s="32" t="s">
        <v>73</v>
      </c>
      <c r="DQ104" s="32" t="s">
        <v>93</v>
      </c>
      <c r="DR104" s="32" t="s">
        <v>73</v>
      </c>
      <c r="DS104" s="32" t="s">
        <v>94</v>
      </c>
      <c r="DT104" s="32" t="s">
        <v>95</v>
      </c>
      <c r="DU104" s="32" t="s">
        <v>96</v>
      </c>
      <c r="DV104" s="32" t="s">
        <v>97</v>
      </c>
      <c r="DW104" s="33" t="s">
        <v>97</v>
      </c>
      <c r="DX104" s="50"/>
      <c r="DY104" s="29"/>
      <c r="DZ104" s="30" t="s">
        <v>72</v>
      </c>
      <c r="EA104" s="31" t="s">
        <v>73</v>
      </c>
      <c r="EB104" s="32" t="s">
        <v>73</v>
      </c>
      <c r="EC104" s="32" t="s">
        <v>74</v>
      </c>
      <c r="ED104" s="32" t="s">
        <v>73</v>
      </c>
      <c r="EE104" s="32" t="s">
        <v>75</v>
      </c>
      <c r="EF104" s="32" t="s">
        <v>8</v>
      </c>
      <c r="EG104" s="32" t="s">
        <v>73</v>
      </c>
      <c r="EH104" s="32" t="s">
        <v>73</v>
      </c>
      <c r="EI104" s="32" t="s">
        <v>10</v>
      </c>
      <c r="EJ104" s="32" t="s">
        <v>73</v>
      </c>
      <c r="EK104" s="32" t="s">
        <v>12</v>
      </c>
      <c r="EL104" s="32" t="s">
        <v>73</v>
      </c>
      <c r="EM104" s="32" t="s">
        <v>76</v>
      </c>
      <c r="EN104" s="32" t="s">
        <v>77</v>
      </c>
      <c r="EO104" s="32" t="s">
        <v>78</v>
      </c>
      <c r="EP104" s="32" t="s">
        <v>79</v>
      </c>
      <c r="EQ104" s="32" t="s">
        <v>73</v>
      </c>
      <c r="ER104" s="32" t="s">
        <v>73</v>
      </c>
      <c r="ES104" s="32" t="s">
        <v>80</v>
      </c>
      <c r="ET104" s="32" t="s">
        <v>81</v>
      </c>
      <c r="EU104" s="32" t="s">
        <v>82</v>
      </c>
      <c r="EV104" s="32" t="s">
        <v>73</v>
      </c>
      <c r="EW104" s="32" t="s">
        <v>29</v>
      </c>
      <c r="EX104" s="32" t="s">
        <v>83</v>
      </c>
      <c r="EY104" s="32" t="s">
        <v>84</v>
      </c>
      <c r="EZ104" s="32" t="s">
        <v>85</v>
      </c>
      <c r="FA104" s="32" t="s">
        <v>86</v>
      </c>
      <c r="FB104" s="32" t="s">
        <v>73</v>
      </c>
      <c r="FC104" s="32" t="s">
        <v>73</v>
      </c>
      <c r="FD104" s="32" t="s">
        <v>82</v>
      </c>
      <c r="FE104" s="32" t="s">
        <v>82</v>
      </c>
      <c r="FF104" s="32" t="s">
        <v>82</v>
      </c>
      <c r="FG104" s="32" t="s">
        <v>87</v>
      </c>
      <c r="FH104" s="32" t="s">
        <v>73</v>
      </c>
      <c r="FI104" s="32" t="s">
        <v>87</v>
      </c>
      <c r="FJ104" s="32" t="s">
        <v>73</v>
      </c>
      <c r="FK104" s="32" t="s">
        <v>73</v>
      </c>
      <c r="FL104" s="32" t="s">
        <v>73</v>
      </c>
      <c r="FM104" s="32" t="s">
        <v>88</v>
      </c>
      <c r="FN104" s="32" t="s">
        <v>73</v>
      </c>
      <c r="FO104" s="32" t="s">
        <v>73</v>
      </c>
      <c r="FP104" s="32"/>
      <c r="FQ104" s="32" t="s">
        <v>73</v>
      </c>
      <c r="FR104" s="32" t="s">
        <v>69</v>
      </c>
      <c r="FS104" s="32" t="s">
        <v>69</v>
      </c>
      <c r="FT104" s="32" t="s">
        <v>89</v>
      </c>
      <c r="FU104" s="32" t="s">
        <v>90</v>
      </c>
      <c r="FV104" s="32" t="s">
        <v>90</v>
      </c>
      <c r="FW104" s="32" t="s">
        <v>73</v>
      </c>
      <c r="FX104" s="32" t="s">
        <v>91</v>
      </c>
      <c r="FY104" s="32" t="s">
        <v>92</v>
      </c>
      <c r="FZ104" s="32" t="s">
        <v>73</v>
      </c>
      <c r="GA104" s="32" t="s">
        <v>73</v>
      </c>
      <c r="GB104" s="32" t="s">
        <v>73</v>
      </c>
      <c r="GC104" s="32" t="s">
        <v>93</v>
      </c>
      <c r="GD104" s="32" t="s">
        <v>73</v>
      </c>
      <c r="GE104" s="32" t="s">
        <v>94</v>
      </c>
      <c r="GF104" s="32" t="s">
        <v>95</v>
      </c>
      <c r="GG104" s="32" t="s">
        <v>96</v>
      </c>
      <c r="GH104" s="32" t="s">
        <v>97</v>
      </c>
      <c r="GI104" s="33" t="s">
        <v>97</v>
      </c>
    </row>
    <row r="105" spans="1:191" x14ac:dyDescent="0.3">
      <c r="A105" s="5" t="s">
        <v>1</v>
      </c>
      <c r="B105" s="34" t="s">
        <v>73</v>
      </c>
      <c r="C105" s="6"/>
      <c r="D105" s="7">
        <v>32</v>
      </c>
      <c r="E105" s="7">
        <v>40</v>
      </c>
      <c r="F105" s="7">
        <v>142</v>
      </c>
      <c r="G105" s="7">
        <v>37</v>
      </c>
      <c r="H105" s="7">
        <v>173</v>
      </c>
      <c r="I105" s="7">
        <v>219</v>
      </c>
      <c r="J105" s="7">
        <v>173</v>
      </c>
      <c r="K105" s="7">
        <v>97</v>
      </c>
      <c r="L105" s="7">
        <v>97</v>
      </c>
      <c r="M105" s="7">
        <v>219</v>
      </c>
      <c r="N105" s="7">
        <v>219</v>
      </c>
      <c r="O105" s="7">
        <v>42</v>
      </c>
      <c r="P105" s="8">
        <v>187</v>
      </c>
      <c r="Q105" s="8">
        <v>143</v>
      </c>
      <c r="R105" s="8">
        <v>166</v>
      </c>
      <c r="S105" s="8">
        <v>160</v>
      </c>
      <c r="T105" s="8">
        <v>170</v>
      </c>
      <c r="U105" s="8">
        <v>163</v>
      </c>
      <c r="V105" s="8">
        <v>189</v>
      </c>
      <c r="W105" s="8">
        <v>229</v>
      </c>
      <c r="X105" s="8">
        <v>180</v>
      </c>
      <c r="Y105" s="8">
        <v>189</v>
      </c>
      <c r="Z105" s="8">
        <v>171</v>
      </c>
      <c r="AA105" s="8">
        <v>197</v>
      </c>
      <c r="AB105" s="8">
        <v>195</v>
      </c>
      <c r="AC105" s="8">
        <v>176</v>
      </c>
      <c r="AD105" s="8">
        <v>181</v>
      </c>
      <c r="AE105" s="8">
        <v>189</v>
      </c>
      <c r="AF105" s="8">
        <v>229</v>
      </c>
      <c r="AG105" s="8">
        <v>229</v>
      </c>
      <c r="AH105" s="8">
        <v>229</v>
      </c>
      <c r="AI105" s="8">
        <v>366</v>
      </c>
      <c r="AJ105" s="8">
        <v>435</v>
      </c>
      <c r="AK105" s="8">
        <v>366</v>
      </c>
      <c r="AL105" s="8">
        <v>408</v>
      </c>
      <c r="AM105" s="8">
        <v>372</v>
      </c>
      <c r="AN105" s="8">
        <v>384</v>
      </c>
      <c r="AO105" s="8">
        <v>389</v>
      </c>
      <c r="AP105" s="8">
        <v>381</v>
      </c>
      <c r="AQ105" s="8">
        <v>371</v>
      </c>
      <c r="AR105" s="8">
        <v>442</v>
      </c>
      <c r="AS105" s="8">
        <v>360</v>
      </c>
      <c r="AT105" s="8">
        <v>360</v>
      </c>
      <c r="AU105" s="8">
        <v>360</v>
      </c>
      <c r="AV105" s="8">
        <f>16*24+21</f>
        <v>405</v>
      </c>
      <c r="AW105" s="8">
        <f>8*24+19</f>
        <v>211</v>
      </c>
      <c r="AX105" s="8">
        <f>8*24+19</f>
        <v>211</v>
      </c>
      <c r="AY105" s="8">
        <f>15*24+14</f>
        <v>374</v>
      </c>
      <c r="AZ105" s="8"/>
      <c r="BA105" s="8">
        <f>15*24+4</f>
        <v>364</v>
      </c>
      <c r="BB105" s="8">
        <f>20*24+3</f>
        <v>483</v>
      </c>
      <c r="BC105" s="8">
        <f>8*24+8</f>
        <v>200</v>
      </c>
      <c r="BD105" s="8">
        <f>18*24+3</f>
        <v>435</v>
      </c>
      <c r="BE105" s="8">
        <f>17*24+9</f>
        <v>417</v>
      </c>
      <c r="BF105" s="8">
        <f>17*24+1</f>
        <v>409</v>
      </c>
      <c r="BG105" s="8">
        <f>10*4+18</f>
        <v>58</v>
      </c>
      <c r="BH105" s="8">
        <f>9*24+6</f>
        <v>222</v>
      </c>
      <c r="BI105" s="8">
        <f>2*24+18</f>
        <v>66</v>
      </c>
      <c r="BJ105" s="8">
        <f>6*24+18</f>
        <v>162</v>
      </c>
      <c r="BK105" s="9">
        <f>6*24+18</f>
        <v>162</v>
      </c>
      <c r="BM105" s="5" t="s">
        <v>1</v>
      </c>
      <c r="BN105" s="34" t="s">
        <v>73</v>
      </c>
      <c r="BO105" s="6"/>
      <c r="BP105" s="7">
        <f>IF('[1]FC vers Ref (Km)'!BO106&lt;&gt;0,'Délai intermédiaire'!BO41,)</f>
        <v>0</v>
      </c>
      <c r="BQ105" s="13">
        <f>IF('[1]FC vers Ref (Km)'!BQ105&lt;&gt;0,'Délai intermédiaire'!E105,)+19+(49/60)</f>
        <v>59.81666666666667</v>
      </c>
      <c r="BR105" s="7">
        <f>IF('[1]FC vers Ref (Km)'!BQ106&lt;&gt;0,'Délai intermédiaire'!BQ41,)</f>
        <v>0</v>
      </c>
      <c r="BS105" s="13">
        <f>IF('[1]FC vers Ref (Km)'!BS105&lt;&gt;0,'Délai intermédiaire'!G105,)+(48/60)</f>
        <v>37.799999999999997</v>
      </c>
      <c r="BT105" s="13">
        <f>IF('[1]FC vers Ref (Km)'!BT105&lt;&gt;0,'Délai intermédiaire'!H105,)+15+(47/60)</f>
        <v>188.78333333333333</v>
      </c>
      <c r="BU105" s="7">
        <f>IF('[1]FC vers Ref (Km)'!BT106&lt;&gt;0,'Délai intermédiaire'!BT41,)</f>
        <v>0</v>
      </c>
      <c r="BV105" s="7">
        <f>IF('[1]FC vers Ref (Km)'!BU106&lt;&gt;0,'Délai intermédiaire'!BU41,)</f>
        <v>0</v>
      </c>
      <c r="BW105" s="13">
        <f>IF('[1]FC vers Ref (Km)'!BW105&lt;&gt;0,'Délai intermédiaire'!K105,)+6+(13/60)</f>
        <v>103.21666666666667</v>
      </c>
      <c r="BX105" s="7">
        <f>IF('[1]FC vers Ref (Km)'!BW106&lt;&gt;0,'Délai intermédiaire'!BW41,)</f>
        <v>0</v>
      </c>
      <c r="BY105" s="13">
        <f>IF('[1]FC vers Ref (Km)'!BY105&lt;&gt;0,'Délai intermédiaire'!M105,)+11+(1/60)</f>
        <v>230.01666666666668</v>
      </c>
      <c r="BZ105" s="7">
        <f>IF('[1]FC vers Ref (Km)'!BY106&lt;&gt;0,'Délai intermédiaire'!BY41,)</f>
        <v>0</v>
      </c>
      <c r="CA105" s="13">
        <f>IF('[1]FC vers Ref (Km)'!CA105&lt;&gt;0,'Délai intermédiaire'!O105,)+4+(51/60)</f>
        <v>46.85</v>
      </c>
      <c r="CB105" s="14">
        <f>IF('[1]FC vers Ref (Km)'!CB105&lt;&gt;0,'Délai intermédiaire'!P105,)+5+(3/60)</f>
        <v>192.05</v>
      </c>
      <c r="CC105" s="14">
        <f>IF('[1]FC vers Ref (Km)'!CC105&lt;&gt;0,'Délai intermédiaire'!Q105,)+(40/60)</f>
        <v>143.66666666666666</v>
      </c>
      <c r="CD105" s="14">
        <f>IF('[1]FC vers Ref (Km)'!CD105&lt;&gt;0,'Délai intermédiaire'!R105,)</f>
        <v>0</v>
      </c>
      <c r="CE105" s="14">
        <f>IF('[1]FC vers Ref (Km)'!CE105&lt;&gt;0,'Délai intermédiaire'!S105,)</f>
        <v>0</v>
      </c>
      <c r="CF105" s="14">
        <f>IF('[1]FC vers Ref (Km)'!CF105&lt;&gt;0,'Délai intermédiaire'!T105,)</f>
        <v>0</v>
      </c>
      <c r="CG105" s="14">
        <f>IF('[1]FC vers Ref (Km)'!CG105&lt;&gt;0,'Délai intermédiaire'!U105,)+1+(53/60)</f>
        <v>164.88333333333333</v>
      </c>
      <c r="CH105" s="14">
        <f>IF('[1]FC vers Ref (Km)'!CH105&lt;&gt;0,'Délai intermédiaire'!V105,)+2+(57/60)</f>
        <v>191.95</v>
      </c>
      <c r="CI105" s="14">
        <f>IF('[1]FC vers Ref (Km)'!CI105&lt;&gt;0,'Délai intermédiaire'!W105,)+4+(47/60)</f>
        <v>233.78333333333333</v>
      </c>
      <c r="CJ105" s="14">
        <f>IF('[1]FC vers Ref (Km)'!CJ105&lt;&gt;0,'Délai intermédiaire'!X105,)</f>
        <v>0</v>
      </c>
      <c r="CK105" s="14">
        <f>IF('[1]FC vers Ref (Km)'!CK105&lt;&gt;0,'Délai intermédiaire'!Y105,)+1+(33/60)</f>
        <v>190.55</v>
      </c>
      <c r="CL105" s="14">
        <f>IF('[1]FC vers Ref (Km)'!CL105&lt;&gt;0,'Délai intermédiaire'!Z105,)+2+(30/60)</f>
        <v>173.5</v>
      </c>
      <c r="CM105" s="14">
        <f>IF('[1]FC vers Ref (Km)'!CM105&lt;&gt;0,'Délai intermédiaire'!AA105,)+(56/60)</f>
        <v>197.93333333333334</v>
      </c>
      <c r="CN105" s="14">
        <f>IF('[1]FC vers Ref (Km)'!CN105&lt;&gt;0,'Délai intermédiaire'!AB105,)+1+(39/60)</f>
        <v>196.65</v>
      </c>
      <c r="CO105" s="14">
        <f>IF('[1]FC vers Ref (Km)'!CO105&lt;&gt;0,'Délai intermédiaire'!AC105,)+3+(25/60)</f>
        <v>179.41666666666666</v>
      </c>
      <c r="CP105" s="14">
        <f>IF('[1]FC vers Ref (Km)'!CP105&lt;&gt;0,'Délai intermédiaire'!AD105,)</f>
        <v>0</v>
      </c>
      <c r="CQ105" s="14">
        <f>IF('[1]FC vers Ref (Km)'!CQ105&lt;&gt;0,'Délai intermédiaire'!AE105,)</f>
        <v>0</v>
      </c>
      <c r="CR105" s="14">
        <f>IF('[1]FC vers Ref (Km)'!CR105&lt;&gt;0,'Délai intermédiaire'!AF105,)+9+(1/60)</f>
        <v>238.01666666666668</v>
      </c>
      <c r="CS105" s="14">
        <f>IF('[1]FC vers Ref (Km)'!CS105&lt;&gt;0,'Délai intermédiaire'!AG105,)+7+(48/60)</f>
        <v>236.8</v>
      </c>
      <c r="CT105" s="14">
        <f>IF('[1]FC vers Ref (Km)'!CT105&lt;&gt;0,'Délai intermédiaire'!AH105,)+5+(5/60)</f>
        <v>234.08333333333334</v>
      </c>
      <c r="CU105" s="14">
        <f>IF('[1]FC vers Ref (Km)'!CU105&lt;&gt;0,'Délai intermédiaire'!AI105,)+19+(46/60)</f>
        <v>385.76666666666665</v>
      </c>
      <c r="CV105" s="14">
        <f>IF('[1]FC vers Ref (Km)'!CV105&lt;&gt;0,'Délai intermédiaire'!AJ105,)</f>
        <v>0</v>
      </c>
      <c r="CW105" s="14">
        <f>IF('[1]FC vers Ref (Km)'!CW105&lt;&gt;0,'Délai intermédiaire'!AK105,)+12+(26/60)</f>
        <v>378.43333333333334</v>
      </c>
      <c r="CX105" s="14">
        <f>IF('[1]FC vers Ref (Km)'!CX105&lt;&gt;0,'Délai intermédiaire'!AL105,)</f>
        <v>0</v>
      </c>
      <c r="CY105" s="14">
        <f>IF('[1]FC vers Ref (Km)'!CY105&lt;&gt;0,'Délai intermédiaire'!AM105,)</f>
        <v>0</v>
      </c>
      <c r="CZ105" s="14">
        <f>IF('[1]FC vers Ref (Km)'!CZ105&lt;&gt;0,'Délai intermédiaire'!AN105,)</f>
        <v>0</v>
      </c>
      <c r="DA105" s="14">
        <f>IF('[1]FC vers Ref (Km)'!DA105&lt;&gt;0,'Délai intermédiaire'!AO105,)+1+(56/60)</f>
        <v>390.93333333333334</v>
      </c>
      <c r="DB105" s="14">
        <f>IF('[1]FC vers Ref (Km)'!DB105&lt;&gt;0,'Délai intermédiaire'!AP105,)</f>
        <v>0</v>
      </c>
      <c r="DC105" s="14">
        <f>IF('[1]FC vers Ref (Km)'!DC105&lt;&gt;0,'Délai intermédiaire'!AQ105,)</f>
        <v>0</v>
      </c>
      <c r="DD105" s="14">
        <f>IF('[1]FC vers Ref (Km)'!DD105&lt;&gt;0,'Délai intermédiaire'!AR105,)</f>
        <v>0</v>
      </c>
      <c r="DE105" s="14">
        <f>IF('[1]FC vers Ref (Km)'!DE105&lt;&gt;0,'Délai intermédiaire'!AS105,)</f>
        <v>0</v>
      </c>
      <c r="DF105" s="14">
        <f>IF('[1]FC vers Ref (Km)'!DF105&lt;&gt;0,'Délai intermédiaire'!AT105,)+20+(5/60)</f>
        <v>380.08333333333331</v>
      </c>
      <c r="DG105" s="14">
        <f>IF('[1]FC vers Ref (Km)'!DG105&lt;&gt;0,'Délai intermédiaire'!AU105,)+11+(36/60)</f>
        <v>371.6</v>
      </c>
      <c r="DH105" s="14">
        <f>IF('[1]FC vers Ref (Km)'!DH105&lt;&gt;0,'Délai intermédiaire'!AV105,)+(28/60)</f>
        <v>405.46666666666664</v>
      </c>
      <c r="DI105" s="14">
        <f>IF('[1]FC vers Ref (Km)'!DI105&lt;&gt;0,'Délai intermédiaire'!AW105,)+7+(13/60)</f>
        <v>218.21666666666667</v>
      </c>
      <c r="DJ105" s="14">
        <f>IF('[1]FC vers Ref (Km)'!DJ105&lt;&gt;0,'Délai intermédiaire'!AX105,)+2*24+15</f>
        <v>274</v>
      </c>
      <c r="DK105" s="14">
        <f>IF('[1]FC vers Ref (Km)'!DK105&lt;&gt;0,'Délai intermédiaire'!AY105,)</f>
        <v>0</v>
      </c>
      <c r="DL105" s="14">
        <f>IF('[1]FC vers Ref (Km)'!DL105&lt;&gt;0,'Délai intermédiaire'!AZ105,)</f>
        <v>0</v>
      </c>
      <c r="DM105" s="14">
        <f>IF('[1]FC vers Ref (Km)'!DM105&lt;&gt;0,'Délai intermédiaire'!BA105,)+7+(17/60)</f>
        <v>371.28333333333336</v>
      </c>
      <c r="DN105" s="14">
        <f>IF('[1]FC vers Ref (Km)'!DN105&lt;&gt;0,'Délai intermédiaire'!BB105,)</f>
        <v>0</v>
      </c>
      <c r="DO105" s="14">
        <f>IF('[1]FC vers Ref (Km)'!DO105&lt;&gt;0,'Délai intermédiaire'!BC105,)</f>
        <v>0</v>
      </c>
      <c r="DP105" s="14">
        <f>IF('[1]FC vers Ref (Km)'!DP105&lt;&gt;0,'Délai intermédiaire'!BD105,)</f>
        <v>0</v>
      </c>
      <c r="DQ105" s="14">
        <f>IF('[1]FC vers Ref (Km)'!DQ105&lt;&gt;0,'Délai intermédiaire'!BE105,)+1+(22/60)</f>
        <v>418.36666666666667</v>
      </c>
      <c r="DR105" s="14">
        <f>IF('[1]FC vers Ref (Km)'!DR105&lt;&gt;0,'Délai intermédiaire'!BF105,)</f>
        <v>0</v>
      </c>
      <c r="DS105" s="14">
        <f>IF('[1]FC vers Ref (Km)'!DS105&lt;&gt;0,'Délai intermédiaire'!BG105,)+10+(43/60)</f>
        <v>68.716666666666669</v>
      </c>
      <c r="DT105" s="14">
        <f>IF('[1]FC vers Ref (Km)'!DT105&lt;&gt;0,'Délai intermédiaire'!BH105,)+(12/60)</f>
        <v>222.2</v>
      </c>
      <c r="DU105" s="14">
        <f>IF('[1]FC vers Ref (Km)'!DU105&lt;&gt;0,'Délai intermédiaire'!BI105,)+7+(45/60)</f>
        <v>73.75</v>
      </c>
      <c r="DV105" s="14">
        <f>IF('[1]FC vers Ref (Km)'!DV105&lt;&gt;0,'Délai intermédiaire'!BJ105,)+1+(10/60)</f>
        <v>163.16666666666666</v>
      </c>
      <c r="DW105" s="15">
        <f>IF('[1]FC vers Ref (Km)'!DW105&lt;&gt;0,'Délai intermédiaire'!BK105,)+12+(41/60)</f>
        <v>174.68333333333334</v>
      </c>
      <c r="DX105" s="27"/>
      <c r="DY105" s="5" t="s">
        <v>1</v>
      </c>
      <c r="DZ105" s="34" t="s">
        <v>73</v>
      </c>
      <c r="EA105" s="6">
        <f>IF('[1]FC vers Ref (Km)'!EA105&lt;&gt;0,C105,)</f>
        <v>0</v>
      </c>
      <c r="EB105" s="7">
        <v>0</v>
      </c>
      <c r="EC105" s="13">
        <f>IF('[1]FC vers Ref (Km)'!EC105&lt;&gt;0,E105,)+7+(55/60)+19+(53/60)</f>
        <v>67.8</v>
      </c>
      <c r="ED105" s="13">
        <f>IF('[1]FC vers Ref (Km)'!ED105&lt;&gt;0,F105,)</f>
        <v>0</v>
      </c>
      <c r="EE105" s="13">
        <f>IF('[1]FC vers Ref (Km)'!EE105&lt;&gt;0,G105,)+(32/60)</f>
        <v>37.533333333333331</v>
      </c>
      <c r="EF105" s="13">
        <f>IF('[1]FC vers Ref (Km)'!EF105&lt;&gt;0,H105,)+14+(25/60)+31+(8/60)</f>
        <v>218.54999999999998</v>
      </c>
      <c r="EG105" s="13">
        <f>IF('[1]FC vers Ref (Km)'!EG105&lt;&gt;0,I105,)</f>
        <v>0</v>
      </c>
      <c r="EH105" s="13">
        <f>IF('[1]FC vers Ref (Km)'!EH105&lt;&gt;0,J105,)</f>
        <v>0</v>
      </c>
      <c r="EI105" s="13">
        <f>IF('[1]FC vers Ref (Km)'!EI105&lt;&gt;0,K105,)+5+(11/60)</f>
        <v>102.18333333333334</v>
      </c>
      <c r="EJ105" s="13">
        <f>IF('[1]FC vers Ref (Km)'!EJ105&lt;&gt;0,L105,)</f>
        <v>0</v>
      </c>
      <c r="EK105" s="13">
        <f>IF('[1]FC vers Ref (Km)'!EK105&lt;&gt;0,M105,)</f>
        <v>0</v>
      </c>
      <c r="EL105" s="13">
        <f>IF('[1]FC vers Ref (Km)'!EL105&lt;&gt;0,N105,)</f>
        <v>0</v>
      </c>
      <c r="EM105" s="13">
        <f>IF('[1]FC vers Ref (Km)'!EM105&lt;&gt;0,O105,)</f>
        <v>0</v>
      </c>
      <c r="EN105" s="14">
        <f>IF('[1]FC vers Ref (Km)'!EN105&lt;&gt;0,P105,)</f>
        <v>0</v>
      </c>
      <c r="EO105" s="14">
        <f>IF('[1]FC vers Ref (Km)'!EO105&lt;&gt;0,Q105,)</f>
        <v>0</v>
      </c>
      <c r="EP105" s="14">
        <f>IF('[1]FC vers Ref (Km)'!EP105&lt;&gt;0,R105,)</f>
        <v>0</v>
      </c>
      <c r="EQ105" s="14">
        <f>IF('[1]FC vers Ref (Km)'!EQ105&lt;&gt;0,S105,)</f>
        <v>0</v>
      </c>
      <c r="ER105" s="14">
        <f>IF('[1]FC vers Ref (Km)'!ER105&lt;&gt;0,T105,)</f>
        <v>0</v>
      </c>
      <c r="ES105" s="14">
        <f>IF('[1]FC vers Ref (Km)'!ES105&lt;&gt;0,U105,)+2+(21/60)</f>
        <v>165.35</v>
      </c>
      <c r="ET105" s="14">
        <f>IF('[1]FC vers Ref (Km)'!ET105&lt;&gt;0,V105,)+1+(44/60)</f>
        <v>190.73333333333332</v>
      </c>
      <c r="EU105" s="14">
        <f>IF('[1]FC vers Ref (Km)'!EU105&lt;&gt;0,W105,)+1+(47/60)+2+(31/60)+2+(54/60)</f>
        <v>236.20000000000002</v>
      </c>
      <c r="EV105" s="14">
        <f>IF('[1]FC vers Ref (Km)'!EV105&lt;&gt;0,X105,)</f>
        <v>0</v>
      </c>
      <c r="EW105" s="14">
        <f>IF('[1]FC vers Ref (Km)'!EW105&lt;&gt;0,Y105,)+(56/60)+(59/60)</f>
        <v>190.91666666666666</v>
      </c>
      <c r="EX105" s="14">
        <f>IF('[1]FC vers Ref (Km)'!EX105&lt;&gt;0,Z105,)+1+(35/60)+(37/60)</f>
        <v>173.20000000000002</v>
      </c>
      <c r="EY105" s="14">
        <f>IF('[1]FC vers Ref (Km)'!EY105&lt;&gt;0,AA105,)+1+(18/60)</f>
        <v>198.3</v>
      </c>
      <c r="EZ105" s="14">
        <f>IF('[1]FC vers Ref (Km)'!EZ105&lt;&gt;0,AB105,)+1+(39/60)</f>
        <v>196.65</v>
      </c>
      <c r="FA105" s="14">
        <f>IF('[1]FC vers Ref (Km)'!FA105&lt;&gt;0,AC105,)+1+(47/60)</f>
        <v>177.78333333333333</v>
      </c>
      <c r="FB105" s="14">
        <f>IF('[1]FC vers Ref (Km)'!FB105&lt;&gt;0,AD105,)</f>
        <v>0</v>
      </c>
      <c r="FC105" s="14">
        <f>IF('[1]FC vers Ref (Km)'!FC105&lt;&gt;0,AE105,)</f>
        <v>0</v>
      </c>
      <c r="FD105" s="14">
        <f>IF('[1]FC vers Ref (Km)'!FD105&lt;&gt;0,AF105,)+5+(31/60)+5+(51/60)+1+(8/60)</f>
        <v>241.5</v>
      </c>
      <c r="FE105" s="14">
        <f>IF('[1]FC vers Ref (Km)'!FE105&lt;&gt;0,AG105,)+4+(2/60)+5+(51/60)+1+(8/60)</f>
        <v>240.01666666666665</v>
      </c>
      <c r="FF105" s="14">
        <f>IF('[1]FC vers Ref (Km)'!FF105&lt;&gt;0,AH105,)+1+(7/60)+5+(51/60)+1+(8/60)</f>
        <v>237.1</v>
      </c>
      <c r="FG105" s="14">
        <f>IF('[1]FC vers Ref (Km)'!FG105&lt;&gt;0,AI105,)+15+(50/60)</f>
        <v>381.83333333333331</v>
      </c>
      <c r="FH105" s="14">
        <f>IF('[1]FC vers Ref (Km)'!FH105&lt;&gt;0,AJ105,)</f>
        <v>0</v>
      </c>
      <c r="FI105" s="14">
        <f>IF('[1]FC vers Ref (Km)'!FI105&lt;&gt;0,AK105,)+4+(40/60)+11+(32/60)</f>
        <v>382.20000000000005</v>
      </c>
      <c r="FJ105" s="14">
        <f>IF('[1]FC vers Ref (Km)'!FJ105&lt;&gt;0,AL105,)</f>
        <v>0</v>
      </c>
      <c r="FK105" s="14">
        <f>IF('[1]FC vers Ref (Km)'!FK105&lt;&gt;0,AM105,)</f>
        <v>0</v>
      </c>
      <c r="FL105" s="14">
        <f>IF('[1]FC vers Ref (Km)'!FL105&lt;&gt;0,AN105,)</f>
        <v>0</v>
      </c>
      <c r="FM105" s="14">
        <f>IF('[1]FC vers Ref (Km)'!FM105&lt;&gt;0,AO105,)+(55/60)</f>
        <v>389.91666666666669</v>
      </c>
      <c r="FN105" s="14">
        <f>IF('[1]FC vers Ref (Km)'!FN105&lt;&gt;0,AP105,)</f>
        <v>0</v>
      </c>
      <c r="FO105" s="14">
        <f>IF('[1]FC vers Ref (Km)'!FO105&lt;&gt;0,AQ105,)</f>
        <v>0</v>
      </c>
      <c r="FP105" s="14">
        <f>IF('[1]FC vers Ref (Km)'!FP105&lt;&gt;0,AR105,)</f>
        <v>0</v>
      </c>
      <c r="FQ105" s="14">
        <f>IF('[1]FC vers Ref (Km)'!FQ105&lt;&gt;0,AS105,)</f>
        <v>0</v>
      </c>
      <c r="FR105" s="14">
        <f>IF('[1]FC vers Ref (Km)'!FR105&lt;&gt;0,AT105,)</f>
        <v>0</v>
      </c>
      <c r="FS105" s="14">
        <f>IF('[1]FC vers Ref (Km)'!FS105&lt;&gt;0,AU105,)</f>
        <v>0</v>
      </c>
      <c r="FT105" s="14">
        <f>IF('[1]FC vers Ref (Km)'!FT105&lt;&gt;0,AV105,)+1+(7/60)</f>
        <v>406.11666666666667</v>
      </c>
      <c r="FU105" s="14">
        <f>IF('[1]FC vers Ref (Km)'!FU105&lt;&gt;0,AW105,)+8+(3/60)</f>
        <v>219.05</v>
      </c>
      <c r="FV105" s="14">
        <f>IF('[1]FC vers Ref (Km)'!FV105&lt;&gt;0,AX105,)+2*24+11</f>
        <v>270</v>
      </c>
      <c r="FW105" s="14">
        <f>IF('[1]FC vers Ref (Km)'!FW105&lt;&gt;0,AY105,)</f>
        <v>0</v>
      </c>
      <c r="FX105" s="14">
        <f>IF('[1]FC vers Ref (Km)'!FX105&lt;&gt;0,AZ105,)</f>
        <v>0</v>
      </c>
      <c r="FY105" s="14">
        <f>IF('[1]FC vers Ref (Km)'!FY105&lt;&gt;0,BA105,)+5+(41/60)</f>
        <v>369.68333333333334</v>
      </c>
      <c r="FZ105" s="14">
        <f>IF('[1]FC vers Ref (Km)'!FZ105&lt;&gt;0,BB105,)</f>
        <v>0</v>
      </c>
      <c r="GA105" s="14">
        <f>IF('[1]FC vers Ref (Km)'!GA105&lt;&gt;0,BC105,)</f>
        <v>0</v>
      </c>
      <c r="GB105" s="14">
        <f>IF('[1]FC vers Ref (Km)'!GB105&lt;&gt;0,BD105,)</f>
        <v>0</v>
      </c>
      <c r="GC105" s="14">
        <f>IF('[1]FC vers Ref (Km)'!GC105&lt;&gt;0,BE105,)+(30/60)</f>
        <v>417.5</v>
      </c>
      <c r="GD105" s="14">
        <f>IF('[1]FC vers Ref (Km)'!GD105&lt;&gt;0,BF105,)</f>
        <v>0</v>
      </c>
      <c r="GE105" s="14">
        <f>IF('[1]FC vers Ref (Km)'!GE105&lt;&gt;0,BG105,)+15+(1/60)</f>
        <v>73.016666666666666</v>
      </c>
      <c r="GF105" s="14">
        <f>IF('[1]FC vers Ref (Km)'!GF105&lt;&gt;0,BH105,)</f>
        <v>0</v>
      </c>
      <c r="GG105" s="14">
        <f>IF('[1]FC vers Ref (Km)'!GG105&lt;&gt;0,BI105,)</f>
        <v>0</v>
      </c>
      <c r="GH105" s="14">
        <f>IF('[1]FC vers Ref (Km)'!GH105&lt;&gt;0,BJ105,)</f>
        <v>0</v>
      </c>
      <c r="GI105" s="15">
        <f>IF('[1]FC vers Ref (Km)'!GI105&lt;&gt;0,BK105,)</f>
        <v>0</v>
      </c>
    </row>
    <row r="106" spans="1:191" x14ac:dyDescent="0.3">
      <c r="A106" s="10" t="s">
        <v>2</v>
      </c>
      <c r="B106" s="35" t="s">
        <v>73</v>
      </c>
      <c r="C106" s="11">
        <f>24+8</f>
        <v>32</v>
      </c>
      <c r="D106" s="12"/>
      <c r="E106" s="13">
        <v>71</v>
      </c>
      <c r="F106" s="13">
        <v>173</v>
      </c>
      <c r="G106" s="13">
        <v>68</v>
      </c>
      <c r="H106" s="13">
        <v>181</v>
      </c>
      <c r="I106" s="13">
        <v>227</v>
      </c>
      <c r="J106" s="13">
        <v>181</v>
      </c>
      <c r="K106" s="13">
        <v>128</v>
      </c>
      <c r="L106" s="13">
        <v>128</v>
      </c>
      <c r="M106" s="13">
        <v>228</v>
      </c>
      <c r="N106" s="13">
        <v>228</v>
      </c>
      <c r="O106" s="13">
        <v>34</v>
      </c>
      <c r="P106" s="14">
        <v>214</v>
      </c>
      <c r="Q106" s="14">
        <v>169</v>
      </c>
      <c r="R106" s="14">
        <v>197</v>
      </c>
      <c r="S106" s="14">
        <v>191</v>
      </c>
      <c r="T106" s="14">
        <v>201</v>
      </c>
      <c r="U106" s="14">
        <v>194</v>
      </c>
      <c r="V106" s="14">
        <v>219</v>
      </c>
      <c r="W106" s="14">
        <v>259</v>
      </c>
      <c r="X106" s="14">
        <v>211</v>
      </c>
      <c r="Y106" s="14">
        <v>220</v>
      </c>
      <c r="Z106" s="14">
        <v>202</v>
      </c>
      <c r="AA106" s="14">
        <v>227</v>
      </c>
      <c r="AB106" s="14">
        <v>226</v>
      </c>
      <c r="AC106" s="14">
        <v>207</v>
      </c>
      <c r="AD106" s="14">
        <v>212</v>
      </c>
      <c r="AE106" s="14">
        <v>220</v>
      </c>
      <c r="AF106" s="14">
        <v>259</v>
      </c>
      <c r="AG106" s="14">
        <v>259</v>
      </c>
      <c r="AH106" s="14">
        <v>259</v>
      </c>
      <c r="AI106" s="14">
        <v>397</v>
      </c>
      <c r="AJ106" s="14">
        <v>466</v>
      </c>
      <c r="AK106" s="14">
        <v>397</v>
      </c>
      <c r="AL106" s="14">
        <v>438</v>
      </c>
      <c r="AM106" s="14">
        <v>381</v>
      </c>
      <c r="AN106" s="14">
        <v>392</v>
      </c>
      <c r="AO106" s="14">
        <v>397</v>
      </c>
      <c r="AP106" s="14">
        <v>390</v>
      </c>
      <c r="AQ106" s="14">
        <v>380</v>
      </c>
      <c r="AR106" s="14">
        <v>450</v>
      </c>
      <c r="AS106" s="14">
        <v>391</v>
      </c>
      <c r="AT106" s="14">
        <v>391</v>
      </c>
      <c r="AU106" s="14">
        <v>391</v>
      </c>
      <c r="AV106" s="14">
        <f>17*24+6</f>
        <v>414</v>
      </c>
      <c r="AW106" s="14">
        <f>10*24+2</f>
        <v>242</v>
      </c>
      <c r="AX106" s="14">
        <f>10*24+2</f>
        <v>242</v>
      </c>
      <c r="AY106" s="14">
        <f>15*24+23</f>
        <v>383</v>
      </c>
      <c r="AZ106" s="14"/>
      <c r="BA106" s="14">
        <f>16*24+11</f>
        <v>395</v>
      </c>
      <c r="BB106" s="14">
        <f>20*24+21</f>
        <v>501</v>
      </c>
      <c r="BC106" s="14">
        <f>9*24+15</f>
        <v>231</v>
      </c>
      <c r="BD106" s="14">
        <f>18*24+11</f>
        <v>443</v>
      </c>
      <c r="BE106" s="14">
        <f>17*24+18</f>
        <v>426</v>
      </c>
      <c r="BF106" s="14">
        <f>17*24+9</f>
        <v>417</v>
      </c>
      <c r="BG106" s="14">
        <f>12*24+1</f>
        <v>289</v>
      </c>
      <c r="BH106" s="14">
        <f>10*24+12</f>
        <v>252</v>
      </c>
      <c r="BI106" s="14">
        <f>3*24+3</f>
        <v>75</v>
      </c>
      <c r="BJ106" s="14">
        <f>7*24+2</f>
        <v>170</v>
      </c>
      <c r="BK106" s="15">
        <f>7*24+2</f>
        <v>170</v>
      </c>
      <c r="BM106" s="10" t="s">
        <v>2</v>
      </c>
      <c r="BN106" s="35" t="s">
        <v>73</v>
      </c>
      <c r="BO106" s="11">
        <f>IF('[1]FC vers Ref (Km)'!BO106&lt;&gt;0,'Délai intermédiaire'!C106,)</f>
        <v>0</v>
      </c>
      <c r="BP106" s="12"/>
      <c r="BQ106" s="13">
        <f>IF('[1]FC vers Ref (Km)'!BQ106&lt;&gt;0,'Délai intermédiaire'!E106,)+19+(49/60)</f>
        <v>90.816666666666663</v>
      </c>
      <c r="BR106" s="13">
        <f>IF('[1]FC vers Ref (Km)'!BR106&lt;&gt;0,'Délai intermédiaire'!F106,)</f>
        <v>0</v>
      </c>
      <c r="BS106" s="13">
        <f>IF('[1]FC vers Ref (Km)'!BS106&lt;&gt;0,'Délai intermédiaire'!G106,)+(48/60)</f>
        <v>68.8</v>
      </c>
      <c r="BT106" s="13">
        <f>IF('[1]FC vers Ref (Km)'!BT106&lt;&gt;0,'Délai intermédiaire'!H106,)+15+(47/60)</f>
        <v>196.78333333333333</v>
      </c>
      <c r="BU106" s="13">
        <f>IF('[1]FC vers Ref (Km)'!BU106&lt;&gt;0,'Délai intermédiaire'!I106,)</f>
        <v>0</v>
      </c>
      <c r="BV106" s="13">
        <f>IF('[1]FC vers Ref (Km)'!BV106&lt;&gt;0,'Délai intermédiaire'!J106,)</f>
        <v>0</v>
      </c>
      <c r="BW106" s="13">
        <f>IF('[1]FC vers Ref (Km)'!BW106&lt;&gt;0,'Délai intermédiaire'!K106,)+6+(13/60)</f>
        <v>134.21666666666667</v>
      </c>
      <c r="BX106" s="13">
        <f>IF('[1]FC vers Ref (Km)'!BX106&lt;&gt;0,'Délai intermédiaire'!L106,)</f>
        <v>0</v>
      </c>
      <c r="BY106" s="13">
        <f>IF('[1]FC vers Ref (Km)'!BY106&lt;&gt;0,'Délai intermédiaire'!M106,)+11+(1/60)</f>
        <v>239.01666666666668</v>
      </c>
      <c r="BZ106" s="13">
        <f>IF('[1]FC vers Ref (Km)'!BZ106&lt;&gt;0,'Délai intermédiaire'!N106,)</f>
        <v>0</v>
      </c>
      <c r="CA106" s="13">
        <f>IF('[1]FC vers Ref (Km)'!CA106&lt;&gt;0,'Délai intermédiaire'!O106,)+4+(51/60)</f>
        <v>38.85</v>
      </c>
      <c r="CB106" s="14">
        <f>IF('[1]FC vers Ref (Km)'!CB106&lt;&gt;0,'Délai intermédiaire'!P106,)+5+(3/60)</f>
        <v>219.05</v>
      </c>
      <c r="CC106" s="14">
        <f>IF('[1]FC vers Ref (Km)'!CC106&lt;&gt;0,'Délai intermédiaire'!Q106,)+(40/60)</f>
        <v>169.66666666666666</v>
      </c>
      <c r="CD106" s="14">
        <f>IF('[1]FC vers Ref (Km)'!CD106&lt;&gt;0,'Délai intermédiaire'!R106,)</f>
        <v>0</v>
      </c>
      <c r="CE106" s="14">
        <f>IF('[1]FC vers Ref (Km)'!CE106&lt;&gt;0,'Délai intermédiaire'!S106,)</f>
        <v>0</v>
      </c>
      <c r="CF106" s="14">
        <f>IF('[1]FC vers Ref (Km)'!CF106&lt;&gt;0,'Délai intermédiaire'!T106,)</f>
        <v>0</v>
      </c>
      <c r="CG106" s="14">
        <f>IF('[1]FC vers Ref (Km)'!CG106&lt;&gt;0,'Délai intermédiaire'!U106,)+1+(53/60)</f>
        <v>195.88333333333333</v>
      </c>
      <c r="CH106" s="14">
        <f>IF('[1]FC vers Ref (Km)'!CH106&lt;&gt;0,'Délai intermédiaire'!V106,)+2+(57/60)</f>
        <v>221.95</v>
      </c>
      <c r="CI106" s="14">
        <f>IF('[1]FC vers Ref (Km)'!CI106&lt;&gt;0,'Délai intermédiaire'!W106,)+4+(47/60)</f>
        <v>263.78333333333336</v>
      </c>
      <c r="CJ106" s="14">
        <f>IF('[1]FC vers Ref (Km)'!CJ106&lt;&gt;0,'Délai intermédiaire'!X106,)</f>
        <v>0</v>
      </c>
      <c r="CK106" s="14">
        <f>IF('[1]FC vers Ref (Km)'!CK106&lt;&gt;0,'Délai intermédiaire'!Y106,)+1+(33/60)</f>
        <v>221.55</v>
      </c>
      <c r="CL106" s="14">
        <f>IF('[1]FC vers Ref (Km)'!CL106&lt;&gt;0,'Délai intermédiaire'!Z106,)+2+(30/60)</f>
        <v>204.5</v>
      </c>
      <c r="CM106" s="14">
        <f>IF('[1]FC vers Ref (Km)'!CM106&lt;&gt;0,'Délai intermédiaire'!AA106,)+(56/60)</f>
        <v>227.93333333333334</v>
      </c>
      <c r="CN106" s="14">
        <f>IF('[1]FC vers Ref (Km)'!CN106&lt;&gt;0,'Délai intermédiaire'!AB106,)+1+(39/60)</f>
        <v>227.65</v>
      </c>
      <c r="CO106" s="14">
        <f>IF('[1]FC vers Ref (Km)'!CO106&lt;&gt;0,'Délai intermédiaire'!AC106,)+3+(25/60)</f>
        <v>210.41666666666666</v>
      </c>
      <c r="CP106" s="14">
        <f>IF('[1]FC vers Ref (Km)'!CP106&lt;&gt;0,'Délai intermédiaire'!AD106,)</f>
        <v>0</v>
      </c>
      <c r="CQ106" s="14">
        <f>IF('[1]FC vers Ref (Km)'!CQ106&lt;&gt;0,'Délai intermédiaire'!AE106,)</f>
        <v>0</v>
      </c>
      <c r="CR106" s="14">
        <f>IF('[1]FC vers Ref (Km)'!CR106&lt;&gt;0,'Délai intermédiaire'!AF106,)+9+(1/60)</f>
        <v>268.01666666666665</v>
      </c>
      <c r="CS106" s="14">
        <f>IF('[1]FC vers Ref (Km)'!CS106&lt;&gt;0,'Délai intermédiaire'!AG106,)+7+(48/60)</f>
        <v>266.8</v>
      </c>
      <c r="CT106" s="14">
        <f>IF('[1]FC vers Ref (Km)'!CT106&lt;&gt;0,'Délai intermédiaire'!AH106,)+5+(5/60)</f>
        <v>264.08333333333331</v>
      </c>
      <c r="CU106" s="14">
        <f>IF('[1]FC vers Ref (Km)'!CU106&lt;&gt;0,'Délai intermédiaire'!AI106,)+19+(46/60)</f>
        <v>416.76666666666665</v>
      </c>
      <c r="CV106" s="14">
        <f>IF('[1]FC vers Ref (Km)'!CV106&lt;&gt;0,'Délai intermédiaire'!AJ106,)</f>
        <v>0</v>
      </c>
      <c r="CW106" s="14">
        <f>IF('[1]FC vers Ref (Km)'!CW106&lt;&gt;0,'Délai intermédiaire'!AK106,)+12+(26/60)</f>
        <v>409.43333333333334</v>
      </c>
      <c r="CX106" s="14">
        <f>IF('[1]FC vers Ref (Km)'!CX106&lt;&gt;0,'Délai intermédiaire'!AL106,)</f>
        <v>0</v>
      </c>
      <c r="CY106" s="14">
        <f>IF('[1]FC vers Ref (Km)'!CY106&lt;&gt;0,'Délai intermédiaire'!AM106,)</f>
        <v>0</v>
      </c>
      <c r="CZ106" s="14">
        <f>IF('[1]FC vers Ref (Km)'!CZ106&lt;&gt;0,'Délai intermédiaire'!AN106,)</f>
        <v>0</v>
      </c>
      <c r="DA106" s="14">
        <f>IF('[1]FC vers Ref (Km)'!DA106&lt;&gt;0,'Délai intermédiaire'!AO106,)+1+(56/60)</f>
        <v>398.93333333333334</v>
      </c>
      <c r="DB106" s="14">
        <f>IF('[1]FC vers Ref (Km)'!DB106&lt;&gt;0,'Délai intermédiaire'!AP106,)</f>
        <v>0</v>
      </c>
      <c r="DC106" s="14">
        <f>IF('[1]FC vers Ref (Km)'!DC106&lt;&gt;0,'Délai intermédiaire'!AQ106,)</f>
        <v>0</v>
      </c>
      <c r="DD106" s="14">
        <f>IF('[1]FC vers Ref (Km)'!DD106&lt;&gt;0,'Délai intermédiaire'!AR106,)</f>
        <v>0</v>
      </c>
      <c r="DE106" s="14">
        <f>IF('[1]FC vers Ref (Km)'!DE106&lt;&gt;0,'Délai intermédiaire'!AS106,)</f>
        <v>0</v>
      </c>
      <c r="DF106" s="14">
        <f>IF('[1]FC vers Ref (Km)'!DF106&lt;&gt;0,'Délai intermédiaire'!AT106,)+20+(5/60)</f>
        <v>411.08333333333331</v>
      </c>
      <c r="DG106" s="14">
        <f>IF('[1]FC vers Ref (Km)'!DG106&lt;&gt;0,'Délai intermédiaire'!AU106,)+11+(36/60)</f>
        <v>402.6</v>
      </c>
      <c r="DH106" s="14">
        <f>IF('[1]FC vers Ref (Km)'!DH106&lt;&gt;0,'Délai intermédiaire'!AV106,)+(28/60)</f>
        <v>414.46666666666664</v>
      </c>
      <c r="DI106" s="14">
        <f>IF('[1]FC vers Ref (Km)'!DI106&lt;&gt;0,'Délai intermédiaire'!AW106,)+7+(13/60)</f>
        <v>249.21666666666667</v>
      </c>
      <c r="DJ106" s="14">
        <f>IF('[1]FC vers Ref (Km)'!DJ106&lt;&gt;0,'Délai intermédiaire'!AX106,)+2*24+15</f>
        <v>305</v>
      </c>
      <c r="DK106" s="14">
        <f>IF('[1]FC vers Ref (Km)'!DK106&lt;&gt;0,'Délai intermédiaire'!AY106,)</f>
        <v>0</v>
      </c>
      <c r="DL106" s="14">
        <f>IF('[1]FC vers Ref (Km)'!DL106&lt;&gt;0,'Délai intermédiaire'!AZ106,)</f>
        <v>0</v>
      </c>
      <c r="DM106" s="14">
        <f>IF('[1]FC vers Ref (Km)'!DM106&lt;&gt;0,'Délai intermédiaire'!BA106,)+7+(17/60)</f>
        <v>402.28333333333336</v>
      </c>
      <c r="DN106" s="14">
        <f>IF('[1]FC vers Ref (Km)'!DN106&lt;&gt;0,'Délai intermédiaire'!BB106,)</f>
        <v>0</v>
      </c>
      <c r="DO106" s="14">
        <f>IF('[1]FC vers Ref (Km)'!DO106&lt;&gt;0,'Délai intermédiaire'!BC106,)</f>
        <v>0</v>
      </c>
      <c r="DP106" s="14">
        <f>IF('[1]FC vers Ref (Km)'!DP106&lt;&gt;0,'Délai intermédiaire'!BD106,)</f>
        <v>0</v>
      </c>
      <c r="DQ106" s="14">
        <f>IF('[1]FC vers Ref (Km)'!DQ106&lt;&gt;0,'Délai intermédiaire'!BE106,)+1+(22/60)</f>
        <v>427.36666666666667</v>
      </c>
      <c r="DR106" s="14">
        <f>IF('[1]FC vers Ref (Km)'!DR106&lt;&gt;0,'Délai intermédiaire'!BF106,)</f>
        <v>0</v>
      </c>
      <c r="DS106" s="14">
        <f>IF('[1]FC vers Ref (Km)'!DS106&lt;&gt;0,'Délai intermédiaire'!BG106,)+10+(43/60)</f>
        <v>299.71666666666664</v>
      </c>
      <c r="DT106" s="14">
        <f>IF('[1]FC vers Ref (Km)'!DT106&lt;&gt;0,'Délai intermédiaire'!BH106,)+(12/60)</f>
        <v>252.2</v>
      </c>
      <c r="DU106" s="14">
        <f>IF('[1]FC vers Ref (Km)'!DU106&lt;&gt;0,'Délai intermédiaire'!BI106,)+7+(45/60)</f>
        <v>82.75</v>
      </c>
      <c r="DV106" s="14">
        <f>IF('[1]FC vers Ref (Km)'!DV106&lt;&gt;0,'Délai intermédiaire'!BJ106,)+1+(10/60)</f>
        <v>171.16666666666666</v>
      </c>
      <c r="DW106" s="15">
        <f>IF('[1]FC vers Ref (Km)'!DW106&lt;&gt;0,'Délai intermédiaire'!BK106,)+12+(41/60)</f>
        <v>182.68333333333334</v>
      </c>
      <c r="DX106" s="27"/>
      <c r="DY106" s="10" t="s">
        <v>2</v>
      </c>
      <c r="DZ106" s="35" t="s">
        <v>73</v>
      </c>
      <c r="EA106" s="11">
        <f>IF('[1]FC vers Ref (Km)'!EA106&lt;&gt;0,C106,)</f>
        <v>0</v>
      </c>
      <c r="EB106" s="12">
        <f>IF('[1]FC vers Ref (Km)'!EB106&lt;&gt;0,D106,)</f>
        <v>0</v>
      </c>
      <c r="EC106" s="13">
        <f>IF('[1]FC vers Ref (Km)'!EC106&lt;&gt;0,E106,)+7+(55/60)+19+(53/60)</f>
        <v>98.800000000000011</v>
      </c>
      <c r="ED106" s="13">
        <f>IF('[1]FC vers Ref (Km)'!ED106&lt;&gt;0,F106,)</f>
        <v>0</v>
      </c>
      <c r="EE106" s="13">
        <f>IF('[1]FC vers Ref (Km)'!EE106&lt;&gt;0,G106,)+(32/60)</f>
        <v>68.533333333333331</v>
      </c>
      <c r="EF106" s="13">
        <f>IF('[1]FC vers Ref (Km)'!EF106&lt;&gt;0,H106,)+14+(25/60)+31+(8/60)</f>
        <v>226.54999999999998</v>
      </c>
      <c r="EG106" s="13">
        <f>IF('[1]FC vers Ref (Km)'!EG106&lt;&gt;0,I106,)</f>
        <v>0</v>
      </c>
      <c r="EH106" s="13">
        <f>IF('[1]FC vers Ref (Km)'!EH106&lt;&gt;0,J106,)</f>
        <v>0</v>
      </c>
      <c r="EI106" s="13">
        <f>IF('[1]FC vers Ref (Km)'!EI106&lt;&gt;0,K106,)+5+(11/60)</f>
        <v>133.18333333333334</v>
      </c>
      <c r="EJ106" s="13">
        <f>IF('[1]FC vers Ref (Km)'!EJ106&lt;&gt;0,L106,)</f>
        <v>0</v>
      </c>
      <c r="EK106" s="13">
        <f>IF('[1]FC vers Ref (Km)'!EK106&lt;&gt;0,M106,)</f>
        <v>0</v>
      </c>
      <c r="EL106" s="13">
        <f>IF('[1]FC vers Ref (Km)'!EL106&lt;&gt;0,N106,)</f>
        <v>0</v>
      </c>
      <c r="EM106" s="13">
        <f>IF('[1]FC vers Ref (Km)'!EM106&lt;&gt;0,O106,)</f>
        <v>0</v>
      </c>
      <c r="EN106" s="14">
        <f>IF('[1]FC vers Ref (Km)'!EN106&lt;&gt;0,P106,)</f>
        <v>0</v>
      </c>
      <c r="EO106" s="14">
        <f>IF('[1]FC vers Ref (Km)'!EO106&lt;&gt;0,Q106,)</f>
        <v>0</v>
      </c>
      <c r="EP106" s="14">
        <f>IF('[1]FC vers Ref (Km)'!EP106&lt;&gt;0,R106,)</f>
        <v>0</v>
      </c>
      <c r="EQ106" s="14">
        <f>IF('[1]FC vers Ref (Km)'!EQ106&lt;&gt;0,S106,)</f>
        <v>0</v>
      </c>
      <c r="ER106" s="14">
        <f>IF('[1]FC vers Ref (Km)'!ER106&lt;&gt;0,T106,)</f>
        <v>0</v>
      </c>
      <c r="ES106" s="14">
        <f>IF('[1]FC vers Ref (Km)'!ES106&lt;&gt;0,U106,)+2+(21/60)</f>
        <v>196.35</v>
      </c>
      <c r="ET106" s="14">
        <f>IF('[1]FC vers Ref (Km)'!ET106&lt;&gt;0,V106,)+1+(44/60)</f>
        <v>220.73333333333332</v>
      </c>
      <c r="EU106" s="14">
        <f>IF('[1]FC vers Ref (Km)'!EU106&lt;&gt;0,W106,)+1+(47/60)+2+(31/60)+2+(54/60)</f>
        <v>266.2</v>
      </c>
      <c r="EV106" s="14">
        <f>IF('[1]FC vers Ref (Km)'!EV106&lt;&gt;0,X106,)</f>
        <v>0</v>
      </c>
      <c r="EW106" s="14">
        <f>IF('[1]FC vers Ref (Km)'!EW106&lt;&gt;0,Y106,)+(56/60)+(59/60)</f>
        <v>221.91666666666666</v>
      </c>
      <c r="EX106" s="14">
        <f>IF('[1]FC vers Ref (Km)'!EX106&lt;&gt;0,Z106,)+1+(35/60)+(37/60)</f>
        <v>204.20000000000002</v>
      </c>
      <c r="EY106" s="14">
        <f>IF('[1]FC vers Ref (Km)'!EY106&lt;&gt;0,AA106,)+1+(18/60)</f>
        <v>228.3</v>
      </c>
      <c r="EZ106" s="14">
        <f>IF('[1]FC vers Ref (Km)'!EZ106&lt;&gt;0,AB106,)+1+(39/60)</f>
        <v>227.65</v>
      </c>
      <c r="FA106" s="14">
        <f>IF('[1]FC vers Ref (Km)'!FA106&lt;&gt;0,AC106,)+1+(47/60)</f>
        <v>208.78333333333333</v>
      </c>
      <c r="FB106" s="14">
        <f>IF('[1]FC vers Ref (Km)'!FB106&lt;&gt;0,AD106,)</f>
        <v>0</v>
      </c>
      <c r="FC106" s="14">
        <f>IF('[1]FC vers Ref (Km)'!FC106&lt;&gt;0,AE106,)</f>
        <v>0</v>
      </c>
      <c r="FD106" s="14">
        <f>IF('[1]FC vers Ref (Km)'!FD106&lt;&gt;0,AF106,)+5+(31/60)+5+(51/60)+1+(8/60)</f>
        <v>271.5</v>
      </c>
      <c r="FE106" s="14">
        <f>IF('[1]FC vers Ref (Km)'!FE106&lt;&gt;0,AG106,)+4+(2/60)+5+(51/60)+1+(8/60)</f>
        <v>270.01666666666671</v>
      </c>
      <c r="FF106" s="14">
        <f>IF('[1]FC vers Ref (Km)'!FF106&lt;&gt;0,AH106,)+1+(7/60)+5+(51/60)+1+(8/60)</f>
        <v>267.10000000000002</v>
      </c>
      <c r="FG106" s="14">
        <f>IF('[1]FC vers Ref (Km)'!FG106&lt;&gt;0,AI106,)+15+(50/60)</f>
        <v>412.83333333333331</v>
      </c>
      <c r="FH106" s="14">
        <f>IF('[1]FC vers Ref (Km)'!FH106&lt;&gt;0,AJ106,)</f>
        <v>0</v>
      </c>
      <c r="FI106" s="14">
        <f>IF('[1]FC vers Ref (Km)'!FI106&lt;&gt;0,AK106,)+4+(40/60)+11+(32/60)</f>
        <v>413.20000000000005</v>
      </c>
      <c r="FJ106" s="14">
        <f>IF('[1]FC vers Ref (Km)'!FJ106&lt;&gt;0,AL106,)</f>
        <v>0</v>
      </c>
      <c r="FK106" s="14">
        <f>IF('[1]FC vers Ref (Km)'!FK106&lt;&gt;0,AM106,)</f>
        <v>0</v>
      </c>
      <c r="FL106" s="14">
        <f>IF('[1]FC vers Ref (Km)'!FL106&lt;&gt;0,AN106,)</f>
        <v>0</v>
      </c>
      <c r="FM106" s="14">
        <f>IF('[1]FC vers Ref (Km)'!FM106&lt;&gt;0,AO106,)+(55/60)</f>
        <v>397.91666666666669</v>
      </c>
      <c r="FN106" s="14">
        <f>IF('[1]FC vers Ref (Km)'!FN106&lt;&gt;0,AP106,)</f>
        <v>0</v>
      </c>
      <c r="FO106" s="14">
        <f>IF('[1]FC vers Ref (Km)'!FO106&lt;&gt;0,AQ106,)</f>
        <v>0</v>
      </c>
      <c r="FP106" s="14">
        <f>IF('[1]FC vers Ref (Km)'!FP106&lt;&gt;0,AR106,)</f>
        <v>0</v>
      </c>
      <c r="FQ106" s="14">
        <f>IF('[1]FC vers Ref (Km)'!FQ106&lt;&gt;0,AS106,)</f>
        <v>0</v>
      </c>
      <c r="FR106" s="14">
        <f>IF('[1]FC vers Ref (Km)'!FR106&lt;&gt;0,AT106,)</f>
        <v>0</v>
      </c>
      <c r="FS106" s="14">
        <f>IF('[1]FC vers Ref (Km)'!FS106&lt;&gt;0,AU106,)</f>
        <v>0</v>
      </c>
      <c r="FT106" s="14">
        <f>IF('[1]FC vers Ref (Km)'!FT106&lt;&gt;0,AV106,)+1+(7/60)</f>
        <v>415.11666666666667</v>
      </c>
      <c r="FU106" s="14">
        <f>IF('[1]FC vers Ref (Km)'!FU106&lt;&gt;0,AW106,)+8+(3/60)</f>
        <v>250.05</v>
      </c>
      <c r="FV106" s="14">
        <f>IF('[1]FC vers Ref (Km)'!FV106&lt;&gt;0,AX106,)+2*24+11</f>
        <v>301</v>
      </c>
      <c r="FW106" s="14">
        <f>IF('[1]FC vers Ref (Km)'!FW106&lt;&gt;0,AY106,)</f>
        <v>0</v>
      </c>
      <c r="FX106" s="14">
        <f>IF('[1]FC vers Ref (Km)'!FX106&lt;&gt;0,AZ106,)</f>
        <v>0</v>
      </c>
      <c r="FY106" s="14">
        <f>IF('[1]FC vers Ref (Km)'!FY106&lt;&gt;0,BA106,)+5+(41/60)</f>
        <v>400.68333333333334</v>
      </c>
      <c r="FZ106" s="14">
        <f>IF('[1]FC vers Ref (Km)'!FZ106&lt;&gt;0,BB106,)</f>
        <v>0</v>
      </c>
      <c r="GA106" s="14">
        <f>IF('[1]FC vers Ref (Km)'!GA106&lt;&gt;0,BC106,)</f>
        <v>0</v>
      </c>
      <c r="GB106" s="14">
        <f>IF('[1]FC vers Ref (Km)'!GB106&lt;&gt;0,BD106,)</f>
        <v>0</v>
      </c>
      <c r="GC106" s="14">
        <f>IF('[1]FC vers Ref (Km)'!GC106&lt;&gt;0,BE106,)+(30/60)</f>
        <v>426.5</v>
      </c>
      <c r="GD106" s="14">
        <f>IF('[1]FC vers Ref (Km)'!GD106&lt;&gt;0,BF106,)</f>
        <v>0</v>
      </c>
      <c r="GE106" s="14">
        <f>IF('[1]FC vers Ref (Km)'!GE106&lt;&gt;0,BG106,)+15+(1/60)</f>
        <v>304.01666666666665</v>
      </c>
      <c r="GF106" s="14">
        <f>IF('[1]FC vers Ref (Km)'!GF106&lt;&gt;0,BH106,)</f>
        <v>0</v>
      </c>
      <c r="GG106" s="14">
        <f>IF('[1]FC vers Ref (Km)'!GG106&lt;&gt;0,BI106,)</f>
        <v>0</v>
      </c>
      <c r="GH106" s="14">
        <f>IF('[1]FC vers Ref (Km)'!GH106&lt;&gt;0,BJ106,)</f>
        <v>0</v>
      </c>
      <c r="GI106" s="15">
        <f>IF('[1]FC vers Ref (Km)'!GI106&lt;&gt;0,BK106,)</f>
        <v>0</v>
      </c>
    </row>
    <row r="107" spans="1:191" x14ac:dyDescent="0.3">
      <c r="A107" s="10" t="s">
        <v>3</v>
      </c>
      <c r="B107" s="35" t="s">
        <v>74</v>
      </c>
      <c r="C107" s="11">
        <f>24+16</f>
        <v>40</v>
      </c>
      <c r="D107" s="13">
        <f>2*24+23</f>
        <v>71</v>
      </c>
      <c r="E107" s="12"/>
      <c r="F107" s="13">
        <v>108</v>
      </c>
      <c r="G107" s="13">
        <v>17</v>
      </c>
      <c r="H107" s="13">
        <v>205</v>
      </c>
      <c r="I107" s="13">
        <v>251</v>
      </c>
      <c r="J107" s="13">
        <v>205</v>
      </c>
      <c r="K107" s="13">
        <v>63</v>
      </c>
      <c r="L107" s="13">
        <v>63</v>
      </c>
      <c r="M107" s="13">
        <v>251</v>
      </c>
      <c r="N107" s="13">
        <v>251</v>
      </c>
      <c r="O107" s="13">
        <v>82</v>
      </c>
      <c r="P107" s="14">
        <v>198</v>
      </c>
      <c r="Q107" s="14">
        <v>153</v>
      </c>
      <c r="R107" s="14">
        <v>136</v>
      </c>
      <c r="S107" s="14">
        <v>130</v>
      </c>
      <c r="T107" s="14">
        <v>139</v>
      </c>
      <c r="U107" s="14">
        <v>133</v>
      </c>
      <c r="V107" s="14">
        <v>162</v>
      </c>
      <c r="W107" s="14">
        <v>202</v>
      </c>
      <c r="X107" s="14">
        <v>151</v>
      </c>
      <c r="Y107" s="14">
        <v>160</v>
      </c>
      <c r="Z107" s="14">
        <v>141</v>
      </c>
      <c r="AA107" s="14">
        <v>170</v>
      </c>
      <c r="AB107" s="14">
        <v>169</v>
      </c>
      <c r="AC107" s="14">
        <v>150</v>
      </c>
      <c r="AD107" s="14">
        <v>155</v>
      </c>
      <c r="AE107" s="14">
        <v>160</v>
      </c>
      <c r="AF107" s="14">
        <v>202</v>
      </c>
      <c r="AG107" s="14">
        <v>202</v>
      </c>
      <c r="AH107" s="14">
        <v>202</v>
      </c>
      <c r="AI107" s="14">
        <v>340</v>
      </c>
      <c r="AJ107" s="14">
        <v>409</v>
      </c>
      <c r="AK107" s="14">
        <v>340</v>
      </c>
      <c r="AL107" s="14">
        <v>382</v>
      </c>
      <c r="AM107" s="14">
        <v>405</v>
      </c>
      <c r="AN107" s="14">
        <v>416</v>
      </c>
      <c r="AO107" s="14">
        <v>421</v>
      </c>
      <c r="AP107" s="14">
        <v>414</v>
      </c>
      <c r="AQ107" s="14">
        <v>404</v>
      </c>
      <c r="AR107" s="14">
        <v>474</v>
      </c>
      <c r="AS107" s="14">
        <v>334</v>
      </c>
      <c r="AT107" s="14">
        <v>334</v>
      </c>
      <c r="AU107" s="14">
        <v>334</v>
      </c>
      <c r="AV107" s="14">
        <f>18*24+5</f>
        <v>437</v>
      </c>
      <c r="AW107" s="14">
        <f>7*24+14</f>
        <v>182</v>
      </c>
      <c r="AX107" s="14">
        <f>7*24+14</f>
        <v>182</v>
      </c>
      <c r="AY107" s="14">
        <f>16*24+22</f>
        <v>406</v>
      </c>
      <c r="AZ107" s="14"/>
      <c r="BA107" s="14">
        <f>14*24+2</f>
        <v>338</v>
      </c>
      <c r="BB107" s="14">
        <f>19*24+1</f>
        <v>457</v>
      </c>
      <c r="BC107" s="14">
        <f>7*24+3</f>
        <v>171</v>
      </c>
      <c r="BD107" s="14">
        <f>19*24+11</f>
        <v>467</v>
      </c>
      <c r="BE107" s="14">
        <f>18*24+17</f>
        <v>449</v>
      </c>
      <c r="BF107" s="14">
        <f>18*24+9</f>
        <v>441</v>
      </c>
      <c r="BG107" s="14">
        <f>9*24+16</f>
        <v>232</v>
      </c>
      <c r="BH107" s="14">
        <f>8*24+3</f>
        <v>195</v>
      </c>
      <c r="BI107" s="14">
        <f>4*24+3</f>
        <v>99</v>
      </c>
      <c r="BJ107" s="14">
        <f>8*24+2</f>
        <v>194</v>
      </c>
      <c r="BK107" s="15">
        <f>8*24+2</f>
        <v>194</v>
      </c>
      <c r="BM107" s="10" t="s">
        <v>3</v>
      </c>
      <c r="BN107" s="35" t="s">
        <v>74</v>
      </c>
      <c r="BO107" s="11">
        <f>IF('[1]FC vers Ref (Km)'!BO107&lt;&gt;0,'Délai intermédiaire'!C107,)+19+(49/60)</f>
        <v>59.81666666666667</v>
      </c>
      <c r="BP107" s="13">
        <f>IF('[1]FC vers Ref (Km)'!BP107&lt;&gt;0,'Délai intermédiaire'!D107,)+19+(49/60)</f>
        <v>90.816666666666663</v>
      </c>
      <c r="BQ107" s="12"/>
      <c r="BR107" s="13">
        <f>IF('[1]FC vers Ref (Km)'!BR107&lt;&gt;0,'Délai intermédiaire'!F107,)+19+(49/60)</f>
        <v>127.81666666666666</v>
      </c>
      <c r="BS107" s="13">
        <f>IF('[1]FC vers Ref (Km)'!BS107&lt;&gt;0,'Délai intermédiaire'!G107,)+19+(49/60)+(48/60)</f>
        <v>37.616666666666667</v>
      </c>
      <c r="BT107" s="13">
        <f>IF('[1]FC vers Ref (Km)'!BT107&lt;&gt;0,'Délai intermédiaire'!H107,)+19+(49/60)+15+(47/60)</f>
        <v>240.6</v>
      </c>
      <c r="BU107" s="13">
        <f>IF('[1]FC vers Ref (Km)'!BU107&lt;&gt;0,'Délai intermédiaire'!I107,)+19+(49/60)</f>
        <v>270.81666666666666</v>
      </c>
      <c r="BV107" s="13">
        <f>IF('[1]FC vers Ref (Km)'!BV107&lt;&gt;0,'Délai intermédiaire'!J107,)+19+(49/60)</f>
        <v>224.81666666666666</v>
      </c>
      <c r="BW107" s="13">
        <f>IF('[1]FC vers Ref (Km)'!BW107&lt;&gt;0,'Délai intermédiaire'!K107,)+19+(49/60)+6+(13/60)</f>
        <v>89.033333333333331</v>
      </c>
      <c r="BX107" s="13">
        <f>IF('[1]FC vers Ref (Km)'!BX107&lt;&gt;0,'Délai intermédiaire'!L107,)+19+(49/60)</f>
        <v>82.816666666666663</v>
      </c>
      <c r="BY107" s="13">
        <f>IF('[1]FC vers Ref (Km)'!BY107&lt;&gt;0,'Délai intermédiaire'!M107,)+19+(49/60)+11+(1/60)</f>
        <v>281.83333333333331</v>
      </c>
      <c r="BZ107" s="13">
        <f>IF('[1]FC vers Ref (Km)'!BZ107&lt;&gt;0,'Délai intermédiaire'!N107,)+19+(49/60)</f>
        <v>270.81666666666666</v>
      </c>
      <c r="CA107" s="13">
        <f>IF('[1]FC vers Ref (Km)'!CA107&lt;&gt;0,'Délai intermédiaire'!O107,)+19+(49/60)+4+(51/60)</f>
        <v>106.66666666666666</v>
      </c>
      <c r="CB107" s="14">
        <f>IF('[1]FC vers Ref (Km)'!CB107&lt;&gt;0,'Délai intermédiaire'!P107,)+19+(49/60)+5+(3/60)</f>
        <v>222.86666666666667</v>
      </c>
      <c r="CC107" s="14">
        <f>IF('[1]FC vers Ref (Km)'!CC107&lt;&gt;0,'Délai intermédiaire'!Q107,)+19+(49/60)+(40/60)</f>
        <v>173.48333333333332</v>
      </c>
      <c r="CD107" s="14">
        <f>IF('[1]FC vers Ref (Km)'!CD107&lt;&gt;0,'Délai intermédiaire'!R107,)+19+(49/60)</f>
        <v>155.81666666666666</v>
      </c>
      <c r="CE107" s="14">
        <f>IF('[1]FC vers Ref (Km)'!CE107&lt;&gt;0,'Délai intermédiaire'!S107,)+19+(49/60)</f>
        <v>149.81666666666666</v>
      </c>
      <c r="CF107" s="14">
        <f>IF('[1]FC vers Ref (Km)'!CF107&lt;&gt;0,'Délai intermédiaire'!T107,)+19+(49/60)</f>
        <v>158.81666666666666</v>
      </c>
      <c r="CG107" s="14">
        <f>IF('[1]FC vers Ref (Km)'!CG107&lt;&gt;0,'Délai intermédiaire'!U107,)+19+(49/60)+1+(53/60)</f>
        <v>154.69999999999999</v>
      </c>
      <c r="CH107" s="14">
        <f>IF('[1]FC vers Ref (Km)'!CH107&lt;&gt;0,'Délai intermédiaire'!V107,)+19+(49/60)+2+(57/60)</f>
        <v>184.76666666666665</v>
      </c>
      <c r="CI107" s="14">
        <f>IF('[1]FC vers Ref (Km)'!CI107&lt;&gt;0,'Délai intermédiaire'!W107,)+19+(49/60)+4+(47/60)</f>
        <v>226.6</v>
      </c>
      <c r="CJ107" s="14">
        <f>IF('[1]FC vers Ref (Km)'!CJ107&lt;&gt;0,'Délai intermédiaire'!X107,)+19+(49/60)</f>
        <v>170.81666666666666</v>
      </c>
      <c r="CK107" s="14">
        <f>IF('[1]FC vers Ref (Km)'!CK107&lt;&gt;0,'Délai intermédiaire'!Y107,)+19+(49/60)+1+(33/60)</f>
        <v>181.36666666666667</v>
      </c>
      <c r="CL107" s="14">
        <f>IF('[1]FC vers Ref (Km)'!CL107&lt;&gt;0,'Délai intermédiaire'!Z107,)+19+(49/60)+2+(30/60)</f>
        <v>163.31666666666666</v>
      </c>
      <c r="CM107" s="14">
        <f>IF('[1]FC vers Ref (Km)'!CM107&lt;&gt;0,'Délai intermédiaire'!AA107,)+19+(49/60)+(56/60)</f>
        <v>190.75</v>
      </c>
      <c r="CN107" s="14">
        <f>IF('[1]FC vers Ref (Km)'!CN107&lt;&gt;0,'Délai intermédiaire'!AB107,)+19+(49/60)+1+(39/60)</f>
        <v>190.46666666666667</v>
      </c>
      <c r="CO107" s="14">
        <f>IF('[1]FC vers Ref (Km)'!CO107&lt;&gt;0,'Délai intermédiaire'!AC107,)+19+(49/60)+3+(25/60)</f>
        <v>173.23333333333332</v>
      </c>
      <c r="CP107" s="14">
        <f>IF('[1]FC vers Ref (Km)'!CP107&lt;&gt;0,'Délai intermédiaire'!AD107,)+19+(49/60)</f>
        <v>174.81666666666666</v>
      </c>
      <c r="CQ107" s="14">
        <f>IF('[1]FC vers Ref (Km)'!CQ107&lt;&gt;0,'Délai intermédiaire'!AE107,)+19+(49/60)</f>
        <v>179.81666666666666</v>
      </c>
      <c r="CR107" s="14">
        <f>IF('[1]FC vers Ref (Km)'!CR107&lt;&gt;0,'Délai intermédiaire'!AF107,)+19+(49/60)+9+(1/60)</f>
        <v>230.83333333333334</v>
      </c>
      <c r="CS107" s="14">
        <f>IF('[1]FC vers Ref (Km)'!CS107&lt;&gt;0,'Délai intermédiaire'!AG107,)+19+(49/60)+7+(48/60)</f>
        <v>229.61666666666667</v>
      </c>
      <c r="CT107" s="14">
        <f>IF('[1]FC vers Ref (Km)'!CT107&lt;&gt;0,'Délai intermédiaire'!AH107,)+19+(49/60)+5+(5/60)</f>
        <v>226.9</v>
      </c>
      <c r="CU107" s="14">
        <f>IF('[1]FC vers Ref (Km)'!CU107&lt;&gt;0,'Délai intermédiaire'!AI107,)+19+(49/60)+19+(46/60)</f>
        <v>379.58333333333331</v>
      </c>
      <c r="CV107" s="14">
        <f>IF('[1]FC vers Ref (Km)'!CV107&lt;&gt;0,'Délai intermédiaire'!AJ107,)+19+(49/60)</f>
        <v>428.81666666666666</v>
      </c>
      <c r="CW107" s="14">
        <f>IF('[1]FC vers Ref (Km)'!CW107&lt;&gt;0,'Délai intermédiaire'!AK107,)+19+(49/60)+12+(26/60)</f>
        <v>372.25</v>
      </c>
      <c r="CX107" s="14">
        <f>IF('[1]FC vers Ref (Km)'!CX107&lt;&gt;0,'Délai intermédiaire'!AL107,)+19+(49/60)</f>
        <v>401.81666666666666</v>
      </c>
      <c r="CY107" s="14">
        <f>IF('[1]FC vers Ref (Km)'!CY107&lt;&gt;0,'Délai intermédiaire'!AM107,)+19+(49/60)</f>
        <v>424.81666666666666</v>
      </c>
      <c r="CZ107" s="14">
        <f>IF('[1]FC vers Ref (Km)'!CZ107&lt;&gt;0,'Délai intermédiaire'!AN107,)+19+(49/60)</f>
        <v>435.81666666666666</v>
      </c>
      <c r="DA107" s="14">
        <f>IF('[1]FC vers Ref (Km)'!DA107&lt;&gt;0,'Délai intermédiaire'!AO107,)+19+(49/60)+1+(56/60)</f>
        <v>442.75</v>
      </c>
      <c r="DB107" s="14">
        <f>IF('[1]FC vers Ref (Km)'!DB107&lt;&gt;0,'Délai intermédiaire'!AP107,)+19+(49/60)</f>
        <v>433.81666666666666</v>
      </c>
      <c r="DC107" s="14">
        <f>IF('[1]FC vers Ref (Km)'!DC107&lt;&gt;0,'Délai intermédiaire'!AQ107,)+19+(49/60)</f>
        <v>423.81666666666666</v>
      </c>
      <c r="DD107" s="14">
        <f>IF('[1]FC vers Ref (Km)'!DD107&lt;&gt;0,'Délai intermédiaire'!AR107,)+19+(49/60)</f>
        <v>493.81666666666666</v>
      </c>
      <c r="DE107" s="14">
        <f>IF('[1]FC vers Ref (Km)'!DE107&lt;&gt;0,'Délai intermédiaire'!AS107,)+19+(49/60)</f>
        <v>353.81666666666666</v>
      </c>
      <c r="DF107" s="14">
        <f>IF('[1]FC vers Ref (Km)'!DF107&lt;&gt;0,'Délai intermédiaire'!AT107,)+19+(49/60)+20+(5/60)</f>
        <v>373.9</v>
      </c>
      <c r="DG107" s="14">
        <f>IF('[1]FC vers Ref (Km)'!DG107&lt;&gt;0,'Délai intermédiaire'!AU107,)+19+(49/60)+11+(36/60)</f>
        <v>365.41666666666669</v>
      </c>
      <c r="DH107" s="14">
        <f>IF('[1]FC vers Ref (Km)'!DH107&lt;&gt;0,'Délai intermédiaire'!AV107,)+19+(49/60)+(28/60)</f>
        <v>457.2833333333333</v>
      </c>
      <c r="DI107" s="14">
        <f>IF('[1]FC vers Ref (Km)'!DI107&lt;&gt;0,'Délai intermédiaire'!AW107,)+19+(49/60)+7+(13/60)</f>
        <v>209.03333333333333</v>
      </c>
      <c r="DJ107" s="14">
        <f>IF('[1]FC vers Ref (Km)'!DJ107&lt;&gt;0,'Délai intermédiaire'!AX107,)+19+(49/60)+2*24+15</f>
        <v>264.81666666666666</v>
      </c>
      <c r="DK107" s="14">
        <f>IF('[1]FC vers Ref (Km)'!DK107&lt;&gt;0,'Délai intermédiaire'!AY107,)+19+(49/60)</f>
        <v>425.81666666666666</v>
      </c>
      <c r="DL107" s="14">
        <f>IF('[1]FC vers Ref (Km)'!DL107&lt;&gt;0,'Délai intermédiaire'!AZ107,)+19+(49/60)</f>
        <v>19.816666666666666</v>
      </c>
      <c r="DM107" s="14">
        <f>IF('[1]FC vers Ref (Km)'!DM107&lt;&gt;0,'Délai intermédiaire'!BA107,)+19+(49/60)+7+(17/60)</f>
        <v>365.1</v>
      </c>
      <c r="DN107" s="14">
        <f>IF('[1]FC vers Ref (Km)'!DN107&lt;&gt;0,'Délai intermédiaire'!BB107,)+19+(49/60)</f>
        <v>476.81666666666666</v>
      </c>
      <c r="DO107" s="14">
        <f>IF('[1]FC vers Ref (Km)'!DO107&lt;&gt;0,'Délai intermédiaire'!BC107,)+19+(49/60)</f>
        <v>190.81666666666666</v>
      </c>
      <c r="DP107" s="14">
        <f>IF('[1]FC vers Ref (Km)'!DP107&lt;&gt;0,'Délai intermédiaire'!BD107,)+19+(49/60)</f>
        <v>486.81666666666666</v>
      </c>
      <c r="DQ107" s="14">
        <f>IF('[1]FC vers Ref (Km)'!DQ107&lt;&gt;0,'Délai intermédiaire'!BE107,)+19+(49/60)+1+(22/60)</f>
        <v>470.18333333333334</v>
      </c>
      <c r="DR107" s="14">
        <f>IF('[1]FC vers Ref (Km)'!DR107&lt;&gt;0,'Délai intermédiaire'!BF107,)+19+(49/60)</f>
        <v>460.81666666666666</v>
      </c>
      <c r="DS107" s="14">
        <f>IF('[1]FC vers Ref (Km)'!DS107&lt;&gt;0,'Délai intermédiaire'!BG107,)+19+(49/60)+10+(43/60)</f>
        <v>262.5333333333333</v>
      </c>
      <c r="DT107" s="14">
        <f>IF('[1]FC vers Ref (Km)'!DT107&lt;&gt;0,'Délai intermédiaire'!BH107,)+19+(49/60)+(12/60)</f>
        <v>215.01666666666665</v>
      </c>
      <c r="DU107" s="14">
        <f>IF('[1]FC vers Ref (Km)'!DU107&lt;&gt;0,'Délai intermédiaire'!BI107,)+19+(49/60)+7+(45/60)</f>
        <v>126.56666666666666</v>
      </c>
      <c r="DV107" s="14">
        <f>IF('[1]FC vers Ref (Km)'!DV107&lt;&gt;0,'Délai intermédiaire'!BJ107,)+19+(49/60)+1+(10/60)</f>
        <v>214.98333333333332</v>
      </c>
      <c r="DW107" s="15">
        <f>IF('[1]FC vers Ref (Km)'!DW107&lt;&gt;0,'Délai intermédiaire'!BK107,)+19+(49/60)+12+(41/60)</f>
        <v>226.5</v>
      </c>
      <c r="DX107" s="27"/>
      <c r="DY107" s="10" t="s">
        <v>3</v>
      </c>
      <c r="DZ107" s="35" t="s">
        <v>74</v>
      </c>
      <c r="EA107" s="11">
        <f>IF('[1]FC vers Ref (Km)'!EA107&lt;&gt;0,C107,)+7+(55/60)+19+(53/60)</f>
        <v>67.8</v>
      </c>
      <c r="EB107" s="13">
        <f>IF('[1]FC vers Ref (Km)'!EB107&lt;&gt;0,D107,)+7+(55/60)+19+(53/60)</f>
        <v>98.800000000000011</v>
      </c>
      <c r="EC107" s="12"/>
      <c r="ED107" s="13">
        <f>IF('[1]FC vers Ref (Km)'!ED107&lt;&gt;0,F107,)+7+(55/60)+19+(53/60)</f>
        <v>135.80000000000001</v>
      </c>
      <c r="EE107" s="13">
        <f>IF('[1]FC vers Ref (Km)'!EE107&lt;&gt;0,G107,)+7+(55/60)+19+(53/60)+(32/60)</f>
        <v>45.333333333333336</v>
      </c>
      <c r="EF107" s="13">
        <f>IF('[1]FC vers Ref (Km)'!EF107&lt;&gt;0,H107,)+7+(55/60)+19+(53/60)+14+(25/60)+31+(8/60)</f>
        <v>278.34999999999997</v>
      </c>
      <c r="EG107" s="13">
        <f>IF('[1]FC vers Ref (Km)'!EG107&lt;&gt;0,I107,)+7+(55/60)+19+(53/60)</f>
        <v>278.8</v>
      </c>
      <c r="EH107" s="13">
        <f>IF('[1]FC vers Ref (Km)'!EH107&lt;&gt;0,J107,)+7+(55/60)+19+(53/60)</f>
        <v>232.79999999999998</v>
      </c>
      <c r="EI107" s="13">
        <f>IF('[1]FC vers Ref (Km)'!EI107&lt;&gt;0,K107,)+7+(55/60)+19+(53/60)+5+(11/60)</f>
        <v>95.983333333333348</v>
      </c>
      <c r="EJ107" s="13">
        <f>IF('[1]FC vers Ref (Km)'!EJ107&lt;&gt;0,L107,)+7+(55/60)+19+(53/60)</f>
        <v>90.800000000000011</v>
      </c>
      <c r="EK107" s="13">
        <f>IF('[1]FC vers Ref (Km)'!EK107&lt;&gt;0,M107,)+7+(55/60)+19+(53/60)</f>
        <v>278.8</v>
      </c>
      <c r="EL107" s="13">
        <f>IF('[1]FC vers Ref (Km)'!EL107&lt;&gt;0,N107,)+7+(55/60)+19+(53/60)</f>
        <v>278.8</v>
      </c>
      <c r="EM107" s="13">
        <f>IF('[1]FC vers Ref (Km)'!EM107&lt;&gt;0,O107,)+7+(55/60)+19+(53/60)</f>
        <v>109.80000000000001</v>
      </c>
      <c r="EN107" s="14">
        <f>IF('[1]FC vers Ref (Km)'!EN107&lt;&gt;0,P107,)+7+(55/60)+19+(53/60)</f>
        <v>225.79999999999998</v>
      </c>
      <c r="EO107" s="14">
        <f>IF('[1]FC vers Ref (Km)'!EO107&lt;&gt;0,Q107,)+7+(55/60)+19+(53/60)</f>
        <v>180.79999999999998</v>
      </c>
      <c r="EP107" s="14">
        <f>IF('[1]FC vers Ref (Km)'!EP107&lt;&gt;0,R107,)+7+(55/60)+19+(53/60)</f>
        <v>163.79999999999998</v>
      </c>
      <c r="EQ107" s="14">
        <f>IF('[1]FC vers Ref (Km)'!EQ107&lt;&gt;0,S107,)+7+(55/60)+19+(53/60)</f>
        <v>157.79999999999998</v>
      </c>
      <c r="ER107" s="14">
        <f>IF('[1]FC vers Ref (Km)'!ER107&lt;&gt;0,T107,)+7+(55/60)+19+(53/60)</f>
        <v>166.79999999999998</v>
      </c>
      <c r="ES107" s="14">
        <f>IF('[1]FC vers Ref (Km)'!ES107&lt;&gt;0,U107,)+7+(55/60)+19+(53/60)+2+(21/60)</f>
        <v>163.14999999999998</v>
      </c>
      <c r="ET107" s="14">
        <f>IF('[1]FC vers Ref (Km)'!ET107&lt;&gt;0,V107,)+7+(55/60)+19+(53/60)+1+(44/60)</f>
        <v>191.5333333333333</v>
      </c>
      <c r="EU107" s="14">
        <f>IF('[1]FC vers Ref (Km)'!EU107&lt;&gt;0,W107,)+7+(55/60)+19+(53/60)+1+(47/60)+2+(31/60)+2+(54/60)</f>
        <v>237</v>
      </c>
      <c r="EV107" s="14">
        <f>IF('[1]FC vers Ref (Km)'!EV107&lt;&gt;0,X107,)+7+(55/60)+19+(53/60)</f>
        <v>178.79999999999998</v>
      </c>
      <c r="EW107" s="14">
        <f>IF('[1]FC vers Ref (Km)'!EW107&lt;&gt;0,Y107,)+7+(55/60)+19+(53/60)+(56/60)+(59/60)</f>
        <v>189.71666666666664</v>
      </c>
      <c r="EX107" s="14">
        <f>IF('[1]FC vers Ref (Km)'!EX107&lt;&gt;0,Z107,)+7+(55/60)+19+(53/60)+1+(35/60)+(37/60)</f>
        <v>171</v>
      </c>
      <c r="EY107" s="14">
        <f>IF('[1]FC vers Ref (Km)'!EY107&lt;&gt;0,AA107,)+7+(55/60)+19+(53/60)+1+(18/60)</f>
        <v>199.1</v>
      </c>
      <c r="EZ107" s="14">
        <f>IF('[1]FC vers Ref (Km)'!EZ107&lt;&gt;0,AB107,)+7+(55/60)+19+(53/60)+1+(39/60)</f>
        <v>198.45</v>
      </c>
      <c r="FA107" s="14">
        <f>IF('[1]FC vers Ref (Km)'!FA107&lt;&gt;0,AC107,)+7+(55/60)+19+(53/60)+1+(47/60)</f>
        <v>179.58333333333331</v>
      </c>
      <c r="FB107" s="14">
        <f>IF('[1]FC vers Ref (Km)'!FB107&lt;&gt;0,AD107,)+7+(55/60)+19+(53/60)</f>
        <v>182.79999999999998</v>
      </c>
      <c r="FC107" s="14">
        <f>IF('[1]FC vers Ref (Km)'!FC107&lt;&gt;0,AE107,)+7+(55/60)+19+(53/60)</f>
        <v>187.79999999999998</v>
      </c>
      <c r="FD107" s="14">
        <f>IF('[1]FC vers Ref (Km)'!FD107&lt;&gt;0,AF107,)+7+(55/60)+19+(53/60)+5+(31/60)+5+(51/60)+1+(8/60)</f>
        <v>242.29999999999998</v>
      </c>
      <c r="FE107" s="14">
        <f>IF('[1]FC vers Ref (Km)'!FE107&lt;&gt;0,AG107,)+7+(55/60)+19+(53/60)+4+(2/60)+5+(51/60)+1+(8/60)</f>
        <v>240.81666666666663</v>
      </c>
      <c r="FF107" s="14">
        <f>IF('[1]FC vers Ref (Km)'!FF107&lt;&gt;0,AH107,)+7+(55/60)+19+(53/60)+1+(7/60)+5+(51/60)+1+(8/60)</f>
        <v>237.89999999999998</v>
      </c>
      <c r="FG107" s="14">
        <f>IF('[1]FC vers Ref (Km)'!FG107&lt;&gt;0,AI107,)+7+(55/60)+19+(53/60)+15+(50/60)</f>
        <v>383.63333333333333</v>
      </c>
      <c r="FH107" s="14">
        <f>IF('[1]FC vers Ref (Km)'!FH107&lt;&gt;0,AJ107,)+7+(55/60)+19+(53/60)</f>
        <v>436.8</v>
      </c>
      <c r="FI107" s="14">
        <f>IF('[1]FC vers Ref (Km)'!FI107&lt;&gt;0,AK107,)+7+(55/60)+19+(53/60)+4+(40/60)+11+(32/60)</f>
        <v>384.00000000000006</v>
      </c>
      <c r="FJ107" s="14">
        <f>IF('[1]FC vers Ref (Km)'!FJ107&lt;&gt;0,AL107,)+7+(55/60)+19+(53/60)</f>
        <v>409.8</v>
      </c>
      <c r="FK107" s="14">
        <f>IF('[1]FC vers Ref (Km)'!FK107&lt;&gt;0,AM107,)+7+(55/60)+19+(53/60)</f>
        <v>432.8</v>
      </c>
      <c r="FL107" s="14">
        <f>IF('[1]FC vers Ref (Km)'!FL107&lt;&gt;0,AN107,)+7+(55/60)+19+(53/60)</f>
        <v>443.8</v>
      </c>
      <c r="FM107" s="14">
        <f>IF('[1]FC vers Ref (Km)'!FM107&lt;&gt;0,AO107,)+7+(55/60)+19+(53/60)+(55/60)</f>
        <v>449.7166666666667</v>
      </c>
      <c r="FN107" s="14">
        <f>IF('[1]FC vers Ref (Km)'!FN107&lt;&gt;0,AP107,)+7+(55/60)+19+(53/60)</f>
        <v>441.8</v>
      </c>
      <c r="FO107" s="14">
        <f>IF('[1]FC vers Ref (Km)'!FO107&lt;&gt;0,AQ107,)+7+(55/60)+19+(53/60)</f>
        <v>431.8</v>
      </c>
      <c r="FP107" s="14">
        <f>IF('[1]FC vers Ref (Km)'!FP107&lt;&gt;0,AR107,)+7+(55/60)+19+(53/60)</f>
        <v>501.8</v>
      </c>
      <c r="FQ107" s="14">
        <f>IF('[1]FC vers Ref (Km)'!FQ107&lt;&gt;0,AS107,)+7+(55/60)+19+(53/60)</f>
        <v>361.8</v>
      </c>
      <c r="FR107" s="14">
        <f>IF('[1]FC vers Ref (Km)'!FR107&lt;&gt;0,AT107,)+7+(55/60)+19+(53/60)</f>
        <v>361.8</v>
      </c>
      <c r="FS107" s="14">
        <f>IF('[1]FC vers Ref (Km)'!FS107&lt;&gt;0,AU107,)+7+(55/60)+19+(53/60)</f>
        <v>361.8</v>
      </c>
      <c r="FT107" s="14">
        <f>IF('[1]FC vers Ref (Km)'!FT107&lt;&gt;0,AV107,)+7+(55/60)+19+(53/60)+1+(7/60)</f>
        <v>465.91666666666669</v>
      </c>
      <c r="FU107" s="14">
        <f>IF('[1]FC vers Ref (Km)'!FU107&lt;&gt;0,AW107,)+7+(55/60)+19+(53/60)+8+(3/60)</f>
        <v>217.85</v>
      </c>
      <c r="FV107" s="14">
        <f>IF('[1]FC vers Ref (Km)'!FV107&lt;&gt;0,AX107,)+7+(55/60)+19+(53/60)+2*24+11</f>
        <v>268.79999999999995</v>
      </c>
      <c r="FW107" s="14">
        <f>IF('[1]FC vers Ref (Km)'!FW107&lt;&gt;0,AY107,)+7+(55/60)+19+(53/60)</f>
        <v>433.8</v>
      </c>
      <c r="FX107" s="14">
        <f>IF('[1]FC vers Ref (Km)'!FX107&lt;&gt;0,AZ107,)+7+(55/60)+19+(53/60)</f>
        <v>27.8</v>
      </c>
      <c r="FY107" s="14">
        <f>IF('[1]FC vers Ref (Km)'!FY107&lt;&gt;0,BA107,)+7+(55/60)+19+(53/60)+5+(41/60)</f>
        <v>371.48333333333335</v>
      </c>
      <c r="FZ107" s="14">
        <f>IF('[1]FC vers Ref (Km)'!FZ107&lt;&gt;0,BB107,)+7+(55/60)+19+(53/60)</f>
        <v>484.8</v>
      </c>
      <c r="GA107" s="14">
        <f>IF('[1]FC vers Ref (Km)'!GA107&lt;&gt;0,BC107,)+7+(55/60)+19+(53/60)</f>
        <v>198.79999999999998</v>
      </c>
      <c r="GB107" s="14">
        <f>IF('[1]FC vers Ref (Km)'!GB107&lt;&gt;0,BD107,)+7+(55/60)+19+(53/60)</f>
        <v>494.8</v>
      </c>
      <c r="GC107" s="14">
        <f>IF('[1]FC vers Ref (Km)'!GC107&lt;&gt;0,BE107,)+7+(55/60)+19+(53/60)+(30/60)</f>
        <v>477.3</v>
      </c>
      <c r="GD107" s="14">
        <f>IF('[1]FC vers Ref (Km)'!GD107&lt;&gt;0,BF107,)+7+(55/60)+19+(53/60)</f>
        <v>468.8</v>
      </c>
      <c r="GE107" s="14">
        <f>IF('[1]FC vers Ref (Km)'!GE107&lt;&gt;0,BG107,)+7+(55/60)+19+(53/60)+15+(1/60)</f>
        <v>274.81666666666661</v>
      </c>
      <c r="GF107" s="14">
        <f>IF('[1]FC vers Ref (Km)'!GF107&lt;&gt;0,BH107,)+7+(55/60)+19+(53/60)</f>
        <v>222.79999999999998</v>
      </c>
      <c r="GG107" s="14">
        <f>IF('[1]FC vers Ref (Km)'!GG107&lt;&gt;0,BI107,)+7+(55/60)+19+(53/60)</f>
        <v>126.80000000000001</v>
      </c>
      <c r="GH107" s="14">
        <f>IF('[1]FC vers Ref (Km)'!GH107&lt;&gt;0,BJ107,)+7+(55/60)+19+(53/60)</f>
        <v>221.79999999999998</v>
      </c>
      <c r="GI107" s="15">
        <f>IF('[1]FC vers Ref (Km)'!GI107&lt;&gt;0,BK107,)+7+(55/60)+19+(53/60)</f>
        <v>221.79999999999998</v>
      </c>
    </row>
    <row r="108" spans="1:191" x14ac:dyDescent="0.3">
      <c r="A108" s="10" t="s">
        <v>4</v>
      </c>
      <c r="B108" s="35" t="s">
        <v>73</v>
      </c>
      <c r="C108" s="11">
        <f>5*24+22</f>
        <v>142</v>
      </c>
      <c r="D108" s="13">
        <f>7*24+5</f>
        <v>173</v>
      </c>
      <c r="E108" s="13">
        <f>4*24+12</f>
        <v>108</v>
      </c>
      <c r="F108" s="12"/>
      <c r="G108" s="13">
        <v>121</v>
      </c>
      <c r="H108" s="13">
        <v>301</v>
      </c>
      <c r="I108" s="13">
        <v>346</v>
      </c>
      <c r="J108" s="13">
        <v>301</v>
      </c>
      <c r="K108" s="13">
        <v>45</v>
      </c>
      <c r="L108" s="13">
        <v>45</v>
      </c>
      <c r="M108" s="13">
        <v>347</v>
      </c>
      <c r="N108" s="13">
        <v>347</v>
      </c>
      <c r="O108" s="13">
        <v>183</v>
      </c>
      <c r="P108" s="14">
        <v>267</v>
      </c>
      <c r="Q108" s="14">
        <v>223</v>
      </c>
      <c r="R108" s="14">
        <v>173</v>
      </c>
      <c r="S108" s="14">
        <v>170</v>
      </c>
      <c r="T108" s="14">
        <v>180</v>
      </c>
      <c r="U108" s="14">
        <v>174</v>
      </c>
      <c r="V108" s="14">
        <v>206</v>
      </c>
      <c r="W108" s="14">
        <v>246</v>
      </c>
      <c r="X108" s="14">
        <v>187</v>
      </c>
      <c r="Y108" s="14">
        <v>196</v>
      </c>
      <c r="Z108" s="14">
        <v>182</v>
      </c>
      <c r="AA108" s="14">
        <v>214</v>
      </c>
      <c r="AB108" s="14">
        <v>213</v>
      </c>
      <c r="AC108" s="14">
        <v>194</v>
      </c>
      <c r="AD108" s="14">
        <v>199</v>
      </c>
      <c r="AE108" s="14">
        <v>196</v>
      </c>
      <c r="AF108" s="14">
        <v>246</v>
      </c>
      <c r="AG108" s="14">
        <v>246</v>
      </c>
      <c r="AH108" s="14">
        <v>246</v>
      </c>
      <c r="AI108" s="14">
        <v>384</v>
      </c>
      <c r="AJ108" s="14">
        <v>453</v>
      </c>
      <c r="AK108" s="14">
        <v>384</v>
      </c>
      <c r="AL108" s="14">
        <v>425</v>
      </c>
      <c r="AM108" s="14">
        <v>500</v>
      </c>
      <c r="AN108" s="14">
        <v>512</v>
      </c>
      <c r="AO108" s="14">
        <v>516</v>
      </c>
      <c r="AP108" s="14">
        <v>509</v>
      </c>
      <c r="AQ108" s="14">
        <v>499</v>
      </c>
      <c r="AR108" s="14">
        <v>520</v>
      </c>
      <c r="AS108" s="14">
        <v>378</v>
      </c>
      <c r="AT108" s="14">
        <v>378</v>
      </c>
      <c r="AU108" s="14">
        <v>378</v>
      </c>
      <c r="AV108" s="14">
        <f>22*24+5</f>
        <v>533</v>
      </c>
      <c r="AW108" s="14">
        <f>9*24+2</f>
        <v>218</v>
      </c>
      <c r="AX108" s="14">
        <f>9*24+2</f>
        <v>218</v>
      </c>
      <c r="AY108" s="14">
        <f>20*24+22</f>
        <v>502</v>
      </c>
      <c r="AZ108" s="14"/>
      <c r="BA108" s="14">
        <f>15*24+22</f>
        <v>382</v>
      </c>
      <c r="BB108" s="14">
        <f>20*24+21</f>
        <v>501</v>
      </c>
      <c r="BC108" s="14">
        <f>8*24+15</f>
        <v>207</v>
      </c>
      <c r="BD108" s="14">
        <f>21*24+23</f>
        <v>527</v>
      </c>
      <c r="BE108" s="14">
        <f>22*24+17</f>
        <v>545</v>
      </c>
      <c r="BF108" s="14">
        <f>22*24+9</f>
        <v>537</v>
      </c>
      <c r="BG108" s="14">
        <f>11*24+12</f>
        <v>276</v>
      </c>
      <c r="BH108" s="14">
        <f>9*24+23</f>
        <v>239</v>
      </c>
      <c r="BI108" s="14">
        <f>8*24+2</f>
        <v>194</v>
      </c>
      <c r="BJ108" s="14">
        <f>12*24+2</f>
        <v>290</v>
      </c>
      <c r="BK108" s="15">
        <f>12*24+2</f>
        <v>290</v>
      </c>
      <c r="BM108" s="10" t="s">
        <v>4</v>
      </c>
      <c r="BN108" s="35" t="s">
        <v>73</v>
      </c>
      <c r="BO108" s="11">
        <f>IF('[1]FC vers Ref (Km)'!BO108&lt;&gt;0,'Délai intermédiaire'!C108,)</f>
        <v>0</v>
      </c>
      <c r="BP108" s="13">
        <f>IF('[1]FC vers Ref (Km)'!BP108&lt;&gt;0,'Délai intermédiaire'!D108,)</f>
        <v>0</v>
      </c>
      <c r="BQ108" s="13">
        <f>IF('[1]FC vers Ref (Km)'!BQ108&lt;&gt;0,'Délai intermédiaire'!E108,)+19+(49/60)</f>
        <v>127.81666666666666</v>
      </c>
      <c r="BR108" s="12"/>
      <c r="BS108" s="13">
        <f>IF('[1]FC vers Ref (Km)'!BS108&lt;&gt;0,'Délai intermédiaire'!G108,)+(48/60)</f>
        <v>121.8</v>
      </c>
      <c r="BT108" s="13">
        <f>IF('[1]FC vers Ref (Km)'!BT108&lt;&gt;0,'Délai intermédiaire'!H108,)+15+(47/60)</f>
        <v>316.78333333333336</v>
      </c>
      <c r="BU108" s="13">
        <f>IF('[1]FC vers Ref (Km)'!BU108&lt;&gt;0,'Délai intermédiaire'!I108,)</f>
        <v>0</v>
      </c>
      <c r="BV108" s="13">
        <f>IF('[1]FC vers Ref (Km)'!BV108&lt;&gt;0,'Délai intermédiaire'!J108,)</f>
        <v>0</v>
      </c>
      <c r="BW108" s="13">
        <f>IF('[1]FC vers Ref (Km)'!BW108&lt;&gt;0,'Délai intermédiaire'!K108,)+6+(13/60)</f>
        <v>51.216666666666669</v>
      </c>
      <c r="BX108" s="13">
        <f>IF('[1]FC vers Ref (Km)'!BX108&lt;&gt;0,'Délai intermédiaire'!L108,)</f>
        <v>0</v>
      </c>
      <c r="BY108" s="13">
        <f>IF('[1]FC vers Ref (Km)'!BY108&lt;&gt;0,'Délai intermédiaire'!M108,)+11+(1/60)</f>
        <v>358.01666666666665</v>
      </c>
      <c r="BZ108" s="13">
        <f>IF('[1]FC vers Ref (Km)'!BZ108&lt;&gt;0,'Délai intermédiaire'!N108,)</f>
        <v>0</v>
      </c>
      <c r="CA108" s="13">
        <f>IF('[1]FC vers Ref (Km)'!CA108&lt;&gt;0,'Délai intermédiaire'!O108,)+4+(51/60)</f>
        <v>187.85</v>
      </c>
      <c r="CB108" s="14">
        <f>IF('[1]FC vers Ref (Km)'!CB108&lt;&gt;0,'Délai intermédiaire'!P108,)+5+(3/60)</f>
        <v>272.05</v>
      </c>
      <c r="CC108" s="14">
        <f>IF('[1]FC vers Ref (Km)'!CC108&lt;&gt;0,'Délai intermédiaire'!Q108,)+(40/60)</f>
        <v>223.66666666666666</v>
      </c>
      <c r="CD108" s="14">
        <f>IF('[1]FC vers Ref (Km)'!CD108&lt;&gt;0,'Délai intermédiaire'!R108,)</f>
        <v>0</v>
      </c>
      <c r="CE108" s="14">
        <f>IF('[1]FC vers Ref (Km)'!CE108&lt;&gt;0,'Délai intermédiaire'!S108,)</f>
        <v>0</v>
      </c>
      <c r="CF108" s="14">
        <f>IF('[1]FC vers Ref (Km)'!CF108&lt;&gt;0,'Délai intermédiaire'!T108,)</f>
        <v>0</v>
      </c>
      <c r="CG108" s="14">
        <f>IF('[1]FC vers Ref (Km)'!CG108&lt;&gt;0,'Délai intermédiaire'!U108,)+1+(53/60)</f>
        <v>175.88333333333333</v>
      </c>
      <c r="CH108" s="14">
        <f>IF('[1]FC vers Ref (Km)'!CH108&lt;&gt;0,'Délai intermédiaire'!V108,)+2+(57/60)</f>
        <v>208.95</v>
      </c>
      <c r="CI108" s="14">
        <f>IF('[1]FC vers Ref (Km)'!CI108&lt;&gt;0,'Délai intermédiaire'!W108,)+4+(47/60)</f>
        <v>250.78333333333333</v>
      </c>
      <c r="CJ108" s="14">
        <f>IF('[1]FC vers Ref (Km)'!CJ108&lt;&gt;0,'Délai intermédiaire'!X108,)</f>
        <v>0</v>
      </c>
      <c r="CK108" s="14">
        <f>IF('[1]FC vers Ref (Km)'!CK108&lt;&gt;0,'Délai intermédiaire'!Y108,)+1+(33/60)</f>
        <v>197.55</v>
      </c>
      <c r="CL108" s="14">
        <f>IF('[1]FC vers Ref (Km)'!CL108&lt;&gt;0,'Délai intermédiaire'!Z108,)+2+(30/60)</f>
        <v>184.5</v>
      </c>
      <c r="CM108" s="14">
        <f>IF('[1]FC vers Ref (Km)'!CM108&lt;&gt;0,'Délai intermédiaire'!AA108,)+(56/60)</f>
        <v>214.93333333333334</v>
      </c>
      <c r="CN108" s="14">
        <f>IF('[1]FC vers Ref (Km)'!CN108&lt;&gt;0,'Délai intermédiaire'!AB108,)+1+(39/60)</f>
        <v>214.65</v>
      </c>
      <c r="CO108" s="14">
        <f>IF('[1]FC vers Ref (Km)'!CO108&lt;&gt;0,'Délai intermédiaire'!AC108,)+3+(25/60)</f>
        <v>197.41666666666666</v>
      </c>
      <c r="CP108" s="14">
        <f>IF('[1]FC vers Ref (Km)'!CP108&lt;&gt;0,'Délai intermédiaire'!AD108,)</f>
        <v>0</v>
      </c>
      <c r="CQ108" s="14">
        <f>IF('[1]FC vers Ref (Km)'!CQ108&lt;&gt;0,'Délai intermédiaire'!AE108,)</f>
        <v>0</v>
      </c>
      <c r="CR108" s="14">
        <f>IF('[1]FC vers Ref (Km)'!CR108&lt;&gt;0,'Délai intermédiaire'!AF108,)+9+(1/60)</f>
        <v>255.01666666666668</v>
      </c>
      <c r="CS108" s="14">
        <f>IF('[1]FC vers Ref (Km)'!CS108&lt;&gt;0,'Délai intermédiaire'!AG108,)+7+(48/60)</f>
        <v>253.8</v>
      </c>
      <c r="CT108" s="14">
        <f>IF('[1]FC vers Ref (Km)'!CT108&lt;&gt;0,'Délai intermédiaire'!AH108,)+5+(5/60)</f>
        <v>251.08333333333334</v>
      </c>
      <c r="CU108" s="14">
        <f>IF('[1]FC vers Ref (Km)'!CU108&lt;&gt;0,'Délai intermédiaire'!AI108,)+19+(46/60)</f>
        <v>403.76666666666665</v>
      </c>
      <c r="CV108" s="14">
        <f>IF('[1]FC vers Ref (Km)'!CV108&lt;&gt;0,'Délai intermédiaire'!AJ108,)</f>
        <v>0</v>
      </c>
      <c r="CW108" s="14">
        <f>IF('[1]FC vers Ref (Km)'!CW108&lt;&gt;0,'Délai intermédiaire'!AK108,)+12+(26/60)</f>
        <v>396.43333333333334</v>
      </c>
      <c r="CX108" s="14">
        <f>IF('[1]FC vers Ref (Km)'!CX108&lt;&gt;0,'Délai intermédiaire'!AL108,)</f>
        <v>0</v>
      </c>
      <c r="CY108" s="14">
        <f>IF('[1]FC vers Ref (Km)'!CY108&lt;&gt;0,'Délai intermédiaire'!AM108,)</f>
        <v>0</v>
      </c>
      <c r="CZ108" s="14">
        <f>IF('[1]FC vers Ref (Km)'!CZ108&lt;&gt;0,'Délai intermédiaire'!AN108,)</f>
        <v>0</v>
      </c>
      <c r="DA108" s="14">
        <f>IF('[1]FC vers Ref (Km)'!DA108&lt;&gt;0,'Délai intermédiaire'!AO108,)+1+(56/60)</f>
        <v>517.93333333333328</v>
      </c>
      <c r="DB108" s="14">
        <f>IF('[1]FC vers Ref (Km)'!DB108&lt;&gt;0,'Délai intermédiaire'!AP108,)</f>
        <v>0</v>
      </c>
      <c r="DC108" s="14">
        <f>IF('[1]FC vers Ref (Km)'!DC108&lt;&gt;0,'Délai intermédiaire'!AQ108,)</f>
        <v>0</v>
      </c>
      <c r="DD108" s="14">
        <f>IF('[1]FC vers Ref (Km)'!DD108&lt;&gt;0,'Délai intermédiaire'!AR108,)</f>
        <v>0</v>
      </c>
      <c r="DE108" s="14">
        <f>IF('[1]FC vers Ref (Km)'!DE108&lt;&gt;0,'Délai intermédiaire'!AS108,)</f>
        <v>0</v>
      </c>
      <c r="DF108" s="14">
        <f>IF('[1]FC vers Ref (Km)'!DF108&lt;&gt;0,'Délai intermédiaire'!AT108,)+20+(5/60)</f>
        <v>398.08333333333331</v>
      </c>
      <c r="DG108" s="14">
        <f>IF('[1]FC vers Ref (Km)'!DG108&lt;&gt;0,'Délai intermédiaire'!AU108,)+11+(36/60)+11+(36/60)</f>
        <v>401.20000000000005</v>
      </c>
      <c r="DH108" s="14">
        <f>IF('[1]FC vers Ref (Km)'!DH108&lt;&gt;0,'Délai intermédiaire'!AV108,)+(28/60)</f>
        <v>533.4666666666667</v>
      </c>
      <c r="DI108" s="14">
        <f>IF('[1]FC vers Ref (Km)'!DI108&lt;&gt;0,'Délai intermédiaire'!AW108,)+7+(13/60)</f>
        <v>225.21666666666667</v>
      </c>
      <c r="DJ108" s="14">
        <f>IF('[1]FC vers Ref (Km)'!DJ108&lt;&gt;0,'Délai intermédiaire'!AX108,)+2*24+15</f>
        <v>281</v>
      </c>
      <c r="DK108" s="14">
        <f>IF('[1]FC vers Ref (Km)'!DK108&lt;&gt;0,'Délai intermédiaire'!AY108,)</f>
        <v>0</v>
      </c>
      <c r="DL108" s="14">
        <f>IF('[1]FC vers Ref (Km)'!DL108&lt;&gt;0,'Délai intermédiaire'!AZ108,)</f>
        <v>0</v>
      </c>
      <c r="DM108" s="14">
        <f>IF('[1]FC vers Ref (Km)'!DM108&lt;&gt;0,'Délai intermédiaire'!BA108,)+7+(17/60)</f>
        <v>389.28333333333336</v>
      </c>
      <c r="DN108" s="14">
        <f>IF('[1]FC vers Ref (Km)'!DN108&lt;&gt;0,'Délai intermédiaire'!BB108,)</f>
        <v>0</v>
      </c>
      <c r="DO108" s="14">
        <f>IF('[1]FC vers Ref (Km)'!DO108&lt;&gt;0,'Délai intermédiaire'!BC108,)</f>
        <v>0</v>
      </c>
      <c r="DP108" s="14">
        <f>IF('[1]FC vers Ref (Km)'!DP108&lt;&gt;0,'Délai intermédiaire'!BD108,)</f>
        <v>0</v>
      </c>
      <c r="DQ108" s="14">
        <f>IF('[1]FC vers Ref (Km)'!DQ108&lt;&gt;0,'Délai intermédiaire'!BE108,)+1+(22/60)</f>
        <v>546.36666666666667</v>
      </c>
      <c r="DR108" s="14">
        <f>IF('[1]FC vers Ref (Km)'!DR108&lt;&gt;0,'Délai intermédiaire'!BF108,)</f>
        <v>0</v>
      </c>
      <c r="DS108" s="14">
        <f>IF('[1]FC vers Ref (Km)'!DS108&lt;&gt;0,'Délai intermédiaire'!BG108,)+10+(43/60)</f>
        <v>286.71666666666664</v>
      </c>
      <c r="DT108" s="14">
        <f>IF('[1]FC vers Ref (Km)'!DT108&lt;&gt;0,'Délai intermédiaire'!BH108,)+(12/60)</f>
        <v>239.2</v>
      </c>
      <c r="DU108" s="14">
        <f>IF('[1]FC vers Ref (Km)'!DU108&lt;&gt;0,'Délai intermédiaire'!BI108,)+7+(45/60)</f>
        <v>201.75</v>
      </c>
      <c r="DV108" s="14">
        <f>IF('[1]FC vers Ref (Km)'!DV108&lt;&gt;0,'Délai intermédiaire'!BJ108,)+1+(10/60)</f>
        <v>291.16666666666669</v>
      </c>
      <c r="DW108" s="15">
        <f>IF('[1]FC vers Ref (Km)'!DW108&lt;&gt;0,'Délai intermédiaire'!BK108,)+12+(41/60)</f>
        <v>302.68333333333334</v>
      </c>
      <c r="DX108" s="27"/>
      <c r="DY108" s="10" t="s">
        <v>4</v>
      </c>
      <c r="DZ108" s="35" t="s">
        <v>73</v>
      </c>
      <c r="EA108" s="11">
        <f>IF('[1]FC vers Ref (Km)'!EA108&lt;&gt;0,C108,)</f>
        <v>0</v>
      </c>
      <c r="EB108" s="13">
        <f>IF('[1]FC vers Ref (Km)'!EB108&lt;&gt;0,D108,)</f>
        <v>0</v>
      </c>
      <c r="EC108" s="13">
        <f>IF('[1]FC vers Ref (Km)'!EC108&lt;&gt;0,E108,)+7+(55/60)+19+(53/60)</f>
        <v>135.80000000000001</v>
      </c>
      <c r="ED108" s="12">
        <f>IF('[1]FC vers Ref (Km)'!ED108&lt;&gt;0,F108,)</f>
        <v>0</v>
      </c>
      <c r="EE108" s="13">
        <f>IF('[1]FC vers Ref (Km)'!EE108&lt;&gt;0,G108,)+(32/60)</f>
        <v>121.53333333333333</v>
      </c>
      <c r="EF108" s="13">
        <f>IF('[1]FC vers Ref (Km)'!EF108&lt;&gt;0,H108,)+14+(25/60)+31+(8/60)</f>
        <v>346.55</v>
      </c>
      <c r="EG108" s="13">
        <f>IF('[1]FC vers Ref (Km)'!EG108&lt;&gt;0,I108,)</f>
        <v>0</v>
      </c>
      <c r="EH108" s="13">
        <f>IF('[1]FC vers Ref (Km)'!EH108&lt;&gt;0,J108,)</f>
        <v>0</v>
      </c>
      <c r="EI108" s="13">
        <f>IF('[1]FC vers Ref (Km)'!EI108&lt;&gt;0,K108,)+5+(11/60)</f>
        <v>50.18333333333333</v>
      </c>
      <c r="EJ108" s="13">
        <f>IF('[1]FC vers Ref (Km)'!EJ108&lt;&gt;0,L108,)</f>
        <v>0</v>
      </c>
      <c r="EK108" s="13">
        <f>IF('[1]FC vers Ref (Km)'!EK108&lt;&gt;0,M108,)</f>
        <v>0</v>
      </c>
      <c r="EL108" s="13">
        <f>IF('[1]FC vers Ref (Km)'!EL108&lt;&gt;0,N108,)</f>
        <v>0</v>
      </c>
      <c r="EM108" s="13">
        <f>IF('[1]FC vers Ref (Km)'!EM108&lt;&gt;0,O108,)</f>
        <v>0</v>
      </c>
      <c r="EN108" s="14">
        <f>IF('[1]FC vers Ref (Km)'!EN108&lt;&gt;0,P108,)</f>
        <v>0</v>
      </c>
      <c r="EO108" s="14">
        <f>IF('[1]FC vers Ref (Km)'!EO108&lt;&gt;0,Q108,)</f>
        <v>0</v>
      </c>
      <c r="EP108" s="14">
        <f>IF('[1]FC vers Ref (Km)'!EP108&lt;&gt;0,R108,)</f>
        <v>0</v>
      </c>
      <c r="EQ108" s="14">
        <f>IF('[1]FC vers Ref (Km)'!EQ108&lt;&gt;0,S108,)</f>
        <v>0</v>
      </c>
      <c r="ER108" s="14">
        <f>IF('[1]FC vers Ref (Km)'!ER108&lt;&gt;0,T108,)</f>
        <v>0</v>
      </c>
      <c r="ES108" s="14">
        <f>IF('[1]FC vers Ref (Km)'!ES108&lt;&gt;0,U108,)+2+(21/60)</f>
        <v>176.35</v>
      </c>
      <c r="ET108" s="14">
        <f>IF('[1]FC vers Ref (Km)'!ET108&lt;&gt;0,V108,)+1+(44/60)</f>
        <v>207.73333333333332</v>
      </c>
      <c r="EU108" s="14">
        <f>IF('[1]FC vers Ref (Km)'!EU108&lt;&gt;0,W108,)+1+(47/60)+2+(31/60)+2+(54/60)</f>
        <v>253.20000000000002</v>
      </c>
      <c r="EV108" s="14">
        <f>IF('[1]FC vers Ref (Km)'!EV108&lt;&gt;0,X108,)</f>
        <v>0</v>
      </c>
      <c r="EW108" s="14">
        <f>IF('[1]FC vers Ref (Km)'!EW108&lt;&gt;0,Y108,)+(56/60)+(59/60)</f>
        <v>197.91666666666666</v>
      </c>
      <c r="EX108" s="14">
        <f>IF('[1]FC vers Ref (Km)'!EX108&lt;&gt;0,Z108,)+1+(35/60)+(37/60)</f>
        <v>184.20000000000002</v>
      </c>
      <c r="EY108" s="14">
        <f>IF('[1]FC vers Ref (Km)'!EY108&lt;&gt;0,AA108,)+1+(18/60)</f>
        <v>215.3</v>
      </c>
      <c r="EZ108" s="14">
        <f>IF('[1]FC vers Ref (Km)'!EZ108&lt;&gt;0,AB108,)+1+(39/60)</f>
        <v>214.65</v>
      </c>
      <c r="FA108" s="14">
        <f>IF('[1]FC vers Ref (Km)'!FA108&lt;&gt;0,AC108,)+1+(47/60)</f>
        <v>195.78333333333333</v>
      </c>
      <c r="FB108" s="14">
        <f>IF('[1]FC vers Ref (Km)'!FB108&lt;&gt;0,AD108,)</f>
        <v>0</v>
      </c>
      <c r="FC108" s="14">
        <f>IF('[1]FC vers Ref (Km)'!FC108&lt;&gt;0,AE108,)</f>
        <v>0</v>
      </c>
      <c r="FD108" s="14">
        <f>IF('[1]FC vers Ref (Km)'!FD108&lt;&gt;0,AF108,)+5+(31/60)+5+(51/60)+1+(8/60)</f>
        <v>258.5</v>
      </c>
      <c r="FE108" s="14">
        <f>IF('[1]FC vers Ref (Km)'!FE108&lt;&gt;0,AG108,)+4+(2/60)+5+(51/60)+1+(8/60)</f>
        <v>257.01666666666665</v>
      </c>
      <c r="FF108" s="14">
        <f>IF('[1]FC vers Ref (Km)'!FF108&lt;&gt;0,AH108,)+1+(7/60)+5+(51/60)+1+(8/60)</f>
        <v>254.1</v>
      </c>
      <c r="FG108" s="14">
        <f>IF('[1]FC vers Ref (Km)'!FG108&lt;&gt;0,AI108,)+15+(50/60)</f>
        <v>399.83333333333331</v>
      </c>
      <c r="FH108" s="14">
        <f>IF('[1]FC vers Ref (Km)'!FH108&lt;&gt;0,AJ108,)</f>
        <v>0</v>
      </c>
      <c r="FI108" s="14">
        <f>IF('[1]FC vers Ref (Km)'!FI108&lt;&gt;0,AK108,)+4+(40/60)+11+(32/60)</f>
        <v>400.20000000000005</v>
      </c>
      <c r="FJ108" s="14">
        <f>IF('[1]FC vers Ref (Km)'!FJ108&lt;&gt;0,AL108,)</f>
        <v>0</v>
      </c>
      <c r="FK108" s="14">
        <f>IF('[1]FC vers Ref (Km)'!FK108&lt;&gt;0,AM108,)</f>
        <v>0</v>
      </c>
      <c r="FL108" s="14">
        <f>IF('[1]FC vers Ref (Km)'!FL108&lt;&gt;0,AN108,)</f>
        <v>0</v>
      </c>
      <c r="FM108" s="14">
        <f>IF('[1]FC vers Ref (Km)'!FM108&lt;&gt;0,AO108,)+(55/60)</f>
        <v>516.91666666666663</v>
      </c>
      <c r="FN108" s="14">
        <f>IF('[1]FC vers Ref (Km)'!FN108&lt;&gt;0,AP108,)</f>
        <v>0</v>
      </c>
      <c r="FO108" s="14">
        <f>IF('[1]FC vers Ref (Km)'!FO108&lt;&gt;0,AQ108,)</f>
        <v>0</v>
      </c>
      <c r="FP108" s="14">
        <f>IF('[1]FC vers Ref (Km)'!FP108&lt;&gt;0,AR108,)</f>
        <v>0</v>
      </c>
      <c r="FQ108" s="14">
        <f>IF('[1]FC vers Ref (Km)'!FQ108&lt;&gt;0,AS108,)</f>
        <v>0</v>
      </c>
      <c r="FR108" s="14">
        <f>IF('[1]FC vers Ref (Km)'!FR108&lt;&gt;0,AT108,)</f>
        <v>0</v>
      </c>
      <c r="FS108" s="14">
        <f>IF('[1]FC vers Ref (Km)'!FS108&lt;&gt;0,AU108,)</f>
        <v>0</v>
      </c>
      <c r="FT108" s="14">
        <f>IF('[1]FC vers Ref (Km)'!FT108&lt;&gt;0,AV108,)+1+(7/60)</f>
        <v>534.11666666666667</v>
      </c>
      <c r="FU108" s="14">
        <f>IF('[1]FC vers Ref (Km)'!FU108&lt;&gt;0,AW108,)+8+(3/60)</f>
        <v>226.05</v>
      </c>
      <c r="FV108" s="14">
        <f>IF('[1]FC vers Ref (Km)'!FV108&lt;&gt;0,AX108,)+2*24+11</f>
        <v>277</v>
      </c>
      <c r="FW108" s="14">
        <f>IF('[1]FC vers Ref (Km)'!FW108&lt;&gt;0,AY108,)</f>
        <v>0</v>
      </c>
      <c r="FX108" s="14">
        <f>IF('[1]FC vers Ref (Km)'!FX108&lt;&gt;0,AZ108,)</f>
        <v>0</v>
      </c>
      <c r="FY108" s="14">
        <f>IF('[1]FC vers Ref (Km)'!FY108&lt;&gt;0,BA108,)+5+(41/60)</f>
        <v>387.68333333333334</v>
      </c>
      <c r="FZ108" s="14">
        <f>IF('[1]FC vers Ref (Km)'!FZ108&lt;&gt;0,BB108,)</f>
        <v>0</v>
      </c>
      <c r="GA108" s="14">
        <f>IF('[1]FC vers Ref (Km)'!GA108&lt;&gt;0,BC108,)</f>
        <v>0</v>
      </c>
      <c r="GB108" s="14">
        <f>IF('[1]FC vers Ref (Km)'!GB108&lt;&gt;0,BD108,)</f>
        <v>0</v>
      </c>
      <c r="GC108" s="14">
        <f>IF('[1]FC vers Ref (Km)'!GC108&lt;&gt;0,BE108,)+(30/60)</f>
        <v>545.5</v>
      </c>
      <c r="GD108" s="14">
        <f>IF('[1]FC vers Ref (Km)'!GD108&lt;&gt;0,BF108,)</f>
        <v>0</v>
      </c>
      <c r="GE108" s="14">
        <f>IF('[1]FC vers Ref (Km)'!GE108&lt;&gt;0,BG108,)+15+(1/60)</f>
        <v>291.01666666666665</v>
      </c>
      <c r="GF108" s="14">
        <f>IF('[1]FC vers Ref (Km)'!GF108&lt;&gt;0,BH108,)</f>
        <v>0</v>
      </c>
      <c r="GG108" s="14">
        <f>IF('[1]FC vers Ref (Km)'!GG108&lt;&gt;0,BI108,)</f>
        <v>0</v>
      </c>
      <c r="GH108" s="14">
        <f>IF('[1]FC vers Ref (Km)'!GH108&lt;&gt;0,BJ108,)</f>
        <v>0</v>
      </c>
      <c r="GI108" s="15">
        <f>IF('[1]FC vers Ref (Km)'!GI108&lt;&gt;0,BK108,)</f>
        <v>0</v>
      </c>
    </row>
    <row r="109" spans="1:191" x14ac:dyDescent="0.3">
      <c r="A109" s="10" t="s">
        <v>5</v>
      </c>
      <c r="B109" s="35" t="s">
        <v>75</v>
      </c>
      <c r="C109" s="11">
        <f>24+13</f>
        <v>37</v>
      </c>
      <c r="D109" s="13">
        <f>2*24+20</f>
        <v>68</v>
      </c>
      <c r="E109" s="13">
        <f>17</f>
        <v>17</v>
      </c>
      <c r="F109" s="13">
        <f>5*24+1</f>
        <v>121</v>
      </c>
      <c r="G109" s="12"/>
      <c r="H109" s="13">
        <v>202</v>
      </c>
      <c r="I109" s="13">
        <v>248</v>
      </c>
      <c r="J109" s="13">
        <v>202</v>
      </c>
      <c r="K109" s="13">
        <v>76</v>
      </c>
      <c r="L109" s="13">
        <v>76</v>
      </c>
      <c r="M109" s="13">
        <v>249</v>
      </c>
      <c r="N109" s="13">
        <v>249</v>
      </c>
      <c r="O109" s="13">
        <v>78</v>
      </c>
      <c r="P109" s="14">
        <v>201</v>
      </c>
      <c r="Q109" s="14">
        <v>155</v>
      </c>
      <c r="R109" s="14">
        <v>148</v>
      </c>
      <c r="S109" s="14">
        <v>141</v>
      </c>
      <c r="T109" s="14">
        <v>151</v>
      </c>
      <c r="U109" s="14">
        <v>145</v>
      </c>
      <c r="V109" s="14">
        <v>174</v>
      </c>
      <c r="W109" s="14">
        <v>214</v>
      </c>
      <c r="X109" s="14">
        <v>163</v>
      </c>
      <c r="Y109" s="14">
        <v>172</v>
      </c>
      <c r="Z109" s="14">
        <v>153</v>
      </c>
      <c r="AA109" s="14">
        <v>182</v>
      </c>
      <c r="AB109" s="14">
        <v>181</v>
      </c>
      <c r="AC109" s="14">
        <v>161</v>
      </c>
      <c r="AD109" s="14">
        <v>167</v>
      </c>
      <c r="AE109" s="14">
        <v>172</v>
      </c>
      <c r="AF109" s="14">
        <v>214</v>
      </c>
      <c r="AG109" s="14">
        <v>214</v>
      </c>
      <c r="AH109" s="14">
        <v>214</v>
      </c>
      <c r="AI109" s="14">
        <v>352</v>
      </c>
      <c r="AJ109" s="14">
        <v>420</v>
      </c>
      <c r="AK109" s="14">
        <v>352</v>
      </c>
      <c r="AL109" s="14">
        <v>393</v>
      </c>
      <c r="AM109" s="14">
        <v>402</v>
      </c>
      <c r="AN109" s="14">
        <v>413</v>
      </c>
      <c r="AO109" s="14">
        <v>418</v>
      </c>
      <c r="AP109" s="14">
        <v>411</v>
      </c>
      <c r="AQ109" s="14">
        <v>401</v>
      </c>
      <c r="AR109" s="14">
        <v>471</v>
      </c>
      <c r="AS109" s="14">
        <v>345</v>
      </c>
      <c r="AT109" s="14">
        <v>345</v>
      </c>
      <c r="AU109" s="14">
        <v>345</v>
      </c>
      <c r="AV109" s="14">
        <f>18*24+3</f>
        <v>435</v>
      </c>
      <c r="AW109" s="14">
        <f>8*24+2</f>
        <v>194</v>
      </c>
      <c r="AX109" s="14">
        <f>8*24+2</f>
        <v>194</v>
      </c>
      <c r="AY109" s="14">
        <f>16*24+19</f>
        <v>403</v>
      </c>
      <c r="AZ109" s="14"/>
      <c r="BA109" s="14">
        <f>14*24+13</f>
        <v>349</v>
      </c>
      <c r="BB109" s="14">
        <f>19*24+12</f>
        <v>468</v>
      </c>
      <c r="BC109" s="14">
        <f>7*24+15</f>
        <v>183</v>
      </c>
      <c r="BD109" s="14">
        <f>19*24+8</f>
        <v>464</v>
      </c>
      <c r="BE109" s="14">
        <f>18*24+14</f>
        <v>446</v>
      </c>
      <c r="BF109" s="14">
        <f>18*24+6</f>
        <v>438</v>
      </c>
      <c r="BG109" s="14">
        <f>10*24+4</f>
        <v>244</v>
      </c>
      <c r="BH109" s="14">
        <f>8*24+15</f>
        <v>207</v>
      </c>
      <c r="BI109" s="14">
        <f>4*24</f>
        <v>96</v>
      </c>
      <c r="BJ109" s="14">
        <f>7*24+23</f>
        <v>191</v>
      </c>
      <c r="BK109" s="15">
        <f>7*24+23</f>
        <v>191</v>
      </c>
      <c r="BM109" s="10" t="s">
        <v>5</v>
      </c>
      <c r="BN109" s="35" t="s">
        <v>75</v>
      </c>
      <c r="BO109" s="11">
        <f>IF('[1]FC vers Ref (Km)'!BO109&lt;&gt;0,'Délai intermédiaire'!C109,)+(48/60)</f>
        <v>37.799999999999997</v>
      </c>
      <c r="BP109" s="13">
        <f>IF('[1]FC vers Ref (Km)'!BP109&lt;&gt;0,'Délai intermédiaire'!D109,)+(48/60)</f>
        <v>68.8</v>
      </c>
      <c r="BQ109" s="13">
        <f>IF('[1]FC vers Ref (Km)'!BQ109&lt;&gt;0,'Délai intermédiaire'!E109,)+(48/60)+19+(49/60)</f>
        <v>37.616666666666667</v>
      </c>
      <c r="BR109" s="13">
        <f>IF('[1]FC vers Ref (Km)'!BR109&lt;&gt;0,'Délai intermédiaire'!F109,)+(48/60)</f>
        <v>121.8</v>
      </c>
      <c r="BS109" s="12"/>
      <c r="BT109" s="13">
        <f>IF('[1]FC vers Ref (Km)'!BT109&lt;&gt;0,'Délai intermédiaire'!H109,)+(48/60)+15+(47/60)</f>
        <v>218.58333333333334</v>
      </c>
      <c r="BU109" s="13">
        <f>IF('[1]FC vers Ref (Km)'!BU109&lt;&gt;0,'Délai intermédiaire'!I109,)+(48/60)</f>
        <v>248.8</v>
      </c>
      <c r="BV109" s="13">
        <f>IF('[1]FC vers Ref (Km)'!BV109&lt;&gt;0,'Délai intermédiaire'!J109,)+(48/60)</f>
        <v>202.8</v>
      </c>
      <c r="BW109" s="13">
        <f>IF('[1]FC vers Ref (Km)'!BW109&lt;&gt;0,'Délai intermédiaire'!K109,)+(48/60)+6+(13/60)</f>
        <v>83.016666666666666</v>
      </c>
      <c r="BX109" s="13">
        <f>IF('[1]FC vers Ref (Km)'!BX109&lt;&gt;0,'Délai intermédiaire'!L109,)+(48/60)</f>
        <v>76.8</v>
      </c>
      <c r="BY109" s="13">
        <f>IF('[1]FC vers Ref (Km)'!BY109&lt;&gt;0,'Délai intermédiaire'!M109,)+(48/60)+11+(1/60)</f>
        <v>260.81666666666666</v>
      </c>
      <c r="BZ109" s="13">
        <f>IF('[1]FC vers Ref (Km)'!BZ109&lt;&gt;0,'Délai intermédiaire'!N109,)+(48/60)</f>
        <v>249.8</v>
      </c>
      <c r="CA109" s="13">
        <f>IF('[1]FC vers Ref (Km)'!CA109&lt;&gt;0,'Délai intermédiaire'!O109,)+(48/60)+4+(51/60)</f>
        <v>83.649999999999991</v>
      </c>
      <c r="CB109" s="14">
        <f>IF('[1]FC vers Ref (Km)'!CB109&lt;&gt;0,'Délai intermédiaire'!P109,)+(48/60)+5+(3/60)</f>
        <v>206.85000000000002</v>
      </c>
      <c r="CC109" s="14">
        <f>IF('[1]FC vers Ref (Km)'!CC109&lt;&gt;0,'Délai intermédiaire'!Q109,)+(48/60)+(40/60)</f>
        <v>156.46666666666667</v>
      </c>
      <c r="CD109" s="14">
        <f>IF('[1]FC vers Ref (Km)'!CD109&lt;&gt;0,'Délai intermédiaire'!R109,)+(48/60)</f>
        <v>148.80000000000001</v>
      </c>
      <c r="CE109" s="14">
        <f>IF('[1]FC vers Ref (Km)'!CE109&lt;&gt;0,'Délai intermédiaire'!S109,)+(48/60)</f>
        <v>141.80000000000001</v>
      </c>
      <c r="CF109" s="14">
        <f>IF('[1]FC vers Ref (Km)'!CF109&lt;&gt;0,'Délai intermédiaire'!T109,)+(48/60)</f>
        <v>151.80000000000001</v>
      </c>
      <c r="CG109" s="14">
        <f>IF('[1]FC vers Ref (Km)'!CG109&lt;&gt;0,'Délai intermédiaire'!U109,)+(48/60)+1+(53/60)</f>
        <v>147.68333333333334</v>
      </c>
      <c r="CH109" s="14">
        <f>IF('[1]FC vers Ref (Km)'!CH109&lt;&gt;0,'Délai intermédiaire'!V109,)+(48/60)+2+(57/60)</f>
        <v>177.75</v>
      </c>
      <c r="CI109" s="14">
        <f>IF('[1]FC vers Ref (Km)'!CI109&lt;&gt;0,'Délai intermédiaire'!W109,)+(48/60)+4+(47/60)</f>
        <v>219.58333333333334</v>
      </c>
      <c r="CJ109" s="14">
        <f>IF('[1]FC vers Ref (Km)'!CJ109&lt;&gt;0,'Délai intermédiaire'!X109,)+(48/60)</f>
        <v>163.80000000000001</v>
      </c>
      <c r="CK109" s="14">
        <f>IF('[1]FC vers Ref (Km)'!CK109&lt;&gt;0,'Délai intermédiaire'!Y109,)+(48/60)+1+(33/60)</f>
        <v>174.35000000000002</v>
      </c>
      <c r="CL109" s="14">
        <f>IF('[1]FC vers Ref (Km)'!CL109&lt;&gt;0,'Délai intermédiaire'!Z109,)+(48/60)+2+(30/60)</f>
        <v>156.30000000000001</v>
      </c>
      <c r="CM109" s="14">
        <f>IF('[1]FC vers Ref (Km)'!CM109&lt;&gt;0,'Délai intermédiaire'!AA109,)+(48/60)+(56/60)</f>
        <v>183.73333333333335</v>
      </c>
      <c r="CN109" s="14">
        <f>IF('[1]FC vers Ref (Km)'!CN109&lt;&gt;0,'Délai intermédiaire'!AB109,)+(48/60)+1+(39/60)</f>
        <v>183.45000000000002</v>
      </c>
      <c r="CO109" s="14">
        <f>IF('[1]FC vers Ref (Km)'!CO109&lt;&gt;0,'Délai intermédiaire'!AC109,)+(48/60)+3+(25/60)</f>
        <v>165.21666666666667</v>
      </c>
      <c r="CP109" s="14">
        <f>IF('[1]FC vers Ref (Km)'!CP109&lt;&gt;0,'Délai intermédiaire'!AD109,)+(48/60)</f>
        <v>167.8</v>
      </c>
      <c r="CQ109" s="14">
        <f>IF('[1]FC vers Ref (Km)'!CQ109&lt;&gt;0,'Délai intermédiaire'!AE109,)+(48/60)</f>
        <v>172.8</v>
      </c>
      <c r="CR109" s="14">
        <f>IF('[1]FC vers Ref (Km)'!CR109&lt;&gt;0,'Délai intermédiaire'!AF109,)+(48/60)+9+(1/60)</f>
        <v>223.81666666666669</v>
      </c>
      <c r="CS109" s="14">
        <f>IF('[1]FC vers Ref (Km)'!CS109&lt;&gt;0,'Délai intermédiaire'!AG109,)+(48/60)+7+(48/60)</f>
        <v>222.60000000000002</v>
      </c>
      <c r="CT109" s="14">
        <f>IF('[1]FC vers Ref (Km)'!CT109&lt;&gt;0,'Délai intermédiaire'!AH109,)+(48/60)+5+(5/60)</f>
        <v>219.88333333333335</v>
      </c>
      <c r="CU109" s="14">
        <f>IF('[1]FC vers Ref (Km)'!CU109&lt;&gt;0,'Délai intermédiaire'!AI109,)+(48/60)+19+(46/60)</f>
        <v>372.56666666666666</v>
      </c>
      <c r="CV109" s="14">
        <f>IF('[1]FC vers Ref (Km)'!CV109&lt;&gt;0,'Délai intermédiaire'!AJ109,)+(48/60)</f>
        <v>420.8</v>
      </c>
      <c r="CW109" s="14">
        <f>IF('[1]FC vers Ref (Km)'!CW109&lt;&gt;0,'Délai intermédiaire'!AK109,)+(48/60)+12+(26/60)</f>
        <v>365.23333333333335</v>
      </c>
      <c r="CX109" s="14">
        <f>IF('[1]FC vers Ref (Km)'!CX109&lt;&gt;0,'Délai intermédiaire'!AL109,)+(48/60)</f>
        <v>393.8</v>
      </c>
      <c r="CY109" s="14">
        <f>IF('[1]FC vers Ref (Km)'!CY109&lt;&gt;0,'Délai intermédiaire'!AM109,)+(48/60)</f>
        <v>402.8</v>
      </c>
      <c r="CZ109" s="14">
        <f>IF('[1]FC vers Ref (Km)'!CZ109&lt;&gt;0,'Délai intermédiaire'!AN109,)+(48/60)</f>
        <v>413.8</v>
      </c>
      <c r="DA109" s="14">
        <f>IF('[1]FC vers Ref (Km)'!DA109&lt;&gt;0,'Délai intermédiaire'!AO109,)+(48/60)+1+(56/60)</f>
        <v>420.73333333333335</v>
      </c>
      <c r="DB109" s="14">
        <f>IF('[1]FC vers Ref (Km)'!DB109&lt;&gt;0,'Délai intermédiaire'!AP109,)+(48/60)</f>
        <v>411.8</v>
      </c>
      <c r="DC109" s="14">
        <f>IF('[1]FC vers Ref (Km)'!DC109&lt;&gt;0,'Délai intermédiaire'!AQ109,)+(48/60)</f>
        <v>401.8</v>
      </c>
      <c r="DD109" s="14">
        <f>IF('[1]FC vers Ref (Km)'!DD109&lt;&gt;0,'Délai intermédiaire'!AR109,)+(48/60)</f>
        <v>471.8</v>
      </c>
      <c r="DE109" s="14">
        <f>IF('[1]FC vers Ref (Km)'!DE109&lt;&gt;0,'Délai intermédiaire'!AS109,)+(48/60)</f>
        <v>345.8</v>
      </c>
      <c r="DF109" s="14">
        <f>IF('[1]FC vers Ref (Km)'!DF109&lt;&gt;0,'Délai intermédiaire'!AT109,)+(48/60)+20+(5/60)</f>
        <v>365.88333333333333</v>
      </c>
      <c r="DG109" s="14">
        <f>IF('[1]FC vers Ref (Km)'!DG109&lt;&gt;0,'Délai intermédiaire'!AU109,)+(48/60)+11+(36/60)</f>
        <v>357.40000000000003</v>
      </c>
      <c r="DH109" s="14">
        <f>IF('[1]FC vers Ref (Km)'!DH109&lt;&gt;0,'Délai intermédiaire'!AV109,)+(48/60)+(28/60)</f>
        <v>436.26666666666665</v>
      </c>
      <c r="DI109" s="14">
        <f>IF('[1]FC vers Ref (Km)'!DI109&lt;&gt;0,'Délai intermédiaire'!AW109,)+(48/60)+7+(13/60)</f>
        <v>202.01666666666668</v>
      </c>
      <c r="DJ109" s="14">
        <f>IF('[1]FC vers Ref (Km)'!DJ109&lt;&gt;0,'Délai intermédiaire'!AX109,)+(48/60)+2*24+15</f>
        <v>257.8</v>
      </c>
      <c r="DK109" s="14">
        <f>IF('[1]FC vers Ref (Km)'!DK109&lt;&gt;0,'Délai intermédiaire'!AY109,)+(48/60)</f>
        <v>403.8</v>
      </c>
      <c r="DL109" s="14">
        <f>IF('[1]FC vers Ref (Km)'!DL109&lt;&gt;0,'Délai intermédiaire'!AZ109,)+(48/60)</f>
        <v>0.8</v>
      </c>
      <c r="DM109" s="14">
        <f>IF('[1]FC vers Ref (Km)'!DM109&lt;&gt;0,'Délai intermédiaire'!BA109,)+(48/60)+7+(17/60)</f>
        <v>357.08333333333337</v>
      </c>
      <c r="DN109" s="14">
        <f>IF('[1]FC vers Ref (Km)'!DN109&lt;&gt;0,'Délai intermédiaire'!BB109,)+(48/60)</f>
        <v>468.8</v>
      </c>
      <c r="DO109" s="14">
        <f>IF('[1]FC vers Ref (Km)'!DO109&lt;&gt;0,'Délai intermédiaire'!BC109,)+(48/60)</f>
        <v>183.8</v>
      </c>
      <c r="DP109" s="14">
        <f>IF('[1]FC vers Ref (Km)'!DP109&lt;&gt;0,'Délai intermédiaire'!BD109,)+(48/60)</f>
        <v>464.8</v>
      </c>
      <c r="DQ109" s="14">
        <f>IF('[1]FC vers Ref (Km)'!DQ109&lt;&gt;0,'Délai intermédiaire'!BE109,)+(48/60)+1+(22/60)</f>
        <v>448.16666666666669</v>
      </c>
      <c r="DR109" s="14">
        <f>IF('[1]FC vers Ref (Km)'!DR109&lt;&gt;0,'Délai intermédiaire'!BF109,)+(48/60)</f>
        <v>438.8</v>
      </c>
      <c r="DS109" s="14">
        <f>IF('[1]FC vers Ref (Km)'!DS109&lt;&gt;0,'Délai intermédiaire'!BG109,)+(48/60)+10+(43/60)</f>
        <v>255.51666666666668</v>
      </c>
      <c r="DT109" s="14">
        <f>IF('[1]FC vers Ref (Km)'!DT109&lt;&gt;0,'Délai intermédiaire'!BH109,)+(48/60)+(12/60)</f>
        <v>208</v>
      </c>
      <c r="DU109" s="14">
        <f>IF('[1]FC vers Ref (Km)'!DU109&lt;&gt;0,'Délai intermédiaire'!BI109,)+(48/60)+7+(45/60)</f>
        <v>104.55</v>
      </c>
      <c r="DV109" s="14">
        <f>IF('[1]FC vers Ref (Km)'!DV109&lt;&gt;0,'Délai intermédiaire'!BJ109,)+(48/60)+1+(10/60)</f>
        <v>192.96666666666667</v>
      </c>
      <c r="DW109" s="15">
        <f>IF('[1]FC vers Ref (Km)'!DW109&lt;&gt;0,'Délai intermédiaire'!BK109,)+(48/60)+12+(41/60)</f>
        <v>204.48333333333335</v>
      </c>
      <c r="DX109" s="27"/>
      <c r="DY109" s="10" t="s">
        <v>5</v>
      </c>
      <c r="DZ109" s="35" t="s">
        <v>75</v>
      </c>
      <c r="EA109" s="11">
        <f>IF('[1]FC vers Ref (Km)'!EA109&lt;&gt;0,C109,)+(32/60)</f>
        <v>37.533333333333331</v>
      </c>
      <c r="EB109" s="13">
        <f>IF('[1]FC vers Ref (Km)'!EB109&lt;&gt;0,D109,)+(32/60)</f>
        <v>68.533333333333331</v>
      </c>
      <c r="EC109" s="13">
        <f>IF('[1]FC vers Ref (Km)'!EC109&lt;&gt;0,E109,)+(32/60)+7+(55/60)+19+(53/60)</f>
        <v>45.333333333333336</v>
      </c>
      <c r="ED109" s="13">
        <f>IF('[1]FC vers Ref (Km)'!ED109&lt;&gt;0,F109,)+(32/60)</f>
        <v>121.53333333333333</v>
      </c>
      <c r="EE109" s="12"/>
      <c r="EF109" s="13">
        <f>IF('[1]FC vers Ref (Km)'!EF109&lt;&gt;0,H109,)+(32/60)+14+(25/60)+31+(8/60)</f>
        <v>248.08333333333331</v>
      </c>
      <c r="EG109" s="13">
        <f>IF('[1]FC vers Ref (Km)'!EG109&lt;&gt;0,I109,)+(32/60)</f>
        <v>248.53333333333333</v>
      </c>
      <c r="EH109" s="13">
        <f>IF('[1]FC vers Ref (Km)'!EH109&lt;&gt;0,J109,)+(32/60)</f>
        <v>202.53333333333333</v>
      </c>
      <c r="EI109" s="13">
        <f>IF('[1]FC vers Ref (Km)'!EI109&lt;&gt;0,K109,)+(32/60)+5+(11/60)</f>
        <v>81.716666666666669</v>
      </c>
      <c r="EJ109" s="13">
        <f>IF('[1]FC vers Ref (Km)'!EJ109&lt;&gt;0,L109,)+(32/60)</f>
        <v>76.533333333333331</v>
      </c>
      <c r="EK109" s="13">
        <f>IF('[1]FC vers Ref (Km)'!EK109&lt;&gt;0,M109,)+(32/60)</f>
        <v>249.53333333333333</v>
      </c>
      <c r="EL109" s="13">
        <f>IF('[1]FC vers Ref (Km)'!EL109&lt;&gt;0,N109,)+(32/60)</f>
        <v>249.53333333333333</v>
      </c>
      <c r="EM109" s="13">
        <f>IF('[1]FC vers Ref (Km)'!EM109&lt;&gt;0,O109,)+(32/60)</f>
        <v>78.533333333333331</v>
      </c>
      <c r="EN109" s="14">
        <f>IF('[1]FC vers Ref (Km)'!EN109&lt;&gt;0,P109,)+(32/60)</f>
        <v>201.53333333333333</v>
      </c>
      <c r="EO109" s="14">
        <f>IF('[1]FC vers Ref (Km)'!EO109&lt;&gt;0,Q109,)+(32/60)</f>
        <v>155.53333333333333</v>
      </c>
      <c r="EP109" s="14">
        <f>IF('[1]FC vers Ref (Km)'!EP109&lt;&gt;0,R109,)+(32/60)</f>
        <v>148.53333333333333</v>
      </c>
      <c r="EQ109" s="14">
        <f>IF('[1]FC vers Ref (Km)'!EQ109&lt;&gt;0,S109,)+(32/60)</f>
        <v>141.53333333333333</v>
      </c>
      <c r="ER109" s="14">
        <f>IF('[1]FC vers Ref (Km)'!ER109&lt;&gt;0,T109,)+(32/60)</f>
        <v>151.53333333333333</v>
      </c>
      <c r="ES109" s="14">
        <f>IF('[1]FC vers Ref (Km)'!ES109&lt;&gt;0,U109,)+(32/60)+2+(21/60)</f>
        <v>147.88333333333333</v>
      </c>
      <c r="ET109" s="14">
        <f>IF('[1]FC vers Ref (Km)'!ET109&lt;&gt;0,V109,)+(32/60)+1+(44/60)</f>
        <v>176.26666666666665</v>
      </c>
      <c r="EU109" s="14">
        <f>IF('[1]FC vers Ref (Km)'!EU109&lt;&gt;0,W109,)+(32/60)+1+(47/60)+2+(31/60)+2+(54/60)</f>
        <v>221.73333333333335</v>
      </c>
      <c r="EV109" s="14">
        <f>IF('[1]FC vers Ref (Km)'!EV109&lt;&gt;0,X109,)+(32/60)</f>
        <v>163.53333333333333</v>
      </c>
      <c r="EW109" s="14">
        <f>IF('[1]FC vers Ref (Km)'!EW109&lt;&gt;0,Y109,)+(32/60)+(56/60)+(59/60)</f>
        <v>174.45</v>
      </c>
      <c r="EX109" s="14">
        <f>IF('[1]FC vers Ref (Km)'!EX109&lt;&gt;0,Z109,)+(32/60)+1+(35/60)+(37/60)</f>
        <v>155.73333333333335</v>
      </c>
      <c r="EY109" s="14">
        <f>IF('[1]FC vers Ref (Km)'!EY109&lt;&gt;0,AA109,)+(32/60)+1+(18/60)</f>
        <v>183.83333333333334</v>
      </c>
      <c r="EZ109" s="14">
        <f>IF('[1]FC vers Ref (Km)'!EZ109&lt;&gt;0,AB109,)+(32/60)+1+(39/60)</f>
        <v>183.18333333333334</v>
      </c>
      <c r="FA109" s="14">
        <f>IF('[1]FC vers Ref (Km)'!FA109&lt;&gt;0,AC109,)+(32/60)+1+(47/60)</f>
        <v>163.31666666666666</v>
      </c>
      <c r="FB109" s="14">
        <f>IF('[1]FC vers Ref (Km)'!FB109&lt;&gt;0,AD109,)+(32/60)</f>
        <v>167.53333333333333</v>
      </c>
      <c r="FC109" s="14">
        <f>IF('[1]FC vers Ref (Km)'!FC109&lt;&gt;0,AE109,)+(32/60)</f>
        <v>172.53333333333333</v>
      </c>
      <c r="FD109" s="14">
        <f>IF('[1]FC vers Ref (Km)'!FD109&lt;&gt;0,AF109,)+(32/60)+5+(31/60)+5+(51/60)+1+(8/60)</f>
        <v>227.03333333333333</v>
      </c>
      <c r="FE109" s="14">
        <f>IF('[1]FC vers Ref (Km)'!FE109&lt;&gt;0,AG109,)+(32/60)+4+(2/60)+5+(51/60)+1+(8/60)</f>
        <v>225.54999999999998</v>
      </c>
      <c r="FF109" s="14">
        <f>IF('[1]FC vers Ref (Km)'!FF109&lt;&gt;0,AH109,)+(32/60)+1+(7/60)+5+(51/60)+1+(8/60)</f>
        <v>222.63333333333333</v>
      </c>
      <c r="FG109" s="14">
        <f>IF('[1]FC vers Ref (Km)'!FG109&lt;&gt;0,AI109,)+(32/60)+15+(50/60)</f>
        <v>368.36666666666667</v>
      </c>
      <c r="FH109" s="14">
        <f>IF('[1]FC vers Ref (Km)'!FH109&lt;&gt;0,AJ109,)+(32/60)</f>
        <v>420.53333333333336</v>
      </c>
      <c r="FI109" s="14">
        <f>IF('[1]FC vers Ref (Km)'!FI109&lt;&gt;0,AK109,)+(32/60)+4+(40/60)+11+(32/60)</f>
        <v>368.73333333333341</v>
      </c>
      <c r="FJ109" s="14">
        <f>IF('[1]FC vers Ref (Km)'!FJ109&lt;&gt;0,AL109,)+(32/60)</f>
        <v>393.53333333333336</v>
      </c>
      <c r="FK109" s="14">
        <f>IF('[1]FC vers Ref (Km)'!FK109&lt;&gt;0,AM109,)+(32/60)</f>
        <v>402.53333333333336</v>
      </c>
      <c r="FL109" s="14">
        <f>IF('[1]FC vers Ref (Km)'!FL109&lt;&gt;0,AN109,)+(32/60)</f>
        <v>413.53333333333336</v>
      </c>
      <c r="FM109" s="14">
        <f>IF('[1]FC vers Ref (Km)'!FM109&lt;&gt;0,AO109,)+(32/60)+(55/60)</f>
        <v>419.45000000000005</v>
      </c>
      <c r="FN109" s="14">
        <f>IF('[1]FC vers Ref (Km)'!FN109&lt;&gt;0,AP109,)+(32/60)</f>
        <v>411.53333333333336</v>
      </c>
      <c r="FO109" s="14">
        <f>IF('[1]FC vers Ref (Km)'!FO109&lt;&gt;0,AQ109,)+(32/60)</f>
        <v>401.53333333333336</v>
      </c>
      <c r="FP109" s="14">
        <f>IF('[1]FC vers Ref (Km)'!FP109&lt;&gt;0,AR109,)+(32/60)</f>
        <v>471.53333333333336</v>
      </c>
      <c r="FQ109" s="14">
        <f>IF('[1]FC vers Ref (Km)'!FQ109&lt;&gt;0,AS109,)+(32/60)</f>
        <v>345.53333333333336</v>
      </c>
      <c r="FR109" s="14">
        <f>IF('[1]FC vers Ref (Km)'!FR109&lt;&gt;0,AT109,)+(32/60)</f>
        <v>345.53333333333336</v>
      </c>
      <c r="FS109" s="14">
        <f>IF('[1]FC vers Ref (Km)'!FS109&lt;&gt;0,AU109,)+(32/60)</f>
        <v>345.53333333333336</v>
      </c>
      <c r="FT109" s="14">
        <f>IF('[1]FC vers Ref (Km)'!FT109&lt;&gt;0,AV109,)+(32/60)+1+(7/60)</f>
        <v>436.65000000000003</v>
      </c>
      <c r="FU109" s="14">
        <f>IF('[1]FC vers Ref (Km)'!FU109&lt;&gt;0,AW109,)+(32/60)+8+(3/60)</f>
        <v>202.58333333333334</v>
      </c>
      <c r="FV109" s="14">
        <f>IF('[1]FC vers Ref (Km)'!FV109&lt;&gt;0,AX109,)+(32/60)+2*24+11</f>
        <v>253.53333333333333</v>
      </c>
      <c r="FW109" s="14">
        <f>IF('[1]FC vers Ref (Km)'!FW109&lt;&gt;0,AY109,)+(32/60)</f>
        <v>403.53333333333336</v>
      </c>
      <c r="FX109" s="14">
        <f>IF('[1]FC vers Ref (Km)'!FX109&lt;&gt;0,AZ109,)+(32/60)</f>
        <v>0.53333333333333333</v>
      </c>
      <c r="FY109" s="14">
        <f>IF('[1]FC vers Ref (Km)'!FY109&lt;&gt;0,BA109,)+(32/60)+5+(41/60)</f>
        <v>355.2166666666667</v>
      </c>
      <c r="FZ109" s="14">
        <f>IF('[1]FC vers Ref (Km)'!FZ109&lt;&gt;0,BB109,)+(32/60)</f>
        <v>468.53333333333336</v>
      </c>
      <c r="GA109" s="14">
        <f>IF('[1]FC vers Ref (Km)'!GA109&lt;&gt;0,BC109,)+(32/60)</f>
        <v>183.53333333333333</v>
      </c>
      <c r="GB109" s="14">
        <f>IF('[1]FC vers Ref (Km)'!GB109&lt;&gt;0,BD109,)+(32/60)</f>
        <v>464.53333333333336</v>
      </c>
      <c r="GC109" s="14">
        <f>IF('[1]FC vers Ref (Km)'!GC109&lt;&gt;0,BE109,)+(32/60)+(30/60)</f>
        <v>447.03333333333336</v>
      </c>
      <c r="GD109" s="14">
        <f>IF('[1]FC vers Ref (Km)'!GD109&lt;&gt;0,BF109,)+(32/60)</f>
        <v>438.53333333333336</v>
      </c>
      <c r="GE109" s="14">
        <f>IF('[1]FC vers Ref (Km)'!GE109&lt;&gt;0,BG109,)+(32/60)+15+(1/60)</f>
        <v>259.54999999999995</v>
      </c>
      <c r="GF109" s="14">
        <f>IF('[1]FC vers Ref (Km)'!GF109&lt;&gt;0,BH109,)+(32/60)</f>
        <v>207.53333333333333</v>
      </c>
      <c r="GG109" s="14">
        <f>IF('[1]FC vers Ref (Km)'!GG109&lt;&gt;0,BI109,)+(32/60)</f>
        <v>96.533333333333331</v>
      </c>
      <c r="GH109" s="14">
        <f>IF('[1]FC vers Ref (Km)'!GH109&lt;&gt;0,BJ109,)+(32/60)</f>
        <v>191.53333333333333</v>
      </c>
      <c r="GI109" s="15">
        <f>IF('[1]FC vers Ref (Km)'!GI109&lt;&gt;0,BK109,)+(32/60)</f>
        <v>191.53333333333333</v>
      </c>
    </row>
    <row r="110" spans="1:191" x14ac:dyDescent="0.3">
      <c r="A110" s="10" t="s">
        <v>6</v>
      </c>
      <c r="B110" s="35" t="s">
        <v>8</v>
      </c>
      <c r="C110" s="11">
        <f>7*24+5</f>
        <v>173</v>
      </c>
      <c r="D110" s="13">
        <f>7*24+13</f>
        <v>181</v>
      </c>
      <c r="E110" s="13">
        <f>8*24+13</f>
        <v>205</v>
      </c>
      <c r="F110" s="13">
        <f>12*24+13</f>
        <v>301</v>
      </c>
      <c r="G110" s="13">
        <f>8*24+10</f>
        <v>202</v>
      </c>
      <c r="H110" s="12"/>
      <c r="I110" s="13">
        <v>47</v>
      </c>
      <c r="J110" s="13">
        <v>0</v>
      </c>
      <c r="K110" s="13">
        <v>256</v>
      </c>
      <c r="L110" s="13">
        <v>256</v>
      </c>
      <c r="M110" s="13">
        <v>48</v>
      </c>
      <c r="N110" s="13">
        <v>48</v>
      </c>
      <c r="O110" s="13">
        <v>182</v>
      </c>
      <c r="P110" s="14">
        <v>300</v>
      </c>
      <c r="Q110" s="14">
        <v>255</v>
      </c>
      <c r="R110" s="14">
        <v>321</v>
      </c>
      <c r="S110" s="14">
        <v>312</v>
      </c>
      <c r="T110" s="14">
        <v>321</v>
      </c>
      <c r="U110" s="14">
        <v>315</v>
      </c>
      <c r="V110" s="14">
        <v>280</v>
      </c>
      <c r="W110" s="14">
        <v>372</v>
      </c>
      <c r="X110" s="14">
        <v>334</v>
      </c>
      <c r="Y110" s="14">
        <v>344</v>
      </c>
      <c r="Z110" s="14">
        <v>323</v>
      </c>
      <c r="AA110" s="14">
        <v>340</v>
      </c>
      <c r="AB110" s="14">
        <v>338</v>
      </c>
      <c r="AC110" s="14">
        <v>319</v>
      </c>
      <c r="AD110" s="14">
        <v>325</v>
      </c>
      <c r="AE110" s="14">
        <v>344</v>
      </c>
      <c r="AF110" s="14">
        <v>372</v>
      </c>
      <c r="AG110" s="14">
        <v>372</v>
      </c>
      <c r="AH110" s="14">
        <v>372</v>
      </c>
      <c r="AI110" s="14">
        <v>421</v>
      </c>
      <c r="AJ110" s="14">
        <v>388</v>
      </c>
      <c r="AK110" s="14">
        <v>421</v>
      </c>
      <c r="AL110" s="14">
        <v>386</v>
      </c>
      <c r="AM110" s="14">
        <v>202</v>
      </c>
      <c r="AN110" s="14">
        <v>214</v>
      </c>
      <c r="AO110" s="14">
        <v>218</v>
      </c>
      <c r="AP110" s="14">
        <v>292</v>
      </c>
      <c r="AQ110" s="14">
        <v>271</v>
      </c>
      <c r="AR110" s="14">
        <v>357</v>
      </c>
      <c r="AS110" s="14">
        <v>462</v>
      </c>
      <c r="AT110" s="14">
        <v>462</v>
      </c>
      <c r="AU110" s="14">
        <v>462</v>
      </c>
      <c r="AV110" s="14">
        <f>9*24+19</f>
        <v>235</v>
      </c>
      <c r="AW110" s="14">
        <f>15*24+6</f>
        <v>366</v>
      </c>
      <c r="AX110" s="14">
        <f>15*24+6</f>
        <v>366</v>
      </c>
      <c r="AY110" s="14">
        <f>8*24+11</f>
        <v>203</v>
      </c>
      <c r="AZ110" s="14"/>
      <c r="BA110" s="14">
        <f>20*24+6</f>
        <v>486</v>
      </c>
      <c r="BB110" s="14">
        <f>13*24+11</f>
        <v>323</v>
      </c>
      <c r="BC110" s="14">
        <f>14*24+19</f>
        <v>355</v>
      </c>
      <c r="BD110" s="14">
        <f>11*24+1</f>
        <v>265</v>
      </c>
      <c r="BE110" s="14">
        <f>10*24+6</f>
        <v>246</v>
      </c>
      <c r="BF110" s="14">
        <f>9*24+22</f>
        <v>238</v>
      </c>
      <c r="BG110" s="14">
        <f>16*24+18</f>
        <v>402</v>
      </c>
      <c r="BH110" s="14">
        <f>15*24+5</f>
        <v>365</v>
      </c>
      <c r="BI110" s="14">
        <f>5*24+7</f>
        <v>127</v>
      </c>
      <c r="BJ110" s="14">
        <f>8*24+9</f>
        <v>201</v>
      </c>
      <c r="BK110" s="15">
        <f>8*24+9</f>
        <v>201</v>
      </c>
      <c r="BM110" s="10" t="s">
        <v>6</v>
      </c>
      <c r="BN110" s="35" t="s">
        <v>8</v>
      </c>
      <c r="BO110" s="11">
        <f>IF('[1]FC vers Ref (Km)'!BO110&lt;&gt;0,'Délai intermédiaire'!C110,)+15+(47/60)</f>
        <v>188.78333333333333</v>
      </c>
      <c r="BP110" s="13">
        <f>IF('[1]FC vers Ref (Km)'!BP110&lt;&gt;0,'Délai intermédiaire'!D110,)+15+(47/60)</f>
        <v>196.78333333333333</v>
      </c>
      <c r="BQ110" s="13">
        <f>IF('[1]FC vers Ref (Km)'!BQ110&lt;&gt;0,'Délai intermédiaire'!E110,)+15+(47/60)+19+(49/60)</f>
        <v>240.6</v>
      </c>
      <c r="BR110" s="13">
        <f>IF('[1]FC vers Ref (Km)'!BR110&lt;&gt;0,'Délai intermédiaire'!F110,)+15+(47/60)</f>
        <v>316.78333333333336</v>
      </c>
      <c r="BS110" s="13">
        <f>IF('[1]FC vers Ref (Km)'!BS110&lt;&gt;0,'Délai intermédiaire'!G110,)+15+(47/60)+(48/60)</f>
        <v>218.58333333333334</v>
      </c>
      <c r="BT110" s="12"/>
      <c r="BU110" s="13">
        <f>IF('[1]FC vers Ref (Km)'!BU110&lt;&gt;0,'Délai intermédiaire'!I110,)+15+(47/60)</f>
        <v>62.783333333333331</v>
      </c>
      <c r="BV110" s="13">
        <f>IF('[1]FC vers Ref (Km)'!BV110&lt;&gt;0,'Délai intermédiaire'!J110,)+15+(47/60)</f>
        <v>15.783333333333333</v>
      </c>
      <c r="BW110" s="13">
        <f>IF('[1]FC vers Ref (Km)'!BW110&lt;&gt;0,'Délai intermédiaire'!K110,)+15+(47/60)+6+(13/60)</f>
        <v>278</v>
      </c>
      <c r="BX110" s="13">
        <f>IF('[1]FC vers Ref (Km)'!BX110&lt;&gt;0,'Délai intermédiaire'!L110,)+15+(47/60)</f>
        <v>271.78333333333336</v>
      </c>
      <c r="BY110" s="13">
        <f>IF('[1]FC vers Ref (Km)'!BY110&lt;&gt;0,'Délai intermédiaire'!M110,)+15+(47/60)+11+(1/60)</f>
        <v>74.8</v>
      </c>
      <c r="BZ110" s="13">
        <f>IF('[1]FC vers Ref (Km)'!BZ110&lt;&gt;0,'Délai intermédiaire'!N110,)+15+(47/60)</f>
        <v>63.783333333333331</v>
      </c>
      <c r="CA110" s="13">
        <f>IF('[1]FC vers Ref (Km)'!CA110&lt;&gt;0,'Délai intermédiaire'!O110,)+15+(47/60)+4+(51/60)</f>
        <v>202.63333333333333</v>
      </c>
      <c r="CB110" s="14">
        <f>IF('[1]FC vers Ref (Km)'!CB110&lt;&gt;0,'Délai intermédiaire'!P110,)+15+(47/60)+5+(3/60)</f>
        <v>320.83333333333337</v>
      </c>
      <c r="CC110" s="14">
        <f>IF('[1]FC vers Ref (Km)'!CC110&lt;&gt;0,'Délai intermédiaire'!Q110,)+15+(47/60)+(40/60)</f>
        <v>271.45000000000005</v>
      </c>
      <c r="CD110" s="14">
        <f>IF('[1]FC vers Ref (Km)'!CD110&lt;&gt;0,'Délai intermédiaire'!R110,)+15+(47/60)</f>
        <v>336.78333333333336</v>
      </c>
      <c r="CE110" s="14">
        <f>IF('[1]FC vers Ref (Km)'!CE110&lt;&gt;0,'Délai intermédiaire'!S110,)+15+(47/60)</f>
        <v>327.78333333333336</v>
      </c>
      <c r="CF110" s="14">
        <f>IF('[1]FC vers Ref (Km)'!CF110&lt;&gt;0,'Délai intermédiaire'!T110,)+15+(47/60)</f>
        <v>336.78333333333336</v>
      </c>
      <c r="CG110" s="14">
        <f>IF('[1]FC vers Ref (Km)'!CG110&lt;&gt;0,'Délai intermédiaire'!U110,)+15+(47/60)+1+(53/60)</f>
        <v>332.66666666666669</v>
      </c>
      <c r="CH110" s="14">
        <f>IF('[1]FC vers Ref (Km)'!CH110&lt;&gt;0,'Délai intermédiaire'!V110,)+15+(47/60)+2+(57/60)</f>
        <v>298.73333333333335</v>
      </c>
      <c r="CI110" s="14">
        <f>IF('[1]FC vers Ref (Km)'!CI110&lt;&gt;0,'Délai intermédiaire'!W110,)+15+(47/60)+4+(47/60)</f>
        <v>392.56666666666672</v>
      </c>
      <c r="CJ110" s="14">
        <f>IF('[1]FC vers Ref (Km)'!CJ110&lt;&gt;0,'Délai intermédiaire'!X110,)+15+(47/60)</f>
        <v>349.78333333333336</v>
      </c>
      <c r="CK110" s="14">
        <f>IF('[1]FC vers Ref (Km)'!CK110&lt;&gt;0,'Délai intermédiaire'!Y110,)+15+(47/60)+1+(33/60)</f>
        <v>361.33333333333337</v>
      </c>
      <c r="CL110" s="14">
        <f>IF('[1]FC vers Ref (Km)'!CL110&lt;&gt;0,'Délai intermédiaire'!Z110,)+15+(47/60)+2+(30/60)</f>
        <v>341.28333333333336</v>
      </c>
      <c r="CM110" s="14">
        <f>IF('[1]FC vers Ref (Km)'!CM110&lt;&gt;0,'Délai intermédiaire'!AA110,)+15+(47/60)+(56/60)</f>
        <v>356.7166666666667</v>
      </c>
      <c r="CN110" s="14">
        <f>IF('[1]FC vers Ref (Km)'!CN110&lt;&gt;0,'Délai intermédiaire'!AB110,)+15+(47/60)+1+(39/60)</f>
        <v>355.43333333333334</v>
      </c>
      <c r="CO110" s="14">
        <f>IF('[1]FC vers Ref (Km)'!CO110&lt;&gt;0,'Délai intermédiaire'!AC110,)+15+(47/60)+3+(25/60)</f>
        <v>338.20000000000005</v>
      </c>
      <c r="CP110" s="14">
        <f>IF('[1]FC vers Ref (Km)'!CP110&lt;&gt;0,'Délai intermédiaire'!AD110,)+15+(47/60)</f>
        <v>340.78333333333336</v>
      </c>
      <c r="CQ110" s="14">
        <f>IF('[1]FC vers Ref (Km)'!CQ110&lt;&gt;0,'Délai intermédiaire'!AE110,)+15+(47/60)</f>
        <v>359.78333333333336</v>
      </c>
      <c r="CR110" s="14">
        <f>IF('[1]FC vers Ref (Km)'!CR110&lt;&gt;0,'Délai intermédiaire'!AF110,)+15+(47/60)+9+(1/60)</f>
        <v>396.8</v>
      </c>
      <c r="CS110" s="14">
        <f>IF('[1]FC vers Ref (Km)'!CS110&lt;&gt;0,'Délai intermédiaire'!AG110,)+15+(47/60)+7+(48/60)</f>
        <v>395.58333333333337</v>
      </c>
      <c r="CT110" s="14">
        <f>IF('[1]FC vers Ref (Km)'!CT110&lt;&gt;0,'Délai intermédiaire'!AH110,)+15+(47/60)+5+(5/60)</f>
        <v>392.86666666666667</v>
      </c>
      <c r="CU110" s="14">
        <f>IF('[1]FC vers Ref (Km)'!CU110&lt;&gt;0,'Délai intermédiaire'!AI110,)+15+(47/60)+19+(46/60)</f>
        <v>456.55</v>
      </c>
      <c r="CV110" s="14">
        <f>IF('[1]FC vers Ref (Km)'!CV110&lt;&gt;0,'Délai intermédiaire'!AJ110,)+15+(47/60)</f>
        <v>403.78333333333336</v>
      </c>
      <c r="CW110" s="14">
        <f>IF('[1]FC vers Ref (Km)'!CW110&lt;&gt;0,'Délai intermédiaire'!AK110,)+15+(47/60)+12+(26/60)</f>
        <v>449.2166666666667</v>
      </c>
      <c r="CX110" s="14">
        <f>IF('[1]FC vers Ref (Km)'!CX110&lt;&gt;0,'Délai intermédiaire'!AL110,)+15+(47/60)</f>
        <v>401.78333333333336</v>
      </c>
      <c r="CY110" s="14">
        <f>IF('[1]FC vers Ref (Km)'!CY110&lt;&gt;0,'Délai intermédiaire'!AM110,)+15+(47/60)</f>
        <v>217.78333333333333</v>
      </c>
      <c r="CZ110" s="14">
        <f>IF('[1]FC vers Ref (Km)'!CZ110&lt;&gt;0,'Délai intermédiaire'!AN110,)+15+(47/60)</f>
        <v>229.78333333333333</v>
      </c>
      <c r="DA110" s="14">
        <f>IF('[1]FC vers Ref (Km)'!DA110&lt;&gt;0,'Délai intermédiaire'!AO110,)+15+(47/60)+1+(56/60)</f>
        <v>235.71666666666667</v>
      </c>
      <c r="DB110" s="14">
        <f>IF('[1]FC vers Ref (Km)'!DB110&lt;&gt;0,'Délai intermédiaire'!AP110,)+15+(47/60)</f>
        <v>307.78333333333336</v>
      </c>
      <c r="DC110" s="14">
        <f>IF('[1]FC vers Ref (Km)'!DC110&lt;&gt;0,'Délai intermédiaire'!AQ110,)+15+(47/60)</f>
        <v>286.78333333333336</v>
      </c>
      <c r="DD110" s="14">
        <f>IF('[1]FC vers Ref (Km)'!DD110&lt;&gt;0,'Délai intermédiaire'!AR110,)+15+(47/60)</f>
        <v>372.78333333333336</v>
      </c>
      <c r="DE110" s="14">
        <f>IF('[1]FC vers Ref (Km)'!DE110&lt;&gt;0,'Délai intermédiaire'!AS110,)+15+(47/60)</f>
        <v>477.78333333333336</v>
      </c>
      <c r="DF110" s="14">
        <f>IF('[1]FC vers Ref (Km)'!DF110&lt;&gt;0,'Délai intermédiaire'!AT110,)+15+(47/60)+20+(5/60)</f>
        <v>497.86666666666667</v>
      </c>
      <c r="DG110" s="14">
        <f>IF('[1]FC vers Ref (Km)'!DG110&lt;&gt;0,'Délai intermédiaire'!AU110,)+15+(47/60)+11+(36/60)</f>
        <v>489.38333333333338</v>
      </c>
      <c r="DH110" s="14">
        <f>IF('[1]FC vers Ref (Km)'!DH110&lt;&gt;0,'Délai intermédiaire'!AV110,)+15+(47/60)+(28/60)</f>
        <v>251.25</v>
      </c>
      <c r="DI110" s="14">
        <f>IF('[1]FC vers Ref (Km)'!DI110&lt;&gt;0,'Délai intermédiaire'!AW110,)+15+(47/60)+7+(13/60)</f>
        <v>389</v>
      </c>
      <c r="DJ110" s="14">
        <f>IF('[1]FC vers Ref (Km)'!DJ110&lt;&gt;0,'Délai intermédiaire'!AX110,)+15+(47/60)+2*24+15</f>
        <v>444.78333333333336</v>
      </c>
      <c r="DK110" s="14">
        <f>IF('[1]FC vers Ref (Km)'!DK110&lt;&gt;0,'Délai intermédiaire'!AY110,)+15+(47/60)</f>
        <v>218.78333333333333</v>
      </c>
      <c r="DL110" s="14">
        <f>IF('[1]FC vers Ref (Km)'!DL110&lt;&gt;0,'Délai intermédiaire'!AZ110,)+15+(47/60)</f>
        <v>15.783333333333333</v>
      </c>
      <c r="DM110" s="14">
        <f>IF('[1]FC vers Ref (Km)'!DM110&lt;&gt;0,'Délai intermédiaire'!BA110,)+15+(47/60)+7+(17/60)</f>
        <v>509.06666666666672</v>
      </c>
      <c r="DN110" s="14">
        <f>IF('[1]FC vers Ref (Km)'!DN110&lt;&gt;0,'Délai intermédiaire'!BB110,)+15+(47/60)</f>
        <v>338.78333333333336</v>
      </c>
      <c r="DO110" s="14">
        <f>IF('[1]FC vers Ref (Km)'!DO110&lt;&gt;0,'Délai intermédiaire'!BC110,)+15+(47/60)</f>
        <v>370.78333333333336</v>
      </c>
      <c r="DP110" s="14">
        <f>IF('[1]FC vers Ref (Km)'!DP110&lt;&gt;0,'Délai intermédiaire'!BD110,)+15+(47/60)</f>
        <v>280.78333333333336</v>
      </c>
      <c r="DQ110" s="14">
        <f>IF('[1]FC vers Ref (Km)'!DQ110&lt;&gt;0,'Délai intermédiaire'!BE110,)+15+(47/60)+1+(22/60)</f>
        <v>263.15000000000003</v>
      </c>
      <c r="DR110" s="14">
        <f>IF('[1]FC vers Ref (Km)'!DR110&lt;&gt;0,'Délai intermédiaire'!BF110,)+15+(47/60)</f>
        <v>253.78333333333333</v>
      </c>
      <c r="DS110" s="14">
        <f>IF('[1]FC vers Ref (Km)'!DS110&lt;&gt;0,'Délai intermédiaire'!BG110,)+15+(47/60)+10+(43/60)</f>
        <v>428.5</v>
      </c>
      <c r="DT110" s="14">
        <f>IF('[1]FC vers Ref (Km)'!DT110&lt;&gt;0,'Délai intermédiaire'!BH110,)+15+(47/60)+(12/60)</f>
        <v>380.98333333333335</v>
      </c>
      <c r="DU110" s="14">
        <f>IF('[1]FC vers Ref (Km)'!DU110&lt;&gt;0,'Délai intermédiaire'!BI110,)+15+(47/60)+7+(45/60)</f>
        <v>150.53333333333333</v>
      </c>
      <c r="DV110" s="14">
        <f>IF('[1]FC vers Ref (Km)'!DV110&lt;&gt;0,'Délai intermédiaire'!BJ110,)+15+(47/60)+1+(10/60)</f>
        <v>217.95</v>
      </c>
      <c r="DW110" s="15">
        <f>IF('[1]FC vers Ref (Km)'!DW110&lt;&gt;0,'Délai intermédiaire'!BK110,)+15+(47/60)+12+(41/60)</f>
        <v>229.46666666666667</v>
      </c>
      <c r="DX110" s="27"/>
      <c r="DY110" s="10" t="s">
        <v>6</v>
      </c>
      <c r="DZ110" s="35" t="s">
        <v>8</v>
      </c>
      <c r="EA110" s="11">
        <f>IF('[1]FC vers Ref (Km)'!EA110&lt;&gt;0,C110,)+14+(25/60)+31+(8/60)</f>
        <v>218.54999999999998</v>
      </c>
      <c r="EB110" s="13">
        <f>IF('[1]FC vers Ref (Km)'!EB110&lt;&gt;0,D110,)+14+(25/60)+31+(8/60)</f>
        <v>226.54999999999998</v>
      </c>
      <c r="EC110" s="13">
        <f>IF('[1]FC vers Ref (Km)'!EC110&lt;&gt;0,E110,)+14+(25/60)+31+(8/60)+7+(55/60)+19+(53/60)</f>
        <v>278.34999999999997</v>
      </c>
      <c r="ED110" s="13">
        <f>IF('[1]FC vers Ref (Km)'!ED110&lt;&gt;0,F110,)+14+(25/60)+31+(8/60)</f>
        <v>346.55</v>
      </c>
      <c r="EE110" s="13">
        <f>IF('[1]FC vers Ref (Km)'!EE110&lt;&gt;0,G110,)+14+(25/60)+31+(8/60)+(32/60)</f>
        <v>248.08333333333331</v>
      </c>
      <c r="EF110" s="12"/>
      <c r="EG110" s="13">
        <f>IF('[1]FC vers Ref (Km)'!EG110&lt;&gt;0,I110,)+14+(25/60)+31+(8/60)</f>
        <v>92.55</v>
      </c>
      <c r="EH110" s="13">
        <f>IF('[1]FC vers Ref (Km)'!EH110&lt;&gt;0,J110,)+14+(25/60)+31+(8/60)</f>
        <v>45.55</v>
      </c>
      <c r="EI110" s="13">
        <f>IF('[1]FC vers Ref (Km)'!EI110&lt;&gt;0,K110,)+14+(25/60)+31+(8/60)+5+(11/60)</f>
        <v>306.73333333333335</v>
      </c>
      <c r="EJ110" s="13">
        <f>IF('[1]FC vers Ref (Km)'!EJ110&lt;&gt;0,L110,)+14+(25/60)+31+(8/60)</f>
        <v>301.55</v>
      </c>
      <c r="EK110" s="13">
        <f>IF('[1]FC vers Ref (Km)'!EK110&lt;&gt;0,M110,)+14+(25/60)+31+(8/60)</f>
        <v>93.55</v>
      </c>
      <c r="EL110" s="13">
        <f>IF('[1]FC vers Ref (Km)'!EL110&lt;&gt;0,N110,)+14+(25/60)+31+(8/60)</f>
        <v>93.55</v>
      </c>
      <c r="EM110" s="13">
        <f>IF('[1]FC vers Ref (Km)'!EM110&lt;&gt;0,O110,)+14+(25/60)+31+(8/60)</f>
        <v>227.54999999999998</v>
      </c>
      <c r="EN110" s="14">
        <f>IF('[1]FC vers Ref (Km)'!EN110&lt;&gt;0,P110,)+14+(25/60)+31+(8/60)</f>
        <v>345.55</v>
      </c>
      <c r="EO110" s="14">
        <f>IF('[1]FC vers Ref (Km)'!EO110&lt;&gt;0,Q110,)+14+(25/60)+31+(8/60)</f>
        <v>300.55</v>
      </c>
      <c r="EP110" s="14">
        <f>IF('[1]FC vers Ref (Km)'!EP110&lt;&gt;0,R110,)+14+(25/60)+31+(8/60)</f>
        <v>366.55</v>
      </c>
      <c r="EQ110" s="14">
        <f>IF('[1]FC vers Ref (Km)'!EQ110&lt;&gt;0,S110,)+14+(25/60)+31+(8/60)</f>
        <v>357.55</v>
      </c>
      <c r="ER110" s="14">
        <f>IF('[1]FC vers Ref (Km)'!ER110&lt;&gt;0,T110,)+14+(25/60)+31+(8/60)</f>
        <v>366.55</v>
      </c>
      <c r="ES110" s="14">
        <f>IF('[1]FC vers Ref (Km)'!ES110&lt;&gt;0,U110,)+14+(25/60)+31+(8/60)+2+(21/60)</f>
        <v>362.90000000000003</v>
      </c>
      <c r="ET110" s="14">
        <f>IF('[1]FC vers Ref (Km)'!ET110&lt;&gt;0,V110,)+14+(25/60)+31+(8/60)+1+(44/60)</f>
        <v>327.28333333333336</v>
      </c>
      <c r="EU110" s="14">
        <f>IF('[1]FC vers Ref (Km)'!EU110&lt;&gt;0,W110,)+14+(25/60)+31+(8/60)+1+(47/60)+2+(31/60)+2+(54/60)</f>
        <v>424.75</v>
      </c>
      <c r="EV110" s="14">
        <f>IF('[1]FC vers Ref (Km)'!EV110&lt;&gt;0,X110,)+14+(25/60)+31+(8/60)</f>
        <v>379.55</v>
      </c>
      <c r="EW110" s="14">
        <f>IF('[1]FC vers Ref (Km)'!EW110&lt;&gt;0,Y110,)+14+(25/60)+31+(8/60)+(56/60)+(59/60)</f>
        <v>391.4666666666667</v>
      </c>
      <c r="EX110" s="14">
        <f>IF('[1]FC vers Ref (Km)'!EX110&lt;&gt;0,Z110,)+14+(25/60)+31+(8/60)+1+(35/60)+(37/60)</f>
        <v>370.75</v>
      </c>
      <c r="EY110" s="14">
        <f>IF('[1]FC vers Ref (Km)'!EY110&lt;&gt;0,AA110,)+14+(25/60)+31+(8/60)+1+(18/60)</f>
        <v>386.85</v>
      </c>
      <c r="EZ110" s="14">
        <f>IF('[1]FC vers Ref (Km)'!EZ110&lt;&gt;0,AB110,)+14+(25/60)+31+(8/60)+1+(39/60)</f>
        <v>385.2</v>
      </c>
      <c r="FA110" s="14">
        <f>IF('[1]FC vers Ref (Km)'!FA110&lt;&gt;0,AC110,)+14+(25/60)+31+(8/60)+1+(47/60)</f>
        <v>366.33333333333337</v>
      </c>
      <c r="FB110" s="14">
        <f>IF('[1]FC vers Ref (Km)'!FB110&lt;&gt;0,AD110,)+14+(25/60)+31+(8/60)</f>
        <v>370.55</v>
      </c>
      <c r="FC110" s="14">
        <f>IF('[1]FC vers Ref (Km)'!FC110&lt;&gt;0,AE110,)+14+(25/60)+31+(8/60)</f>
        <v>389.55</v>
      </c>
      <c r="FD110" s="14">
        <f>IF('[1]FC vers Ref (Km)'!FD110&lt;&gt;0,AF110,)+14+(25/60)+31+(8/60)+5+(31/60)+5+(51/60)+1+(8/60)</f>
        <v>430.05</v>
      </c>
      <c r="FE110" s="14">
        <f>IF('[1]FC vers Ref (Km)'!FE110&lt;&gt;0,AG110,)+14+(25/60)+31+(8/60)+4+(2/60)+5+(51/60)+1+(8/60)</f>
        <v>428.56666666666672</v>
      </c>
      <c r="FF110" s="14">
        <f>IF('[1]FC vers Ref (Km)'!FF110&lt;&gt;0,AH110,)+14+(25/60)+31+(8/60)+1+(7/60)+5+(51/60)+1+(8/60)</f>
        <v>425.65000000000003</v>
      </c>
      <c r="FG110" s="14">
        <f>IF('[1]FC vers Ref (Km)'!FG110&lt;&gt;0,AI110,)+14+(25/60)+31+(8/60)+15+(50/60)</f>
        <v>482.38333333333333</v>
      </c>
      <c r="FH110" s="14">
        <f>IF('[1]FC vers Ref (Km)'!FH110&lt;&gt;0,AJ110,)+14+(25/60)+31+(8/60)</f>
        <v>433.55</v>
      </c>
      <c r="FI110" s="14">
        <f>IF('[1]FC vers Ref (Km)'!FI110&lt;&gt;0,AK110,)+14+(25/60)+31+(8/60)+4+(40/60)+11+(32/60)</f>
        <v>482.75000000000006</v>
      </c>
      <c r="FJ110" s="14">
        <f>IF('[1]FC vers Ref (Km)'!FJ110&lt;&gt;0,AL110,)+14+(25/60)+31+(8/60)</f>
        <v>431.55</v>
      </c>
      <c r="FK110" s="14">
        <f>IF('[1]FC vers Ref (Km)'!FK110&lt;&gt;0,AM110,)+14+(25/60)+31+(8/60)</f>
        <v>247.54999999999998</v>
      </c>
      <c r="FL110" s="14">
        <f>IF('[1]FC vers Ref (Km)'!FL110&lt;&gt;0,AN110,)+14+(25/60)+31+(8/60)</f>
        <v>259.54999999999995</v>
      </c>
      <c r="FM110" s="14">
        <f>IF('[1]FC vers Ref (Km)'!FM110&lt;&gt;0,AO110,)+14+(25/60)+31+(8/60)+(55/60)</f>
        <v>264.46666666666664</v>
      </c>
      <c r="FN110" s="14">
        <f>IF('[1]FC vers Ref (Km)'!FN110&lt;&gt;0,AP110,)+14+(25/60)+31+(8/60)</f>
        <v>337.55</v>
      </c>
      <c r="FO110" s="14">
        <f>IF('[1]FC vers Ref (Km)'!FO110&lt;&gt;0,AQ110,)+14+(25/60)+31+(8/60)</f>
        <v>316.55</v>
      </c>
      <c r="FP110" s="14">
        <f>IF('[1]FC vers Ref (Km)'!FP110&lt;&gt;0,AR110,)+14+(25/60)+31+(8/60)</f>
        <v>402.55</v>
      </c>
      <c r="FQ110" s="14">
        <f>IF('[1]FC vers Ref (Km)'!FQ110&lt;&gt;0,AS110,)+14+(25/60)+31+(8/60)</f>
        <v>507.55</v>
      </c>
      <c r="FR110" s="14">
        <f>IF('[1]FC vers Ref (Km)'!FR110&lt;&gt;0,AT110,)+14+(25/60)+31+(8/60)</f>
        <v>507.55</v>
      </c>
      <c r="FS110" s="14">
        <f>IF('[1]FC vers Ref (Km)'!FS110&lt;&gt;0,AU110,)+14+(25/60)+31+(8/60)</f>
        <v>507.55</v>
      </c>
      <c r="FT110" s="14">
        <f>IF('[1]FC vers Ref (Km)'!FT110&lt;&gt;0,AV110,)+14+(25/60)+31+(8/60)+1+(7/60)</f>
        <v>281.66666666666663</v>
      </c>
      <c r="FU110" s="14">
        <f>IF('[1]FC vers Ref (Km)'!FU110&lt;&gt;0,AW110,)+14+(25/60)+31+(8/60)+8+(3/60)</f>
        <v>419.6</v>
      </c>
      <c r="FV110" s="14">
        <f>IF('[1]FC vers Ref (Km)'!FV110&lt;&gt;0,AX110,)+14+(25/60)+31+(8/60)+2*24+11</f>
        <v>470.55</v>
      </c>
      <c r="FW110" s="14">
        <f>IF('[1]FC vers Ref (Km)'!FW110&lt;&gt;0,AY110,)+14+(25/60)+31+(8/60)</f>
        <v>248.54999999999998</v>
      </c>
      <c r="FX110" s="14">
        <f>IF('[1]FC vers Ref (Km)'!FX110&lt;&gt;0,AZ110,)+14+(25/60)+31+(8/60)</f>
        <v>45.55</v>
      </c>
      <c r="FY110" s="14">
        <f>IF('[1]FC vers Ref (Km)'!FY110&lt;&gt;0,BA110,)+14+(25/60)+31+(8/60)+5+(41/60)</f>
        <v>537.23333333333335</v>
      </c>
      <c r="FZ110" s="14">
        <f>IF('[1]FC vers Ref (Km)'!FZ110&lt;&gt;0,BB110,)+14+(25/60)+31+(8/60)</f>
        <v>368.55</v>
      </c>
      <c r="GA110" s="14">
        <f>IF('[1]FC vers Ref (Km)'!GA110&lt;&gt;0,BC110,)+14+(25/60)+31+(8/60)</f>
        <v>400.55</v>
      </c>
      <c r="GB110" s="14">
        <f>IF('[1]FC vers Ref (Km)'!GB110&lt;&gt;0,BD110,)+14+(25/60)+31+(8/60)</f>
        <v>310.55</v>
      </c>
      <c r="GC110" s="14">
        <f>IF('[1]FC vers Ref (Km)'!GC110&lt;&gt;0,BE110,)+14+(25/60)+31+(8/60)+(30/60)</f>
        <v>292.05</v>
      </c>
      <c r="GD110" s="14">
        <f>IF('[1]FC vers Ref (Km)'!GD110&lt;&gt;0,BF110,)+14+(25/60)+31+(8/60)</f>
        <v>283.54999999999995</v>
      </c>
      <c r="GE110" s="14">
        <f>IF('[1]FC vers Ref (Km)'!GE110&lt;&gt;0,BG110,)+14+(25/60)+31+(8/60)+15+(1/60)</f>
        <v>462.56666666666666</v>
      </c>
      <c r="GF110" s="14">
        <f>IF('[1]FC vers Ref (Km)'!GF110&lt;&gt;0,BH110,)+14+(25/60)+31+(8/60)</f>
        <v>410.55</v>
      </c>
      <c r="GG110" s="14">
        <f>IF('[1]FC vers Ref (Km)'!GG110&lt;&gt;0,BI110,)+14+(25/60)+31+(8/60)</f>
        <v>172.54999999999998</v>
      </c>
      <c r="GH110" s="14">
        <f>IF('[1]FC vers Ref (Km)'!GH110&lt;&gt;0,BJ110,)+14+(25/60)+31+(8/60)</f>
        <v>246.54999999999998</v>
      </c>
      <c r="GI110" s="15">
        <f>IF('[1]FC vers Ref (Km)'!GI110&lt;&gt;0,BK110,)+14+(25/60)+31+(8/60)</f>
        <v>246.54999999999998</v>
      </c>
    </row>
    <row r="111" spans="1:191" x14ac:dyDescent="0.3">
      <c r="A111" s="10" t="s">
        <v>63</v>
      </c>
      <c r="B111" s="35" t="s">
        <v>73</v>
      </c>
      <c r="C111" s="11">
        <f>9*24+3</f>
        <v>219</v>
      </c>
      <c r="D111" s="13">
        <f>9*24+11</f>
        <v>227</v>
      </c>
      <c r="E111" s="13">
        <f>10*24+11</f>
        <v>251</v>
      </c>
      <c r="F111" s="13">
        <f>14*24+10</f>
        <v>346</v>
      </c>
      <c r="G111" s="13">
        <f>10*24+8</f>
        <v>248</v>
      </c>
      <c r="H111" s="13">
        <f>1*24+23</f>
        <v>47</v>
      </c>
      <c r="I111" s="12"/>
      <c r="J111" s="13">
        <v>47</v>
      </c>
      <c r="K111" s="13">
        <v>301</v>
      </c>
      <c r="L111" s="13">
        <v>301</v>
      </c>
      <c r="M111" s="13">
        <v>5</v>
      </c>
      <c r="N111" s="13">
        <v>5</v>
      </c>
      <c r="O111" s="13">
        <v>227</v>
      </c>
      <c r="P111" s="14">
        <v>345</v>
      </c>
      <c r="Q111" s="14">
        <v>301</v>
      </c>
      <c r="R111" s="14">
        <v>366</v>
      </c>
      <c r="S111" s="14">
        <v>358</v>
      </c>
      <c r="T111" s="14">
        <v>367</v>
      </c>
      <c r="U111" s="14">
        <v>361</v>
      </c>
      <c r="V111" s="14">
        <v>377</v>
      </c>
      <c r="W111" s="14">
        <v>417</v>
      </c>
      <c r="X111" s="14">
        <v>379</v>
      </c>
      <c r="Y111" s="14">
        <v>389</v>
      </c>
      <c r="Z111" s="14">
        <v>369</v>
      </c>
      <c r="AA111" s="14">
        <v>385</v>
      </c>
      <c r="AB111" s="14">
        <v>384</v>
      </c>
      <c r="AC111" s="14">
        <v>365</v>
      </c>
      <c r="AD111" s="14">
        <v>370</v>
      </c>
      <c r="AE111" s="14">
        <v>389</v>
      </c>
      <c r="AF111" s="14">
        <v>417</v>
      </c>
      <c r="AG111" s="14">
        <v>417</v>
      </c>
      <c r="AH111" s="14">
        <v>417</v>
      </c>
      <c r="AI111" s="14">
        <v>396</v>
      </c>
      <c r="AJ111" s="14">
        <v>363</v>
      </c>
      <c r="AK111" s="14">
        <v>396</v>
      </c>
      <c r="AL111" s="14">
        <v>360</v>
      </c>
      <c r="AM111" s="14">
        <v>177</v>
      </c>
      <c r="AN111" s="14">
        <v>189</v>
      </c>
      <c r="AO111" s="14">
        <v>192</v>
      </c>
      <c r="AP111" s="14">
        <v>305</v>
      </c>
      <c r="AQ111" s="14">
        <v>283</v>
      </c>
      <c r="AR111" s="14">
        <v>350</v>
      </c>
      <c r="AS111" s="14">
        <v>437</v>
      </c>
      <c r="AT111" s="14">
        <v>437</v>
      </c>
      <c r="AU111" s="14">
        <v>437</v>
      </c>
      <c r="AV111" s="14">
        <f>8*24+17</f>
        <v>209</v>
      </c>
      <c r="AW111" s="14">
        <f>17*24+4</f>
        <v>412</v>
      </c>
      <c r="AX111" s="14">
        <f>17*24+4</f>
        <v>412</v>
      </c>
      <c r="AY111" s="14">
        <f>7*24+9</f>
        <v>177</v>
      </c>
      <c r="AZ111" s="14"/>
      <c r="BA111" s="14">
        <f>19*24+4</f>
        <v>460</v>
      </c>
      <c r="BB111" s="14">
        <f>12*24+10</f>
        <v>298</v>
      </c>
      <c r="BC111" s="14">
        <f>16*24+16</f>
        <v>400</v>
      </c>
      <c r="BD111" s="14">
        <f>9*24+23</f>
        <v>239</v>
      </c>
      <c r="BE111" s="14">
        <f>9*24+4</f>
        <v>220</v>
      </c>
      <c r="BF111" s="14">
        <f>8*24+20</f>
        <v>212</v>
      </c>
      <c r="BG111" s="14">
        <f>18*24+15</f>
        <v>447</v>
      </c>
      <c r="BH111" s="14">
        <f>17*24+2</f>
        <v>410</v>
      </c>
      <c r="BI111" s="14">
        <f>7*24+5</f>
        <v>173</v>
      </c>
      <c r="BJ111" s="14">
        <f>10*24+7</f>
        <v>247</v>
      </c>
      <c r="BK111" s="15">
        <f>10*24+7</f>
        <v>247</v>
      </c>
      <c r="BM111" s="10" t="s">
        <v>63</v>
      </c>
      <c r="BN111" s="35" t="s">
        <v>73</v>
      </c>
      <c r="BO111" s="11">
        <f>IF('[1]FC vers Ref (Km)'!BO111&lt;&gt;0,'Délai intermédiaire'!C111,)</f>
        <v>0</v>
      </c>
      <c r="BP111" s="13">
        <f>IF('[1]FC vers Ref (Km)'!BP111&lt;&gt;0,'Délai intermédiaire'!D111,)</f>
        <v>0</v>
      </c>
      <c r="BQ111" s="13">
        <f>IF('[1]FC vers Ref (Km)'!BQ111&lt;&gt;0,'Délai intermédiaire'!E111,)+19+(49/60)</f>
        <v>270.81666666666666</v>
      </c>
      <c r="BR111" s="13">
        <f>IF('[1]FC vers Ref (Km)'!BR111&lt;&gt;0,'Délai intermédiaire'!F111,)</f>
        <v>0</v>
      </c>
      <c r="BS111" s="13">
        <f>IF('[1]FC vers Ref (Km)'!BS111&lt;&gt;0,'Délai intermédiaire'!G111,)+(48/60)</f>
        <v>248.8</v>
      </c>
      <c r="BT111" s="13">
        <f>IF('[1]FC vers Ref (Km)'!BT111&lt;&gt;0,'Délai intermédiaire'!H111,)+15+(47/60)</f>
        <v>62.783333333333331</v>
      </c>
      <c r="BU111" s="12"/>
      <c r="BV111" s="13">
        <f>IF('[1]FC vers Ref (Km)'!BV111&lt;&gt;0,'Délai intermédiaire'!J111,)</f>
        <v>0</v>
      </c>
      <c r="BW111" s="13">
        <f>IF('[1]FC vers Ref (Km)'!BW111&lt;&gt;0,'Délai intermédiaire'!K111,)+6+(13/60)</f>
        <v>307.21666666666664</v>
      </c>
      <c r="BX111" s="13">
        <f>IF('[1]FC vers Ref (Km)'!BX111&lt;&gt;0,'Délai intermédiaire'!L111,)</f>
        <v>0</v>
      </c>
      <c r="BY111" s="13">
        <f>IF('[1]FC vers Ref (Km)'!BY111&lt;&gt;0,'Délai intermédiaire'!M111,)+11+(1/60)</f>
        <v>16.016666666666666</v>
      </c>
      <c r="BZ111" s="13">
        <f>IF('[1]FC vers Ref (Km)'!BZ111&lt;&gt;0,'Délai intermédiaire'!N111,)</f>
        <v>0</v>
      </c>
      <c r="CA111" s="13">
        <f>IF('[1]FC vers Ref (Km)'!CA111&lt;&gt;0,'Délai intermédiaire'!O111,)+4+(51/60)</f>
        <v>231.85</v>
      </c>
      <c r="CB111" s="14">
        <f>IF('[1]FC vers Ref (Km)'!CB111&lt;&gt;0,'Délai intermédiaire'!P111,)+5+(3/60)</f>
        <v>350.05</v>
      </c>
      <c r="CC111" s="14">
        <f>IF('[1]FC vers Ref (Km)'!CC111&lt;&gt;0,'Délai intermédiaire'!Q111,)+(40/60)</f>
        <v>301.66666666666669</v>
      </c>
      <c r="CD111" s="14">
        <f>IF('[1]FC vers Ref (Km)'!CD111&lt;&gt;0,'Délai intermédiaire'!R111,)</f>
        <v>0</v>
      </c>
      <c r="CE111" s="14">
        <f>IF('[1]FC vers Ref (Km)'!CE111&lt;&gt;0,'Délai intermédiaire'!S111,)</f>
        <v>0</v>
      </c>
      <c r="CF111" s="14">
        <f>IF('[1]FC vers Ref (Km)'!CF111&lt;&gt;0,'Délai intermédiaire'!T111,)</f>
        <v>0</v>
      </c>
      <c r="CG111" s="14">
        <f>IF('[1]FC vers Ref (Km)'!CG111&lt;&gt;0,'Délai intermédiaire'!U111,)+1+(53/60)</f>
        <v>362.88333333333333</v>
      </c>
      <c r="CH111" s="14">
        <f>IF('[1]FC vers Ref (Km)'!CH111&lt;&gt;0,'Délai intermédiaire'!V111,)+2+(57/60)</f>
        <v>379.95</v>
      </c>
      <c r="CI111" s="14">
        <f>IF('[1]FC vers Ref (Km)'!CI111&lt;&gt;0,'Délai intermédiaire'!W111,)+4+(47/60)</f>
        <v>421.78333333333336</v>
      </c>
      <c r="CJ111" s="14">
        <f>IF('[1]FC vers Ref (Km)'!CJ111&lt;&gt;0,'Délai intermédiaire'!X111,)</f>
        <v>0</v>
      </c>
      <c r="CK111" s="14">
        <f>IF('[1]FC vers Ref (Km)'!CK111&lt;&gt;0,'Délai intermédiaire'!Y111,)+1+(33/60)</f>
        <v>390.55</v>
      </c>
      <c r="CL111" s="14">
        <f>IF('[1]FC vers Ref (Km)'!CL111&lt;&gt;0,'Délai intermédiaire'!Z111,)+2+(30/60)</f>
        <v>371.5</v>
      </c>
      <c r="CM111" s="14">
        <f>IF('[1]FC vers Ref (Km)'!CM111&lt;&gt;0,'Délai intermédiaire'!AA111,)+(56/60)</f>
        <v>385.93333333333334</v>
      </c>
      <c r="CN111" s="14">
        <f>IF('[1]FC vers Ref (Km)'!CN111&lt;&gt;0,'Délai intermédiaire'!AB111,)+1+(39/60)</f>
        <v>385.65</v>
      </c>
      <c r="CO111" s="14">
        <f>IF('[1]FC vers Ref (Km)'!CO111&lt;&gt;0,'Délai intermédiaire'!AC111,)+3+(25/60)</f>
        <v>368.41666666666669</v>
      </c>
      <c r="CP111" s="14">
        <f>IF('[1]FC vers Ref (Km)'!CP111&lt;&gt;0,'Délai intermédiaire'!AD111,)</f>
        <v>0</v>
      </c>
      <c r="CQ111" s="14">
        <f>IF('[1]FC vers Ref (Km)'!CQ111&lt;&gt;0,'Délai intermédiaire'!AE111,)</f>
        <v>0</v>
      </c>
      <c r="CR111" s="14">
        <f>IF('[1]FC vers Ref (Km)'!CR111&lt;&gt;0,'Délai intermédiaire'!AF111,)+9+(1/60)</f>
        <v>426.01666666666665</v>
      </c>
      <c r="CS111" s="14">
        <f>IF('[1]FC vers Ref (Km)'!CS111&lt;&gt;0,'Délai intermédiaire'!AG111,)+7+(48/60)</f>
        <v>424.8</v>
      </c>
      <c r="CT111" s="14">
        <f>IF('[1]FC vers Ref (Km)'!CT111&lt;&gt;0,'Délai intermédiaire'!AH111,)+5+(5/60)</f>
        <v>422.08333333333331</v>
      </c>
      <c r="CU111" s="14">
        <f>IF('[1]FC vers Ref (Km)'!CU111&lt;&gt;0,'Délai intermédiaire'!AI111,)+19+(46/60)</f>
        <v>415.76666666666665</v>
      </c>
      <c r="CV111" s="14">
        <f>IF('[1]FC vers Ref (Km)'!CV111&lt;&gt;0,'Délai intermédiaire'!AJ111,)</f>
        <v>0</v>
      </c>
      <c r="CW111" s="14">
        <f>IF('[1]FC vers Ref (Km)'!CW111&lt;&gt;0,'Délai intermédiaire'!AK111,)+12+(26/60)</f>
        <v>408.43333333333334</v>
      </c>
      <c r="CX111" s="14">
        <f>IF('[1]FC vers Ref (Km)'!CX111&lt;&gt;0,'Délai intermédiaire'!AL111,)</f>
        <v>0</v>
      </c>
      <c r="CY111" s="14">
        <f>IF('[1]FC vers Ref (Km)'!CY111&lt;&gt;0,'Délai intermédiaire'!AM111,)</f>
        <v>0</v>
      </c>
      <c r="CZ111" s="14">
        <f>IF('[1]FC vers Ref (Km)'!CZ111&lt;&gt;0,'Délai intermédiaire'!AN111,)</f>
        <v>0</v>
      </c>
      <c r="DA111" s="14">
        <f>IF('[1]FC vers Ref (Km)'!DA111&lt;&gt;0,'Délai intermédiaire'!AO111,)+1+(56/60)</f>
        <v>193.93333333333334</v>
      </c>
      <c r="DB111" s="14">
        <f>IF('[1]FC vers Ref (Km)'!DB111&lt;&gt;0,'Délai intermédiaire'!AP111,)</f>
        <v>0</v>
      </c>
      <c r="DC111" s="14">
        <f>IF('[1]FC vers Ref (Km)'!DC111&lt;&gt;0,'Délai intermédiaire'!AQ111,)</f>
        <v>0</v>
      </c>
      <c r="DD111" s="14">
        <f>IF('[1]FC vers Ref (Km)'!DD111&lt;&gt;0,'Délai intermédiaire'!AR111,)</f>
        <v>0</v>
      </c>
      <c r="DE111" s="14">
        <f>IF('[1]FC vers Ref (Km)'!DE111&lt;&gt;0,'Délai intermédiaire'!AS111,)</f>
        <v>0</v>
      </c>
      <c r="DF111" s="14">
        <f>IF('[1]FC vers Ref (Km)'!DF111&lt;&gt;0,'Délai intermédiaire'!AT111,)+20+(5/60)</f>
        <v>457.08333333333331</v>
      </c>
      <c r="DG111" s="14">
        <f>IF('[1]FC vers Ref (Km)'!DG111&lt;&gt;0,'Délai intermédiaire'!AU111,)+11+(36/60)</f>
        <v>448.6</v>
      </c>
      <c r="DH111" s="14">
        <f>IF('[1]FC vers Ref (Km)'!DH111&lt;&gt;0,'Délai intermédiaire'!AV111,)+(28/60)</f>
        <v>209.46666666666667</v>
      </c>
      <c r="DI111" s="14">
        <f>IF('[1]FC vers Ref (Km)'!DI111&lt;&gt;0,'Délai intermédiaire'!AW111,)+7+(13/60)</f>
        <v>419.21666666666664</v>
      </c>
      <c r="DJ111" s="14">
        <f>IF('[1]FC vers Ref (Km)'!DJ111&lt;&gt;0,'Délai intermédiaire'!AX111,)+2*24+15</f>
        <v>475</v>
      </c>
      <c r="DK111" s="14">
        <f>IF('[1]FC vers Ref (Km)'!DK111&lt;&gt;0,'Délai intermédiaire'!AY111,)</f>
        <v>0</v>
      </c>
      <c r="DL111" s="14">
        <f>IF('[1]FC vers Ref (Km)'!DL111&lt;&gt;0,'Délai intermédiaire'!AZ111,)</f>
        <v>0</v>
      </c>
      <c r="DM111" s="14">
        <f>IF('[1]FC vers Ref (Km)'!DM111&lt;&gt;0,'Délai intermédiaire'!BA111,)+7+(17/60)</f>
        <v>467.28333333333336</v>
      </c>
      <c r="DN111" s="14">
        <f>IF('[1]FC vers Ref (Km)'!DN111&lt;&gt;0,'Délai intermédiaire'!BB111,)</f>
        <v>0</v>
      </c>
      <c r="DO111" s="14">
        <f>IF('[1]FC vers Ref (Km)'!DO111&lt;&gt;0,'Délai intermédiaire'!BC111,)</f>
        <v>0</v>
      </c>
      <c r="DP111" s="14">
        <f>IF('[1]FC vers Ref (Km)'!DP111&lt;&gt;0,'Délai intermédiaire'!BD111,)</f>
        <v>0</v>
      </c>
      <c r="DQ111" s="14">
        <f>IF('[1]FC vers Ref (Km)'!DQ111&lt;&gt;0,'Délai intermédiaire'!BE111,)+1+(22/60)</f>
        <v>221.36666666666667</v>
      </c>
      <c r="DR111" s="14">
        <f>IF('[1]FC vers Ref (Km)'!DR111&lt;&gt;0,'Délai intermédiaire'!BF111,)</f>
        <v>0</v>
      </c>
      <c r="DS111" s="14">
        <f>IF('[1]FC vers Ref (Km)'!DS111&lt;&gt;0,'Délai intermédiaire'!BG111,)+10+(43/60)</f>
        <v>457.71666666666664</v>
      </c>
      <c r="DT111" s="14">
        <f>IF('[1]FC vers Ref (Km)'!DT111&lt;&gt;0,'Délai intermédiaire'!BH111,)+(12/60)</f>
        <v>410.2</v>
      </c>
      <c r="DU111" s="14">
        <f>IF('[1]FC vers Ref (Km)'!DU111&lt;&gt;0,'Délai intermédiaire'!BI111,)+7+(45/60)</f>
        <v>180.75</v>
      </c>
      <c r="DV111" s="14">
        <f>IF('[1]FC vers Ref (Km)'!DV111&lt;&gt;0,'Délai intermédiaire'!BJ111,)+1+(10/60)</f>
        <v>248.16666666666666</v>
      </c>
      <c r="DW111" s="15">
        <f>IF('[1]FC vers Ref (Km)'!DW111&lt;&gt;0,'Délai intermédiaire'!BK111,)+12+(41/60)</f>
        <v>259.68333333333334</v>
      </c>
      <c r="DX111" s="27"/>
      <c r="DY111" s="10" t="s">
        <v>63</v>
      </c>
      <c r="DZ111" s="35" t="s">
        <v>73</v>
      </c>
      <c r="EA111" s="11">
        <f>IF('[1]FC vers Ref (Km)'!EA111&lt;&gt;0,C111,)</f>
        <v>0</v>
      </c>
      <c r="EB111" s="13">
        <f>IF('[1]FC vers Ref (Km)'!EB111&lt;&gt;0,D111,)</f>
        <v>0</v>
      </c>
      <c r="EC111" s="13">
        <f>IF('[1]FC vers Ref (Km)'!EC111&lt;&gt;0,E111,)+7+(55/60)+19+(53/60)</f>
        <v>278.8</v>
      </c>
      <c r="ED111" s="13">
        <f>IF('[1]FC vers Ref (Km)'!ED111&lt;&gt;0,F111,)</f>
        <v>0</v>
      </c>
      <c r="EE111" s="13">
        <f>IF('[1]FC vers Ref (Km)'!EE111&lt;&gt;0,G111,)+(32/60)</f>
        <v>248.53333333333333</v>
      </c>
      <c r="EF111" s="13">
        <f>IF('[1]FC vers Ref (Km)'!EF111&lt;&gt;0,H111,)+14+(25/60)+31+(8/60)</f>
        <v>92.55</v>
      </c>
      <c r="EG111" s="12">
        <f>IF('[1]FC vers Ref (Km)'!EG111&lt;&gt;0,I111,)</f>
        <v>0</v>
      </c>
      <c r="EH111" s="13">
        <f>IF('[1]FC vers Ref (Km)'!EH111&lt;&gt;0,J111,)</f>
        <v>0</v>
      </c>
      <c r="EI111" s="13">
        <f>IF('[1]FC vers Ref (Km)'!EI111&lt;&gt;0,K111,)+5+(11/60)</f>
        <v>306.18333333333334</v>
      </c>
      <c r="EJ111" s="13">
        <f>IF('[1]FC vers Ref (Km)'!EJ111&lt;&gt;0,L111,)</f>
        <v>0</v>
      </c>
      <c r="EK111" s="13">
        <f>IF('[1]FC vers Ref (Km)'!EK111&lt;&gt;0,M111,)</f>
        <v>0</v>
      </c>
      <c r="EL111" s="13">
        <f>IF('[1]FC vers Ref (Km)'!EL111&lt;&gt;0,N111,)</f>
        <v>0</v>
      </c>
      <c r="EM111" s="13">
        <f>IF('[1]FC vers Ref (Km)'!EM111&lt;&gt;0,O111,)</f>
        <v>0</v>
      </c>
      <c r="EN111" s="14">
        <f>IF('[1]FC vers Ref (Km)'!EN111&lt;&gt;0,P111,)</f>
        <v>0</v>
      </c>
      <c r="EO111" s="14">
        <f>IF('[1]FC vers Ref (Km)'!EO111&lt;&gt;0,Q111,)</f>
        <v>0</v>
      </c>
      <c r="EP111" s="14">
        <f>IF('[1]FC vers Ref (Km)'!EP111&lt;&gt;0,R111,)</f>
        <v>0</v>
      </c>
      <c r="EQ111" s="14">
        <f>IF('[1]FC vers Ref (Km)'!EQ111&lt;&gt;0,S111,)</f>
        <v>0</v>
      </c>
      <c r="ER111" s="14">
        <f>IF('[1]FC vers Ref (Km)'!ER111&lt;&gt;0,T111,)</f>
        <v>0</v>
      </c>
      <c r="ES111" s="14">
        <f>IF('[1]FC vers Ref (Km)'!ES111&lt;&gt;0,U111,)+2+(21/60)</f>
        <v>363.35</v>
      </c>
      <c r="ET111" s="14">
        <f>IF('[1]FC vers Ref (Km)'!ET111&lt;&gt;0,V111,)+1+(44/60)</f>
        <v>378.73333333333335</v>
      </c>
      <c r="EU111" s="14">
        <f>IF('[1]FC vers Ref (Km)'!EU111&lt;&gt;0,W111,)+1+(47/60)+2+(31/60)+2+(54/60)</f>
        <v>424.2</v>
      </c>
      <c r="EV111" s="14">
        <f>IF('[1]FC vers Ref (Km)'!EV111&lt;&gt;0,X111,)</f>
        <v>0</v>
      </c>
      <c r="EW111" s="14">
        <f>IF('[1]FC vers Ref (Km)'!EW111&lt;&gt;0,Y111,)+(56/60)+(59/60)</f>
        <v>390.91666666666669</v>
      </c>
      <c r="EX111" s="14">
        <f>IF('[1]FC vers Ref (Km)'!EX111&lt;&gt;0,Z111,)+1+(35/60)+(37/60)</f>
        <v>371.2</v>
      </c>
      <c r="EY111" s="14">
        <f>IF('[1]FC vers Ref (Km)'!EY111&lt;&gt;0,AA111,)+1+(18/60)</f>
        <v>386.3</v>
      </c>
      <c r="EZ111" s="14">
        <f>IF('[1]FC vers Ref (Km)'!EZ111&lt;&gt;0,AB111,)+1+(39/60)</f>
        <v>385.65</v>
      </c>
      <c r="FA111" s="14">
        <f>IF('[1]FC vers Ref (Km)'!FA111&lt;&gt;0,AC111,)+1+(47/60)</f>
        <v>366.78333333333336</v>
      </c>
      <c r="FB111" s="14">
        <f>IF('[1]FC vers Ref (Km)'!FB111&lt;&gt;0,AD111,)</f>
        <v>0</v>
      </c>
      <c r="FC111" s="14">
        <f>IF('[1]FC vers Ref (Km)'!FC111&lt;&gt;0,AE111,)</f>
        <v>0</v>
      </c>
      <c r="FD111" s="14">
        <f>IF('[1]FC vers Ref (Km)'!FD111&lt;&gt;0,AF111,)+5+(31/60)+5+(51/60)+1+(8/60)</f>
        <v>429.5</v>
      </c>
      <c r="FE111" s="14">
        <f>IF('[1]FC vers Ref (Km)'!FE111&lt;&gt;0,AG111,)+4+(2/60)+5+(51/60)+1+(8/60)</f>
        <v>428.01666666666671</v>
      </c>
      <c r="FF111" s="14">
        <f>IF('[1]FC vers Ref (Km)'!FF111&lt;&gt;0,AH111,)+1+(7/60)+5+(51/60)+1+(8/60)</f>
        <v>425.1</v>
      </c>
      <c r="FG111" s="14">
        <f>IF('[1]FC vers Ref (Km)'!FG111&lt;&gt;0,AI111,)+15+(50/60)</f>
        <v>411.83333333333331</v>
      </c>
      <c r="FH111" s="14">
        <f>IF('[1]FC vers Ref (Km)'!FH111&lt;&gt;0,AJ111,)</f>
        <v>0</v>
      </c>
      <c r="FI111" s="14">
        <f>IF('[1]FC vers Ref (Km)'!FI111&lt;&gt;0,AK111,)+4+(40/60)+11+(32/60)</f>
        <v>412.20000000000005</v>
      </c>
      <c r="FJ111" s="14">
        <f>IF('[1]FC vers Ref (Km)'!FJ111&lt;&gt;0,AL111,)</f>
        <v>0</v>
      </c>
      <c r="FK111" s="14">
        <f>IF('[1]FC vers Ref (Km)'!FK111&lt;&gt;0,AM111,)</f>
        <v>0</v>
      </c>
      <c r="FL111" s="14">
        <f>IF('[1]FC vers Ref (Km)'!FL111&lt;&gt;0,AN111,)</f>
        <v>0</v>
      </c>
      <c r="FM111" s="14">
        <f>IF('[1]FC vers Ref (Km)'!FM111&lt;&gt;0,AO111,)+(55/60)</f>
        <v>192.91666666666666</v>
      </c>
      <c r="FN111" s="14">
        <f>IF('[1]FC vers Ref (Km)'!FN111&lt;&gt;0,AP111,)</f>
        <v>0</v>
      </c>
      <c r="FO111" s="14">
        <f>IF('[1]FC vers Ref (Km)'!FO111&lt;&gt;0,AQ111,)</f>
        <v>0</v>
      </c>
      <c r="FP111" s="14">
        <f>IF('[1]FC vers Ref (Km)'!FP111&lt;&gt;0,AR111,)</f>
        <v>0</v>
      </c>
      <c r="FQ111" s="14">
        <f>IF('[1]FC vers Ref (Km)'!FQ111&lt;&gt;0,AS111,)</f>
        <v>0</v>
      </c>
      <c r="FR111" s="14">
        <f>IF('[1]FC vers Ref (Km)'!FR111&lt;&gt;0,AT111,)</f>
        <v>0</v>
      </c>
      <c r="FS111" s="14">
        <f>IF('[1]FC vers Ref (Km)'!FS111&lt;&gt;0,AU111,)</f>
        <v>0</v>
      </c>
      <c r="FT111" s="14">
        <f>IF('[1]FC vers Ref (Km)'!FT111&lt;&gt;0,AV111,)+1+(7/60)</f>
        <v>210.11666666666667</v>
      </c>
      <c r="FU111" s="14">
        <f>IF('[1]FC vers Ref (Km)'!FU111&lt;&gt;0,AW111,)+8+(3/60)</f>
        <v>420.05</v>
      </c>
      <c r="FV111" s="14">
        <f>IF('[1]FC vers Ref (Km)'!FV111&lt;&gt;0,AX111,)+2*24+11</f>
        <v>471</v>
      </c>
      <c r="FW111" s="14">
        <f>IF('[1]FC vers Ref (Km)'!FW111&lt;&gt;0,AY111,)</f>
        <v>0</v>
      </c>
      <c r="FX111" s="14">
        <f>IF('[1]FC vers Ref (Km)'!FX111&lt;&gt;0,AZ111,)</f>
        <v>0</v>
      </c>
      <c r="FY111" s="14">
        <f>IF('[1]FC vers Ref (Km)'!FY111&lt;&gt;0,BA111,)+5+(41/60)</f>
        <v>465.68333333333334</v>
      </c>
      <c r="FZ111" s="14">
        <f>IF('[1]FC vers Ref (Km)'!FZ111&lt;&gt;0,BB111,)</f>
        <v>0</v>
      </c>
      <c r="GA111" s="14">
        <f>IF('[1]FC vers Ref (Km)'!GA111&lt;&gt;0,BC111,)</f>
        <v>0</v>
      </c>
      <c r="GB111" s="14">
        <f>IF('[1]FC vers Ref (Km)'!GB111&lt;&gt;0,BD111,)</f>
        <v>0</v>
      </c>
      <c r="GC111" s="14">
        <f>IF('[1]FC vers Ref (Km)'!GC111&lt;&gt;0,BE111,)+(30/60)</f>
        <v>220.5</v>
      </c>
      <c r="GD111" s="14">
        <f>IF('[1]FC vers Ref (Km)'!GD111&lt;&gt;0,BF111,)</f>
        <v>0</v>
      </c>
      <c r="GE111" s="14">
        <f>IF('[1]FC vers Ref (Km)'!GE111&lt;&gt;0,BG111,)+15+(1/60)</f>
        <v>462.01666666666665</v>
      </c>
      <c r="GF111" s="14">
        <f>IF('[1]FC vers Ref (Km)'!GF111&lt;&gt;0,BH111,)</f>
        <v>0</v>
      </c>
      <c r="GG111" s="14">
        <f>IF('[1]FC vers Ref (Km)'!GG111&lt;&gt;0,BI111,)</f>
        <v>0</v>
      </c>
      <c r="GH111" s="14">
        <f>IF('[1]FC vers Ref (Km)'!GH111&lt;&gt;0,BJ111,)</f>
        <v>0</v>
      </c>
      <c r="GI111" s="15">
        <f>IF('[1]FC vers Ref (Km)'!GI111&lt;&gt;0,BK111,)</f>
        <v>0</v>
      </c>
    </row>
    <row r="112" spans="1:191" x14ac:dyDescent="0.3">
      <c r="A112" s="10" t="s">
        <v>8</v>
      </c>
      <c r="B112" s="35" t="s">
        <v>73</v>
      </c>
      <c r="C112" s="11">
        <f>7*24+5</f>
        <v>173</v>
      </c>
      <c r="D112" s="13">
        <f>7*24+13</f>
        <v>181</v>
      </c>
      <c r="E112" s="13">
        <f>8*24+13</f>
        <v>205</v>
      </c>
      <c r="F112" s="13">
        <f>12*24+13</f>
        <v>301</v>
      </c>
      <c r="G112" s="13">
        <f>8*24+10</f>
        <v>202</v>
      </c>
      <c r="H112" s="13">
        <v>0</v>
      </c>
      <c r="I112" s="13">
        <f>1*24+23</f>
        <v>47</v>
      </c>
      <c r="J112" s="12"/>
      <c r="K112" s="13">
        <v>256</v>
      </c>
      <c r="L112" s="13">
        <v>256</v>
      </c>
      <c r="M112" s="13">
        <v>48</v>
      </c>
      <c r="N112" s="13">
        <v>48</v>
      </c>
      <c r="O112" s="13">
        <v>182</v>
      </c>
      <c r="P112" s="14">
        <v>300</v>
      </c>
      <c r="Q112" s="14">
        <v>255</v>
      </c>
      <c r="R112" s="14">
        <v>321</v>
      </c>
      <c r="S112" s="14">
        <v>312</v>
      </c>
      <c r="T112" s="14">
        <v>321</v>
      </c>
      <c r="U112" s="14">
        <v>315</v>
      </c>
      <c r="V112" s="14">
        <v>280</v>
      </c>
      <c r="W112" s="14">
        <v>372</v>
      </c>
      <c r="X112" s="14">
        <v>334</v>
      </c>
      <c r="Y112" s="14">
        <v>344</v>
      </c>
      <c r="Z112" s="14">
        <v>323</v>
      </c>
      <c r="AA112" s="14">
        <v>340</v>
      </c>
      <c r="AB112" s="14">
        <v>338</v>
      </c>
      <c r="AC112" s="14">
        <v>319</v>
      </c>
      <c r="AD112" s="14">
        <v>325</v>
      </c>
      <c r="AE112" s="14">
        <v>344</v>
      </c>
      <c r="AF112" s="14">
        <v>372</v>
      </c>
      <c r="AG112" s="14">
        <v>372</v>
      </c>
      <c r="AH112" s="14">
        <v>372</v>
      </c>
      <c r="AI112" s="14">
        <v>421</v>
      </c>
      <c r="AJ112" s="14">
        <v>388</v>
      </c>
      <c r="AK112" s="14">
        <v>421</v>
      </c>
      <c r="AL112" s="14">
        <v>386</v>
      </c>
      <c r="AM112" s="14">
        <v>202</v>
      </c>
      <c r="AN112" s="14">
        <v>214</v>
      </c>
      <c r="AO112" s="14">
        <v>218</v>
      </c>
      <c r="AP112" s="14">
        <v>292</v>
      </c>
      <c r="AQ112" s="14">
        <v>271</v>
      </c>
      <c r="AR112" s="14">
        <v>357</v>
      </c>
      <c r="AS112" s="14">
        <v>462</v>
      </c>
      <c r="AT112" s="14">
        <v>462</v>
      </c>
      <c r="AU112" s="14">
        <v>462</v>
      </c>
      <c r="AV112" s="14">
        <f>9*24+19</f>
        <v>235</v>
      </c>
      <c r="AW112" s="14">
        <f>15*24+6</f>
        <v>366</v>
      </c>
      <c r="AX112" s="14">
        <f>15*24+6</f>
        <v>366</v>
      </c>
      <c r="AY112" s="14">
        <f>8*24+11</f>
        <v>203</v>
      </c>
      <c r="AZ112" s="14"/>
      <c r="BA112" s="14">
        <f>20*24+6</f>
        <v>486</v>
      </c>
      <c r="BB112" s="14">
        <f>13*24+11</f>
        <v>323</v>
      </c>
      <c r="BC112" s="14">
        <f>14*24+19</f>
        <v>355</v>
      </c>
      <c r="BD112" s="14">
        <f>11*24+1</f>
        <v>265</v>
      </c>
      <c r="BE112" s="14">
        <f>10*24+6</f>
        <v>246</v>
      </c>
      <c r="BF112" s="14">
        <f>9*24+22</f>
        <v>238</v>
      </c>
      <c r="BG112" s="14">
        <f>16*24+18</f>
        <v>402</v>
      </c>
      <c r="BH112" s="14">
        <f>15*24+5</f>
        <v>365</v>
      </c>
      <c r="BI112" s="14">
        <f>5*24+7</f>
        <v>127</v>
      </c>
      <c r="BJ112" s="14">
        <f>8*24+9</f>
        <v>201</v>
      </c>
      <c r="BK112" s="15">
        <f>8*24+9</f>
        <v>201</v>
      </c>
      <c r="BM112" s="10" t="s">
        <v>8</v>
      </c>
      <c r="BN112" s="35" t="s">
        <v>73</v>
      </c>
      <c r="BO112" s="11">
        <f>IF('[1]FC vers Ref (Km)'!BO112&lt;&gt;0,'Délai intermédiaire'!C112,)</f>
        <v>0</v>
      </c>
      <c r="BP112" s="13">
        <f>IF('[1]FC vers Ref (Km)'!BP112&lt;&gt;0,'Délai intermédiaire'!D112,)</f>
        <v>0</v>
      </c>
      <c r="BQ112" s="13">
        <f>IF('[1]FC vers Ref (Km)'!BQ112&lt;&gt;0,'Délai intermédiaire'!E112,)+19+(49/60)</f>
        <v>224.81666666666666</v>
      </c>
      <c r="BR112" s="13">
        <f>IF('[1]FC vers Ref (Km)'!BR112&lt;&gt;0,'Délai intermédiaire'!F112,)</f>
        <v>0</v>
      </c>
      <c r="BS112" s="13">
        <f>IF('[1]FC vers Ref (Km)'!BS112&lt;&gt;0,'Délai intermédiaire'!G112,)+(48/60)</f>
        <v>202.8</v>
      </c>
      <c r="BT112" s="13">
        <f>IF('[1]FC vers Ref (Km)'!BT112&lt;&gt;0,'Délai intermédiaire'!H112,)+15+(47/60)</f>
        <v>15.783333333333333</v>
      </c>
      <c r="BU112" s="13">
        <f>IF('[1]FC vers Ref (Km)'!BU112&lt;&gt;0,'Délai intermédiaire'!I112,)</f>
        <v>0</v>
      </c>
      <c r="BV112" s="12"/>
      <c r="BW112" s="13">
        <f>IF('[1]FC vers Ref (Km)'!BW112&lt;&gt;0,'Délai intermédiaire'!K112,)+6+(13/60)</f>
        <v>262.21666666666664</v>
      </c>
      <c r="BX112" s="13">
        <f>IF('[1]FC vers Ref (Km)'!BX112&lt;&gt;0,'Délai intermédiaire'!L112,)</f>
        <v>0</v>
      </c>
      <c r="BY112" s="13">
        <f>IF('[1]FC vers Ref (Km)'!BY112&lt;&gt;0,'Délai intermédiaire'!M112,)+11+(1/60)</f>
        <v>59.016666666666666</v>
      </c>
      <c r="BZ112" s="13">
        <f>IF('[1]FC vers Ref (Km)'!BZ112&lt;&gt;0,'Délai intermédiaire'!N112,)</f>
        <v>0</v>
      </c>
      <c r="CA112" s="13">
        <f>IF('[1]FC vers Ref (Km)'!CA112&lt;&gt;0,'Délai intermédiaire'!O112,)+4+(51/60)</f>
        <v>186.85</v>
      </c>
      <c r="CB112" s="14">
        <f>IF('[1]FC vers Ref (Km)'!CB112&lt;&gt;0,'Délai intermédiaire'!P112,)+5+(3/60)</f>
        <v>305.05</v>
      </c>
      <c r="CC112" s="14">
        <f>IF('[1]FC vers Ref (Km)'!CC112&lt;&gt;0,'Délai intermédiaire'!Q112,)+(40/60)</f>
        <v>255.66666666666666</v>
      </c>
      <c r="CD112" s="14">
        <f>IF('[1]FC vers Ref (Km)'!CD112&lt;&gt;0,'Délai intermédiaire'!R112,)</f>
        <v>0</v>
      </c>
      <c r="CE112" s="14">
        <f>IF('[1]FC vers Ref (Km)'!CE112&lt;&gt;0,'Délai intermédiaire'!S112,)</f>
        <v>0</v>
      </c>
      <c r="CF112" s="14">
        <f>IF('[1]FC vers Ref (Km)'!CF112&lt;&gt;0,'Délai intermédiaire'!T112,)</f>
        <v>0</v>
      </c>
      <c r="CG112" s="14">
        <f>IF('[1]FC vers Ref (Km)'!CG112&lt;&gt;0,'Délai intermédiaire'!U112,)+1+(53/60)</f>
        <v>316.88333333333333</v>
      </c>
      <c r="CH112" s="14">
        <f>IF('[1]FC vers Ref (Km)'!CH112&lt;&gt;0,'Délai intermédiaire'!V112,)+2+(57/60)</f>
        <v>282.95</v>
      </c>
      <c r="CI112" s="14">
        <f>IF('[1]FC vers Ref (Km)'!CI112&lt;&gt;0,'Délai intermédiaire'!W112,)+4+(47/60)</f>
        <v>376.78333333333336</v>
      </c>
      <c r="CJ112" s="14">
        <f>IF('[1]FC vers Ref (Km)'!CJ112&lt;&gt;0,'Délai intermédiaire'!X112,)</f>
        <v>0</v>
      </c>
      <c r="CK112" s="14">
        <f>IF('[1]FC vers Ref (Km)'!CK112&lt;&gt;0,'Délai intermédiaire'!Y112,)+1+(33/60)</f>
        <v>345.55</v>
      </c>
      <c r="CL112" s="14">
        <f>IF('[1]FC vers Ref (Km)'!CL112&lt;&gt;0,'Délai intermédiaire'!Z112,)+2+(30/60)</f>
        <v>325.5</v>
      </c>
      <c r="CM112" s="14">
        <f>IF('[1]FC vers Ref (Km)'!CM112&lt;&gt;0,'Délai intermédiaire'!AA112,)+(56/60)</f>
        <v>340.93333333333334</v>
      </c>
      <c r="CN112" s="14">
        <f>IF('[1]FC vers Ref (Km)'!CN112&lt;&gt;0,'Délai intermédiaire'!AB112,)+1+(39/60)</f>
        <v>339.65</v>
      </c>
      <c r="CO112" s="14">
        <f>IF('[1]FC vers Ref (Km)'!CO112&lt;&gt;0,'Délai intermédiaire'!AC112,)+3+(25/60)</f>
        <v>322.41666666666669</v>
      </c>
      <c r="CP112" s="14">
        <f>IF('[1]FC vers Ref (Km)'!CP112&lt;&gt;0,'Délai intermédiaire'!AD112,)</f>
        <v>0</v>
      </c>
      <c r="CQ112" s="14">
        <f>IF('[1]FC vers Ref (Km)'!CQ112&lt;&gt;0,'Délai intermédiaire'!AE112,)</f>
        <v>0</v>
      </c>
      <c r="CR112" s="14">
        <f>IF('[1]FC vers Ref (Km)'!CR112&lt;&gt;0,'Délai intermédiaire'!AF112,)+9+(1/60)</f>
        <v>381.01666666666665</v>
      </c>
      <c r="CS112" s="14">
        <f>IF('[1]FC vers Ref (Km)'!CS112&lt;&gt;0,'Délai intermédiaire'!AG112,)+7+(48/60)</f>
        <v>379.8</v>
      </c>
      <c r="CT112" s="14">
        <f>IF('[1]FC vers Ref (Km)'!CT112&lt;&gt;0,'Délai intermédiaire'!AH112,)+5+(5/60)</f>
        <v>377.08333333333331</v>
      </c>
      <c r="CU112" s="14">
        <f>IF('[1]FC vers Ref (Km)'!CU112&lt;&gt;0,'Délai intermédiaire'!AI112,)+19+(46/60)</f>
        <v>440.76666666666665</v>
      </c>
      <c r="CV112" s="14">
        <f>IF('[1]FC vers Ref (Km)'!CV112&lt;&gt;0,'Délai intermédiaire'!AJ112,)</f>
        <v>0</v>
      </c>
      <c r="CW112" s="14">
        <f>IF('[1]FC vers Ref (Km)'!CW112&lt;&gt;0,'Délai intermédiaire'!AK112,)+12+(26/60)</f>
        <v>433.43333333333334</v>
      </c>
      <c r="CX112" s="14">
        <f>IF('[1]FC vers Ref (Km)'!CX112&lt;&gt;0,'Délai intermédiaire'!AL112,)</f>
        <v>0</v>
      </c>
      <c r="CY112" s="14">
        <f>IF('[1]FC vers Ref (Km)'!CY112&lt;&gt;0,'Délai intermédiaire'!AM112,)</f>
        <v>0</v>
      </c>
      <c r="CZ112" s="14">
        <f>IF('[1]FC vers Ref (Km)'!CZ112&lt;&gt;0,'Délai intermédiaire'!AN112,)</f>
        <v>0</v>
      </c>
      <c r="DA112" s="14">
        <f>IF('[1]FC vers Ref (Km)'!DA112&lt;&gt;0,'Délai intermédiaire'!AO112,)+1+(56/60)</f>
        <v>219.93333333333334</v>
      </c>
      <c r="DB112" s="14">
        <f>IF('[1]FC vers Ref (Km)'!DB112&lt;&gt;0,'Délai intermédiaire'!AP112,)</f>
        <v>0</v>
      </c>
      <c r="DC112" s="14">
        <f>IF('[1]FC vers Ref (Km)'!DC112&lt;&gt;0,'Délai intermédiaire'!AQ112,)</f>
        <v>0</v>
      </c>
      <c r="DD112" s="14">
        <f>IF('[1]FC vers Ref (Km)'!DD112&lt;&gt;0,'Délai intermédiaire'!AR112,)</f>
        <v>0</v>
      </c>
      <c r="DE112" s="14">
        <f>IF('[1]FC vers Ref (Km)'!DE112&lt;&gt;0,'Délai intermédiaire'!AS112,)</f>
        <v>0</v>
      </c>
      <c r="DF112" s="14">
        <f>IF('[1]FC vers Ref (Km)'!DF112&lt;&gt;0,'Délai intermédiaire'!AT112,)+20+(5/60)</f>
        <v>482.08333333333331</v>
      </c>
      <c r="DG112" s="14">
        <f>IF('[1]FC vers Ref (Km)'!DG112&lt;&gt;0,'Délai intermédiaire'!AU112,)+11+(36/60)</f>
        <v>473.6</v>
      </c>
      <c r="DH112" s="14">
        <f>IF('[1]FC vers Ref (Km)'!DH112&lt;&gt;0,'Délai intermédiaire'!AV112,)+(28/60)</f>
        <v>235.46666666666667</v>
      </c>
      <c r="DI112" s="14">
        <f>IF('[1]FC vers Ref (Km)'!DI112&lt;&gt;0,'Délai intermédiaire'!AW112,)+7+(13/60)</f>
        <v>373.21666666666664</v>
      </c>
      <c r="DJ112" s="14">
        <f>IF('[1]FC vers Ref (Km)'!DJ112&lt;&gt;0,'Délai intermédiaire'!AX112,)+2*24+15</f>
        <v>429</v>
      </c>
      <c r="DK112" s="14">
        <f>IF('[1]FC vers Ref (Km)'!DK112&lt;&gt;0,'Délai intermédiaire'!AY112,)</f>
        <v>0</v>
      </c>
      <c r="DL112" s="14">
        <f>IF('[1]FC vers Ref (Km)'!DL112&lt;&gt;0,'Délai intermédiaire'!AZ112,)</f>
        <v>0</v>
      </c>
      <c r="DM112" s="14">
        <f>IF('[1]FC vers Ref (Km)'!DM112&lt;&gt;0,'Délai intermédiaire'!BA112,)+7+(17/60)</f>
        <v>493.28333333333336</v>
      </c>
      <c r="DN112" s="14">
        <f>IF('[1]FC vers Ref (Km)'!DN112&lt;&gt;0,'Délai intermédiaire'!BB112,)</f>
        <v>0</v>
      </c>
      <c r="DO112" s="14">
        <f>IF('[1]FC vers Ref (Km)'!DO112&lt;&gt;0,'Délai intermédiaire'!BC112,)</f>
        <v>0</v>
      </c>
      <c r="DP112" s="14">
        <f>IF('[1]FC vers Ref (Km)'!DP112&lt;&gt;0,'Délai intermédiaire'!BD112,)</f>
        <v>0</v>
      </c>
      <c r="DQ112" s="14">
        <f>IF('[1]FC vers Ref (Km)'!DQ112&lt;&gt;0,'Délai intermédiaire'!BE112,)+1+(22/60)</f>
        <v>247.36666666666667</v>
      </c>
      <c r="DR112" s="14">
        <f>IF('[1]FC vers Ref (Km)'!DR112&lt;&gt;0,'Délai intermédiaire'!BF112,)</f>
        <v>0</v>
      </c>
      <c r="DS112" s="14">
        <f>IF('[1]FC vers Ref (Km)'!DS112&lt;&gt;0,'Délai intermédiaire'!BG112,)+10+(43/60)</f>
        <v>412.71666666666664</v>
      </c>
      <c r="DT112" s="14">
        <f>IF('[1]FC vers Ref (Km)'!DT112&lt;&gt;0,'Délai intermédiaire'!BH112,)+(12/60)</f>
        <v>365.2</v>
      </c>
      <c r="DU112" s="14">
        <f>IF('[1]FC vers Ref (Km)'!DU112&lt;&gt;0,'Délai intermédiaire'!BI112,)+7+(45/60)</f>
        <v>134.75</v>
      </c>
      <c r="DV112" s="14">
        <f>IF('[1]FC vers Ref (Km)'!DV112&lt;&gt;0,'Délai intermédiaire'!BJ112,)+1+(10/60)</f>
        <v>202.16666666666666</v>
      </c>
      <c r="DW112" s="15">
        <f>IF('[1]FC vers Ref (Km)'!DW112&lt;&gt;0,'Délai intermédiaire'!BK112,)+12+(41/60)</f>
        <v>213.68333333333334</v>
      </c>
      <c r="DX112" s="27"/>
      <c r="DY112" s="10" t="s">
        <v>8</v>
      </c>
      <c r="DZ112" s="35" t="s">
        <v>73</v>
      </c>
      <c r="EA112" s="11">
        <f>IF('[1]FC vers Ref (Km)'!EA112&lt;&gt;0,C112,)</f>
        <v>0</v>
      </c>
      <c r="EB112" s="13">
        <f>IF('[1]FC vers Ref (Km)'!EB112&lt;&gt;0,D112,)</f>
        <v>0</v>
      </c>
      <c r="EC112" s="13">
        <f>IF('[1]FC vers Ref (Km)'!EC112&lt;&gt;0,E112,)+7+(55/60)+19+(53/60)</f>
        <v>232.79999999999998</v>
      </c>
      <c r="ED112" s="13">
        <f>IF('[1]FC vers Ref (Km)'!ED112&lt;&gt;0,F112,)</f>
        <v>0</v>
      </c>
      <c r="EE112" s="13">
        <f>IF('[1]FC vers Ref (Km)'!EE112&lt;&gt;0,G112,)+(32/60)</f>
        <v>202.53333333333333</v>
      </c>
      <c r="EF112" s="13">
        <f>IF('[1]FC vers Ref (Km)'!EF112&lt;&gt;0,H112,)+14+(25/60)+31+(8/60)</f>
        <v>45.55</v>
      </c>
      <c r="EG112" s="13">
        <f>IF('[1]FC vers Ref (Km)'!EG112&lt;&gt;0,I112,)</f>
        <v>0</v>
      </c>
      <c r="EH112" s="12">
        <f>IF('[1]FC vers Ref (Km)'!EH112&lt;&gt;0,J112,)</f>
        <v>0</v>
      </c>
      <c r="EI112" s="13">
        <f>IF('[1]FC vers Ref (Km)'!EI112&lt;&gt;0,K112,)+5+(11/60)</f>
        <v>261.18333333333334</v>
      </c>
      <c r="EJ112" s="13">
        <f>IF('[1]FC vers Ref (Km)'!EJ112&lt;&gt;0,L112,)</f>
        <v>0</v>
      </c>
      <c r="EK112" s="13">
        <f>IF('[1]FC vers Ref (Km)'!EK112&lt;&gt;0,M112,)</f>
        <v>0</v>
      </c>
      <c r="EL112" s="13">
        <f>IF('[1]FC vers Ref (Km)'!EL112&lt;&gt;0,N112,)</f>
        <v>0</v>
      </c>
      <c r="EM112" s="13">
        <f>IF('[1]FC vers Ref (Km)'!EM112&lt;&gt;0,O112,)</f>
        <v>0</v>
      </c>
      <c r="EN112" s="14">
        <f>IF('[1]FC vers Ref (Km)'!EN112&lt;&gt;0,P112,)</f>
        <v>0</v>
      </c>
      <c r="EO112" s="14">
        <f>IF('[1]FC vers Ref (Km)'!EO112&lt;&gt;0,Q112,)</f>
        <v>0</v>
      </c>
      <c r="EP112" s="14">
        <f>IF('[1]FC vers Ref (Km)'!EP112&lt;&gt;0,R112,)</f>
        <v>0</v>
      </c>
      <c r="EQ112" s="14">
        <f>IF('[1]FC vers Ref (Km)'!EQ112&lt;&gt;0,S112,)</f>
        <v>0</v>
      </c>
      <c r="ER112" s="14">
        <f>IF('[1]FC vers Ref (Km)'!ER112&lt;&gt;0,T112,)</f>
        <v>0</v>
      </c>
      <c r="ES112" s="14">
        <f>IF('[1]FC vers Ref (Km)'!ES112&lt;&gt;0,U112,)+2+(21/60)</f>
        <v>317.35000000000002</v>
      </c>
      <c r="ET112" s="14">
        <f>IF('[1]FC vers Ref (Km)'!ET112&lt;&gt;0,V112,)+1+(44/60)</f>
        <v>281.73333333333335</v>
      </c>
      <c r="EU112" s="14">
        <f>IF('[1]FC vers Ref (Km)'!EU112&lt;&gt;0,W112,)+1+(47/60)+2+(31/60)+2+(54/60)</f>
        <v>379.2</v>
      </c>
      <c r="EV112" s="14">
        <f>IF('[1]FC vers Ref (Km)'!EV112&lt;&gt;0,X112,)</f>
        <v>0</v>
      </c>
      <c r="EW112" s="14">
        <f>IF('[1]FC vers Ref (Km)'!EW112&lt;&gt;0,Y112,)+(56/60)+(59/60)</f>
        <v>345.91666666666669</v>
      </c>
      <c r="EX112" s="14">
        <f>IF('[1]FC vers Ref (Km)'!EX112&lt;&gt;0,Z112,)+1+(35/60)+(37/60)</f>
        <v>325.2</v>
      </c>
      <c r="EY112" s="14">
        <f>IF('[1]FC vers Ref (Km)'!EY112&lt;&gt;0,AA112,)+1+(18/60)</f>
        <v>341.3</v>
      </c>
      <c r="EZ112" s="14">
        <f>IF('[1]FC vers Ref (Km)'!EZ112&lt;&gt;0,AB112,)+1+(39/60)</f>
        <v>339.65</v>
      </c>
      <c r="FA112" s="14">
        <f>IF('[1]FC vers Ref (Km)'!FA112&lt;&gt;0,AC112,)+1+(47/60)</f>
        <v>320.78333333333336</v>
      </c>
      <c r="FB112" s="14">
        <f>IF('[1]FC vers Ref (Km)'!FB112&lt;&gt;0,AD112,)</f>
        <v>0</v>
      </c>
      <c r="FC112" s="14">
        <f>IF('[1]FC vers Ref (Km)'!FC112&lt;&gt;0,AE112,)</f>
        <v>0</v>
      </c>
      <c r="FD112" s="14">
        <f>IF('[1]FC vers Ref (Km)'!FD112&lt;&gt;0,AF112,)+5+(31/60)+5+(51/60)+1+(8/60)</f>
        <v>384.5</v>
      </c>
      <c r="FE112" s="14">
        <f>IF('[1]FC vers Ref (Km)'!FE112&lt;&gt;0,AG112,)+4+(2/60)+5+(51/60)+1+(8/60)</f>
        <v>383.01666666666671</v>
      </c>
      <c r="FF112" s="14">
        <f>IF('[1]FC vers Ref (Km)'!FF112&lt;&gt;0,AH112,)+1+(7/60)+5+(51/60)+1+(8/60)</f>
        <v>380.1</v>
      </c>
      <c r="FG112" s="14">
        <f>IF('[1]FC vers Ref (Km)'!FG112&lt;&gt;0,AI112,)+15+(50/60)</f>
        <v>436.83333333333331</v>
      </c>
      <c r="FH112" s="14">
        <f>IF('[1]FC vers Ref (Km)'!FH112&lt;&gt;0,AJ112,)</f>
        <v>0</v>
      </c>
      <c r="FI112" s="14">
        <f>IF('[1]FC vers Ref (Km)'!FI112&lt;&gt;0,AK112,)+4+(40/60)+11+(32/60)</f>
        <v>437.20000000000005</v>
      </c>
      <c r="FJ112" s="14">
        <f>IF('[1]FC vers Ref (Km)'!FJ112&lt;&gt;0,AL112,)</f>
        <v>0</v>
      </c>
      <c r="FK112" s="14">
        <f>IF('[1]FC vers Ref (Km)'!FK112&lt;&gt;0,AM112,)</f>
        <v>0</v>
      </c>
      <c r="FL112" s="14">
        <f>IF('[1]FC vers Ref (Km)'!FL112&lt;&gt;0,AN112,)</f>
        <v>0</v>
      </c>
      <c r="FM112" s="14">
        <f>IF('[1]FC vers Ref (Km)'!FM112&lt;&gt;0,AO112,)+(55/60)</f>
        <v>218.91666666666666</v>
      </c>
      <c r="FN112" s="14">
        <f>IF('[1]FC vers Ref (Km)'!FN112&lt;&gt;0,AP112,)</f>
        <v>0</v>
      </c>
      <c r="FO112" s="14">
        <f>IF('[1]FC vers Ref (Km)'!FO112&lt;&gt;0,AQ112,)</f>
        <v>0</v>
      </c>
      <c r="FP112" s="14">
        <f>IF('[1]FC vers Ref (Km)'!FP112&lt;&gt;0,AR112,)</f>
        <v>0</v>
      </c>
      <c r="FQ112" s="14">
        <f>IF('[1]FC vers Ref (Km)'!FQ112&lt;&gt;0,AS112,)</f>
        <v>0</v>
      </c>
      <c r="FR112" s="14">
        <f>IF('[1]FC vers Ref (Km)'!FR112&lt;&gt;0,AT112,)</f>
        <v>0</v>
      </c>
      <c r="FS112" s="14">
        <f>IF('[1]FC vers Ref (Km)'!FS112&lt;&gt;0,AU112,)</f>
        <v>0</v>
      </c>
      <c r="FT112" s="14">
        <f>IF('[1]FC vers Ref (Km)'!FT112&lt;&gt;0,AV112,)+1+(7/60)</f>
        <v>236.11666666666667</v>
      </c>
      <c r="FU112" s="14">
        <f>IF('[1]FC vers Ref (Km)'!FU112&lt;&gt;0,AW112,)+8+(3/60)</f>
        <v>374.05</v>
      </c>
      <c r="FV112" s="14">
        <f>IF('[1]FC vers Ref (Km)'!FV112&lt;&gt;0,AX112,)+2*24+11</f>
        <v>425</v>
      </c>
      <c r="FW112" s="14">
        <f>IF('[1]FC vers Ref (Km)'!FW112&lt;&gt;0,AY112,)</f>
        <v>0</v>
      </c>
      <c r="FX112" s="14">
        <f>IF('[1]FC vers Ref (Km)'!FX112&lt;&gt;0,AZ112,)</f>
        <v>0</v>
      </c>
      <c r="FY112" s="14">
        <f>IF('[1]FC vers Ref (Km)'!FY112&lt;&gt;0,BA112,)+5+(41/60)</f>
        <v>491.68333333333334</v>
      </c>
      <c r="FZ112" s="14">
        <f>IF('[1]FC vers Ref (Km)'!FZ112&lt;&gt;0,BB112,)</f>
        <v>0</v>
      </c>
      <c r="GA112" s="14">
        <f>IF('[1]FC vers Ref (Km)'!GA112&lt;&gt;0,BC112,)</f>
        <v>0</v>
      </c>
      <c r="GB112" s="14">
        <f>IF('[1]FC vers Ref (Km)'!GB112&lt;&gt;0,BD112,)</f>
        <v>0</v>
      </c>
      <c r="GC112" s="14">
        <f>IF('[1]FC vers Ref (Km)'!GC112&lt;&gt;0,BE112,)+(30/60)</f>
        <v>246.5</v>
      </c>
      <c r="GD112" s="14">
        <f>IF('[1]FC vers Ref (Km)'!GD112&lt;&gt;0,BF112,)</f>
        <v>0</v>
      </c>
      <c r="GE112" s="14">
        <f>IF('[1]FC vers Ref (Km)'!GE112&lt;&gt;0,BG112,)+15+(1/60)</f>
        <v>417.01666666666665</v>
      </c>
      <c r="GF112" s="14">
        <f>IF('[1]FC vers Ref (Km)'!GF112&lt;&gt;0,BH112,)</f>
        <v>0</v>
      </c>
      <c r="GG112" s="14">
        <f>IF('[1]FC vers Ref (Km)'!GG112&lt;&gt;0,BI112,)</f>
        <v>0</v>
      </c>
      <c r="GH112" s="14">
        <f>IF('[1]FC vers Ref (Km)'!GH112&lt;&gt;0,BJ112,)</f>
        <v>0</v>
      </c>
      <c r="GI112" s="15">
        <f>IF('[1]FC vers Ref (Km)'!GI112&lt;&gt;0,BK112,)</f>
        <v>0</v>
      </c>
    </row>
    <row r="113" spans="1:191" x14ac:dyDescent="0.3">
      <c r="A113" s="10" t="s">
        <v>64</v>
      </c>
      <c r="B113" s="35" t="s">
        <v>10</v>
      </c>
      <c r="C113" s="11">
        <f>4*24+1</f>
        <v>97</v>
      </c>
      <c r="D113" s="13">
        <f>5*24+8</f>
        <v>128</v>
      </c>
      <c r="E113" s="13">
        <f>2*24+15</f>
        <v>63</v>
      </c>
      <c r="F113" s="13">
        <f>1*24+21</f>
        <v>45</v>
      </c>
      <c r="G113" s="13">
        <f>3*24+4</f>
        <v>76</v>
      </c>
      <c r="H113" s="13">
        <f>10*24+16</f>
        <v>256</v>
      </c>
      <c r="I113" s="13">
        <f>12*24+13</f>
        <v>301</v>
      </c>
      <c r="J113" s="13">
        <f>10*24+16</f>
        <v>256</v>
      </c>
      <c r="K113" s="12"/>
      <c r="L113" s="13">
        <v>0</v>
      </c>
      <c r="M113" s="13">
        <v>302</v>
      </c>
      <c r="N113" s="13">
        <v>302</v>
      </c>
      <c r="O113" s="13">
        <v>138</v>
      </c>
      <c r="P113" s="14">
        <v>223</v>
      </c>
      <c r="Q113" s="14">
        <v>178</v>
      </c>
      <c r="R113" s="14">
        <v>128</v>
      </c>
      <c r="S113" s="14">
        <v>125</v>
      </c>
      <c r="T113" s="14">
        <v>135</v>
      </c>
      <c r="U113" s="14">
        <v>129</v>
      </c>
      <c r="V113" s="14">
        <v>161</v>
      </c>
      <c r="W113" s="14">
        <v>201</v>
      </c>
      <c r="X113" s="14">
        <v>142</v>
      </c>
      <c r="Y113" s="14">
        <v>151</v>
      </c>
      <c r="Z113" s="14">
        <v>137</v>
      </c>
      <c r="AA113" s="14">
        <v>169</v>
      </c>
      <c r="AB113" s="14">
        <v>168</v>
      </c>
      <c r="AC113" s="14">
        <v>149</v>
      </c>
      <c r="AD113" s="14">
        <v>154</v>
      </c>
      <c r="AE113" s="14">
        <v>151</v>
      </c>
      <c r="AF113" s="14">
        <v>201</v>
      </c>
      <c r="AG113" s="14">
        <v>201</v>
      </c>
      <c r="AH113" s="14">
        <v>201</v>
      </c>
      <c r="AI113" s="14">
        <v>339</v>
      </c>
      <c r="AJ113" s="14">
        <v>408</v>
      </c>
      <c r="AK113" s="14">
        <v>339</v>
      </c>
      <c r="AL113" s="14">
        <v>380</v>
      </c>
      <c r="AM113" s="14">
        <v>455</v>
      </c>
      <c r="AN113" s="14">
        <v>467</v>
      </c>
      <c r="AO113" s="14">
        <v>472</v>
      </c>
      <c r="AP113" s="14">
        <v>464</v>
      </c>
      <c r="AQ113" s="14">
        <v>454</v>
      </c>
      <c r="AR113" s="14">
        <v>475</v>
      </c>
      <c r="AS113" s="14">
        <v>333</v>
      </c>
      <c r="AT113" s="14">
        <v>333</v>
      </c>
      <c r="AU113" s="14">
        <v>333</v>
      </c>
      <c r="AV113" s="14">
        <f>20*24+8</f>
        <v>488</v>
      </c>
      <c r="AW113" s="14">
        <f>7*24+5</f>
        <v>173</v>
      </c>
      <c r="AX113" s="14">
        <f>7*24+5</f>
        <v>173</v>
      </c>
      <c r="AY113" s="14">
        <f>19*24+1</f>
        <v>457</v>
      </c>
      <c r="AZ113" s="14"/>
      <c r="BA113" s="14">
        <f>14*24+1</f>
        <v>337</v>
      </c>
      <c r="BB113" s="14">
        <f>19*24</f>
        <v>456</v>
      </c>
      <c r="BC113" s="14">
        <f>6*24+18</f>
        <v>162</v>
      </c>
      <c r="BD113" s="14">
        <f>20*24+2</f>
        <v>482</v>
      </c>
      <c r="BE113" s="14">
        <f>20*24+20</f>
        <v>500</v>
      </c>
      <c r="BF113" s="14">
        <f>20*24+12</f>
        <v>492</v>
      </c>
      <c r="BG113" s="14">
        <f>9*24+15</f>
        <v>231</v>
      </c>
      <c r="BH113" s="14">
        <f>8*24+2</f>
        <v>194</v>
      </c>
      <c r="BI113" s="14">
        <f>6*24+5</f>
        <v>149</v>
      </c>
      <c r="BJ113" s="14">
        <f>10*24+5</f>
        <v>245</v>
      </c>
      <c r="BK113" s="15">
        <f>10*24+5</f>
        <v>245</v>
      </c>
      <c r="BM113" s="10" t="s">
        <v>67</v>
      </c>
      <c r="BN113" s="35" t="s">
        <v>10</v>
      </c>
      <c r="BO113" s="11">
        <f>IF('[1]FC vers Ref (Km)'!BO113&lt;&gt;0,'Délai intermédiaire'!C113,)+6+(13/60)</f>
        <v>103.21666666666667</v>
      </c>
      <c r="BP113" s="13">
        <f>IF('[1]FC vers Ref (Km)'!BP113&lt;&gt;0,'Délai intermédiaire'!D113,)+6+(13/60)</f>
        <v>134.21666666666667</v>
      </c>
      <c r="BQ113" s="13">
        <f>IF('[1]FC vers Ref (Km)'!BQ113&lt;&gt;0,'Délai intermédiaire'!E113,)+6+(13/60)+19+(49/60)</f>
        <v>89.033333333333331</v>
      </c>
      <c r="BR113" s="13">
        <f>IF('[1]FC vers Ref (Km)'!BR113&lt;&gt;0,'Délai intermédiaire'!F113,)+6+(13/60)</f>
        <v>51.216666666666669</v>
      </c>
      <c r="BS113" s="13">
        <f>IF('[1]FC vers Ref (Km)'!BS113&lt;&gt;0,'Délai intermédiaire'!G113,)+6+(13/60)+(48/60)</f>
        <v>83.016666666666666</v>
      </c>
      <c r="BT113" s="13">
        <f>IF('[1]FC vers Ref (Km)'!BT113&lt;&gt;0,'Délai intermédiaire'!H113,)+6+(13/60)+15+(47/60)</f>
        <v>278</v>
      </c>
      <c r="BU113" s="13">
        <f>IF('[1]FC vers Ref (Km)'!BU113&lt;&gt;0,'Délai intermédiaire'!I113,)+6+(13/60)</f>
        <v>307.21666666666664</v>
      </c>
      <c r="BV113" s="13">
        <f>IF('[1]FC vers Ref (Km)'!BV113&lt;&gt;0,'Délai intermédiaire'!J113,)+6+(13/60)</f>
        <v>262.21666666666664</v>
      </c>
      <c r="BW113" s="12"/>
      <c r="BX113" s="13">
        <f>IF('[1]FC vers Ref (Km)'!BX113&lt;&gt;0,'Délai intermédiaire'!L113,)+6+(13/60)</f>
        <v>6.2166666666666668</v>
      </c>
      <c r="BY113" s="13">
        <f>IF('[1]FC vers Ref (Km)'!BY113&lt;&gt;0,'Délai intermédiaire'!M113,)+6+(13/60)+11+(1/60)</f>
        <v>319.23333333333329</v>
      </c>
      <c r="BZ113" s="13">
        <f>IF('[1]FC vers Ref (Km)'!BZ113&lt;&gt;0,'Délai intermédiaire'!N113,)+6+(13/60)</f>
        <v>308.21666666666664</v>
      </c>
      <c r="CA113" s="13">
        <f>IF('[1]FC vers Ref (Km)'!CA113&lt;&gt;0,'Délai intermédiaire'!O113,)+6+(13/60)+4+(51/60)</f>
        <v>149.06666666666666</v>
      </c>
      <c r="CB113" s="14">
        <f>IF('[1]FC vers Ref (Km)'!CB113&lt;&gt;0,'Délai intermédiaire'!P113,)+6+(13/60)+5+(3/60)</f>
        <v>234.26666666666668</v>
      </c>
      <c r="CC113" s="14">
        <f>IF('[1]FC vers Ref (Km)'!CC113&lt;&gt;0,'Délai intermédiaire'!Q113,)+6+(13/60)+(40/60)</f>
        <v>184.88333333333333</v>
      </c>
      <c r="CD113" s="14">
        <f>IF('[1]FC vers Ref (Km)'!CD113&lt;&gt;0,'Délai intermédiaire'!R113,)+6+(13/60)</f>
        <v>134.21666666666667</v>
      </c>
      <c r="CE113" s="14">
        <f>IF('[1]FC vers Ref (Km)'!CE113&lt;&gt;0,'Délai intermédiaire'!S113,)+6+(13/60)</f>
        <v>131.21666666666667</v>
      </c>
      <c r="CF113" s="14">
        <f>IF('[1]FC vers Ref (Km)'!CF113&lt;&gt;0,'Délai intermédiaire'!T113,)+6+(13/60)</f>
        <v>141.21666666666667</v>
      </c>
      <c r="CG113" s="14">
        <f>IF('[1]FC vers Ref (Km)'!CG113&lt;&gt;0,'Délai intermédiaire'!U113,)+6+(13/60)+1+(53/60)</f>
        <v>137.1</v>
      </c>
      <c r="CH113" s="14">
        <f>IF('[1]FC vers Ref (Km)'!CH113&lt;&gt;0,'Délai intermédiaire'!V113,)+6+(13/60)+2+(57/60)</f>
        <v>170.16666666666666</v>
      </c>
      <c r="CI113" s="14">
        <f>IF('[1]FC vers Ref (Km)'!CI113&lt;&gt;0,'Délai intermédiaire'!W113,)+6+(13/60)+4+(47/60)</f>
        <v>212</v>
      </c>
      <c r="CJ113" s="14">
        <f>IF('[1]FC vers Ref (Km)'!CJ113&lt;&gt;0,'Délai intermédiaire'!X113,)+6+(13/60)</f>
        <v>148.21666666666667</v>
      </c>
      <c r="CK113" s="14">
        <f>IF('[1]FC vers Ref (Km)'!CK113&lt;&gt;0,'Délai intermédiaire'!Y113,)+6+(13/60)+1+(33/60)</f>
        <v>158.76666666666668</v>
      </c>
      <c r="CL113" s="14">
        <f>IF('[1]FC vers Ref (Km)'!CL113&lt;&gt;0,'Délai intermédiaire'!Z113,)+6+(13/60)+2+(30/60)</f>
        <v>145.71666666666667</v>
      </c>
      <c r="CM113" s="14">
        <f>IF('[1]FC vers Ref (Km)'!CM113&lt;&gt;0,'Délai intermédiaire'!AA113,)+6+(13/60)+(56/60)</f>
        <v>176.15</v>
      </c>
      <c r="CN113" s="14">
        <f>IF('[1]FC vers Ref (Km)'!CN113&lt;&gt;0,'Délai intermédiaire'!AB113,)+6+(13/60)+1+(39/60)</f>
        <v>175.86666666666667</v>
      </c>
      <c r="CO113" s="14">
        <f>IF('[1]FC vers Ref (Km)'!CO113&lt;&gt;0,'Délai intermédiaire'!AC113,)+6+(13/60)+3+(25/60)</f>
        <v>158.63333333333333</v>
      </c>
      <c r="CP113" s="14">
        <f>IF('[1]FC vers Ref (Km)'!CP113&lt;&gt;0,'Délai intermédiaire'!AD113,)+6+(13/60)</f>
        <v>160.21666666666667</v>
      </c>
      <c r="CQ113" s="14">
        <f>IF('[1]FC vers Ref (Km)'!CQ113&lt;&gt;0,'Délai intermédiaire'!AE113,)+6+(13/60)</f>
        <v>157.21666666666667</v>
      </c>
      <c r="CR113" s="14">
        <f>IF('[1]FC vers Ref (Km)'!CR113&lt;&gt;0,'Délai intermédiaire'!AF113,)+6+(13/60)+9+(1/60)</f>
        <v>216.23333333333335</v>
      </c>
      <c r="CS113" s="14">
        <f>IF('[1]FC vers Ref (Km)'!CS113&lt;&gt;0,'Délai intermédiaire'!AG113,)+6+(13/60)+7+(48/60)</f>
        <v>215.01666666666668</v>
      </c>
      <c r="CT113" s="14">
        <f>IF('[1]FC vers Ref (Km)'!CT113&lt;&gt;0,'Délai intermédiaire'!AH113,)+6+(13/60)+5+(5/60)</f>
        <v>212.3</v>
      </c>
      <c r="CU113" s="14">
        <f>IF('[1]FC vers Ref (Km)'!CU113&lt;&gt;0,'Délai intermédiaire'!AI113,)+6+(13/60)+19+(46/60)</f>
        <v>364.98333333333329</v>
      </c>
      <c r="CV113" s="14">
        <f>IF('[1]FC vers Ref (Km)'!CV113&lt;&gt;0,'Délai intermédiaire'!AJ113,)+6+(13/60)</f>
        <v>414.21666666666664</v>
      </c>
      <c r="CW113" s="14">
        <f>IF('[1]FC vers Ref (Km)'!CW113&lt;&gt;0,'Délai intermédiaire'!AK113,)+6+(13/60)+12+(26/60)</f>
        <v>357.65</v>
      </c>
      <c r="CX113" s="14">
        <f>IF('[1]FC vers Ref (Km)'!CX113&lt;&gt;0,'Délai intermédiaire'!AL113,)+6+(13/60)</f>
        <v>386.21666666666664</v>
      </c>
      <c r="CY113" s="14">
        <f>IF('[1]FC vers Ref (Km)'!CY113&lt;&gt;0,'Délai intermédiaire'!AM113,)+6+(13/60)</f>
        <v>461.21666666666664</v>
      </c>
      <c r="CZ113" s="14">
        <f>IF('[1]FC vers Ref (Km)'!CZ113&lt;&gt;0,'Délai intermédiaire'!AN113,)+6+(13/60)</f>
        <v>473.21666666666664</v>
      </c>
      <c r="DA113" s="14">
        <f>IF('[1]FC vers Ref (Km)'!DA113&lt;&gt;0,'Délai intermédiaire'!AO113,)+6+(13/60)+1+(56/60)</f>
        <v>480.15</v>
      </c>
      <c r="DB113" s="14">
        <f>IF('[1]FC vers Ref (Km)'!DB113&lt;&gt;0,'Délai intermédiaire'!AP113,)+6+(13/60)</f>
        <v>470.21666666666664</v>
      </c>
      <c r="DC113" s="14">
        <f>IF('[1]FC vers Ref (Km)'!DC113&lt;&gt;0,'Délai intermédiaire'!AQ113,)+6+(13/60)</f>
        <v>460.21666666666664</v>
      </c>
      <c r="DD113" s="14">
        <f>IF('[1]FC vers Ref (Km)'!DD113&lt;&gt;0,'Délai intermédiaire'!AR113,)+6+(13/60)</f>
        <v>481.21666666666664</v>
      </c>
      <c r="DE113" s="14">
        <f>IF('[1]FC vers Ref (Km)'!DE113&lt;&gt;0,'Délai intermédiaire'!AS113,)+6+(13/60)</f>
        <v>339.21666666666664</v>
      </c>
      <c r="DF113" s="14">
        <f>IF('[1]FC vers Ref (Km)'!DF113&lt;&gt;0,'Délai intermédiaire'!AT113,)+6+(13/60)+20+(5/60)</f>
        <v>359.29999999999995</v>
      </c>
      <c r="DG113" s="14">
        <f>IF('[1]FC vers Ref (Km)'!DG113&lt;&gt;0,'Délai intermédiaire'!AU113,)+6+(13/60)+11+(36/60)</f>
        <v>350.81666666666666</v>
      </c>
      <c r="DH113" s="14">
        <f>IF('[1]FC vers Ref (Km)'!DH113&lt;&gt;0,'Délai intermédiaire'!AV113,)+6+(13/60)+(28/60)</f>
        <v>494.68333333333328</v>
      </c>
      <c r="DI113" s="14">
        <f>IF('[1]FC vers Ref (Km)'!DI113&lt;&gt;0,'Délai intermédiaire'!AW113,)+6+(13/60)+7+(13/60)</f>
        <v>186.43333333333334</v>
      </c>
      <c r="DJ113" s="14">
        <f>IF('[1]FC vers Ref (Km)'!DJ113&lt;&gt;0,'Délai intermédiaire'!AX113,)+6+(13/60)+2*24+15</f>
        <v>242.21666666666667</v>
      </c>
      <c r="DK113" s="14">
        <f>IF('[1]FC vers Ref (Km)'!DK113&lt;&gt;0,'Délai intermédiaire'!AY113,)+6+(13/60)</f>
        <v>463.21666666666664</v>
      </c>
      <c r="DL113" s="14">
        <f>IF('[1]FC vers Ref (Km)'!DL113&lt;&gt;0,'Délai intermédiaire'!AZ113,)+6+(13/60)</f>
        <v>6.2166666666666668</v>
      </c>
      <c r="DM113" s="14">
        <f>IF('[1]FC vers Ref (Km)'!DM113&lt;&gt;0,'Délai intermédiaire'!BA113,)+6+(13/60)+7+(17/60)</f>
        <v>350.5</v>
      </c>
      <c r="DN113" s="14">
        <f>IF('[1]FC vers Ref (Km)'!DN113&lt;&gt;0,'Délai intermédiaire'!BB113,)+6+(13/60)</f>
        <v>462.21666666666664</v>
      </c>
      <c r="DO113" s="14">
        <f>IF('[1]FC vers Ref (Km)'!DO113&lt;&gt;0,'Délai intermédiaire'!BC113,)+6+(13/60)</f>
        <v>168.21666666666667</v>
      </c>
      <c r="DP113" s="14">
        <f>IF('[1]FC vers Ref (Km)'!DP113&lt;&gt;0,'Délai intermédiaire'!BD113,)+6+(13/60)</f>
        <v>488.21666666666664</v>
      </c>
      <c r="DQ113" s="14">
        <f>IF('[1]FC vers Ref (Km)'!DQ113&lt;&gt;0,'Délai intermédiaire'!BE113,)+6+(13/60)+1+(22/60)</f>
        <v>507.58333333333331</v>
      </c>
      <c r="DR113" s="14">
        <f>IF('[1]FC vers Ref (Km)'!DR113&lt;&gt;0,'Délai intermédiaire'!BF113,)+6+(13/60)</f>
        <v>498.21666666666664</v>
      </c>
      <c r="DS113" s="14">
        <f>IF('[1]FC vers Ref (Km)'!DS113&lt;&gt;0,'Délai intermédiaire'!BG113,)+6+(13/60)+10+(43/60)</f>
        <v>247.93333333333334</v>
      </c>
      <c r="DT113" s="14">
        <f>IF('[1]FC vers Ref (Km)'!DT113&lt;&gt;0,'Délai intermédiaire'!BH113,)+6+(13/60)+(12/60)</f>
        <v>200.41666666666666</v>
      </c>
      <c r="DU113" s="14">
        <f>IF('[1]FC vers Ref (Km)'!DU113&lt;&gt;0,'Délai intermédiaire'!BI113,)+6+(13/60)+7+(45/60)</f>
        <v>162.96666666666667</v>
      </c>
      <c r="DV113" s="14">
        <f>IF('[1]FC vers Ref (Km)'!DV113&lt;&gt;0,'Délai intermédiaire'!BJ113,)+6+(13/60)+1+(10/60)</f>
        <v>252.38333333333333</v>
      </c>
      <c r="DW113" s="15">
        <f>IF('[1]FC vers Ref (Km)'!DW113&lt;&gt;0,'Délai intermédiaire'!BK113,)+6+(13/60)+12+(41/60)</f>
        <v>263.90000000000003</v>
      </c>
      <c r="DX113" s="27"/>
      <c r="DY113" s="10" t="s">
        <v>67</v>
      </c>
      <c r="DZ113" s="35" t="s">
        <v>10</v>
      </c>
      <c r="EA113" s="11">
        <f>IF('[1]FC vers Ref (Km)'!EA113&lt;&gt;0,C113,)+5+(11/60)</f>
        <v>102.18333333333334</v>
      </c>
      <c r="EB113" s="13">
        <f>IF('[1]FC vers Ref (Km)'!EB113&lt;&gt;0,D113,)+5+(11/60)</f>
        <v>133.18333333333334</v>
      </c>
      <c r="EC113" s="13">
        <f>IF('[1]FC vers Ref (Km)'!EC113&lt;&gt;0,E113,)+5+(11/60)+7+(55/60)+19+(53/60)</f>
        <v>95.983333333333348</v>
      </c>
      <c r="ED113" s="13">
        <f>IF('[1]FC vers Ref (Km)'!ED113&lt;&gt;0,F113,)+5+(11/60)</f>
        <v>50.18333333333333</v>
      </c>
      <c r="EE113" s="13">
        <f>IF('[1]FC vers Ref (Km)'!EE113&lt;&gt;0,G113,)+5+(11/60)+(32/60)</f>
        <v>81.716666666666669</v>
      </c>
      <c r="EF113" s="13">
        <f>IF('[1]FC vers Ref (Km)'!EF113&lt;&gt;0,H113,)+5+(11/60)+14+(25/60)+31+(8/60)</f>
        <v>306.73333333333335</v>
      </c>
      <c r="EG113" s="13">
        <f>IF('[1]FC vers Ref (Km)'!EG113&lt;&gt;0,I113,)+5+(11/60)</f>
        <v>306.18333333333334</v>
      </c>
      <c r="EH113" s="13">
        <f>IF('[1]FC vers Ref (Km)'!EH113&lt;&gt;0,J113,)+5+(11/60)</f>
        <v>261.18333333333334</v>
      </c>
      <c r="EI113" s="12"/>
      <c r="EJ113" s="13">
        <f>IF('[1]FC vers Ref (Km)'!EJ113&lt;&gt;0,L113,)+5+(11/60)</f>
        <v>5.1833333333333336</v>
      </c>
      <c r="EK113" s="13">
        <f>IF('[1]FC vers Ref (Km)'!EK113&lt;&gt;0,M113,)+5+(11/60)</f>
        <v>307.18333333333334</v>
      </c>
      <c r="EL113" s="13">
        <f>IF('[1]FC vers Ref (Km)'!EL113&lt;&gt;0,N113,)+5+(11/60)</f>
        <v>307.18333333333334</v>
      </c>
      <c r="EM113" s="13">
        <f>IF('[1]FC vers Ref (Km)'!EM113&lt;&gt;0,O113,)+5+(11/60)</f>
        <v>143.18333333333334</v>
      </c>
      <c r="EN113" s="14">
        <f>IF('[1]FC vers Ref (Km)'!EN113&lt;&gt;0,P113,)+5+(11/60)</f>
        <v>228.18333333333334</v>
      </c>
      <c r="EO113" s="14">
        <f>IF('[1]FC vers Ref (Km)'!EO113&lt;&gt;0,Q113,)+5+(11/60)</f>
        <v>183.18333333333334</v>
      </c>
      <c r="EP113" s="14">
        <f>IF('[1]FC vers Ref (Km)'!EP113&lt;&gt;0,R113,)+5+(11/60)</f>
        <v>133.18333333333334</v>
      </c>
      <c r="EQ113" s="14">
        <f>IF('[1]FC vers Ref (Km)'!EQ113&lt;&gt;0,S113,)+5+(11/60)</f>
        <v>130.18333333333334</v>
      </c>
      <c r="ER113" s="14">
        <f>IF('[1]FC vers Ref (Km)'!ER113&lt;&gt;0,T113,)+5+(11/60)</f>
        <v>140.18333333333334</v>
      </c>
      <c r="ES113" s="14">
        <f>IF('[1]FC vers Ref (Km)'!ES113&lt;&gt;0,U113,)+5+(11/60)+2+(21/60)</f>
        <v>136.53333333333333</v>
      </c>
      <c r="ET113" s="14">
        <f>IF('[1]FC vers Ref (Km)'!ET113&lt;&gt;0,V113,)+5+(11/60)+1+(44/60)</f>
        <v>167.91666666666666</v>
      </c>
      <c r="EU113" s="14">
        <f>IF('[1]FC vers Ref (Km)'!EU113&lt;&gt;0,W113,)+5+(11/60)+1+(47/60)+2+(31/60)+2+(54/60)</f>
        <v>213.38333333333335</v>
      </c>
      <c r="EV113" s="14">
        <f>IF('[1]FC vers Ref (Km)'!EV113&lt;&gt;0,X113,)+5+(11/60)</f>
        <v>147.18333333333334</v>
      </c>
      <c r="EW113" s="14">
        <f>IF('[1]FC vers Ref (Km)'!EW113&lt;&gt;0,Y113,)+5+(11/60)+(56/60)+(59/60)</f>
        <v>158.1</v>
      </c>
      <c r="EX113" s="14">
        <f>IF('[1]FC vers Ref (Km)'!EX113&lt;&gt;0,Z113,)+5+(11/60)+1+(35/60)+(37/60)</f>
        <v>144.38333333333335</v>
      </c>
      <c r="EY113" s="14">
        <f>IF('[1]FC vers Ref (Km)'!EY113&lt;&gt;0,AA113,)+5+(11/60)+1+(18/60)</f>
        <v>175.48333333333335</v>
      </c>
      <c r="EZ113" s="14">
        <f>IF('[1]FC vers Ref (Km)'!EZ113&lt;&gt;0,AB113,)+5+(11/60)+1+(39/60)</f>
        <v>174.83333333333334</v>
      </c>
      <c r="FA113" s="14">
        <f>IF('[1]FC vers Ref (Km)'!FA113&lt;&gt;0,AC113,)+5+(11/60)+1+(47/60)</f>
        <v>155.96666666666667</v>
      </c>
      <c r="FB113" s="14">
        <f>IF('[1]FC vers Ref (Km)'!FB113&lt;&gt;0,AD113,)+5+(11/60)</f>
        <v>159.18333333333334</v>
      </c>
      <c r="FC113" s="14">
        <f>IF('[1]FC vers Ref (Km)'!FC113&lt;&gt;0,AE113,)+5+(11/60)</f>
        <v>156.18333333333334</v>
      </c>
      <c r="FD113" s="14">
        <f>IF('[1]FC vers Ref (Km)'!FD113&lt;&gt;0,AF113,)+5+(11/60)+5+(31/60)+5+(51/60)+1+(8/60)</f>
        <v>218.68333333333334</v>
      </c>
      <c r="FE113" s="14">
        <f>IF('[1]FC vers Ref (Km)'!FE113&lt;&gt;0,AG113,)+5+(11/60)+4+(2/60)+5+(51/60)+1+(8/60)</f>
        <v>217.2</v>
      </c>
      <c r="FF113" s="14">
        <f>IF('[1]FC vers Ref (Km)'!FF113&lt;&gt;0,AH113,)+5+(11/60)+1+(7/60)+5+(51/60)+1+(8/60)</f>
        <v>214.28333333333333</v>
      </c>
      <c r="FG113" s="14">
        <f>IF('[1]FC vers Ref (Km)'!FG113&lt;&gt;0,AI113,)+5+(11/60)+15+(50/60)</f>
        <v>360.01666666666665</v>
      </c>
      <c r="FH113" s="14">
        <f>IF('[1]FC vers Ref (Km)'!FH113&lt;&gt;0,AJ113,)+5+(11/60)</f>
        <v>413.18333333333334</v>
      </c>
      <c r="FI113" s="14">
        <f>IF('[1]FC vers Ref (Km)'!FI113&lt;&gt;0,AK113,)+5+(11/60)+4+(40/60)+11+(32/60)</f>
        <v>360.38333333333338</v>
      </c>
      <c r="FJ113" s="14">
        <f>IF('[1]FC vers Ref (Km)'!FJ113&lt;&gt;0,AL113,)+5+(11/60)</f>
        <v>385.18333333333334</v>
      </c>
      <c r="FK113" s="14">
        <f>IF('[1]FC vers Ref (Km)'!FK113&lt;&gt;0,AM113,)+5+(11/60)</f>
        <v>460.18333333333334</v>
      </c>
      <c r="FL113" s="14">
        <f>IF('[1]FC vers Ref (Km)'!FL113&lt;&gt;0,AN113,)+5+(11/60)</f>
        <v>472.18333333333334</v>
      </c>
      <c r="FM113" s="14">
        <f>IF('[1]FC vers Ref (Km)'!FM113&lt;&gt;0,AO113,)+5+(11/60)+(55/60)</f>
        <v>478.1</v>
      </c>
      <c r="FN113" s="14">
        <f>IF('[1]FC vers Ref (Km)'!FN113&lt;&gt;0,AP113,)+5+(11/60)</f>
        <v>469.18333333333334</v>
      </c>
      <c r="FO113" s="14">
        <f>IF('[1]FC vers Ref (Km)'!FO113&lt;&gt;0,AQ113,)+5+(11/60)</f>
        <v>459.18333333333334</v>
      </c>
      <c r="FP113" s="14">
        <f>IF('[1]FC vers Ref (Km)'!FP113&lt;&gt;0,AR113,)+5+(11/60)</f>
        <v>480.18333333333334</v>
      </c>
      <c r="FQ113" s="14">
        <f>IF('[1]FC vers Ref (Km)'!FQ113&lt;&gt;0,AS113,)+5+(11/60)</f>
        <v>338.18333333333334</v>
      </c>
      <c r="FR113" s="14">
        <f>IF('[1]FC vers Ref (Km)'!FR113&lt;&gt;0,AT113,)+5+(11/60)</f>
        <v>338.18333333333334</v>
      </c>
      <c r="FS113" s="14">
        <f>IF('[1]FC vers Ref (Km)'!FS113&lt;&gt;0,AU113,)+5+(11/60)</f>
        <v>338.18333333333334</v>
      </c>
      <c r="FT113" s="14">
        <f>IF('[1]FC vers Ref (Km)'!FT113&lt;&gt;0,AV113,)+5+(11/60)+1+(7/60)</f>
        <v>494.3</v>
      </c>
      <c r="FU113" s="14">
        <f>IF('[1]FC vers Ref (Km)'!FU113&lt;&gt;0,AW113,)+5+(11/60)+8+(3/60)</f>
        <v>186.23333333333335</v>
      </c>
      <c r="FV113" s="14">
        <f>IF('[1]FC vers Ref (Km)'!FV113&lt;&gt;0,AX113,)+5+(11/60)+2*24+11</f>
        <v>237.18333333333334</v>
      </c>
      <c r="FW113" s="14">
        <f>IF('[1]FC vers Ref (Km)'!FW113&lt;&gt;0,AY113,)+5+(11/60)</f>
        <v>462.18333333333334</v>
      </c>
      <c r="FX113" s="14">
        <f>IF('[1]FC vers Ref (Km)'!FX113&lt;&gt;0,AZ113,)+5+(11/60)</f>
        <v>5.1833333333333336</v>
      </c>
      <c r="FY113" s="14">
        <f>IF('[1]FC vers Ref (Km)'!FY113&lt;&gt;0,BA113,)+5+(11/60)+5+(41/60)</f>
        <v>347.86666666666667</v>
      </c>
      <c r="FZ113" s="14">
        <f>IF('[1]FC vers Ref (Km)'!FZ113&lt;&gt;0,BB113,)+5+(11/60)</f>
        <v>461.18333333333334</v>
      </c>
      <c r="GA113" s="14">
        <f>IF('[1]FC vers Ref (Km)'!GA113&lt;&gt;0,BC113,)+5+(11/60)</f>
        <v>167.18333333333334</v>
      </c>
      <c r="GB113" s="14">
        <f>IF('[1]FC vers Ref (Km)'!GB113&lt;&gt;0,BD113,)+5+(11/60)</f>
        <v>487.18333333333334</v>
      </c>
      <c r="GC113" s="14">
        <f>IF('[1]FC vers Ref (Km)'!GC113&lt;&gt;0,BE113,)+5+(11/60)+(30/60)</f>
        <v>505.68333333333334</v>
      </c>
      <c r="GD113" s="14">
        <f>IF('[1]FC vers Ref (Km)'!GD113&lt;&gt;0,BF113,)+5+(11/60)</f>
        <v>497.18333333333334</v>
      </c>
      <c r="GE113" s="14">
        <f>IF('[1]FC vers Ref (Km)'!GE113&lt;&gt;0,BG113,)+5+(11/60)+15+(1/60)</f>
        <v>251.20000000000002</v>
      </c>
      <c r="GF113" s="14">
        <f>IF('[1]FC vers Ref (Km)'!GF113&lt;&gt;0,BH113,)+5+(11/60)</f>
        <v>199.18333333333334</v>
      </c>
      <c r="GG113" s="14">
        <f>IF('[1]FC vers Ref (Km)'!GG113&lt;&gt;0,BI113,)+5+(11/60)</f>
        <v>154.18333333333334</v>
      </c>
      <c r="GH113" s="14">
        <f>IF('[1]FC vers Ref (Km)'!GH113&lt;&gt;0,BJ113,)+5+(11/60)</f>
        <v>250.18333333333334</v>
      </c>
      <c r="GI113" s="15">
        <f>IF('[1]FC vers Ref (Km)'!GI113&lt;&gt;0,BK113,)+5+(11/60)</f>
        <v>250.18333333333334</v>
      </c>
    </row>
    <row r="114" spans="1:191" x14ac:dyDescent="0.3">
      <c r="A114" s="10" t="s">
        <v>10</v>
      </c>
      <c r="B114" s="35" t="s">
        <v>73</v>
      </c>
      <c r="C114" s="11">
        <f>4*24+1</f>
        <v>97</v>
      </c>
      <c r="D114" s="13">
        <f>5*24+8</f>
        <v>128</v>
      </c>
      <c r="E114" s="13">
        <f>2*24+15</f>
        <v>63</v>
      </c>
      <c r="F114" s="13">
        <f>1*24+21</f>
        <v>45</v>
      </c>
      <c r="G114" s="13">
        <f>3*24+4</f>
        <v>76</v>
      </c>
      <c r="H114" s="13">
        <f>10*24+16</f>
        <v>256</v>
      </c>
      <c r="I114" s="13">
        <f>12*24+13</f>
        <v>301</v>
      </c>
      <c r="J114" s="13">
        <f>10*24+16</f>
        <v>256</v>
      </c>
      <c r="K114" s="13">
        <v>0</v>
      </c>
      <c r="L114" s="12"/>
      <c r="M114" s="13">
        <v>302</v>
      </c>
      <c r="N114" s="13">
        <v>302</v>
      </c>
      <c r="O114" s="13">
        <v>138</v>
      </c>
      <c r="P114" s="14">
        <v>223</v>
      </c>
      <c r="Q114" s="14">
        <v>178</v>
      </c>
      <c r="R114" s="14">
        <v>128</v>
      </c>
      <c r="S114" s="14">
        <v>125</v>
      </c>
      <c r="T114" s="14">
        <v>135</v>
      </c>
      <c r="U114" s="14">
        <v>129</v>
      </c>
      <c r="V114" s="14">
        <v>161</v>
      </c>
      <c r="W114" s="14">
        <v>201</v>
      </c>
      <c r="X114" s="14">
        <v>142</v>
      </c>
      <c r="Y114" s="14">
        <v>151</v>
      </c>
      <c r="Z114" s="14">
        <v>137</v>
      </c>
      <c r="AA114" s="14">
        <v>169</v>
      </c>
      <c r="AB114" s="14">
        <v>168</v>
      </c>
      <c r="AC114" s="14">
        <v>149</v>
      </c>
      <c r="AD114" s="14">
        <v>154</v>
      </c>
      <c r="AE114" s="14">
        <v>151</v>
      </c>
      <c r="AF114" s="14">
        <v>201</v>
      </c>
      <c r="AG114" s="14">
        <v>201</v>
      </c>
      <c r="AH114" s="14">
        <v>201</v>
      </c>
      <c r="AI114" s="14">
        <v>339</v>
      </c>
      <c r="AJ114" s="14">
        <v>408</v>
      </c>
      <c r="AK114" s="14">
        <v>339</v>
      </c>
      <c r="AL114" s="14">
        <v>380</v>
      </c>
      <c r="AM114" s="14">
        <v>455</v>
      </c>
      <c r="AN114" s="14">
        <v>467</v>
      </c>
      <c r="AO114" s="14">
        <v>472</v>
      </c>
      <c r="AP114" s="14">
        <v>464</v>
      </c>
      <c r="AQ114" s="14">
        <v>454</v>
      </c>
      <c r="AR114" s="14">
        <v>475</v>
      </c>
      <c r="AS114" s="14">
        <v>333</v>
      </c>
      <c r="AT114" s="14">
        <v>333</v>
      </c>
      <c r="AU114" s="14">
        <v>333</v>
      </c>
      <c r="AV114" s="14">
        <f>20*24+8</f>
        <v>488</v>
      </c>
      <c r="AW114" s="14">
        <f>7*24+5</f>
        <v>173</v>
      </c>
      <c r="AX114" s="14">
        <f>7*24+5</f>
        <v>173</v>
      </c>
      <c r="AY114" s="14">
        <f>19*24+1</f>
        <v>457</v>
      </c>
      <c r="AZ114" s="14"/>
      <c r="BA114" s="14">
        <f>14*24+1</f>
        <v>337</v>
      </c>
      <c r="BB114" s="14">
        <f>19*24</f>
        <v>456</v>
      </c>
      <c r="BC114" s="14">
        <f>6*24+18</f>
        <v>162</v>
      </c>
      <c r="BD114" s="14">
        <f>20*24+2</f>
        <v>482</v>
      </c>
      <c r="BE114" s="14">
        <f>20*24+20</f>
        <v>500</v>
      </c>
      <c r="BF114" s="14">
        <f>20*24+12</f>
        <v>492</v>
      </c>
      <c r="BG114" s="14">
        <f>9*24+15</f>
        <v>231</v>
      </c>
      <c r="BH114" s="14">
        <f>8*24+2</f>
        <v>194</v>
      </c>
      <c r="BI114" s="14">
        <f>6*24+5</f>
        <v>149</v>
      </c>
      <c r="BJ114" s="14">
        <f>10*24+5</f>
        <v>245</v>
      </c>
      <c r="BK114" s="15">
        <f>10*24+5</f>
        <v>245</v>
      </c>
      <c r="BM114" s="10" t="s">
        <v>10</v>
      </c>
      <c r="BN114" s="35" t="s">
        <v>73</v>
      </c>
      <c r="BO114" s="11">
        <f>IF('[1]FC vers Ref (Km)'!BO114&lt;&gt;0,'Délai intermédiaire'!C114,)</f>
        <v>0</v>
      </c>
      <c r="BP114" s="13">
        <f>IF('[1]FC vers Ref (Km)'!BP114&lt;&gt;0,'Délai intermédiaire'!D114,)</f>
        <v>0</v>
      </c>
      <c r="BQ114" s="13">
        <f>IF('[1]FC vers Ref (Km)'!BQ114&lt;&gt;0,'Délai intermédiaire'!E114,)+19+(49/60)</f>
        <v>82.816666666666663</v>
      </c>
      <c r="BR114" s="13">
        <f>IF('[1]FC vers Ref (Km)'!BR114&lt;&gt;0,'Délai intermédiaire'!F114,)</f>
        <v>0</v>
      </c>
      <c r="BS114" s="13">
        <f>IF('[1]FC vers Ref (Km)'!BS114&lt;&gt;0,'Délai intermédiaire'!G114,)+(48/60)</f>
        <v>76.8</v>
      </c>
      <c r="BT114" s="13">
        <f>IF('[1]FC vers Ref (Km)'!BT114&lt;&gt;0,'Délai intermédiaire'!H114,)+15+(47/60)</f>
        <v>271.78333333333336</v>
      </c>
      <c r="BU114" s="13">
        <f>IF('[1]FC vers Ref (Km)'!BU114&lt;&gt;0,'Délai intermédiaire'!I114,)</f>
        <v>0</v>
      </c>
      <c r="BV114" s="13">
        <f>IF('[1]FC vers Ref (Km)'!BV114&lt;&gt;0,'Délai intermédiaire'!J114,)</f>
        <v>0</v>
      </c>
      <c r="BW114" s="13">
        <f>IF('[1]FC vers Ref (Km)'!BW114&lt;&gt;0,'Délai intermédiaire'!K114,)</f>
        <v>0</v>
      </c>
      <c r="BX114" s="12"/>
      <c r="BY114" s="13">
        <f>IF('[1]FC vers Ref (Km)'!BY114&lt;&gt;0,'Délai intermédiaire'!M114,)+11+(1/60)</f>
        <v>313.01666666666665</v>
      </c>
      <c r="BZ114" s="13">
        <f>IF('[1]FC vers Ref (Km)'!BZ114&lt;&gt;0,'Délai intermédiaire'!N114,)</f>
        <v>0</v>
      </c>
      <c r="CA114" s="13">
        <f>IF('[1]FC vers Ref (Km)'!CA114&lt;&gt;0,'Délai intermédiaire'!O114,)+4+(51/60)</f>
        <v>142.85</v>
      </c>
      <c r="CB114" s="14">
        <f>IF('[1]FC vers Ref (Km)'!CB114&lt;&gt;0,'Délai intermédiaire'!P114,)+5+(3/60)</f>
        <v>228.05</v>
      </c>
      <c r="CC114" s="14">
        <f>IF('[1]FC vers Ref (Km)'!CC114&lt;&gt;0,'Délai intermédiaire'!Q114,)+(40/60)</f>
        <v>178.66666666666666</v>
      </c>
      <c r="CD114" s="14">
        <f>IF('[1]FC vers Ref (Km)'!CD114&lt;&gt;0,'Délai intermédiaire'!R114,)</f>
        <v>0</v>
      </c>
      <c r="CE114" s="14">
        <f>IF('[1]FC vers Ref (Km)'!CE114&lt;&gt;0,'Délai intermédiaire'!S114,)</f>
        <v>0</v>
      </c>
      <c r="CF114" s="14">
        <f>IF('[1]FC vers Ref (Km)'!CF114&lt;&gt;0,'Délai intermédiaire'!T114,)</f>
        <v>0</v>
      </c>
      <c r="CG114" s="14">
        <f>IF('[1]FC vers Ref (Km)'!CG114&lt;&gt;0,'Délai intermédiaire'!U114,)+1+(53/60)</f>
        <v>130.88333333333333</v>
      </c>
      <c r="CH114" s="14">
        <f>IF('[1]FC vers Ref (Km)'!CH114&lt;&gt;0,'Délai intermédiaire'!V114,)+2+(57/60)</f>
        <v>163.95</v>
      </c>
      <c r="CI114" s="14">
        <f>IF('[1]FC vers Ref (Km)'!CI114&lt;&gt;0,'Délai intermédiaire'!W114,)+4+(47/60)</f>
        <v>205.78333333333333</v>
      </c>
      <c r="CJ114" s="14">
        <f>IF('[1]FC vers Ref (Km)'!CJ114&lt;&gt;0,'Délai intermédiaire'!X114,)</f>
        <v>0</v>
      </c>
      <c r="CK114" s="14">
        <f>IF('[1]FC vers Ref (Km)'!CK114&lt;&gt;0,'Délai intermédiaire'!Y114,)+1+(33/60)</f>
        <v>152.55000000000001</v>
      </c>
      <c r="CL114" s="14">
        <f>IF('[1]FC vers Ref (Km)'!CL114&lt;&gt;0,'Délai intermédiaire'!Z114,)+2+(30/60)</f>
        <v>139.5</v>
      </c>
      <c r="CM114" s="14">
        <f>IF('[1]FC vers Ref (Km)'!CM114&lt;&gt;0,'Délai intermédiaire'!AA114,)+(56/60)</f>
        <v>169.93333333333334</v>
      </c>
      <c r="CN114" s="14">
        <f>IF('[1]FC vers Ref (Km)'!CN114&lt;&gt;0,'Délai intermédiaire'!AB114,)+1+(39/60)</f>
        <v>169.65</v>
      </c>
      <c r="CO114" s="14">
        <f>IF('[1]FC vers Ref (Km)'!CO114&lt;&gt;0,'Délai intermédiaire'!AC114,)+3+(25/60)</f>
        <v>152.41666666666666</v>
      </c>
      <c r="CP114" s="14">
        <f>IF('[1]FC vers Ref (Km)'!CP114&lt;&gt;0,'Délai intermédiaire'!AD114,)</f>
        <v>0</v>
      </c>
      <c r="CQ114" s="14">
        <f>IF('[1]FC vers Ref (Km)'!CQ114&lt;&gt;0,'Délai intermédiaire'!AE114,)</f>
        <v>0</v>
      </c>
      <c r="CR114" s="14">
        <f>IF('[1]FC vers Ref (Km)'!CR114&lt;&gt;0,'Délai intermédiaire'!AF114,)+9+(1/60)</f>
        <v>210.01666666666668</v>
      </c>
      <c r="CS114" s="14">
        <f>IF('[1]FC vers Ref (Km)'!CS114&lt;&gt;0,'Délai intermédiaire'!AG114,)+7+(48/60)</f>
        <v>208.8</v>
      </c>
      <c r="CT114" s="14">
        <f>IF('[1]FC vers Ref (Km)'!CT114&lt;&gt;0,'Délai intermédiaire'!AH114,)+5+(5/60)</f>
        <v>206.08333333333334</v>
      </c>
      <c r="CU114" s="14">
        <f>IF('[1]FC vers Ref (Km)'!CU114&lt;&gt;0,'Délai intermédiaire'!AI114,)+19+(46/60)</f>
        <v>358.76666666666665</v>
      </c>
      <c r="CV114" s="14">
        <f>IF('[1]FC vers Ref (Km)'!CV114&lt;&gt;0,'Délai intermédiaire'!AJ114,)</f>
        <v>0</v>
      </c>
      <c r="CW114" s="14">
        <f>IF('[1]FC vers Ref (Km)'!CW114&lt;&gt;0,'Délai intermédiaire'!AK114,)+12+(26/60)</f>
        <v>351.43333333333334</v>
      </c>
      <c r="CX114" s="14">
        <f>IF('[1]FC vers Ref (Km)'!CX114&lt;&gt;0,'Délai intermédiaire'!AL114,)</f>
        <v>0</v>
      </c>
      <c r="CY114" s="14">
        <f>IF('[1]FC vers Ref (Km)'!CY114&lt;&gt;0,'Délai intermédiaire'!AM114,)</f>
        <v>0</v>
      </c>
      <c r="CZ114" s="14">
        <f>IF('[1]FC vers Ref (Km)'!CZ114&lt;&gt;0,'Délai intermédiaire'!AN114,)</f>
        <v>0</v>
      </c>
      <c r="DA114" s="14">
        <f>IF('[1]FC vers Ref (Km)'!DA114&lt;&gt;0,'Délai intermédiaire'!AO114,)+1+(56/60)</f>
        <v>473.93333333333334</v>
      </c>
      <c r="DB114" s="14">
        <f>IF('[1]FC vers Ref (Km)'!DB114&lt;&gt;0,'Délai intermédiaire'!AP114,)</f>
        <v>0</v>
      </c>
      <c r="DC114" s="14">
        <f>IF('[1]FC vers Ref (Km)'!DC114&lt;&gt;0,'Délai intermédiaire'!AQ114,)</f>
        <v>0</v>
      </c>
      <c r="DD114" s="14">
        <f>IF('[1]FC vers Ref (Km)'!DD114&lt;&gt;0,'Délai intermédiaire'!AR114,)</f>
        <v>0</v>
      </c>
      <c r="DE114" s="14">
        <f>IF('[1]FC vers Ref (Km)'!DE114&lt;&gt;0,'Délai intermédiaire'!AS114,)</f>
        <v>0</v>
      </c>
      <c r="DF114" s="14">
        <f>IF('[1]FC vers Ref (Km)'!DF114&lt;&gt;0,'Délai intermédiaire'!AT114,)+20+(5/60)</f>
        <v>353.08333333333331</v>
      </c>
      <c r="DG114" s="14">
        <f>IF('[1]FC vers Ref (Km)'!DG114&lt;&gt;0,'Délai intermédiaire'!AU114,)+11+(36/60)</f>
        <v>344.6</v>
      </c>
      <c r="DH114" s="14">
        <f>IF('[1]FC vers Ref (Km)'!DH114&lt;&gt;0,'Délai intermédiaire'!AV114,)+(28/60)</f>
        <v>488.46666666666664</v>
      </c>
      <c r="DI114" s="14">
        <f>IF('[1]FC vers Ref (Km)'!DI114&lt;&gt;0,'Délai intermédiaire'!AW114,)+7+(13/60)</f>
        <v>180.21666666666667</v>
      </c>
      <c r="DJ114" s="14">
        <f>IF('[1]FC vers Ref (Km)'!DJ114&lt;&gt;0,'Délai intermédiaire'!AX114,)+2*24+15</f>
        <v>236</v>
      </c>
      <c r="DK114" s="14">
        <f>IF('[1]FC vers Ref (Km)'!DK114&lt;&gt;0,'Délai intermédiaire'!AY114,)</f>
        <v>0</v>
      </c>
      <c r="DL114" s="14">
        <f>IF('[1]FC vers Ref (Km)'!DL114&lt;&gt;0,'Délai intermédiaire'!AZ114,)</f>
        <v>0</v>
      </c>
      <c r="DM114" s="14">
        <f>IF('[1]FC vers Ref (Km)'!DM114&lt;&gt;0,'Délai intermédiaire'!BA114,)+7+(17/60)</f>
        <v>344.28333333333336</v>
      </c>
      <c r="DN114" s="14">
        <f>IF('[1]FC vers Ref (Km)'!DN114&lt;&gt;0,'Délai intermédiaire'!BB114,)</f>
        <v>0</v>
      </c>
      <c r="DO114" s="14">
        <f>IF('[1]FC vers Ref (Km)'!DO114&lt;&gt;0,'Délai intermédiaire'!BC114,)</f>
        <v>0</v>
      </c>
      <c r="DP114" s="14">
        <f>IF('[1]FC vers Ref (Km)'!DP114&lt;&gt;0,'Délai intermédiaire'!BD114,)</f>
        <v>0</v>
      </c>
      <c r="DQ114" s="14">
        <f>IF('[1]FC vers Ref (Km)'!DQ114&lt;&gt;0,'Délai intermédiaire'!BE114,)+1+(22/60)</f>
        <v>501.36666666666667</v>
      </c>
      <c r="DR114" s="14">
        <f>IF('[1]FC vers Ref (Km)'!DR114&lt;&gt;0,'Délai intermédiaire'!BF114,)</f>
        <v>0</v>
      </c>
      <c r="DS114" s="14">
        <f>IF('[1]FC vers Ref (Km)'!DS114&lt;&gt;0,'Délai intermédiaire'!BG114,)+10+(43/60)</f>
        <v>241.71666666666667</v>
      </c>
      <c r="DT114" s="14">
        <f>IF('[1]FC vers Ref (Km)'!DT114&lt;&gt;0,'Délai intermédiaire'!BH114,)+(12/60)</f>
        <v>194.2</v>
      </c>
      <c r="DU114" s="14">
        <f>IF('[1]FC vers Ref (Km)'!DU114&lt;&gt;0,'Délai intermédiaire'!BI114,)+7+(45/60)</f>
        <v>156.75</v>
      </c>
      <c r="DV114" s="14">
        <f>IF('[1]FC vers Ref (Km)'!DV114&lt;&gt;0,'Délai intermédiaire'!BJ114,)+1+(10/60)</f>
        <v>246.16666666666666</v>
      </c>
      <c r="DW114" s="15">
        <f>IF('[1]FC vers Ref (Km)'!DW114&lt;&gt;0,'Délai intermédiaire'!BK114,)+12+(41/60)</f>
        <v>257.68333333333334</v>
      </c>
      <c r="DX114" s="27"/>
      <c r="DY114" s="10" t="s">
        <v>10</v>
      </c>
      <c r="DZ114" s="35" t="s">
        <v>73</v>
      </c>
      <c r="EA114" s="11">
        <f>IF('[1]FC vers Ref (Km)'!EA114&lt;&gt;0,C114,)</f>
        <v>0</v>
      </c>
      <c r="EB114" s="13">
        <f>IF('[1]FC vers Ref (Km)'!EB114&lt;&gt;0,D114,)</f>
        <v>0</v>
      </c>
      <c r="EC114" s="13">
        <f>IF('[1]FC vers Ref (Km)'!EC114&lt;&gt;0,E114,)+7+(55/60)+19+(53/60)</f>
        <v>90.800000000000011</v>
      </c>
      <c r="ED114" s="13">
        <f>IF('[1]FC vers Ref (Km)'!ED114&lt;&gt;0,F114,)</f>
        <v>0</v>
      </c>
      <c r="EE114" s="13">
        <f>IF('[1]FC vers Ref (Km)'!EE114&lt;&gt;0,G114,)+(32/60)</f>
        <v>76.533333333333331</v>
      </c>
      <c r="EF114" s="13">
        <f>IF('[1]FC vers Ref (Km)'!EF114&lt;&gt;0,H114,)+14+(25/60)+31+(8/60)</f>
        <v>301.55</v>
      </c>
      <c r="EG114" s="13">
        <f>IF('[1]FC vers Ref (Km)'!EG114&lt;&gt;0,I114,)</f>
        <v>0</v>
      </c>
      <c r="EH114" s="13">
        <f>IF('[1]FC vers Ref (Km)'!EH114&lt;&gt;0,J114,)</f>
        <v>0</v>
      </c>
      <c r="EI114" s="13">
        <f>IF('[1]FC vers Ref (Km)'!EI114&lt;&gt;0,K114,)+5+(11/60)</f>
        <v>5.1833333333333336</v>
      </c>
      <c r="EJ114" s="12">
        <f>IF('[1]FC vers Ref (Km)'!EJ114&lt;&gt;0,L114,)</f>
        <v>0</v>
      </c>
      <c r="EK114" s="13">
        <f>IF('[1]FC vers Ref (Km)'!EK114&lt;&gt;0,M114,)</f>
        <v>0</v>
      </c>
      <c r="EL114" s="13">
        <f>IF('[1]FC vers Ref (Km)'!EL114&lt;&gt;0,N114,)</f>
        <v>0</v>
      </c>
      <c r="EM114" s="13">
        <f>IF('[1]FC vers Ref (Km)'!EM114&lt;&gt;0,O114,)</f>
        <v>0</v>
      </c>
      <c r="EN114" s="14">
        <f>IF('[1]FC vers Ref (Km)'!EN114&lt;&gt;0,P114,)</f>
        <v>0</v>
      </c>
      <c r="EO114" s="14">
        <f>IF('[1]FC vers Ref (Km)'!EO114&lt;&gt;0,Q114,)</f>
        <v>0</v>
      </c>
      <c r="EP114" s="14">
        <f>IF('[1]FC vers Ref (Km)'!EP114&lt;&gt;0,R114,)</f>
        <v>0</v>
      </c>
      <c r="EQ114" s="14">
        <f>IF('[1]FC vers Ref (Km)'!EQ114&lt;&gt;0,S114,)</f>
        <v>0</v>
      </c>
      <c r="ER114" s="14">
        <f>IF('[1]FC vers Ref (Km)'!ER114&lt;&gt;0,T114,)</f>
        <v>0</v>
      </c>
      <c r="ES114" s="14">
        <f>IF('[1]FC vers Ref (Km)'!ES114&lt;&gt;0,U114,)+2+(21/60)</f>
        <v>131.35</v>
      </c>
      <c r="ET114" s="14">
        <f>IF('[1]FC vers Ref (Km)'!ET114&lt;&gt;0,V114,)+1+(44/60)</f>
        <v>162.73333333333332</v>
      </c>
      <c r="EU114" s="14">
        <f>IF('[1]FC vers Ref (Km)'!EU114&lt;&gt;0,W114,)+1+(47/60)+2+(31/60)+2+(54/60)</f>
        <v>208.20000000000002</v>
      </c>
      <c r="EV114" s="14">
        <f>IF('[1]FC vers Ref (Km)'!EV114&lt;&gt;0,X114,)</f>
        <v>0</v>
      </c>
      <c r="EW114" s="14">
        <f>IF('[1]FC vers Ref (Km)'!EW114&lt;&gt;0,Y114,)+(56/60)+(59/60)</f>
        <v>152.91666666666666</v>
      </c>
      <c r="EX114" s="14">
        <f>IF('[1]FC vers Ref (Km)'!EX114&lt;&gt;0,Z114,)+1+(35/60)+(37/60)</f>
        <v>139.20000000000002</v>
      </c>
      <c r="EY114" s="14">
        <f>IF('[1]FC vers Ref (Km)'!EY114&lt;&gt;0,AA114,)+1+(18/60)</f>
        <v>170.3</v>
      </c>
      <c r="EZ114" s="14">
        <f>IF('[1]FC vers Ref (Km)'!EZ114&lt;&gt;0,AB114,)+1+(39/60)</f>
        <v>169.65</v>
      </c>
      <c r="FA114" s="14">
        <f>IF('[1]FC vers Ref (Km)'!FA114&lt;&gt;0,AC114,)+1+(47/60)</f>
        <v>150.78333333333333</v>
      </c>
      <c r="FB114" s="14">
        <f>IF('[1]FC vers Ref (Km)'!FB114&lt;&gt;0,AD114,)</f>
        <v>0</v>
      </c>
      <c r="FC114" s="14">
        <f>IF('[1]FC vers Ref (Km)'!FC114&lt;&gt;0,AE114,)</f>
        <v>0</v>
      </c>
      <c r="FD114" s="14">
        <f>IF('[1]FC vers Ref (Km)'!FD114&lt;&gt;0,AF114,)+5+(31/60)+5+(51/60)+1+(8/60)</f>
        <v>213.5</v>
      </c>
      <c r="FE114" s="14">
        <f>IF('[1]FC vers Ref (Km)'!FE114&lt;&gt;0,AG114,)+4+(2/60)+5+(51/60)+1+(8/60)</f>
        <v>212.01666666666665</v>
      </c>
      <c r="FF114" s="14">
        <f>IF('[1]FC vers Ref (Km)'!FF114&lt;&gt;0,AH114,)+1+(7/60)+5+(51/60)+1+(8/60)</f>
        <v>209.1</v>
      </c>
      <c r="FG114" s="14">
        <f>IF('[1]FC vers Ref (Km)'!FG114&lt;&gt;0,AI114,)+15+(50/60)</f>
        <v>354.83333333333331</v>
      </c>
      <c r="FH114" s="14">
        <f>IF('[1]FC vers Ref (Km)'!FH114&lt;&gt;0,AJ114,)</f>
        <v>0</v>
      </c>
      <c r="FI114" s="14">
        <f>IF('[1]FC vers Ref (Km)'!FI114&lt;&gt;0,AK114,)+4+(40/60)+11+(32/60)</f>
        <v>355.20000000000005</v>
      </c>
      <c r="FJ114" s="14">
        <f>IF('[1]FC vers Ref (Km)'!FJ114&lt;&gt;0,AL114,)</f>
        <v>0</v>
      </c>
      <c r="FK114" s="14">
        <f>IF('[1]FC vers Ref (Km)'!FK114&lt;&gt;0,AM114,)</f>
        <v>0</v>
      </c>
      <c r="FL114" s="14">
        <f>IF('[1]FC vers Ref (Km)'!FL114&lt;&gt;0,AN114,)</f>
        <v>0</v>
      </c>
      <c r="FM114" s="14">
        <f>IF('[1]FC vers Ref (Km)'!FM114&lt;&gt;0,AO114,)+(55/60)</f>
        <v>472.91666666666669</v>
      </c>
      <c r="FN114" s="14">
        <f>IF('[1]FC vers Ref (Km)'!FN114&lt;&gt;0,AP114,)</f>
        <v>0</v>
      </c>
      <c r="FO114" s="14">
        <f>IF('[1]FC vers Ref (Km)'!FO114&lt;&gt;0,AQ114,)</f>
        <v>0</v>
      </c>
      <c r="FP114" s="14">
        <f>IF('[1]FC vers Ref (Km)'!FP114&lt;&gt;0,AR114,)</f>
        <v>0</v>
      </c>
      <c r="FQ114" s="14">
        <f>IF('[1]FC vers Ref (Km)'!FQ114&lt;&gt;0,AS114,)</f>
        <v>0</v>
      </c>
      <c r="FR114" s="14">
        <f>IF('[1]FC vers Ref (Km)'!FR114&lt;&gt;0,AT114,)</f>
        <v>0</v>
      </c>
      <c r="FS114" s="14">
        <f>IF('[1]FC vers Ref (Km)'!FS114&lt;&gt;0,AU114,)</f>
        <v>0</v>
      </c>
      <c r="FT114" s="14">
        <f>IF('[1]FC vers Ref (Km)'!FT114&lt;&gt;0,AV114,)+1+(7/60)</f>
        <v>489.11666666666667</v>
      </c>
      <c r="FU114" s="14">
        <f>IF('[1]FC vers Ref (Km)'!FU114&lt;&gt;0,AW114,)+8+(3/60)</f>
        <v>181.05</v>
      </c>
      <c r="FV114" s="14">
        <f>IF('[1]FC vers Ref (Km)'!FV114&lt;&gt;0,AX114,)+2*24+11</f>
        <v>232</v>
      </c>
      <c r="FW114" s="14">
        <f>IF('[1]FC vers Ref (Km)'!FW114&lt;&gt;0,AY114,)</f>
        <v>0</v>
      </c>
      <c r="FX114" s="14">
        <f>IF('[1]FC vers Ref (Km)'!FX114&lt;&gt;0,AZ114,)</f>
        <v>0</v>
      </c>
      <c r="FY114" s="14">
        <f>IF('[1]FC vers Ref (Km)'!FY114&lt;&gt;0,BA114,)+5+(41/60)</f>
        <v>342.68333333333334</v>
      </c>
      <c r="FZ114" s="14">
        <f>IF('[1]FC vers Ref (Km)'!FZ114&lt;&gt;0,BB114,)</f>
        <v>0</v>
      </c>
      <c r="GA114" s="14">
        <f>IF('[1]FC vers Ref (Km)'!GA114&lt;&gt;0,BC114,)</f>
        <v>0</v>
      </c>
      <c r="GB114" s="14">
        <f>IF('[1]FC vers Ref (Km)'!GB114&lt;&gt;0,BD114,)</f>
        <v>0</v>
      </c>
      <c r="GC114" s="14">
        <f>IF('[1]FC vers Ref (Km)'!GC114&lt;&gt;0,BE114,)+(30/60)</f>
        <v>500.5</v>
      </c>
      <c r="GD114" s="14">
        <f>IF('[1]FC vers Ref (Km)'!GD114&lt;&gt;0,BF114,)</f>
        <v>0</v>
      </c>
      <c r="GE114" s="14">
        <f>IF('[1]FC vers Ref (Km)'!GE114&lt;&gt;0,BG114,)+15+(1/60)</f>
        <v>246.01666666666668</v>
      </c>
      <c r="GF114" s="14">
        <f>IF('[1]FC vers Ref (Km)'!GF114&lt;&gt;0,BH114,)</f>
        <v>0</v>
      </c>
      <c r="GG114" s="14">
        <f>IF('[1]FC vers Ref (Km)'!GG114&lt;&gt;0,BI114,)</f>
        <v>0</v>
      </c>
      <c r="GH114" s="14">
        <f>IF('[1]FC vers Ref (Km)'!GH114&lt;&gt;0,BJ114,)</f>
        <v>0</v>
      </c>
      <c r="GI114" s="15">
        <f>IF('[1]FC vers Ref (Km)'!GI114&lt;&gt;0,BK114,)</f>
        <v>0</v>
      </c>
    </row>
    <row r="115" spans="1:191" x14ac:dyDescent="0.3">
      <c r="A115" s="10" t="s">
        <v>11</v>
      </c>
      <c r="B115" s="35" t="s">
        <v>12</v>
      </c>
      <c r="C115" s="11">
        <f>9*24+3</f>
        <v>219</v>
      </c>
      <c r="D115" s="13">
        <f>9*24+12</f>
        <v>228</v>
      </c>
      <c r="E115" s="13">
        <f>10*24+11</f>
        <v>251</v>
      </c>
      <c r="F115" s="13">
        <f>14*24+11</f>
        <v>347</v>
      </c>
      <c r="G115" s="13">
        <f>10*24+9</f>
        <v>249</v>
      </c>
      <c r="H115" s="13">
        <f>2*24</f>
        <v>48</v>
      </c>
      <c r="I115" s="13">
        <f>5</f>
        <v>5</v>
      </c>
      <c r="J115" s="13">
        <f>2*24</f>
        <v>48</v>
      </c>
      <c r="K115" s="13">
        <f>12*24+14</f>
        <v>302</v>
      </c>
      <c r="L115" s="13">
        <f>12*24+14</f>
        <v>302</v>
      </c>
      <c r="M115" s="12"/>
      <c r="N115" s="13">
        <v>0</v>
      </c>
      <c r="O115" s="13">
        <v>228</v>
      </c>
      <c r="P115" s="14">
        <v>346</v>
      </c>
      <c r="Q115" s="14">
        <v>301</v>
      </c>
      <c r="R115" s="14">
        <v>367</v>
      </c>
      <c r="S115" s="14">
        <v>358</v>
      </c>
      <c r="T115" s="14">
        <v>368</v>
      </c>
      <c r="U115" s="14">
        <v>361</v>
      </c>
      <c r="V115" s="14">
        <v>378</v>
      </c>
      <c r="W115" s="14">
        <v>418</v>
      </c>
      <c r="X115" s="14">
        <v>380</v>
      </c>
      <c r="Y115" s="14">
        <v>390</v>
      </c>
      <c r="Z115" s="14">
        <v>369</v>
      </c>
      <c r="AA115" s="14">
        <v>386</v>
      </c>
      <c r="AB115" s="14">
        <v>385</v>
      </c>
      <c r="AC115" s="14">
        <v>366</v>
      </c>
      <c r="AD115" s="14">
        <v>371</v>
      </c>
      <c r="AE115" s="14">
        <v>390</v>
      </c>
      <c r="AF115" s="14">
        <v>418</v>
      </c>
      <c r="AG115" s="14">
        <v>418</v>
      </c>
      <c r="AH115" s="14">
        <v>418</v>
      </c>
      <c r="AI115" s="14">
        <v>396</v>
      </c>
      <c r="AJ115" s="14">
        <v>364</v>
      </c>
      <c r="AK115" s="14">
        <v>396</v>
      </c>
      <c r="AL115" s="14">
        <v>361</v>
      </c>
      <c r="AM115" s="14">
        <v>178</v>
      </c>
      <c r="AN115" s="14">
        <v>190</v>
      </c>
      <c r="AO115" s="14">
        <v>192</v>
      </c>
      <c r="AP115" s="14">
        <v>306</v>
      </c>
      <c r="AQ115" s="14">
        <v>284</v>
      </c>
      <c r="AR115" s="14">
        <v>351</v>
      </c>
      <c r="AS115" s="14">
        <v>438</v>
      </c>
      <c r="AT115" s="14">
        <v>438</v>
      </c>
      <c r="AU115" s="14">
        <v>438</v>
      </c>
      <c r="AV115" s="14">
        <f>8*24+17</f>
        <v>209</v>
      </c>
      <c r="AW115" s="14">
        <f>17*24+4</f>
        <v>412</v>
      </c>
      <c r="AX115" s="14">
        <f>17*24+4</f>
        <v>412</v>
      </c>
      <c r="AY115" s="14">
        <f>7*24+10</f>
        <v>178</v>
      </c>
      <c r="AZ115" s="14"/>
      <c r="BA115" s="14">
        <f>19*24+5</f>
        <v>461</v>
      </c>
      <c r="BB115" s="14">
        <f>12*24+11</f>
        <v>299</v>
      </c>
      <c r="BC115" s="14">
        <f>16*24+17</f>
        <v>401</v>
      </c>
      <c r="BD115" s="14">
        <f>10*24</f>
        <v>240</v>
      </c>
      <c r="BE115" s="14">
        <f>9*24+5</f>
        <v>221</v>
      </c>
      <c r="BF115" s="14">
        <f>8*24+21</f>
        <v>213</v>
      </c>
      <c r="BG115" s="14">
        <f>18*24+16</f>
        <v>448</v>
      </c>
      <c r="BH115" s="14">
        <f>17*24+3</f>
        <v>411</v>
      </c>
      <c r="BI115" s="14">
        <f>7*24+5</f>
        <v>173</v>
      </c>
      <c r="BJ115" s="14">
        <f>10*24+8</f>
        <v>248</v>
      </c>
      <c r="BK115" s="15">
        <f>10*24+8</f>
        <v>248</v>
      </c>
      <c r="BM115" s="10" t="s">
        <v>11</v>
      </c>
      <c r="BN115" s="35" t="s">
        <v>12</v>
      </c>
      <c r="BO115" s="11">
        <f>IF('[1]FC vers Ref (Km)'!BO115&lt;&gt;0,'Délai intermédiaire'!C115,)+11+(1/60)</f>
        <v>230.01666666666668</v>
      </c>
      <c r="BP115" s="13">
        <f>IF('[1]FC vers Ref (Km)'!BP115&lt;&gt;0,'Délai intermédiaire'!D115,)+11+(1/60)</f>
        <v>239.01666666666668</v>
      </c>
      <c r="BQ115" s="13">
        <f>IF('[1]FC vers Ref (Km)'!BQ115&lt;&gt;0,'Délai intermédiaire'!E115,)+11+(1/60)+19+(49/60)</f>
        <v>281.83333333333331</v>
      </c>
      <c r="BR115" s="13">
        <f>IF('[1]FC vers Ref (Km)'!BR115&lt;&gt;0,'Délai intermédiaire'!F115,)+11+(1/60)</f>
        <v>358.01666666666665</v>
      </c>
      <c r="BS115" s="13">
        <f>IF('[1]FC vers Ref (Km)'!BS115&lt;&gt;0,'Délai intermédiaire'!G115,)+11+(1/60)+(48/60)</f>
        <v>260.81666666666666</v>
      </c>
      <c r="BT115" s="13">
        <f>IF('[1]FC vers Ref (Km)'!BT115&lt;&gt;0,'Délai intermédiaire'!H115,)+11+(1/60)+15+(47/60)</f>
        <v>74.8</v>
      </c>
      <c r="BU115" s="13">
        <f>IF('[1]FC vers Ref (Km)'!BU115&lt;&gt;0,'Délai intermédiaire'!I115,)+11+(1/60)</f>
        <v>16.016666666666666</v>
      </c>
      <c r="BV115" s="13">
        <f>IF('[1]FC vers Ref (Km)'!BV115&lt;&gt;0,'Délai intermédiaire'!J115,)+11+(1/60)</f>
        <v>59.016666666666666</v>
      </c>
      <c r="BW115" s="13">
        <f>IF('[1]FC vers Ref (Km)'!BW115&lt;&gt;0,'Délai intermédiaire'!K115,)+11+(1/60)+6+(13/60)</f>
        <v>319.23333333333329</v>
      </c>
      <c r="BX115" s="13">
        <f>IF('[1]FC vers Ref (Km)'!BX115&lt;&gt;0,'Délai intermédiaire'!L115,)+11+(1/60)</f>
        <v>313.01666666666665</v>
      </c>
      <c r="BY115" s="12"/>
      <c r="BZ115" s="13">
        <f>IF('[1]FC vers Ref (Km)'!BZ115&lt;&gt;0,'Délai intermédiaire'!N115,)+11+(1/60)</f>
        <v>11.016666666666667</v>
      </c>
      <c r="CA115" s="13">
        <f>IF('[1]FC vers Ref (Km)'!CA115&lt;&gt;0,'Délai intermédiaire'!O115,)+11+(1/60)+4+(51/60)</f>
        <v>243.86666666666667</v>
      </c>
      <c r="CB115" s="14">
        <f>IF('[1]FC vers Ref (Km)'!CB115&lt;&gt;0,'Délai intermédiaire'!P115,)+11+(1/60)+5+(3/60)</f>
        <v>362.06666666666666</v>
      </c>
      <c r="CC115" s="14">
        <f>IF('[1]FC vers Ref (Km)'!CC115&lt;&gt;0,'Délai intermédiaire'!Q115,)+11+(1/60)+(40/60)</f>
        <v>312.68333333333334</v>
      </c>
      <c r="CD115" s="14">
        <f>IF('[1]FC vers Ref (Km)'!CD115&lt;&gt;0,'Délai intermédiaire'!R115,)+11+(1/60)</f>
        <v>378.01666666666665</v>
      </c>
      <c r="CE115" s="14">
        <f>IF('[1]FC vers Ref (Km)'!CE115&lt;&gt;0,'Délai intermédiaire'!S115,)+11+(1/60)</f>
        <v>369.01666666666665</v>
      </c>
      <c r="CF115" s="14">
        <f>IF('[1]FC vers Ref (Km)'!CF115&lt;&gt;0,'Délai intermédiaire'!T115,)+11+(1/60)</f>
        <v>379.01666666666665</v>
      </c>
      <c r="CG115" s="14">
        <f>IF('[1]FC vers Ref (Km)'!CG115&lt;&gt;0,'Délai intermédiaire'!U115,)+11+(1/60)+1+(53/60)</f>
        <v>373.9</v>
      </c>
      <c r="CH115" s="14">
        <f>IF('[1]FC vers Ref (Km)'!CH115&lt;&gt;0,'Délai intermédiaire'!V115,)+11+(1/60)+2+(57/60)</f>
        <v>391.96666666666664</v>
      </c>
      <c r="CI115" s="14">
        <f>IF('[1]FC vers Ref (Km)'!CI115&lt;&gt;0,'Délai intermédiaire'!W115,)+11+(1/60)+4+(47/60)</f>
        <v>433.8</v>
      </c>
      <c r="CJ115" s="14">
        <f>IF('[1]FC vers Ref (Km)'!CJ115&lt;&gt;0,'Délai intermédiaire'!X115,)+11+(1/60)</f>
        <v>391.01666666666665</v>
      </c>
      <c r="CK115" s="14">
        <f>IF('[1]FC vers Ref (Km)'!CK115&lt;&gt;0,'Délai intermédiaire'!Y115,)+11+(1/60)+1+(33/60)</f>
        <v>402.56666666666666</v>
      </c>
      <c r="CL115" s="14">
        <f>IF('[1]FC vers Ref (Km)'!CL115&lt;&gt;0,'Délai intermédiaire'!Z115,)+11+(1/60)+2+(30/60)</f>
        <v>382.51666666666665</v>
      </c>
      <c r="CM115" s="14">
        <f>IF('[1]FC vers Ref (Km)'!CM115&lt;&gt;0,'Délai intermédiaire'!AA115,)+11+(1/60)+(56/60)</f>
        <v>397.95</v>
      </c>
      <c r="CN115" s="14">
        <f>IF('[1]FC vers Ref (Km)'!CN115&lt;&gt;0,'Délai intermédiaire'!AB115,)+11+(1/60)+1+(39/60)</f>
        <v>397.66666666666663</v>
      </c>
      <c r="CO115" s="14">
        <f>IF('[1]FC vers Ref (Km)'!CO115&lt;&gt;0,'Délai intermédiaire'!AC115,)+11+(1/60)+3+(25/60)</f>
        <v>380.43333333333334</v>
      </c>
      <c r="CP115" s="14">
        <f>IF('[1]FC vers Ref (Km)'!CP115&lt;&gt;0,'Délai intermédiaire'!AD115,)+11+(1/60)</f>
        <v>382.01666666666665</v>
      </c>
      <c r="CQ115" s="14">
        <f>IF('[1]FC vers Ref (Km)'!CQ115&lt;&gt;0,'Délai intermédiaire'!AE115,)+11+(1/60)</f>
        <v>401.01666666666665</v>
      </c>
      <c r="CR115" s="14">
        <f>IF('[1]FC vers Ref (Km)'!CR115&lt;&gt;0,'Délai intermédiaire'!AF115,)+11+(1/60)+9+(1/60)</f>
        <v>438.0333333333333</v>
      </c>
      <c r="CS115" s="14">
        <f>IF('[1]FC vers Ref (Km)'!CS115&lt;&gt;0,'Délai intermédiaire'!AG115,)+11+(1/60)+7+(48/60)</f>
        <v>436.81666666666666</v>
      </c>
      <c r="CT115" s="14">
        <f>IF('[1]FC vers Ref (Km)'!CT115&lt;&gt;0,'Délai intermédiaire'!AH115,)+11+(1/60)+5+(5/60)</f>
        <v>434.09999999999997</v>
      </c>
      <c r="CU115" s="14">
        <f>IF('[1]FC vers Ref (Km)'!CU115&lt;&gt;0,'Délai intermédiaire'!AI115,)+11+(1/60)+19+(46/60)</f>
        <v>426.7833333333333</v>
      </c>
      <c r="CV115" s="14">
        <f>IF('[1]FC vers Ref (Km)'!CV115&lt;&gt;0,'Délai intermédiaire'!AJ115,)+11+(1/60)</f>
        <v>375.01666666666665</v>
      </c>
      <c r="CW115" s="14">
        <f>IF('[1]FC vers Ref (Km)'!CW115&lt;&gt;0,'Délai intermédiaire'!AK115,)+11+(1/60)+12+(26/60)</f>
        <v>419.45</v>
      </c>
      <c r="CX115" s="14">
        <f>IF('[1]FC vers Ref (Km)'!CX115&lt;&gt;0,'Délai intermédiaire'!AL115,)+11+(1/60)</f>
        <v>372.01666666666665</v>
      </c>
      <c r="CY115" s="14">
        <f>IF('[1]FC vers Ref (Km)'!CY115&lt;&gt;0,'Délai intermédiaire'!AM115,)+11+(1/60)</f>
        <v>189.01666666666668</v>
      </c>
      <c r="CZ115" s="14">
        <f>IF('[1]FC vers Ref (Km)'!CZ115&lt;&gt;0,'Délai intermédiaire'!AN115,)+11+(1/60)</f>
        <v>201.01666666666668</v>
      </c>
      <c r="DA115" s="14">
        <f>IF('[1]FC vers Ref (Km)'!DA115&lt;&gt;0,'Délai intermédiaire'!AO115,)+11+(1/60)+1+(56/60)</f>
        <v>204.95000000000002</v>
      </c>
      <c r="DB115" s="14">
        <f>IF('[1]FC vers Ref (Km)'!DB115&lt;&gt;0,'Délai intermédiaire'!AP115,)+11+(1/60)</f>
        <v>317.01666666666665</v>
      </c>
      <c r="DC115" s="14">
        <f>IF('[1]FC vers Ref (Km)'!DC115&lt;&gt;0,'Délai intermédiaire'!AQ115,)+11+(1/60)</f>
        <v>295.01666666666665</v>
      </c>
      <c r="DD115" s="14">
        <f>IF('[1]FC vers Ref (Km)'!DD115&lt;&gt;0,'Délai intermédiaire'!AR115,)+11+(1/60)</f>
        <v>362.01666666666665</v>
      </c>
      <c r="DE115" s="14">
        <f>IF('[1]FC vers Ref (Km)'!DE115&lt;&gt;0,'Délai intermédiaire'!AS115,)+11+(1/60)</f>
        <v>449.01666666666665</v>
      </c>
      <c r="DF115" s="14">
        <f>IF('[1]FC vers Ref (Km)'!DF115&lt;&gt;0,'Délai intermédiaire'!AT115,)+11+(1/60)+20+(5/60)</f>
        <v>469.09999999999997</v>
      </c>
      <c r="DG115" s="14">
        <f>IF('[1]FC vers Ref (Km)'!DG115&lt;&gt;0,'Délai intermédiaire'!AU115,)+11+(1/60)+11+(36/60)</f>
        <v>460.61666666666667</v>
      </c>
      <c r="DH115" s="14">
        <f>IF('[1]FC vers Ref (Km)'!DH115&lt;&gt;0,'Délai intermédiaire'!AV115,)+11+(1/60)+(28/60)</f>
        <v>220.48333333333335</v>
      </c>
      <c r="DI115" s="14">
        <f>IF('[1]FC vers Ref (Km)'!DI115&lt;&gt;0,'Délai intermédiaire'!AW115,)+11+(1/60)+7+(13/60)</f>
        <v>430.23333333333329</v>
      </c>
      <c r="DJ115" s="14">
        <f>IF('[1]FC vers Ref (Km)'!DJ115&lt;&gt;0,'Délai intermédiaire'!AX115,)+11+(1/60)+2*24+15</f>
        <v>486.01666666666665</v>
      </c>
      <c r="DK115" s="14">
        <f>IF('[1]FC vers Ref (Km)'!DK115&lt;&gt;0,'Délai intermédiaire'!AY115,)+11+(1/60)</f>
        <v>189.01666666666668</v>
      </c>
      <c r="DL115" s="14">
        <f>IF('[1]FC vers Ref (Km)'!DL115&lt;&gt;0,'Délai intermédiaire'!AZ115,)+11+(1/60)</f>
        <v>11.016666666666667</v>
      </c>
      <c r="DM115" s="14">
        <f>IF('[1]FC vers Ref (Km)'!DM115&lt;&gt;0,'Délai intermédiaire'!BA115,)+11+(1/60)+7+(17/60)</f>
        <v>479.3</v>
      </c>
      <c r="DN115" s="14">
        <f>IF('[1]FC vers Ref (Km)'!DN115&lt;&gt;0,'Délai intermédiaire'!BB115,)+11+(1/60)</f>
        <v>310.01666666666665</v>
      </c>
      <c r="DO115" s="14">
        <f>IF('[1]FC vers Ref (Km)'!DO115&lt;&gt;0,'Délai intermédiaire'!BC115,)+11+(1/60)</f>
        <v>412.01666666666665</v>
      </c>
      <c r="DP115" s="14">
        <f>IF('[1]FC vers Ref (Km)'!DP115&lt;&gt;0,'Délai intermédiaire'!BD115,)+11+(1/60)</f>
        <v>251.01666666666668</v>
      </c>
      <c r="DQ115" s="14">
        <f>IF('[1]FC vers Ref (Km)'!DQ115&lt;&gt;0,'Délai intermédiaire'!BE115,)+11+(1/60)+1+(22/60)</f>
        <v>233.38333333333335</v>
      </c>
      <c r="DR115" s="14">
        <f>IF('[1]FC vers Ref (Km)'!DR115&lt;&gt;0,'Délai intermédiaire'!BF115,)+11+(1/60)</f>
        <v>224.01666666666668</v>
      </c>
      <c r="DS115" s="14">
        <f>IF('[1]FC vers Ref (Km)'!DS115&lt;&gt;0,'Délai intermédiaire'!BG115,)+11+(1/60)+10+(43/60)</f>
        <v>469.73333333333329</v>
      </c>
      <c r="DT115" s="14">
        <f>IF('[1]FC vers Ref (Km)'!DT115&lt;&gt;0,'Délai intermédiaire'!BH115,)+11+(1/60)+(12/60)</f>
        <v>422.21666666666664</v>
      </c>
      <c r="DU115" s="14">
        <f>IF('[1]FC vers Ref (Km)'!DU115&lt;&gt;0,'Délai intermédiaire'!BI115,)+11+(1/60)+7+(45/60)</f>
        <v>191.76666666666668</v>
      </c>
      <c r="DV115" s="14">
        <f>IF('[1]FC vers Ref (Km)'!DV115&lt;&gt;0,'Délai intermédiaire'!BJ115,)+11+(1/60)+1+(10/60)</f>
        <v>260.18333333333334</v>
      </c>
      <c r="DW115" s="15">
        <f>IF('[1]FC vers Ref (Km)'!DW115&lt;&gt;0,'Délai intermédiaire'!BK115,)+11+(1/60)+12+(41/60)</f>
        <v>271.7</v>
      </c>
      <c r="DX115" s="27"/>
      <c r="DY115" s="10" t="s">
        <v>11</v>
      </c>
      <c r="DZ115" s="35" t="s">
        <v>12</v>
      </c>
      <c r="EA115" s="11">
        <f>IF('[1]FC vers Ref (Km)'!EA115&lt;&gt;0,C115,)</f>
        <v>0</v>
      </c>
      <c r="EB115" s="13">
        <f>IF('[1]FC vers Ref (Km)'!EB115&lt;&gt;0,D115,)</f>
        <v>0</v>
      </c>
      <c r="EC115" s="13">
        <f>IF('[1]FC vers Ref (Km)'!EC115&lt;&gt;0,E115,)+7+(55/60)+19+(53/60)</f>
        <v>278.8</v>
      </c>
      <c r="ED115" s="13">
        <f>IF('[1]FC vers Ref (Km)'!ED115&lt;&gt;0,F115,)</f>
        <v>0</v>
      </c>
      <c r="EE115" s="13">
        <f>IF('[1]FC vers Ref (Km)'!EE115&lt;&gt;0,G115,)+(32/60)</f>
        <v>249.53333333333333</v>
      </c>
      <c r="EF115" s="13">
        <f>IF('[1]FC vers Ref (Km)'!EF115&lt;&gt;0,H115,)+14+(25/60)+31+(8/60)</f>
        <v>93.55</v>
      </c>
      <c r="EG115" s="13">
        <f>IF('[1]FC vers Ref (Km)'!EG115&lt;&gt;0,I115,)</f>
        <v>0</v>
      </c>
      <c r="EH115" s="13">
        <f>IF('[1]FC vers Ref (Km)'!EH115&lt;&gt;0,J115,)</f>
        <v>0</v>
      </c>
      <c r="EI115" s="13">
        <f>IF('[1]FC vers Ref (Km)'!EI115&lt;&gt;0,K115,)+5+(11/60)</f>
        <v>307.18333333333334</v>
      </c>
      <c r="EJ115" s="13">
        <f>IF('[1]FC vers Ref (Km)'!EJ115&lt;&gt;0,L115,)</f>
        <v>0</v>
      </c>
      <c r="EK115" s="12">
        <f>IF('[1]FC vers Ref (Km)'!EK115&lt;&gt;0,M115,)</f>
        <v>0</v>
      </c>
      <c r="EL115" s="13">
        <f>IF('[1]FC vers Ref (Km)'!EL115&lt;&gt;0,N115,)</f>
        <v>0</v>
      </c>
      <c r="EM115" s="13">
        <f>IF('[1]FC vers Ref (Km)'!EM115&lt;&gt;0,O115,)</f>
        <v>0</v>
      </c>
      <c r="EN115" s="14">
        <f>IF('[1]FC vers Ref (Km)'!EN115&lt;&gt;0,P115,)</f>
        <v>0</v>
      </c>
      <c r="EO115" s="14">
        <f>IF('[1]FC vers Ref (Km)'!EO115&lt;&gt;0,Q115,)</f>
        <v>0</v>
      </c>
      <c r="EP115" s="14">
        <f>IF('[1]FC vers Ref (Km)'!EP115&lt;&gt;0,R115,)</f>
        <v>0</v>
      </c>
      <c r="EQ115" s="14">
        <f>IF('[1]FC vers Ref (Km)'!EQ115&lt;&gt;0,S115,)</f>
        <v>0</v>
      </c>
      <c r="ER115" s="14">
        <f>IF('[1]FC vers Ref (Km)'!ER115&lt;&gt;0,T115,)</f>
        <v>0</v>
      </c>
      <c r="ES115" s="14">
        <f>IF('[1]FC vers Ref (Km)'!ES115&lt;&gt;0,U115,)+2+(21/60)</f>
        <v>363.35</v>
      </c>
      <c r="ET115" s="14">
        <f>IF('[1]FC vers Ref (Km)'!ET115&lt;&gt;0,V115,)+1+(44/60)</f>
        <v>379.73333333333335</v>
      </c>
      <c r="EU115" s="14">
        <f>IF('[1]FC vers Ref (Km)'!EU115&lt;&gt;0,W115,)+1+(47/60)+2+(31/60)+2+(54/60)</f>
        <v>425.2</v>
      </c>
      <c r="EV115" s="14">
        <f>IF('[1]FC vers Ref (Km)'!EV115&lt;&gt;0,X115,)</f>
        <v>0</v>
      </c>
      <c r="EW115" s="14">
        <f>IF('[1]FC vers Ref (Km)'!EW115&lt;&gt;0,Y115,)+(56/60)+(59/60)</f>
        <v>391.91666666666669</v>
      </c>
      <c r="EX115" s="14">
        <f>IF('[1]FC vers Ref (Km)'!EX115&lt;&gt;0,Z115,)+1+(35/60)+(37/60)</f>
        <v>371.2</v>
      </c>
      <c r="EY115" s="14">
        <f>IF('[1]FC vers Ref (Km)'!EY115&lt;&gt;0,AA115,)+1+(18/60)</f>
        <v>387.3</v>
      </c>
      <c r="EZ115" s="14">
        <f>IF('[1]FC vers Ref (Km)'!EZ115&lt;&gt;0,AB115,)+1+(39/60)</f>
        <v>386.65</v>
      </c>
      <c r="FA115" s="14">
        <f>IF('[1]FC vers Ref (Km)'!FA115&lt;&gt;0,AC115,)+1+(47/60)</f>
        <v>367.78333333333336</v>
      </c>
      <c r="FB115" s="14">
        <f>IF('[1]FC vers Ref (Km)'!FB115&lt;&gt;0,AD115,)</f>
        <v>0</v>
      </c>
      <c r="FC115" s="14">
        <f>IF('[1]FC vers Ref (Km)'!FC115&lt;&gt;0,AE115,)</f>
        <v>0</v>
      </c>
      <c r="FD115" s="14">
        <f>IF('[1]FC vers Ref (Km)'!FD115&lt;&gt;0,AF115,)+5+(31/60)+5+(51/60)+1+(8/60)</f>
        <v>430.5</v>
      </c>
      <c r="FE115" s="14">
        <f>IF('[1]FC vers Ref (Km)'!FE115&lt;&gt;0,AG115,)+4+(2/60)+5+(51/60)+1+(8/60)</f>
        <v>429.01666666666671</v>
      </c>
      <c r="FF115" s="14">
        <f>IF('[1]FC vers Ref (Km)'!FF115&lt;&gt;0,AH115,)+1+(7/60)+5+(51/60)+1+(8/60)</f>
        <v>426.1</v>
      </c>
      <c r="FG115" s="14">
        <f>IF('[1]FC vers Ref (Km)'!FG115&lt;&gt;0,AI115,)+15+(50/60)</f>
        <v>411.83333333333331</v>
      </c>
      <c r="FH115" s="14">
        <f>IF('[1]FC vers Ref (Km)'!FH115&lt;&gt;0,AJ115,)</f>
        <v>0</v>
      </c>
      <c r="FI115" s="14">
        <f>IF('[1]FC vers Ref (Km)'!FI115&lt;&gt;0,AK115,)+4+(40/60)+11+(32/60)</f>
        <v>412.20000000000005</v>
      </c>
      <c r="FJ115" s="14">
        <f>IF('[1]FC vers Ref (Km)'!FJ115&lt;&gt;0,AL115,)</f>
        <v>0</v>
      </c>
      <c r="FK115" s="14">
        <f>IF('[1]FC vers Ref (Km)'!FK115&lt;&gt;0,AM115,)</f>
        <v>0</v>
      </c>
      <c r="FL115" s="14">
        <f>IF('[1]FC vers Ref (Km)'!FL115&lt;&gt;0,AN115,)</f>
        <v>0</v>
      </c>
      <c r="FM115" s="14">
        <f>IF('[1]FC vers Ref (Km)'!FM115&lt;&gt;0,AO115,)+(55/60)</f>
        <v>192.91666666666666</v>
      </c>
      <c r="FN115" s="14">
        <f>IF('[1]FC vers Ref (Km)'!FN115&lt;&gt;0,AP115,)</f>
        <v>0</v>
      </c>
      <c r="FO115" s="14">
        <f>IF('[1]FC vers Ref (Km)'!FO115&lt;&gt;0,AQ115,)</f>
        <v>0</v>
      </c>
      <c r="FP115" s="14">
        <f>IF('[1]FC vers Ref (Km)'!FP115&lt;&gt;0,AR115,)</f>
        <v>0</v>
      </c>
      <c r="FQ115" s="14">
        <f>IF('[1]FC vers Ref (Km)'!FQ115&lt;&gt;0,AS115,)</f>
        <v>0</v>
      </c>
      <c r="FR115" s="14">
        <f>IF('[1]FC vers Ref (Km)'!FR115&lt;&gt;0,AT115,)</f>
        <v>0</v>
      </c>
      <c r="FS115" s="14">
        <f>IF('[1]FC vers Ref (Km)'!FS115&lt;&gt;0,AU115,)</f>
        <v>0</v>
      </c>
      <c r="FT115" s="14">
        <f>IF('[1]FC vers Ref (Km)'!FT115&lt;&gt;0,AV115,)+1+(7/60)</f>
        <v>210.11666666666667</v>
      </c>
      <c r="FU115" s="14">
        <f>IF('[1]FC vers Ref (Km)'!FU115&lt;&gt;0,AW115,)+8+(3/60)</f>
        <v>420.05</v>
      </c>
      <c r="FV115" s="14">
        <f>IF('[1]FC vers Ref (Km)'!FV115&lt;&gt;0,AX115,)+2*24+11</f>
        <v>471</v>
      </c>
      <c r="FW115" s="14">
        <f>IF('[1]FC vers Ref (Km)'!FW115&lt;&gt;0,AY115,)</f>
        <v>0</v>
      </c>
      <c r="FX115" s="14">
        <f>IF('[1]FC vers Ref (Km)'!FX115&lt;&gt;0,AZ115,)</f>
        <v>0</v>
      </c>
      <c r="FY115" s="14">
        <f>IF('[1]FC vers Ref (Km)'!FY115&lt;&gt;0,BA115,)+5+(41/60)</f>
        <v>466.68333333333334</v>
      </c>
      <c r="FZ115" s="14">
        <f>IF('[1]FC vers Ref (Km)'!FZ115&lt;&gt;0,BB115,)</f>
        <v>0</v>
      </c>
      <c r="GA115" s="14">
        <f>IF('[1]FC vers Ref (Km)'!GA115&lt;&gt;0,BC115,)</f>
        <v>0</v>
      </c>
      <c r="GB115" s="14">
        <f>IF('[1]FC vers Ref (Km)'!GB115&lt;&gt;0,BD115,)</f>
        <v>0</v>
      </c>
      <c r="GC115" s="14">
        <f>IF('[1]FC vers Ref (Km)'!GC115&lt;&gt;0,BE115,)+(30/60)</f>
        <v>221.5</v>
      </c>
      <c r="GD115" s="14">
        <f>IF('[1]FC vers Ref (Km)'!GD115&lt;&gt;0,BF115,)</f>
        <v>0</v>
      </c>
      <c r="GE115" s="14">
        <f>IF('[1]FC vers Ref (Km)'!GE115&lt;&gt;0,BG115,)+15+(1/60)</f>
        <v>463.01666666666665</v>
      </c>
      <c r="GF115" s="14">
        <f>IF('[1]FC vers Ref (Km)'!GF115&lt;&gt;0,BH115,)</f>
        <v>0</v>
      </c>
      <c r="GG115" s="14">
        <f>IF('[1]FC vers Ref (Km)'!GG115&lt;&gt;0,BI115,)</f>
        <v>0</v>
      </c>
      <c r="GH115" s="14">
        <f>IF('[1]FC vers Ref (Km)'!GH115&lt;&gt;0,BJ115,)</f>
        <v>0</v>
      </c>
      <c r="GI115" s="15">
        <f>IF('[1]FC vers Ref (Km)'!GI115&lt;&gt;0,BK115,)</f>
        <v>0</v>
      </c>
    </row>
    <row r="116" spans="1:191" x14ac:dyDescent="0.3">
      <c r="A116" s="10" t="s">
        <v>12</v>
      </c>
      <c r="B116" s="35" t="s">
        <v>73</v>
      </c>
      <c r="C116" s="11">
        <f>9*24+3</f>
        <v>219</v>
      </c>
      <c r="D116" s="13">
        <f>9*24+12</f>
        <v>228</v>
      </c>
      <c r="E116" s="13">
        <f>10*24+11</f>
        <v>251</v>
      </c>
      <c r="F116" s="13">
        <f>14*24+11</f>
        <v>347</v>
      </c>
      <c r="G116" s="13">
        <f>10*24+9</f>
        <v>249</v>
      </c>
      <c r="H116" s="13">
        <f>2*24</f>
        <v>48</v>
      </c>
      <c r="I116" s="13">
        <f>5</f>
        <v>5</v>
      </c>
      <c r="J116" s="13">
        <f>2*24</f>
        <v>48</v>
      </c>
      <c r="K116" s="13">
        <f>12*24+14</f>
        <v>302</v>
      </c>
      <c r="L116" s="13">
        <f>12*24+14</f>
        <v>302</v>
      </c>
      <c r="M116" s="13">
        <v>0</v>
      </c>
      <c r="N116" s="12"/>
      <c r="O116" s="13">
        <v>228</v>
      </c>
      <c r="P116" s="14">
        <v>346</v>
      </c>
      <c r="Q116" s="14">
        <v>301</v>
      </c>
      <c r="R116" s="14">
        <v>367</v>
      </c>
      <c r="S116" s="14">
        <v>358</v>
      </c>
      <c r="T116" s="14">
        <v>368</v>
      </c>
      <c r="U116" s="14">
        <v>361</v>
      </c>
      <c r="V116" s="14">
        <v>378</v>
      </c>
      <c r="W116" s="14">
        <v>418</v>
      </c>
      <c r="X116" s="14">
        <v>380</v>
      </c>
      <c r="Y116" s="14">
        <v>390</v>
      </c>
      <c r="Z116" s="14">
        <v>369</v>
      </c>
      <c r="AA116" s="14">
        <v>386</v>
      </c>
      <c r="AB116" s="14">
        <v>385</v>
      </c>
      <c r="AC116" s="14">
        <v>366</v>
      </c>
      <c r="AD116" s="14">
        <v>371</v>
      </c>
      <c r="AE116" s="14">
        <v>390</v>
      </c>
      <c r="AF116" s="14">
        <v>418</v>
      </c>
      <c r="AG116" s="14">
        <v>418</v>
      </c>
      <c r="AH116" s="14">
        <v>418</v>
      </c>
      <c r="AI116" s="14">
        <v>396</v>
      </c>
      <c r="AJ116" s="14">
        <v>364</v>
      </c>
      <c r="AK116" s="14">
        <v>396</v>
      </c>
      <c r="AL116" s="14">
        <v>361</v>
      </c>
      <c r="AM116" s="14">
        <v>178</v>
      </c>
      <c r="AN116" s="14">
        <v>190</v>
      </c>
      <c r="AO116" s="14">
        <v>192</v>
      </c>
      <c r="AP116" s="14">
        <v>306</v>
      </c>
      <c r="AQ116" s="14">
        <v>284</v>
      </c>
      <c r="AR116" s="14">
        <v>351</v>
      </c>
      <c r="AS116" s="14">
        <v>438</v>
      </c>
      <c r="AT116" s="14">
        <v>438</v>
      </c>
      <c r="AU116" s="14">
        <v>438</v>
      </c>
      <c r="AV116" s="14">
        <f>8*24+17</f>
        <v>209</v>
      </c>
      <c r="AW116" s="14">
        <f>17*24+4</f>
        <v>412</v>
      </c>
      <c r="AX116" s="14">
        <f>17*24+4</f>
        <v>412</v>
      </c>
      <c r="AY116" s="14">
        <f>7*24+10</f>
        <v>178</v>
      </c>
      <c r="AZ116" s="14"/>
      <c r="BA116" s="14">
        <f>19*24+5</f>
        <v>461</v>
      </c>
      <c r="BB116" s="14">
        <f>12*24+11</f>
        <v>299</v>
      </c>
      <c r="BC116" s="14">
        <f>16*24+17</f>
        <v>401</v>
      </c>
      <c r="BD116" s="14">
        <f>10*24</f>
        <v>240</v>
      </c>
      <c r="BE116" s="14">
        <f>9*24+5</f>
        <v>221</v>
      </c>
      <c r="BF116" s="14">
        <f>8*24+21</f>
        <v>213</v>
      </c>
      <c r="BG116" s="14">
        <f>18*24+16</f>
        <v>448</v>
      </c>
      <c r="BH116" s="14">
        <f>17*24+3</f>
        <v>411</v>
      </c>
      <c r="BI116" s="14">
        <f>7*24+5</f>
        <v>173</v>
      </c>
      <c r="BJ116" s="14">
        <f>10*24+8</f>
        <v>248</v>
      </c>
      <c r="BK116" s="15">
        <f>10*24+8</f>
        <v>248</v>
      </c>
      <c r="BM116" s="10" t="s">
        <v>12</v>
      </c>
      <c r="BN116" s="35" t="s">
        <v>73</v>
      </c>
      <c r="BO116" s="11">
        <f>IF('[1]FC vers Ref (Km)'!BO116&lt;&gt;0,'Délai intermédiaire'!C116,)</f>
        <v>0</v>
      </c>
      <c r="BP116" s="13">
        <f>IF('[1]FC vers Ref (Km)'!BP116&lt;&gt;0,'Délai intermédiaire'!D116,)</f>
        <v>0</v>
      </c>
      <c r="BQ116" s="13">
        <f>IF('[1]FC vers Ref (Km)'!BQ116&lt;&gt;0,'Délai intermédiaire'!E116,)+19+(49/60)</f>
        <v>270.81666666666666</v>
      </c>
      <c r="BR116" s="13">
        <f>IF('[1]FC vers Ref (Km)'!BR116&lt;&gt;0,'Délai intermédiaire'!F116,)</f>
        <v>0</v>
      </c>
      <c r="BS116" s="13">
        <f>IF('[1]FC vers Ref (Km)'!BS116&lt;&gt;0,'Délai intermédiaire'!G116,)+(48/60)</f>
        <v>249.8</v>
      </c>
      <c r="BT116" s="13">
        <f>IF('[1]FC vers Ref (Km)'!BT116&lt;&gt;0,'Délai intermédiaire'!H116,)+15+(47/60)</f>
        <v>63.783333333333331</v>
      </c>
      <c r="BU116" s="13">
        <f>IF('[1]FC vers Ref (Km)'!BU116&lt;&gt;0,'Délai intermédiaire'!I116,)</f>
        <v>0</v>
      </c>
      <c r="BV116" s="13">
        <f>IF('[1]FC vers Ref (Km)'!BV116&lt;&gt;0,'Délai intermédiaire'!J116,)</f>
        <v>0</v>
      </c>
      <c r="BW116" s="13">
        <f>IF('[1]FC vers Ref (Km)'!BW116&lt;&gt;0,'Délai intermédiaire'!K116,)+6+(13/60)</f>
        <v>308.21666666666664</v>
      </c>
      <c r="BX116" s="13">
        <f>IF('[1]FC vers Ref (Km)'!BX116&lt;&gt;0,'Délai intermédiaire'!L116,)</f>
        <v>0</v>
      </c>
      <c r="BY116" s="13">
        <f>IF('[1]FC vers Ref (Km)'!BY116&lt;&gt;0,'Délai intermédiaire'!M117,)+11+(1/60)</f>
        <v>239.01666666666668</v>
      </c>
      <c r="BZ116" s="12"/>
      <c r="CA116" s="13">
        <f>IF('[1]FC vers Ref (Km)'!CA116&lt;&gt;0,'Délai intermédiaire'!O116,)+4+(51/60)</f>
        <v>232.85</v>
      </c>
      <c r="CB116" s="14">
        <f>IF('[1]FC vers Ref (Km)'!CB116&lt;&gt;0,'Délai intermédiaire'!P116,)+5+(3/60)</f>
        <v>351.05</v>
      </c>
      <c r="CC116" s="14">
        <f>IF('[1]FC vers Ref (Km)'!CC116&lt;&gt;0,'Délai intermédiaire'!Q116,)+(40/60)</f>
        <v>301.66666666666669</v>
      </c>
      <c r="CD116" s="14">
        <f>IF('[1]FC vers Ref (Km)'!CD116&lt;&gt;0,'Délai intermédiaire'!R116,)</f>
        <v>0</v>
      </c>
      <c r="CE116" s="14">
        <f>IF('[1]FC vers Ref (Km)'!CE116&lt;&gt;0,'Délai intermédiaire'!S116,)</f>
        <v>0</v>
      </c>
      <c r="CF116" s="14">
        <f>IF('[1]FC vers Ref (Km)'!CF116&lt;&gt;0,'Délai intermédiaire'!T116,)</f>
        <v>0</v>
      </c>
      <c r="CG116" s="14">
        <f>IF('[1]FC vers Ref (Km)'!CG116&lt;&gt;0,'Délai intermédiaire'!U116,)+1+(53/60)</f>
        <v>362.88333333333333</v>
      </c>
      <c r="CH116" s="14">
        <f>IF('[1]FC vers Ref (Km)'!CH116&lt;&gt;0,'Délai intermédiaire'!V116,)+2+(57/60)</f>
        <v>380.95</v>
      </c>
      <c r="CI116" s="14">
        <f>IF('[1]FC vers Ref (Km)'!CI116&lt;&gt;0,'Délai intermédiaire'!W116,)+4+(47/60)</f>
        <v>422.78333333333336</v>
      </c>
      <c r="CJ116" s="14">
        <f>IF('[1]FC vers Ref (Km)'!CJ116&lt;&gt;0,'Délai intermédiaire'!X116,)</f>
        <v>0</v>
      </c>
      <c r="CK116" s="14">
        <f>IF('[1]FC vers Ref (Km)'!CK116&lt;&gt;0,'Délai intermédiaire'!Y116,)+1+(33/60)</f>
        <v>391.55</v>
      </c>
      <c r="CL116" s="14">
        <f>IF('[1]FC vers Ref (Km)'!CL116&lt;&gt;0,'Délai intermédiaire'!Z116,)+2+(30/60)</f>
        <v>371.5</v>
      </c>
      <c r="CM116" s="14">
        <f>IF('[1]FC vers Ref (Km)'!CM116&lt;&gt;0,'Délai intermédiaire'!AA116,)+(56/60)</f>
        <v>386.93333333333334</v>
      </c>
      <c r="CN116" s="14">
        <f>IF('[1]FC vers Ref (Km)'!CN116&lt;&gt;0,'Délai intermédiaire'!AB116,)+1+(39/60)</f>
        <v>386.65</v>
      </c>
      <c r="CO116" s="14">
        <f>IF('[1]FC vers Ref (Km)'!CO116&lt;&gt;0,'Délai intermédiaire'!AC116,)+3+(25/60)</f>
        <v>369.41666666666669</v>
      </c>
      <c r="CP116" s="14">
        <f>IF('[1]FC vers Ref (Km)'!CP116&lt;&gt;0,'Délai intermédiaire'!AD116,)</f>
        <v>0</v>
      </c>
      <c r="CQ116" s="14">
        <f>IF('[1]FC vers Ref (Km)'!CQ116&lt;&gt;0,'Délai intermédiaire'!AE116,)</f>
        <v>0</v>
      </c>
      <c r="CR116" s="14">
        <f>IF('[1]FC vers Ref (Km)'!CR116&lt;&gt;0,'Délai intermédiaire'!AF116,)+9+(1/60)</f>
        <v>427.01666666666665</v>
      </c>
      <c r="CS116" s="14">
        <f>IF('[1]FC vers Ref (Km)'!CS116&lt;&gt;0,'Délai intermédiaire'!AG116,)+7+(48/60)</f>
        <v>425.8</v>
      </c>
      <c r="CT116" s="14">
        <f>IF('[1]FC vers Ref (Km)'!CT116&lt;&gt;0,'Délai intermédiaire'!AH116,)+5+(5/60)</f>
        <v>423.08333333333331</v>
      </c>
      <c r="CU116" s="14">
        <f>IF('[1]FC vers Ref (Km)'!CU116&lt;&gt;0,'Délai intermédiaire'!AI116,)+19+(46/60)</f>
        <v>415.76666666666665</v>
      </c>
      <c r="CV116" s="14">
        <f>IF('[1]FC vers Ref (Km)'!CV116&lt;&gt;0,'Délai intermédiaire'!AJ116,)</f>
        <v>0</v>
      </c>
      <c r="CW116" s="14">
        <f>IF('[1]FC vers Ref (Km)'!CW116&lt;&gt;0,'Délai intermédiaire'!AK116,)+12+(26/60)</f>
        <v>408.43333333333334</v>
      </c>
      <c r="CX116" s="14">
        <f>IF('[1]FC vers Ref (Km)'!CX116&lt;&gt;0,'Délai intermédiaire'!AL116,)</f>
        <v>0</v>
      </c>
      <c r="CY116" s="14">
        <f>IF('[1]FC vers Ref (Km)'!CY116&lt;&gt;0,'Délai intermédiaire'!AM116,)</f>
        <v>0</v>
      </c>
      <c r="CZ116" s="14">
        <f>IF('[1]FC vers Ref (Km)'!CZ116&lt;&gt;0,'Délai intermédiaire'!AN116,)</f>
        <v>0</v>
      </c>
      <c r="DA116" s="14">
        <f>IF('[1]FC vers Ref (Km)'!DA116&lt;&gt;0,'Délai intermédiaire'!AO116,)+1+(56/60)</f>
        <v>193.93333333333334</v>
      </c>
      <c r="DB116" s="14">
        <f>IF('[1]FC vers Ref (Km)'!DB116&lt;&gt;0,'Délai intermédiaire'!AP116,)</f>
        <v>0</v>
      </c>
      <c r="DC116" s="14">
        <f>IF('[1]FC vers Ref (Km)'!DC116&lt;&gt;0,'Délai intermédiaire'!AQ116,)</f>
        <v>0</v>
      </c>
      <c r="DD116" s="14">
        <f>IF('[1]FC vers Ref (Km)'!DD116&lt;&gt;0,'Délai intermédiaire'!AR116,)</f>
        <v>0</v>
      </c>
      <c r="DE116" s="14">
        <f>IF('[1]FC vers Ref (Km)'!DE116&lt;&gt;0,'Délai intermédiaire'!AS116,)</f>
        <v>0</v>
      </c>
      <c r="DF116" s="14">
        <f>IF('[1]FC vers Ref (Km)'!DF116&lt;&gt;0,'Délai intermédiaire'!AT116,)+20+(5/60)</f>
        <v>458.08333333333331</v>
      </c>
      <c r="DG116" s="14">
        <f>IF('[1]FC vers Ref (Km)'!DG116&lt;&gt;0,'Délai intermédiaire'!AU116,)+11+(36/60)</f>
        <v>449.6</v>
      </c>
      <c r="DH116" s="14">
        <f>IF('[1]FC vers Ref (Km)'!DH116&lt;&gt;0,'Délai intermédiaire'!AV116,)+(28/60)</f>
        <v>209.46666666666667</v>
      </c>
      <c r="DI116" s="14">
        <f>IF('[1]FC vers Ref (Km)'!DI116&lt;&gt;0,'Délai intermédiaire'!AW116,)+7+(13/60)</f>
        <v>419.21666666666664</v>
      </c>
      <c r="DJ116" s="14">
        <f>IF('[1]FC vers Ref (Km)'!DJ116&lt;&gt;0,'Délai intermédiaire'!AX116,)+2*24+15</f>
        <v>475</v>
      </c>
      <c r="DK116" s="14">
        <f>IF('[1]FC vers Ref (Km)'!DK116&lt;&gt;0,'Délai intermédiaire'!AY116,)</f>
        <v>0</v>
      </c>
      <c r="DL116" s="14">
        <f>IF('[1]FC vers Ref (Km)'!DL116&lt;&gt;0,'Délai intermédiaire'!AZ116,)</f>
        <v>0</v>
      </c>
      <c r="DM116" s="14">
        <f>IF('[1]FC vers Ref (Km)'!DM116&lt;&gt;0,'Délai intermédiaire'!BA116,)+7+(17/60)</f>
        <v>468.28333333333336</v>
      </c>
      <c r="DN116" s="14">
        <f>IF('[1]FC vers Ref (Km)'!DN116&lt;&gt;0,'Délai intermédiaire'!BB116,)</f>
        <v>0</v>
      </c>
      <c r="DO116" s="14">
        <f>IF('[1]FC vers Ref (Km)'!DO116&lt;&gt;0,'Délai intermédiaire'!BC116,)</f>
        <v>0</v>
      </c>
      <c r="DP116" s="14">
        <f>IF('[1]FC vers Ref (Km)'!DP116&lt;&gt;0,'Délai intermédiaire'!BD116,)</f>
        <v>0</v>
      </c>
      <c r="DQ116" s="14">
        <f>IF('[1]FC vers Ref (Km)'!DQ116&lt;&gt;0,'Délai intermédiaire'!BE116,)+1+(22/60)</f>
        <v>222.36666666666667</v>
      </c>
      <c r="DR116" s="14">
        <f>IF('[1]FC vers Ref (Km)'!DR116&lt;&gt;0,'Délai intermédiaire'!BF116,)</f>
        <v>0</v>
      </c>
      <c r="DS116" s="14">
        <f>IF('[1]FC vers Ref (Km)'!DS116&lt;&gt;0,'Délai intermédiaire'!BG116,)+10+(43/60)+10+(43/60)</f>
        <v>469.43333333333328</v>
      </c>
      <c r="DT116" s="14">
        <f>IF('[1]FC vers Ref (Km)'!DT116&lt;&gt;0,'Délai intermédiaire'!BH116,)+(12/60)</f>
        <v>411.2</v>
      </c>
      <c r="DU116" s="14">
        <f>IF('[1]FC vers Ref (Km)'!DU116&lt;&gt;0,'Délai intermédiaire'!BI116,)+7+(45/60)</f>
        <v>180.75</v>
      </c>
      <c r="DV116" s="14">
        <f>IF('[1]FC vers Ref (Km)'!DV116&lt;&gt;0,'Délai intermédiaire'!BJ116,)+1+(10/60)</f>
        <v>249.16666666666666</v>
      </c>
      <c r="DW116" s="15">
        <f>IF('[1]FC vers Ref (Km)'!DW116&lt;&gt;0,'Délai intermédiaire'!BK116,)+12+(41/60)</f>
        <v>260.68333333333334</v>
      </c>
      <c r="DX116" s="27"/>
      <c r="DY116" s="10" t="s">
        <v>12</v>
      </c>
      <c r="DZ116" s="35" t="s">
        <v>73</v>
      </c>
      <c r="EA116" s="11">
        <f>IF('[1]FC vers Ref (Km)'!EA116&lt;&gt;0,C116,)</f>
        <v>0</v>
      </c>
      <c r="EB116" s="13">
        <f>IF('[1]FC vers Ref (Km)'!EB116&lt;&gt;0,D116,)</f>
        <v>0</v>
      </c>
      <c r="EC116" s="13">
        <f>IF('[1]FC vers Ref (Km)'!EC116&lt;&gt;0,E116,)+7+(55/60)+19+(53/60)</f>
        <v>278.8</v>
      </c>
      <c r="ED116" s="13">
        <f>IF('[1]FC vers Ref (Km)'!ED116&lt;&gt;0,F116,)</f>
        <v>0</v>
      </c>
      <c r="EE116" s="13">
        <f>IF('[1]FC vers Ref (Km)'!EE116&lt;&gt;0,G116,)+(32/60)</f>
        <v>249.53333333333333</v>
      </c>
      <c r="EF116" s="13">
        <f>IF('[1]FC vers Ref (Km)'!EF116&lt;&gt;0,H116,)+14+(25/60)+31+(8/60)</f>
        <v>93.55</v>
      </c>
      <c r="EG116" s="13">
        <f>IF('[1]FC vers Ref (Km)'!EG116&lt;&gt;0,I116,)</f>
        <v>0</v>
      </c>
      <c r="EH116" s="13">
        <f>IF('[1]FC vers Ref (Km)'!EH116&lt;&gt;0,J116,)</f>
        <v>0</v>
      </c>
      <c r="EI116" s="13">
        <f>IF('[1]FC vers Ref (Km)'!EI116&lt;&gt;0,K116,)+5+(11/60)</f>
        <v>307.18333333333334</v>
      </c>
      <c r="EJ116" s="13">
        <f>IF('[1]FC vers Ref (Km)'!EJ116&lt;&gt;0,L116,)</f>
        <v>0</v>
      </c>
      <c r="EK116" s="13">
        <f>IF('[1]FC vers Ref (Km)'!EK116&lt;&gt;0,M116,)</f>
        <v>0</v>
      </c>
      <c r="EL116" s="12">
        <f>IF('[1]FC vers Ref (Km)'!EL116&lt;&gt;0,N116,)</f>
        <v>0</v>
      </c>
      <c r="EM116" s="13">
        <f>IF('[1]FC vers Ref (Km)'!EM116&lt;&gt;0,O116,)</f>
        <v>0</v>
      </c>
      <c r="EN116" s="14">
        <f>IF('[1]FC vers Ref (Km)'!EN116&lt;&gt;0,P116,)</f>
        <v>0</v>
      </c>
      <c r="EO116" s="14">
        <f>IF('[1]FC vers Ref (Km)'!EO116&lt;&gt;0,Q116,)</f>
        <v>0</v>
      </c>
      <c r="EP116" s="14">
        <f>IF('[1]FC vers Ref (Km)'!EP116&lt;&gt;0,R116,)</f>
        <v>0</v>
      </c>
      <c r="EQ116" s="14">
        <f>IF('[1]FC vers Ref (Km)'!EQ116&lt;&gt;0,S116,)</f>
        <v>0</v>
      </c>
      <c r="ER116" s="14">
        <f>IF('[1]FC vers Ref (Km)'!ER116&lt;&gt;0,T116,)</f>
        <v>0</v>
      </c>
      <c r="ES116" s="14">
        <f>IF('[1]FC vers Ref (Km)'!ES116&lt;&gt;0,U116,)+2+(21/60)</f>
        <v>363.35</v>
      </c>
      <c r="ET116" s="14">
        <f>IF('[1]FC vers Ref (Km)'!ET116&lt;&gt;0,V116,)+1+(44/60)</f>
        <v>379.73333333333335</v>
      </c>
      <c r="EU116" s="14">
        <f>IF('[1]FC vers Ref (Km)'!EU116&lt;&gt;0,W116,)+1+(47/60)+2+(31/60)+2+(54/60)</f>
        <v>425.2</v>
      </c>
      <c r="EV116" s="14">
        <f>IF('[1]FC vers Ref (Km)'!EV116&lt;&gt;0,X116,)</f>
        <v>0</v>
      </c>
      <c r="EW116" s="14">
        <f>IF('[1]FC vers Ref (Km)'!EW116&lt;&gt;0,Y116,)+(56/60)+(59/60)</f>
        <v>391.91666666666669</v>
      </c>
      <c r="EX116" s="14">
        <f>IF('[1]FC vers Ref (Km)'!EX116&lt;&gt;0,Z116,)+1+(35/60)+(37/60)</f>
        <v>371.2</v>
      </c>
      <c r="EY116" s="14">
        <f>IF('[1]FC vers Ref (Km)'!EY116&lt;&gt;0,AA116,)+1+(18/60)</f>
        <v>387.3</v>
      </c>
      <c r="EZ116" s="14">
        <f>IF('[1]FC vers Ref (Km)'!EZ116&lt;&gt;0,AB116,)+1+(39/60)</f>
        <v>386.65</v>
      </c>
      <c r="FA116" s="14">
        <f>IF('[1]FC vers Ref (Km)'!FA116&lt;&gt;0,AC116,)+1+(47/60)</f>
        <v>367.78333333333336</v>
      </c>
      <c r="FB116" s="14">
        <f>IF('[1]FC vers Ref (Km)'!FB116&lt;&gt;0,AD116,)</f>
        <v>0</v>
      </c>
      <c r="FC116" s="14">
        <f>IF('[1]FC vers Ref (Km)'!FC116&lt;&gt;0,AE116,)</f>
        <v>0</v>
      </c>
      <c r="FD116" s="14">
        <f>IF('[1]FC vers Ref (Km)'!FD116&lt;&gt;0,AF116,)+5+(31/60)+5+(51/60)+1+(8/60)</f>
        <v>430.5</v>
      </c>
      <c r="FE116" s="14">
        <f>IF('[1]FC vers Ref (Km)'!FE116&lt;&gt;0,AG116,)+4+(2/60)+5+(51/60)+1+(8/60)</f>
        <v>429.01666666666671</v>
      </c>
      <c r="FF116" s="14">
        <f>IF('[1]FC vers Ref (Km)'!FF116&lt;&gt;0,AH116,)+1+(7/60)+5+(51/60)+1+(8/60)</f>
        <v>426.1</v>
      </c>
      <c r="FG116" s="14">
        <f>IF('[1]FC vers Ref (Km)'!FG116&lt;&gt;0,AI116,)+15+(50/60)</f>
        <v>411.83333333333331</v>
      </c>
      <c r="FH116" s="14">
        <f>IF('[1]FC vers Ref (Km)'!FH116&lt;&gt;0,AJ116,)</f>
        <v>0</v>
      </c>
      <c r="FI116" s="14">
        <f>IF('[1]FC vers Ref (Km)'!FI116&lt;&gt;0,AK116,)+4+(40/60)+11+(32/60)</f>
        <v>412.20000000000005</v>
      </c>
      <c r="FJ116" s="14">
        <f>IF('[1]FC vers Ref (Km)'!FJ116&lt;&gt;0,AL116,)</f>
        <v>0</v>
      </c>
      <c r="FK116" s="14">
        <f>IF('[1]FC vers Ref (Km)'!FK116&lt;&gt;0,AM116,)</f>
        <v>0</v>
      </c>
      <c r="FL116" s="14">
        <f>IF('[1]FC vers Ref (Km)'!FL116&lt;&gt;0,AN116,)</f>
        <v>0</v>
      </c>
      <c r="FM116" s="14">
        <f>IF('[1]FC vers Ref (Km)'!FM116&lt;&gt;0,AO116,)+(55/60)</f>
        <v>192.91666666666666</v>
      </c>
      <c r="FN116" s="14">
        <f>IF('[1]FC vers Ref (Km)'!FN116&lt;&gt;0,AP116,)</f>
        <v>0</v>
      </c>
      <c r="FO116" s="14">
        <f>IF('[1]FC vers Ref (Km)'!FO116&lt;&gt;0,AQ116,)</f>
        <v>0</v>
      </c>
      <c r="FP116" s="14">
        <f>IF('[1]FC vers Ref (Km)'!FP116&lt;&gt;0,AR116,)</f>
        <v>0</v>
      </c>
      <c r="FQ116" s="14">
        <f>IF('[1]FC vers Ref (Km)'!FQ116&lt;&gt;0,AS116,)</f>
        <v>0</v>
      </c>
      <c r="FR116" s="14">
        <f>IF('[1]FC vers Ref (Km)'!FR116&lt;&gt;0,AT116,)</f>
        <v>0</v>
      </c>
      <c r="FS116" s="14">
        <f>IF('[1]FC vers Ref (Km)'!FS116&lt;&gt;0,AU116,)</f>
        <v>0</v>
      </c>
      <c r="FT116" s="14">
        <f>IF('[1]FC vers Ref (Km)'!FT116&lt;&gt;0,AV116,)+1+(7/60)</f>
        <v>210.11666666666667</v>
      </c>
      <c r="FU116" s="14">
        <f>IF('[1]FC vers Ref (Km)'!FU116&lt;&gt;0,AW116,)+8+(3/60)</f>
        <v>420.05</v>
      </c>
      <c r="FV116" s="14">
        <f>IF('[1]FC vers Ref (Km)'!FV116&lt;&gt;0,AX116,)+2*24+11</f>
        <v>471</v>
      </c>
      <c r="FW116" s="14">
        <f>IF('[1]FC vers Ref (Km)'!FW116&lt;&gt;0,AY116,)</f>
        <v>0</v>
      </c>
      <c r="FX116" s="14">
        <f>IF('[1]FC vers Ref (Km)'!FX116&lt;&gt;0,AZ116,)</f>
        <v>0</v>
      </c>
      <c r="FY116" s="14">
        <f>IF('[1]FC vers Ref (Km)'!FY116&lt;&gt;0,BA116,)+5+(41/60)</f>
        <v>466.68333333333334</v>
      </c>
      <c r="FZ116" s="14">
        <f>IF('[1]FC vers Ref (Km)'!FZ116&lt;&gt;0,BB116,)</f>
        <v>0</v>
      </c>
      <c r="GA116" s="14">
        <f>IF('[1]FC vers Ref (Km)'!GA116&lt;&gt;0,BC116,)</f>
        <v>0</v>
      </c>
      <c r="GB116" s="14">
        <f>IF('[1]FC vers Ref (Km)'!GB116&lt;&gt;0,BD116,)</f>
        <v>0</v>
      </c>
      <c r="GC116" s="14">
        <f>IF('[1]FC vers Ref (Km)'!GC116&lt;&gt;0,BE116,)+(30/60)</f>
        <v>221.5</v>
      </c>
      <c r="GD116" s="14">
        <f>IF('[1]FC vers Ref (Km)'!GD116&lt;&gt;0,BF116,)</f>
        <v>0</v>
      </c>
      <c r="GE116" s="14">
        <f>IF('[1]FC vers Ref (Km)'!GE116&lt;&gt;0,BG116,)+15+(1/60)</f>
        <v>463.01666666666665</v>
      </c>
      <c r="GF116" s="14">
        <f>IF('[1]FC vers Ref (Km)'!GF116&lt;&gt;0,BH116,)</f>
        <v>0</v>
      </c>
      <c r="GG116" s="14">
        <f>IF('[1]FC vers Ref (Km)'!GG116&lt;&gt;0,BI116,)</f>
        <v>0</v>
      </c>
      <c r="GH116" s="14">
        <f>IF('[1]FC vers Ref (Km)'!GH116&lt;&gt;0,BJ116,)</f>
        <v>0</v>
      </c>
      <c r="GI116" s="15">
        <f>IF('[1]FC vers Ref (Km)'!GI116&lt;&gt;0,BK116,)</f>
        <v>0</v>
      </c>
    </row>
    <row r="117" spans="1:191" x14ac:dyDescent="0.3">
      <c r="A117" s="10" t="s">
        <v>13</v>
      </c>
      <c r="B117" s="35" t="s">
        <v>76</v>
      </c>
      <c r="C117" s="11">
        <f>24+18</f>
        <v>42</v>
      </c>
      <c r="D117" s="13">
        <f>24+10</f>
        <v>34</v>
      </c>
      <c r="E117" s="13">
        <f>3*24+10</f>
        <v>82</v>
      </c>
      <c r="F117" s="13">
        <f>7*24+15</f>
        <v>183</v>
      </c>
      <c r="G117" s="13">
        <f>3*24+6</f>
        <v>78</v>
      </c>
      <c r="H117" s="13">
        <f>7*24+14</f>
        <v>182</v>
      </c>
      <c r="I117" s="13">
        <f>9*24+11</f>
        <v>227</v>
      </c>
      <c r="J117" s="13">
        <f>7*24+14</f>
        <v>182</v>
      </c>
      <c r="K117" s="13">
        <f>5*24+18</f>
        <v>138</v>
      </c>
      <c r="L117" s="13">
        <f>5*24+18</f>
        <v>138</v>
      </c>
      <c r="M117" s="13">
        <f>9*24+12</f>
        <v>228</v>
      </c>
      <c r="N117" s="13">
        <f>9*24+12</f>
        <v>228</v>
      </c>
      <c r="O117" s="12"/>
      <c r="P117" s="14">
        <v>219</v>
      </c>
      <c r="Q117" s="14">
        <v>174</v>
      </c>
      <c r="R117" s="14">
        <v>207</v>
      </c>
      <c r="S117" s="14">
        <v>202</v>
      </c>
      <c r="T117" s="14">
        <v>211</v>
      </c>
      <c r="U117" s="14">
        <v>205</v>
      </c>
      <c r="V117" s="14">
        <v>230</v>
      </c>
      <c r="W117" s="14">
        <v>269</v>
      </c>
      <c r="X117" s="14">
        <v>221</v>
      </c>
      <c r="Y117" s="14">
        <v>230</v>
      </c>
      <c r="Z117" s="14">
        <v>213</v>
      </c>
      <c r="AA117" s="14">
        <v>238</v>
      </c>
      <c r="AB117" s="14">
        <v>236</v>
      </c>
      <c r="AC117" s="14">
        <v>217</v>
      </c>
      <c r="AD117" s="14">
        <v>222</v>
      </c>
      <c r="AE117" s="14">
        <v>230</v>
      </c>
      <c r="AF117" s="14">
        <v>269</v>
      </c>
      <c r="AG117" s="14">
        <v>269</v>
      </c>
      <c r="AH117" s="14">
        <v>269</v>
      </c>
      <c r="AI117" s="14">
        <v>407</v>
      </c>
      <c r="AJ117" s="14">
        <v>476</v>
      </c>
      <c r="AK117" s="14">
        <v>407</v>
      </c>
      <c r="AL117" s="14">
        <v>449</v>
      </c>
      <c r="AM117" s="14">
        <v>381</v>
      </c>
      <c r="AN117" s="14">
        <v>393</v>
      </c>
      <c r="AO117" s="14">
        <v>397</v>
      </c>
      <c r="AP117" s="14">
        <v>390</v>
      </c>
      <c r="AQ117" s="14">
        <v>380</v>
      </c>
      <c r="AR117" s="14">
        <v>450</v>
      </c>
      <c r="AS117" s="14">
        <v>401</v>
      </c>
      <c r="AT117" s="14">
        <v>401</v>
      </c>
      <c r="AU117" s="14">
        <v>401</v>
      </c>
      <c r="AV117" s="14">
        <f>17*24+6</f>
        <v>414</v>
      </c>
      <c r="AW117" s="14">
        <f>10*24+13</f>
        <v>253</v>
      </c>
      <c r="AX117" s="14">
        <f>10*24+13</f>
        <v>253</v>
      </c>
      <c r="AY117" s="14">
        <f>15*24+23</f>
        <v>383</v>
      </c>
      <c r="AZ117" s="14"/>
      <c r="BA117" s="14">
        <f>16*24+21</f>
        <v>405</v>
      </c>
      <c r="BB117" s="14">
        <f>20*24+21</f>
        <v>501</v>
      </c>
      <c r="BC117" s="14">
        <f>10*24+1</f>
        <v>241</v>
      </c>
      <c r="BD117" s="14">
        <f>18*24+12</f>
        <v>444</v>
      </c>
      <c r="BE117" s="14">
        <f>17*24+18</f>
        <v>426</v>
      </c>
      <c r="BF117" s="14">
        <f>17*24+10</f>
        <v>418</v>
      </c>
      <c r="BG117" s="14">
        <f>12*24+11</f>
        <v>299</v>
      </c>
      <c r="BH117" s="14">
        <f>10*24+23</f>
        <v>263</v>
      </c>
      <c r="BI117" s="14">
        <f>3*24+3</f>
        <v>75</v>
      </c>
      <c r="BJ117" s="14">
        <f>7*24+3</f>
        <v>171</v>
      </c>
      <c r="BK117" s="15">
        <f>7*24+3</f>
        <v>171</v>
      </c>
      <c r="BM117" s="10" t="s">
        <v>13</v>
      </c>
      <c r="BN117" s="35" t="s">
        <v>76</v>
      </c>
      <c r="BO117" s="11">
        <f>IF('[1]FC vers Ref (Km)'!BO117&lt;&gt;0,'Délai intermédiaire'!C117,)+4+(51/60)</f>
        <v>46.85</v>
      </c>
      <c r="BP117" s="13">
        <f>IF('[1]FC vers Ref (Km)'!BP117&lt;&gt;0,'Délai intermédiaire'!D117,)+4+(51/60)</f>
        <v>38.85</v>
      </c>
      <c r="BQ117" s="13">
        <f>IF('[1]FC vers Ref (Km)'!BQ117&lt;&gt;0,'Délai intermédiaire'!E117,)+4+(51/60)+19+(49/60)</f>
        <v>106.66666666666666</v>
      </c>
      <c r="BR117" s="13">
        <f>IF('[1]FC vers Ref (Km)'!BR117&lt;&gt;0,'Délai intermédiaire'!F117,)+4+(51/60)</f>
        <v>187.85</v>
      </c>
      <c r="BS117" s="13">
        <f>IF('[1]FC vers Ref (Km)'!BS117&lt;&gt;0,'Délai intermédiaire'!G117,)+4+(51/60)+(48/60)</f>
        <v>83.649999999999991</v>
      </c>
      <c r="BT117" s="13">
        <f>IF('[1]FC vers Ref (Km)'!BT117&lt;&gt;0,'Délai intermédiaire'!H117,)+4+(51/60)+15+(47/60)</f>
        <v>202.63333333333333</v>
      </c>
      <c r="BU117" s="13">
        <f>IF('[1]FC vers Ref (Km)'!BU117&lt;&gt;0,'Délai intermédiaire'!I117,)+4+(51/60)</f>
        <v>231.85</v>
      </c>
      <c r="BV117" s="13">
        <f>IF('[1]FC vers Ref (Km)'!BV117&lt;&gt;0,'Délai intermédiaire'!J117,)+4+(51/60)</f>
        <v>186.85</v>
      </c>
      <c r="BW117" s="13">
        <f>IF('[1]FC vers Ref (Km)'!BW117&lt;&gt;0,'Délai intermédiaire'!K117,)+4+(51/60)+6+(13/60)</f>
        <v>149.06666666666666</v>
      </c>
      <c r="BX117" s="13">
        <f>IF('[1]FC vers Ref (Km)'!BX117&lt;&gt;0,'Délai intermédiaire'!L117,)+4+(51/60)</f>
        <v>142.85</v>
      </c>
      <c r="BY117" s="13">
        <f>IF('[1]FC vers Ref (Km)'!BY117&lt;&gt;0,'Délai intermédiaire'!M117,)+4+(51/60)+11+(1/60)</f>
        <v>243.86666666666667</v>
      </c>
      <c r="BZ117" s="13">
        <f>IF('[1]FC vers Ref (Km)'!BZ117&lt;&gt;0,'Délai intermédiaire'!N117,)+4+(51/60)</f>
        <v>232.85</v>
      </c>
      <c r="CA117" s="12"/>
      <c r="CB117" s="14">
        <f>IF('[1]FC vers Ref (Km)'!CB117&lt;&gt;0,'Délai intermédiaire'!P117,)+4+(51/60)+5+(3/60)</f>
        <v>228.9</v>
      </c>
      <c r="CC117" s="14">
        <f>IF('[1]FC vers Ref (Km)'!CC117&lt;&gt;0,'Délai intermédiaire'!Q117,)+4+(51/60)+(40/60)</f>
        <v>179.51666666666665</v>
      </c>
      <c r="CD117" s="14">
        <f>IF('[1]FC vers Ref (Km)'!CD117&lt;&gt;0,'Délai intermédiaire'!R117,)+4+(51/60)</f>
        <v>211.85</v>
      </c>
      <c r="CE117" s="14">
        <f>IF('[1]FC vers Ref (Km)'!CE117&lt;&gt;0,'Délai intermédiaire'!S117,)+4+(51/60)</f>
        <v>206.85</v>
      </c>
      <c r="CF117" s="14">
        <f>IF('[1]FC vers Ref (Km)'!CF117&lt;&gt;0,'Délai intermédiaire'!T117,)+4+(51/60)</f>
        <v>215.85</v>
      </c>
      <c r="CG117" s="14">
        <f>IF('[1]FC vers Ref (Km)'!CG117&lt;&gt;0,'Délai intermédiaire'!U117,)+4+(51/60)+1+(53/60)</f>
        <v>211.73333333333332</v>
      </c>
      <c r="CH117" s="14">
        <f>IF('[1]FC vers Ref (Km)'!CH117&lt;&gt;0,'Délai intermédiaire'!V117,)+4+(51/60)+2+(57/60)</f>
        <v>237.79999999999998</v>
      </c>
      <c r="CI117" s="14">
        <f>IF('[1]FC vers Ref (Km)'!CI117&lt;&gt;0,'Délai intermédiaire'!W117,)+4+(51/60)+4+(47/60)</f>
        <v>278.63333333333338</v>
      </c>
      <c r="CJ117" s="14">
        <f>IF('[1]FC vers Ref (Km)'!CJ117&lt;&gt;0,'Délai intermédiaire'!X117,)+4+(51/60)</f>
        <v>225.85</v>
      </c>
      <c r="CK117" s="14">
        <f>IF('[1]FC vers Ref (Km)'!CK117&lt;&gt;0,'Délai intermédiaire'!Y117,)+4+(51/60)+1+(33/60)</f>
        <v>236.4</v>
      </c>
      <c r="CL117" s="14">
        <f>IF('[1]FC vers Ref (Km)'!CL117&lt;&gt;0,'Délai intermédiaire'!Z117,)+4+(51/60)+2+(30/60)</f>
        <v>220.35</v>
      </c>
      <c r="CM117" s="14">
        <f>IF('[1]FC vers Ref (Km)'!CM117&lt;&gt;0,'Délai intermédiaire'!AA117,)+4+(51/60)+(56/60)</f>
        <v>243.78333333333333</v>
      </c>
      <c r="CN117" s="14">
        <f>IF('[1]FC vers Ref (Km)'!CN117&lt;&gt;0,'Délai intermédiaire'!AB117,)+4+(51/60)+1+(39/60)</f>
        <v>242.5</v>
      </c>
      <c r="CO117" s="14">
        <f>IF('[1]FC vers Ref (Km)'!CO117&lt;&gt;0,'Délai intermédiaire'!AC117,)+4+(51/60)+3+(25/60)</f>
        <v>225.26666666666665</v>
      </c>
      <c r="CP117" s="14">
        <f>IF('[1]FC vers Ref (Km)'!CP117&lt;&gt;0,'Délai intermédiaire'!AD117,)+4+(51/60)</f>
        <v>226.85</v>
      </c>
      <c r="CQ117" s="14">
        <f>IF('[1]FC vers Ref (Km)'!CQ117&lt;&gt;0,'Délai intermédiaire'!AE117,)+4+(51/60)</f>
        <v>234.85</v>
      </c>
      <c r="CR117" s="14">
        <f>IF('[1]FC vers Ref (Km)'!CR117&lt;&gt;0,'Délai intermédiaire'!AF117,)+4+(51/60)+9+(1/60)</f>
        <v>282.86666666666667</v>
      </c>
      <c r="CS117" s="14">
        <f>IF('[1]FC vers Ref (Km)'!CS117&lt;&gt;0,'Délai intermédiaire'!AG117,)+4+(51/60)+7+(48/60)</f>
        <v>281.65000000000003</v>
      </c>
      <c r="CT117" s="14">
        <f>IF('[1]FC vers Ref (Km)'!CT117&lt;&gt;0,'Délai intermédiaire'!AH117,)+4+(51/60)+5+(5/60)</f>
        <v>278.93333333333334</v>
      </c>
      <c r="CU117" s="14">
        <f>IF('[1]FC vers Ref (Km)'!CU117&lt;&gt;0,'Délai intermédiaire'!AI117,)+4+(51/60)+19+(46/60)</f>
        <v>431.61666666666667</v>
      </c>
      <c r="CV117" s="14">
        <f>IF('[1]FC vers Ref (Km)'!CV117&lt;&gt;0,'Délai intermédiaire'!AJ117,)+4+(51/60)</f>
        <v>480.85</v>
      </c>
      <c r="CW117" s="14">
        <f>IF('[1]FC vers Ref (Km)'!CW117&lt;&gt;0,'Délai intermédiaire'!AK117,)+4+(51/60)+12+(26/60)</f>
        <v>424.28333333333336</v>
      </c>
      <c r="CX117" s="14">
        <f>IF('[1]FC vers Ref (Km)'!CX117&lt;&gt;0,'Délai intermédiaire'!AL117,)+4+(51/60)</f>
        <v>453.85</v>
      </c>
      <c r="CY117" s="14">
        <f>IF('[1]FC vers Ref (Km)'!CY117&lt;&gt;0,'Délai intermédiaire'!AM117,)+4+(51/60)</f>
        <v>385.85</v>
      </c>
      <c r="CZ117" s="14">
        <f>IF('[1]FC vers Ref (Km)'!CZ117&lt;&gt;0,'Délai intermédiaire'!AN117,)+4+(51/60)</f>
        <v>397.85</v>
      </c>
      <c r="DA117" s="14">
        <f>IF('[1]FC vers Ref (Km)'!DA117&lt;&gt;0,'Délai intermédiaire'!AO117,)+4+(51/60)+1+(56/60)</f>
        <v>403.78333333333336</v>
      </c>
      <c r="DB117" s="14">
        <f>IF('[1]FC vers Ref (Km)'!DB117&lt;&gt;0,'Délai intermédiaire'!AP117,)+4+(51/60)</f>
        <v>394.85</v>
      </c>
      <c r="DC117" s="14">
        <f>IF('[1]FC vers Ref (Km)'!DC117&lt;&gt;0,'Délai intermédiaire'!AQ117,)+4+(51/60)</f>
        <v>384.85</v>
      </c>
      <c r="DD117" s="14">
        <f>IF('[1]FC vers Ref (Km)'!DD117&lt;&gt;0,'Délai intermédiaire'!AR117,)+4+(51/60)</f>
        <v>454.85</v>
      </c>
      <c r="DE117" s="14">
        <f>IF('[1]FC vers Ref (Km)'!DE117&lt;&gt;0,'Délai intermédiaire'!AS117,)+4+(51/60)</f>
        <v>405.85</v>
      </c>
      <c r="DF117" s="14">
        <f>IF('[1]FC vers Ref (Km)'!DF117&lt;&gt;0,'Délai intermédiaire'!AT117,)+4+(51/60)+20+(5/60)</f>
        <v>425.93333333333334</v>
      </c>
      <c r="DG117" s="14">
        <f>IF('[1]FC vers Ref (Km)'!DG117&lt;&gt;0,'Délai intermédiaire'!AU117,)+4+(51/60)+11+(36/60)</f>
        <v>417.45000000000005</v>
      </c>
      <c r="DH117" s="14">
        <f>IF('[1]FC vers Ref (Km)'!DH117&lt;&gt;0,'Délai intermédiaire'!AV117,)+4+(51/60)+(28/60)</f>
        <v>419.31666666666666</v>
      </c>
      <c r="DI117" s="14">
        <f>IF('[1]FC vers Ref (Km)'!DI117&lt;&gt;0,'Délai intermédiaire'!AW117,)+4+(51/60)+7+(13/60)</f>
        <v>265.06666666666666</v>
      </c>
      <c r="DJ117" s="14">
        <f>IF('[1]FC vers Ref (Km)'!DJ117&lt;&gt;0,'Délai intermédiaire'!AX117,)+4+(51/60)+2*24+15</f>
        <v>320.85000000000002</v>
      </c>
      <c r="DK117" s="14">
        <f>IF('[1]FC vers Ref (Km)'!DK117&lt;&gt;0,'Délai intermédiaire'!AY117,)+4+(51/60)</f>
        <v>387.85</v>
      </c>
      <c r="DL117" s="14">
        <f>IF('[1]FC vers Ref (Km)'!DL117&lt;&gt;0,'Délai intermédiaire'!AZ117,)+4+(51/60)</f>
        <v>4.8499999999999996</v>
      </c>
      <c r="DM117" s="14">
        <f>IF('[1]FC vers Ref (Km)'!DM117&lt;&gt;0,'Délai intermédiaire'!BA117,)+4+(51/60)+7+(17/60)</f>
        <v>417.13333333333338</v>
      </c>
      <c r="DN117" s="14">
        <f>IF('[1]FC vers Ref (Km)'!DN117&lt;&gt;0,'Délai intermédiaire'!BB117,)+4+(51/60)</f>
        <v>505.85</v>
      </c>
      <c r="DO117" s="14">
        <f>IF('[1]FC vers Ref (Km)'!DO117&lt;&gt;0,'Délai intermédiaire'!BC117,)+4+(51/60)</f>
        <v>245.85</v>
      </c>
      <c r="DP117" s="14">
        <f>IF('[1]FC vers Ref (Km)'!DP117&lt;&gt;0,'Délai intermédiaire'!BD117,)+4+(51/60)</f>
        <v>448.85</v>
      </c>
      <c r="DQ117" s="14">
        <f>IF('[1]FC vers Ref (Km)'!DQ117&lt;&gt;0,'Délai intermédiaire'!BE117,)+4+(51/60)+1+(22/60)</f>
        <v>432.2166666666667</v>
      </c>
      <c r="DR117" s="14">
        <f>IF('[1]FC vers Ref (Km)'!DR117&lt;&gt;0,'Délai intermédiaire'!BF117,)+4+(51/60)</f>
        <v>422.85</v>
      </c>
      <c r="DS117" s="14">
        <f>IF('[1]FC vers Ref (Km)'!DS117&lt;&gt;0,'Délai intermédiaire'!BG117,)+4+(51/60)+10+(43/60)</f>
        <v>314.56666666666666</v>
      </c>
      <c r="DT117" s="14">
        <f>IF('[1]FC vers Ref (Km)'!DT117&lt;&gt;0,'Délai intermédiaire'!BH117,)+4+(51/60)+(12/60)</f>
        <v>268.05</v>
      </c>
      <c r="DU117" s="14">
        <f>IF('[1]FC vers Ref (Km)'!DU117&lt;&gt;0,'Délai intermédiaire'!BI117,)+4+(51/60)+7+(45/60)</f>
        <v>87.6</v>
      </c>
      <c r="DV117" s="14">
        <f>IF('[1]FC vers Ref (Km)'!DV117&lt;&gt;0,'Délai intermédiaire'!BJ117,)+4+(51/60)+1+(10/60)</f>
        <v>177.01666666666665</v>
      </c>
      <c r="DW117" s="15">
        <f>IF('[1]FC vers Ref (Km)'!DW117&lt;&gt;0,'Délai intermédiaire'!BK117,)+4+(51/60)+12+(41/60)</f>
        <v>188.53333333333333</v>
      </c>
      <c r="DX117" s="27"/>
      <c r="DY117" s="10" t="s">
        <v>13</v>
      </c>
      <c r="DZ117" s="35" t="s">
        <v>76</v>
      </c>
      <c r="EA117" s="11">
        <f>IF('[1]FC vers Ref (Km)'!EA117&lt;&gt;0,C117,)</f>
        <v>0</v>
      </c>
      <c r="EB117" s="13">
        <f>IF('[1]FC vers Ref (Km)'!EB117&lt;&gt;0,D117,)</f>
        <v>0</v>
      </c>
      <c r="EC117" s="13">
        <f>IF('[1]FC vers Ref (Km)'!EC117&lt;&gt;0,E117,)+7+(55/60)+19+(53/60)</f>
        <v>109.80000000000001</v>
      </c>
      <c r="ED117" s="13">
        <f>IF('[1]FC vers Ref (Km)'!ED117&lt;&gt;0,F117,)</f>
        <v>0</v>
      </c>
      <c r="EE117" s="13">
        <f>IF('[1]FC vers Ref (Km)'!EE117&lt;&gt;0,G117,)+(32/60)</f>
        <v>78.533333333333331</v>
      </c>
      <c r="EF117" s="13">
        <f>IF('[1]FC vers Ref (Km)'!EF117&lt;&gt;0,H117,)+14+(25/60)+31+(8/60)</f>
        <v>227.54999999999998</v>
      </c>
      <c r="EG117" s="13">
        <f>IF('[1]FC vers Ref (Km)'!EG117&lt;&gt;0,I117,)</f>
        <v>0</v>
      </c>
      <c r="EH117" s="13">
        <f>IF('[1]FC vers Ref (Km)'!EH117&lt;&gt;0,J117,)</f>
        <v>0</v>
      </c>
      <c r="EI117" s="13">
        <f>IF('[1]FC vers Ref (Km)'!EI117&lt;&gt;0,K117,)+5+(11/60)</f>
        <v>143.18333333333334</v>
      </c>
      <c r="EJ117" s="13">
        <f>IF('[1]FC vers Ref (Km)'!EJ117&lt;&gt;0,L117,)</f>
        <v>0</v>
      </c>
      <c r="EK117" s="13">
        <f>IF('[1]FC vers Ref (Km)'!EK117&lt;&gt;0,M117,)</f>
        <v>0</v>
      </c>
      <c r="EL117" s="13">
        <f>IF('[1]FC vers Ref (Km)'!EL117&lt;&gt;0,N117,)</f>
        <v>0</v>
      </c>
      <c r="EM117" s="12">
        <f>IF('[1]FC vers Ref (Km)'!EM117&lt;&gt;0,O117,)</f>
        <v>0</v>
      </c>
      <c r="EN117" s="14">
        <f>IF('[1]FC vers Ref (Km)'!EN117&lt;&gt;0,P117,)</f>
        <v>0</v>
      </c>
      <c r="EO117" s="14">
        <f>IF('[1]FC vers Ref (Km)'!EO117&lt;&gt;0,Q117,)</f>
        <v>0</v>
      </c>
      <c r="EP117" s="14">
        <f>IF('[1]FC vers Ref (Km)'!EP117&lt;&gt;0,R117,)</f>
        <v>0</v>
      </c>
      <c r="EQ117" s="14">
        <f>IF('[1]FC vers Ref (Km)'!EQ117&lt;&gt;0,S117,)</f>
        <v>0</v>
      </c>
      <c r="ER117" s="14">
        <f>IF('[1]FC vers Ref (Km)'!ER117&lt;&gt;0,T117,)</f>
        <v>0</v>
      </c>
      <c r="ES117" s="14">
        <f>IF('[1]FC vers Ref (Km)'!ES117&lt;&gt;0,U117,)+2+(21/60)</f>
        <v>207.35</v>
      </c>
      <c r="ET117" s="14">
        <f>IF('[1]FC vers Ref (Km)'!ET117&lt;&gt;0,V117,)+1+(44/60)</f>
        <v>231.73333333333332</v>
      </c>
      <c r="EU117" s="14">
        <f>IF('[1]FC vers Ref (Km)'!EU117&lt;&gt;0,W117,)+1+(47/60)+2+(31/60)+2+(54/60)</f>
        <v>276.2</v>
      </c>
      <c r="EV117" s="14">
        <f>IF('[1]FC vers Ref (Km)'!EV117&lt;&gt;0,X117,)</f>
        <v>0</v>
      </c>
      <c r="EW117" s="14">
        <f>IF('[1]FC vers Ref (Km)'!EW117&lt;&gt;0,Y117,)+(56/60)+(59/60)</f>
        <v>231.91666666666666</v>
      </c>
      <c r="EX117" s="14">
        <f>IF('[1]FC vers Ref (Km)'!EX117&lt;&gt;0,Z117,)+1+(35/60)+(37/60)</f>
        <v>215.20000000000002</v>
      </c>
      <c r="EY117" s="14">
        <f>IF('[1]FC vers Ref (Km)'!EY117&lt;&gt;0,AA117,)+1+(18/60)</f>
        <v>239.3</v>
      </c>
      <c r="EZ117" s="14">
        <f>IF('[1]FC vers Ref (Km)'!EZ117&lt;&gt;0,AB117,)+1+(39/60)</f>
        <v>237.65</v>
      </c>
      <c r="FA117" s="14">
        <f>IF('[1]FC vers Ref (Km)'!FA117&lt;&gt;0,AC117,)+1+(47/60)</f>
        <v>218.78333333333333</v>
      </c>
      <c r="FB117" s="14">
        <f>IF('[1]FC vers Ref (Km)'!FB117&lt;&gt;0,AD117,)</f>
        <v>0</v>
      </c>
      <c r="FC117" s="14">
        <f>IF('[1]FC vers Ref (Km)'!FC117&lt;&gt;0,AE117,)</f>
        <v>0</v>
      </c>
      <c r="FD117" s="14">
        <f>IF('[1]FC vers Ref (Km)'!FD117&lt;&gt;0,AF117,)+5+(31/60)+5+(51/60)+1+(8/60)</f>
        <v>281.5</v>
      </c>
      <c r="FE117" s="14">
        <f>IF('[1]FC vers Ref (Km)'!FE117&lt;&gt;0,AG117,)+4+(2/60)+5+(51/60)+1+(8/60)</f>
        <v>280.01666666666671</v>
      </c>
      <c r="FF117" s="14">
        <f>IF('[1]FC vers Ref (Km)'!FF117&lt;&gt;0,AH117,)+1+(7/60)+5+(51/60)+1+(8/60)</f>
        <v>277.10000000000002</v>
      </c>
      <c r="FG117" s="14">
        <f>IF('[1]FC vers Ref (Km)'!FG117&lt;&gt;0,AI117,)+15+(50/60)</f>
        <v>422.83333333333331</v>
      </c>
      <c r="FH117" s="14">
        <f>IF('[1]FC vers Ref (Km)'!FH117&lt;&gt;0,AJ117,)</f>
        <v>0</v>
      </c>
      <c r="FI117" s="14">
        <f>IF('[1]FC vers Ref (Km)'!FI117&lt;&gt;0,AK117,)+4+(40/60)+11+(32/60)</f>
        <v>423.20000000000005</v>
      </c>
      <c r="FJ117" s="14">
        <f>IF('[1]FC vers Ref (Km)'!FJ117&lt;&gt;0,AL117,)</f>
        <v>0</v>
      </c>
      <c r="FK117" s="14">
        <f>IF('[1]FC vers Ref (Km)'!FK117&lt;&gt;0,AM117,)</f>
        <v>0</v>
      </c>
      <c r="FL117" s="14">
        <f>IF('[1]FC vers Ref (Km)'!FL117&lt;&gt;0,AN117,)</f>
        <v>0</v>
      </c>
      <c r="FM117" s="14">
        <f>IF('[1]FC vers Ref (Km)'!FM117&lt;&gt;0,AO117,)+(55/60)</f>
        <v>397.91666666666669</v>
      </c>
      <c r="FN117" s="14">
        <f>IF('[1]FC vers Ref (Km)'!FN117&lt;&gt;0,AP117,)</f>
        <v>0</v>
      </c>
      <c r="FO117" s="14">
        <f>IF('[1]FC vers Ref (Km)'!FO117&lt;&gt;0,AQ117,)</f>
        <v>0</v>
      </c>
      <c r="FP117" s="14">
        <f>IF('[1]FC vers Ref (Km)'!FP117&lt;&gt;0,AR117,)</f>
        <v>0</v>
      </c>
      <c r="FQ117" s="14">
        <f>IF('[1]FC vers Ref (Km)'!FQ117&lt;&gt;0,AS117,)</f>
        <v>0</v>
      </c>
      <c r="FR117" s="14">
        <f>IF('[1]FC vers Ref (Km)'!FR117&lt;&gt;0,AT117,)</f>
        <v>0</v>
      </c>
      <c r="FS117" s="14">
        <f>IF('[1]FC vers Ref (Km)'!FS117&lt;&gt;0,AU117,)</f>
        <v>0</v>
      </c>
      <c r="FT117" s="14">
        <f>IF('[1]FC vers Ref (Km)'!FT117&lt;&gt;0,AV117,)+1+(7/60)</f>
        <v>415.11666666666667</v>
      </c>
      <c r="FU117" s="14">
        <f>IF('[1]FC vers Ref (Km)'!FU117&lt;&gt;0,AW117,)+8+(3/60)</f>
        <v>261.05</v>
      </c>
      <c r="FV117" s="14">
        <f>IF('[1]FC vers Ref (Km)'!FV117&lt;&gt;0,AX117,)+2*24+11</f>
        <v>312</v>
      </c>
      <c r="FW117" s="14">
        <f>IF('[1]FC vers Ref (Km)'!FW117&lt;&gt;0,AY117,)</f>
        <v>0</v>
      </c>
      <c r="FX117" s="14">
        <f>IF('[1]FC vers Ref (Km)'!FX117&lt;&gt;0,AZ117,)</f>
        <v>0</v>
      </c>
      <c r="FY117" s="14">
        <f>IF('[1]FC vers Ref (Km)'!FY117&lt;&gt;0,BA117,)+5+(41/60)</f>
        <v>410.68333333333334</v>
      </c>
      <c r="FZ117" s="14">
        <f>IF('[1]FC vers Ref (Km)'!FZ117&lt;&gt;0,BB117,)</f>
        <v>0</v>
      </c>
      <c r="GA117" s="14">
        <f>IF('[1]FC vers Ref (Km)'!GA117&lt;&gt;0,BC117,)</f>
        <v>0</v>
      </c>
      <c r="GB117" s="14">
        <f>IF('[1]FC vers Ref (Km)'!GB117&lt;&gt;0,BD117,)</f>
        <v>0</v>
      </c>
      <c r="GC117" s="14">
        <f>IF('[1]FC vers Ref (Km)'!GC117&lt;&gt;0,BE117,)+(30/60)</f>
        <v>426.5</v>
      </c>
      <c r="GD117" s="14">
        <f>IF('[1]FC vers Ref (Km)'!GD117&lt;&gt;0,BF117,)</f>
        <v>0</v>
      </c>
      <c r="GE117" s="14">
        <f>IF('[1]FC vers Ref (Km)'!GE117&lt;&gt;0,BG117,)+15+(1/60)</f>
        <v>314.01666666666665</v>
      </c>
      <c r="GF117" s="14">
        <f>IF('[1]FC vers Ref (Km)'!GF117&lt;&gt;0,BH117,)</f>
        <v>0</v>
      </c>
      <c r="GG117" s="14">
        <f>IF('[1]FC vers Ref (Km)'!GG117&lt;&gt;0,BI117,)</f>
        <v>0</v>
      </c>
      <c r="GH117" s="14">
        <f>IF('[1]FC vers Ref (Km)'!GH117&lt;&gt;0,BJ117,)</f>
        <v>0</v>
      </c>
      <c r="GI117" s="15">
        <f>IF('[1]FC vers Ref (Km)'!GI117&lt;&gt;0,BK117,)</f>
        <v>0</v>
      </c>
    </row>
    <row r="118" spans="1:191" x14ac:dyDescent="0.3">
      <c r="A118" s="10" t="s">
        <v>14</v>
      </c>
      <c r="B118" s="35" t="s">
        <v>77</v>
      </c>
      <c r="C118" s="16">
        <f>7*24+19</f>
        <v>187</v>
      </c>
      <c r="D118" s="14">
        <f>8*24+22</f>
        <v>214</v>
      </c>
      <c r="E118" s="14">
        <f>8*24+6</f>
        <v>198</v>
      </c>
      <c r="F118" s="14">
        <f>11*24+3</f>
        <v>267</v>
      </c>
      <c r="G118" s="14">
        <f>8*24+9</f>
        <v>201</v>
      </c>
      <c r="H118" s="14">
        <f>12*24+12</f>
        <v>300</v>
      </c>
      <c r="I118" s="14">
        <f>14*24+9</f>
        <v>345</v>
      </c>
      <c r="J118" s="14">
        <f>12*24+12</f>
        <v>300</v>
      </c>
      <c r="K118" s="14">
        <f>9*24+7</f>
        <v>223</v>
      </c>
      <c r="L118" s="14">
        <f>9*24+7</f>
        <v>223</v>
      </c>
      <c r="M118" s="14">
        <f>14*24+10</f>
        <v>346</v>
      </c>
      <c r="N118" s="14">
        <f>14*24+10</f>
        <v>346</v>
      </c>
      <c r="O118" s="14">
        <f>9*24+3</f>
        <v>219</v>
      </c>
      <c r="P118" s="12"/>
      <c r="Q118" s="13">
        <v>45</v>
      </c>
      <c r="R118" s="14">
        <v>229</v>
      </c>
      <c r="S118" s="14">
        <v>214</v>
      </c>
      <c r="T118" s="14">
        <v>217</v>
      </c>
      <c r="U118" s="14">
        <v>210</v>
      </c>
      <c r="V118" s="14">
        <v>203</v>
      </c>
      <c r="W118" s="14">
        <v>243</v>
      </c>
      <c r="X118" s="14">
        <v>229</v>
      </c>
      <c r="Y118" s="14">
        <v>248</v>
      </c>
      <c r="Z118" s="14">
        <v>218</v>
      </c>
      <c r="AA118" s="14">
        <v>211</v>
      </c>
      <c r="AB118" s="14">
        <v>210</v>
      </c>
      <c r="AC118" s="14">
        <v>191</v>
      </c>
      <c r="AD118" s="14">
        <v>196</v>
      </c>
      <c r="AE118" s="14">
        <v>248</v>
      </c>
      <c r="AF118" s="14">
        <v>243</v>
      </c>
      <c r="AG118" s="14">
        <v>243</v>
      </c>
      <c r="AH118" s="14">
        <v>243</v>
      </c>
      <c r="AI118" s="14">
        <v>326</v>
      </c>
      <c r="AJ118" s="14">
        <v>363</v>
      </c>
      <c r="AK118" s="14">
        <v>326</v>
      </c>
      <c r="AL118" s="14">
        <v>336</v>
      </c>
      <c r="AM118" s="14">
        <v>480</v>
      </c>
      <c r="AN118" s="14">
        <v>474</v>
      </c>
      <c r="AO118" s="14">
        <v>468</v>
      </c>
      <c r="AP118" s="14">
        <v>338</v>
      </c>
      <c r="AQ118" s="14">
        <v>334</v>
      </c>
      <c r="AR118" s="14">
        <v>331</v>
      </c>
      <c r="AS118" s="14">
        <v>333</v>
      </c>
      <c r="AT118" s="14">
        <v>333</v>
      </c>
      <c r="AU118" s="14">
        <v>333</v>
      </c>
      <c r="AV118" s="14">
        <f>19*24+12</f>
        <v>468</v>
      </c>
      <c r="AW118" s="14">
        <f>11*24+6</f>
        <v>270</v>
      </c>
      <c r="AX118" s="14">
        <f>11*24+6</f>
        <v>270</v>
      </c>
      <c r="AY118" s="14">
        <f>20*24+7</f>
        <v>487</v>
      </c>
      <c r="AZ118" s="14"/>
      <c r="BA118" s="14">
        <f>9*24+23</f>
        <v>239</v>
      </c>
      <c r="BB118" s="14">
        <f>16*24+18</f>
        <v>402</v>
      </c>
      <c r="BC118" s="14">
        <f>10*24+19</f>
        <v>259</v>
      </c>
      <c r="BD118" s="14">
        <f>17*24+15</f>
        <v>423</v>
      </c>
      <c r="BE118" s="14">
        <f>19*24+21</f>
        <v>477</v>
      </c>
      <c r="BF118" s="14">
        <f>18*24+23</f>
        <v>455</v>
      </c>
      <c r="BG118" s="14">
        <f>11*24+9</f>
        <v>273</v>
      </c>
      <c r="BH118" s="14">
        <f>9*24+20</f>
        <v>236</v>
      </c>
      <c r="BI118" s="12">
        <f>8*24+1</f>
        <v>193</v>
      </c>
      <c r="BJ118" s="12">
        <f>6*24+8</f>
        <v>152</v>
      </c>
      <c r="BK118" s="17">
        <f>6*24+8</f>
        <v>152</v>
      </c>
      <c r="BM118" s="10" t="s">
        <v>14</v>
      </c>
      <c r="BN118" s="35" t="s">
        <v>77</v>
      </c>
      <c r="BO118" s="16">
        <f>IF('[1]FC vers Ref (Km)'!BO118&lt;&gt;0,'Délai intermédiaire'!C118,)+5+(3/60)</f>
        <v>192.05</v>
      </c>
      <c r="BP118" s="14">
        <f>IF('[1]FC vers Ref (Km)'!BP118&lt;&gt;0,'Délai intermédiaire'!D118,)+5+(3/60)</f>
        <v>219.05</v>
      </c>
      <c r="BQ118" s="14">
        <f>IF('[1]FC vers Ref (Km)'!BQ118&lt;&gt;0,'Délai intermédiaire'!E118,)+5+(3/60)+19+(49/60)</f>
        <v>222.86666666666667</v>
      </c>
      <c r="BR118" s="14">
        <f>IF('[1]FC vers Ref (Km)'!BR118&lt;&gt;0,'Délai intermédiaire'!F118,)+5+(3/60)</f>
        <v>272.05</v>
      </c>
      <c r="BS118" s="14">
        <f>IF('[1]FC vers Ref (Km)'!BS118&lt;&gt;0,'Délai intermédiaire'!G118,)+5+(3/60)+(48/60)</f>
        <v>206.85000000000002</v>
      </c>
      <c r="BT118" s="14">
        <f>IF('[1]FC vers Ref (Km)'!BT118&lt;&gt;0,'Délai intermédiaire'!H118,)+5+(3/60)+15+(47/60)</f>
        <v>320.83333333333337</v>
      </c>
      <c r="BU118" s="14">
        <f>IF('[1]FC vers Ref (Km)'!BU118&lt;&gt;0,'Délai intermédiaire'!I118,)+5+(3/60)</f>
        <v>350.05</v>
      </c>
      <c r="BV118" s="14">
        <f>IF('[1]FC vers Ref (Km)'!BV118&lt;&gt;0,'Délai intermédiaire'!J118,)+5+(3/60)</f>
        <v>305.05</v>
      </c>
      <c r="BW118" s="14">
        <f>IF('[1]FC vers Ref (Km)'!BW118&lt;&gt;0,'Délai intermédiaire'!K118,)+5+(3/60)+6+(13/60)</f>
        <v>234.26666666666668</v>
      </c>
      <c r="BX118" s="14">
        <f>IF('[1]FC vers Ref (Km)'!BX118&lt;&gt;0,'Délai intermédiaire'!L118,)+5+(3/60)</f>
        <v>228.05</v>
      </c>
      <c r="BY118" s="14">
        <f>IF('[1]FC vers Ref (Km)'!BY118&lt;&gt;0,'Délai intermédiaire'!M118,)+5+(3/60)+11+(1/60)</f>
        <v>362.06666666666666</v>
      </c>
      <c r="BZ118" s="14">
        <f>IF('[1]FC vers Ref (Km)'!BZ118&lt;&gt;0,'Délai intermédiaire'!N118,)+5+(3/60)</f>
        <v>351.05</v>
      </c>
      <c r="CA118" s="14">
        <f>IF('[1]FC vers Ref (Km)'!CA118&lt;&gt;0,'Délai intermédiaire'!O118,)+5+(3/60)+4+(51/60)</f>
        <v>228.9</v>
      </c>
      <c r="CB118" s="12"/>
      <c r="CC118" s="13">
        <f>IF('[1]FC vers Ref (Km)'!CC118&lt;&gt;0,'Délai intermédiaire'!Q118,)+5+(3/60)+(40/60)</f>
        <v>50.716666666666661</v>
      </c>
      <c r="CD118" s="14">
        <f>IF('[1]FC vers Ref (Km)'!CD118&lt;&gt;0,'Délai intermédiaire'!R118,)+5+(3/60)</f>
        <v>234.05</v>
      </c>
      <c r="CE118" s="14">
        <f>IF('[1]FC vers Ref (Km)'!CE118&lt;&gt;0,'Délai intermédiaire'!S118,)+5+(3/60)</f>
        <v>219.05</v>
      </c>
      <c r="CF118" s="14">
        <f>IF('[1]FC vers Ref (Km)'!CF118&lt;&gt;0,'Délai intermédiaire'!T118,)+5+(3/60)</f>
        <v>222.05</v>
      </c>
      <c r="CG118" s="14">
        <f>IF('[1]FC vers Ref (Km)'!CG118&lt;&gt;0,'Délai intermédiaire'!U118,)+5+(3/60)+1+(53/60)</f>
        <v>216.93333333333334</v>
      </c>
      <c r="CH118" s="14">
        <f>IF('[1]FC vers Ref (Km)'!CH118&lt;&gt;0,'Délai intermédiaire'!V118,)+5+(3/60)+2+(57/60)</f>
        <v>211</v>
      </c>
      <c r="CI118" s="14">
        <f>IF('[1]FC vers Ref (Km)'!CI118&lt;&gt;0,'Délai intermédiaire'!W118,)+5+(3/60)+4+(47/60)</f>
        <v>252.83333333333334</v>
      </c>
      <c r="CJ118" s="14">
        <f>IF('[1]FC vers Ref (Km)'!CJ118&lt;&gt;0,'Délai intermédiaire'!X118,)+5+(3/60)</f>
        <v>234.05</v>
      </c>
      <c r="CK118" s="14">
        <f>IF('[1]FC vers Ref (Km)'!CK118&lt;&gt;0,'Délai intermédiaire'!Y118,)+5+(3/60)+1+(33/60)</f>
        <v>254.60000000000002</v>
      </c>
      <c r="CL118" s="14">
        <f>IF('[1]FC vers Ref (Km)'!CL118&lt;&gt;0,'Délai intermédiaire'!Z118,)+5+(3/60)+2+(30/60)</f>
        <v>225.55</v>
      </c>
      <c r="CM118" s="14">
        <f>IF('[1]FC vers Ref (Km)'!CM118&lt;&gt;0,'Délai intermédiaire'!AA118,)+5+(3/60)+(56/60)</f>
        <v>216.98333333333335</v>
      </c>
      <c r="CN118" s="14">
        <f>IF('[1]FC vers Ref (Km)'!CN118&lt;&gt;0,'Délai intermédiaire'!AB118,)+5+(3/60)+1+(39/60)</f>
        <v>216.70000000000002</v>
      </c>
      <c r="CO118" s="14">
        <f>IF('[1]FC vers Ref (Km)'!CO118&lt;&gt;0,'Délai intermédiaire'!AC118,)+5+(3/60)+3+(25/60)</f>
        <v>199.46666666666667</v>
      </c>
      <c r="CP118" s="14">
        <f>IF('[1]FC vers Ref (Km)'!CP118&lt;&gt;0,'Délai intermédiaire'!AD118,)+5+(3/60)</f>
        <v>201.05</v>
      </c>
      <c r="CQ118" s="14">
        <f>IF('[1]FC vers Ref (Km)'!CQ118&lt;&gt;0,'Délai intermédiaire'!AE118,)+5+(3/60)</f>
        <v>253.05</v>
      </c>
      <c r="CR118" s="14">
        <f>IF('[1]FC vers Ref (Km)'!CR118&lt;&gt;0,'Délai intermédiaire'!AF118,)+5+(3/60)+9+(1/60)</f>
        <v>257.06666666666666</v>
      </c>
      <c r="CS118" s="14">
        <f>IF('[1]FC vers Ref (Km)'!CS118&lt;&gt;0,'Délai intermédiaire'!AG118,)+5+(3/60)+7+(48/60)</f>
        <v>255.85000000000002</v>
      </c>
      <c r="CT118" s="14">
        <f>IF('[1]FC vers Ref (Km)'!CT118&lt;&gt;0,'Délai intermédiaire'!AH118,)+5+(3/60)+5+(5/60)</f>
        <v>253.13333333333335</v>
      </c>
      <c r="CU118" s="14">
        <f>IF('[1]FC vers Ref (Km)'!CU118&lt;&gt;0,'Délai intermédiaire'!AI118,)+5+(3/60)+19+(46/60)</f>
        <v>350.81666666666666</v>
      </c>
      <c r="CV118" s="14">
        <f>IF('[1]FC vers Ref (Km)'!CV118&lt;&gt;0,'Délai intermédiaire'!AJ118,)+5+(3/60)</f>
        <v>368.05</v>
      </c>
      <c r="CW118" s="14">
        <f>IF('[1]FC vers Ref (Km)'!CW118&lt;&gt;0,'Délai intermédiaire'!AK118,)+5+(3/60)+12+(26/60)</f>
        <v>343.48333333333335</v>
      </c>
      <c r="CX118" s="14">
        <f>IF('[1]FC vers Ref (Km)'!CX118&lt;&gt;0,'Délai intermédiaire'!AL118,)+5+(3/60)</f>
        <v>341.05</v>
      </c>
      <c r="CY118" s="14">
        <f>IF('[1]FC vers Ref (Km)'!CY118&lt;&gt;0,'Délai intermédiaire'!AM118,)+5+(3/60)</f>
        <v>485.05</v>
      </c>
      <c r="CZ118" s="14">
        <f>IF('[1]FC vers Ref (Km)'!CZ118&lt;&gt;0,'Délai intermédiaire'!AN118,)+5+(3/60)</f>
        <v>479.05</v>
      </c>
      <c r="DA118" s="14">
        <f>IF('[1]FC vers Ref (Km)'!DA118&lt;&gt;0,'Délai intermédiaire'!AO118,)+5+(3/60)+1+(56/60)</f>
        <v>474.98333333333335</v>
      </c>
      <c r="DB118" s="14">
        <f>IF('[1]FC vers Ref (Km)'!DB118&lt;&gt;0,'Délai intermédiaire'!AP118,)+5+(3/60)</f>
        <v>343.05</v>
      </c>
      <c r="DC118" s="14">
        <f>IF('[1]FC vers Ref (Km)'!DC118&lt;&gt;0,'Délai intermédiaire'!AQ118,)+5+(3/60)</f>
        <v>339.05</v>
      </c>
      <c r="DD118" s="14">
        <f>IF('[1]FC vers Ref (Km)'!DD118&lt;&gt;0,'Délai intermédiaire'!AR118,)+5+(3/60)</f>
        <v>336.05</v>
      </c>
      <c r="DE118" s="14">
        <f>IF('[1]FC vers Ref (Km)'!DE118&lt;&gt;0,'Délai intermédiaire'!AS118,)+5+(3/60)</f>
        <v>338.05</v>
      </c>
      <c r="DF118" s="14">
        <f>IF('[1]FC vers Ref (Km)'!DF118&lt;&gt;0,'Délai intermédiaire'!AT118,)+5+(3/60)+20+(5/60)</f>
        <v>358.13333333333333</v>
      </c>
      <c r="DG118" s="14">
        <f>IF('[1]FC vers Ref (Km)'!DG118&lt;&gt;0,'Délai intermédiaire'!AU118,)+5+(3/60)+11+(36/60)</f>
        <v>349.65000000000003</v>
      </c>
      <c r="DH118" s="14">
        <f>IF('[1]FC vers Ref (Km)'!DH118&lt;&gt;0,'Délai intermédiaire'!AV118,)+5+(3/60)+(28/60)</f>
        <v>473.51666666666665</v>
      </c>
      <c r="DI118" s="14">
        <f>IF('[1]FC vers Ref (Km)'!DI118&lt;&gt;0,'Délai intermédiaire'!AW118,)+5+(3/60)+7+(13/60)</f>
        <v>282.26666666666665</v>
      </c>
      <c r="DJ118" s="14">
        <f>IF('[1]FC vers Ref (Km)'!DJ118&lt;&gt;0,'Délai intermédiaire'!AX118,)+5+(3/60)+2*24+15</f>
        <v>338.05</v>
      </c>
      <c r="DK118" s="14">
        <f>IF('[1]FC vers Ref (Km)'!DK118&lt;&gt;0,'Délai intermédiaire'!AY118,)+5+(3/60)</f>
        <v>492.05</v>
      </c>
      <c r="DL118" s="14">
        <f>IF('[1]FC vers Ref (Km)'!DL118&lt;&gt;0,'Délai intermédiaire'!AZ118,)+5+(3/60)</f>
        <v>5.05</v>
      </c>
      <c r="DM118" s="14">
        <f>IF('[1]FC vers Ref (Km)'!DM118&lt;&gt;0,'Délai intermédiaire'!BA118,)+5+(3/60)+7+(17/60)</f>
        <v>251.33333333333334</v>
      </c>
      <c r="DN118" s="14">
        <f>IF('[1]FC vers Ref (Km)'!DN118&lt;&gt;0,'Délai intermédiaire'!BB118,)+5+(3/60)</f>
        <v>407.05</v>
      </c>
      <c r="DO118" s="14">
        <f>IF('[1]FC vers Ref (Km)'!DO118&lt;&gt;0,'Délai intermédiaire'!BC118,)+5+(3/60)</f>
        <v>264.05</v>
      </c>
      <c r="DP118" s="14">
        <f>IF('[1]FC vers Ref (Km)'!DP118&lt;&gt;0,'Délai intermédiaire'!BD118,)+5+(3/60)</f>
        <v>428.05</v>
      </c>
      <c r="DQ118" s="14">
        <f>IF('[1]FC vers Ref (Km)'!DQ118&lt;&gt;0,'Délai intermédiaire'!BE118,)+5+(3/60)+1+(22/60)</f>
        <v>483.41666666666669</v>
      </c>
      <c r="DR118" s="14">
        <f>IF('[1]FC vers Ref (Km)'!DR118&lt;&gt;0,'Délai intermédiaire'!BF118,)+5+(3/60)</f>
        <v>460.05</v>
      </c>
      <c r="DS118" s="14">
        <f>IF('[1]FC vers Ref (Km)'!DS118&lt;&gt;0,'Délai intermédiaire'!BG118,)+5+(3/60)+10+(43/60)</f>
        <v>288.76666666666665</v>
      </c>
      <c r="DT118" s="14">
        <f>IF('[1]FC vers Ref (Km)'!DT118&lt;&gt;0,'Délai intermédiaire'!BH118,)+5+(3/60)+(12/60)</f>
        <v>241.25</v>
      </c>
      <c r="DU118" s="12">
        <f>IF('[1]FC vers Ref (Km)'!DU118&lt;&gt;0,'Délai intermédiaire'!BI118,)+5+(3/60)+7+(45/60)</f>
        <v>205.8</v>
      </c>
      <c r="DV118" s="12">
        <f>IF('[1]FC vers Ref (Km)'!DV118&lt;&gt;0,'Délai intermédiaire'!BJ118,)+5+(3/60)+1+(10/60)</f>
        <v>158.21666666666667</v>
      </c>
      <c r="DW118" s="17">
        <f>IF('[1]FC vers Ref (Km)'!DW118&lt;&gt;0,'Délai intermédiaire'!BK118,)+5+(3/60)+12+(41/60)</f>
        <v>169.73333333333335</v>
      </c>
      <c r="DX118" s="27"/>
      <c r="DY118" s="10" t="s">
        <v>14</v>
      </c>
      <c r="DZ118" s="35" t="s">
        <v>77</v>
      </c>
      <c r="EA118" s="16">
        <f>IF('[1]FC vers Ref (Km)'!EA118&lt;&gt;0,C118,)</f>
        <v>0</v>
      </c>
      <c r="EB118" s="14">
        <f>IF('[1]FC vers Ref (Km)'!EB118&lt;&gt;0,D118,)</f>
        <v>0</v>
      </c>
      <c r="EC118" s="14">
        <f>IF('[1]FC vers Ref (Km)'!EC118&lt;&gt;0,E118,)+7+(55/60)+19+(53/60)</f>
        <v>225.79999999999998</v>
      </c>
      <c r="ED118" s="14">
        <f>IF('[1]FC vers Ref (Km)'!ED118&lt;&gt;0,F118,)</f>
        <v>0</v>
      </c>
      <c r="EE118" s="14">
        <f>IF('[1]FC vers Ref (Km)'!EE118&lt;&gt;0,G118,)+(32/60)</f>
        <v>201.53333333333333</v>
      </c>
      <c r="EF118" s="14">
        <f>IF('[1]FC vers Ref (Km)'!EF118&lt;&gt;0,H118,)+14+(25/60)+31+(8/60)</f>
        <v>345.55</v>
      </c>
      <c r="EG118" s="14">
        <f>IF('[1]FC vers Ref (Km)'!EG118&lt;&gt;0,I118,)</f>
        <v>0</v>
      </c>
      <c r="EH118" s="14">
        <f>IF('[1]FC vers Ref (Km)'!EH118&lt;&gt;0,J118,)</f>
        <v>0</v>
      </c>
      <c r="EI118" s="14">
        <f>IF('[1]FC vers Ref (Km)'!EI118&lt;&gt;0,K118,)+5+(11/60)</f>
        <v>228.18333333333334</v>
      </c>
      <c r="EJ118" s="14">
        <f>IF('[1]FC vers Ref (Km)'!EJ118&lt;&gt;0,L118,)</f>
        <v>0</v>
      </c>
      <c r="EK118" s="14">
        <f>IF('[1]FC vers Ref (Km)'!EK118&lt;&gt;0,M118,)</f>
        <v>0</v>
      </c>
      <c r="EL118" s="14">
        <f>IF('[1]FC vers Ref (Km)'!EL118&lt;&gt;0,N118,)</f>
        <v>0</v>
      </c>
      <c r="EM118" s="14">
        <f>IF('[1]FC vers Ref (Km)'!EM118&lt;&gt;0,O118,)</f>
        <v>0</v>
      </c>
      <c r="EN118" s="12">
        <f>IF('[1]FC vers Ref (Km)'!EN118&lt;&gt;0,P118,)</f>
        <v>0</v>
      </c>
      <c r="EO118" s="13">
        <f>IF('[1]FC vers Ref (Km)'!EO118&lt;&gt;0,Q118,)</f>
        <v>0</v>
      </c>
      <c r="EP118" s="14">
        <f>IF('[1]FC vers Ref (Km)'!EP118&lt;&gt;0,R118,)</f>
        <v>0</v>
      </c>
      <c r="EQ118" s="14">
        <f>IF('[1]FC vers Ref (Km)'!EQ118&lt;&gt;0,S118,)</f>
        <v>0</v>
      </c>
      <c r="ER118" s="14">
        <f>IF('[1]FC vers Ref (Km)'!ER118&lt;&gt;0,T118,)</f>
        <v>0</v>
      </c>
      <c r="ES118" s="14">
        <f>IF('[1]FC vers Ref (Km)'!ES118&lt;&gt;0,U118,)+2+(21/60)</f>
        <v>212.35</v>
      </c>
      <c r="ET118" s="14">
        <f>IF('[1]FC vers Ref (Km)'!ET118&lt;&gt;0,V118,)+1+(44/60)</f>
        <v>204.73333333333332</v>
      </c>
      <c r="EU118" s="14">
        <f>IF('[1]FC vers Ref (Km)'!EU118&lt;&gt;0,W118,)+1+(47/60)+2+(31/60)+2+(54/60)</f>
        <v>250.20000000000002</v>
      </c>
      <c r="EV118" s="14">
        <f>IF('[1]FC vers Ref (Km)'!EV118&lt;&gt;0,X118,)</f>
        <v>0</v>
      </c>
      <c r="EW118" s="14">
        <f>IF('[1]FC vers Ref (Km)'!EW118&lt;&gt;0,Y118,)+(56/60)+(59/60)</f>
        <v>249.91666666666666</v>
      </c>
      <c r="EX118" s="14">
        <f>IF('[1]FC vers Ref (Km)'!EX118&lt;&gt;0,Z118,)+1+(35/60)+(37/60)</f>
        <v>220.20000000000002</v>
      </c>
      <c r="EY118" s="14">
        <f>IF('[1]FC vers Ref (Km)'!EY118&lt;&gt;0,AA118,)+1+(18/60)</f>
        <v>212.3</v>
      </c>
      <c r="EZ118" s="14">
        <f>IF('[1]FC vers Ref (Km)'!EZ118&lt;&gt;0,AB118,)+1+(39/60)</f>
        <v>211.65</v>
      </c>
      <c r="FA118" s="14">
        <f>IF('[1]FC vers Ref (Km)'!FA118&lt;&gt;0,AC118,)+1+(47/60)</f>
        <v>192.78333333333333</v>
      </c>
      <c r="FB118" s="14">
        <f>IF('[1]FC vers Ref (Km)'!FB118&lt;&gt;0,AD118,)</f>
        <v>0</v>
      </c>
      <c r="FC118" s="14">
        <f>IF('[1]FC vers Ref (Km)'!FC118&lt;&gt;0,AE118,)</f>
        <v>0</v>
      </c>
      <c r="FD118" s="14">
        <f>IF('[1]FC vers Ref (Km)'!FD118&lt;&gt;0,AF118,)+5+(31/60)+5+(51/60)+1+(8/60)</f>
        <v>255.5</v>
      </c>
      <c r="FE118" s="14">
        <f>IF('[1]FC vers Ref (Km)'!FE118&lt;&gt;0,AG118,)+4+(2/60)+5+(51/60)+1+(8/60)</f>
        <v>254.01666666666665</v>
      </c>
      <c r="FF118" s="14">
        <f>IF('[1]FC vers Ref (Km)'!FF118&lt;&gt;0,AH118,)+1+(7/60)+5+(51/60)+1+(8/60)</f>
        <v>251.1</v>
      </c>
      <c r="FG118" s="14">
        <f>IF('[1]FC vers Ref (Km)'!FG118&lt;&gt;0,AI118,)+15+(50/60)</f>
        <v>341.83333333333331</v>
      </c>
      <c r="FH118" s="14">
        <f>IF('[1]FC vers Ref (Km)'!FH118&lt;&gt;0,AJ118,)</f>
        <v>0</v>
      </c>
      <c r="FI118" s="14">
        <f>IF('[1]FC vers Ref (Km)'!FI118&lt;&gt;0,AK118,)+4+(40/60)+11+(32/60)</f>
        <v>342.20000000000005</v>
      </c>
      <c r="FJ118" s="14">
        <f>IF('[1]FC vers Ref (Km)'!FJ118&lt;&gt;0,AL118,)</f>
        <v>0</v>
      </c>
      <c r="FK118" s="14">
        <f>IF('[1]FC vers Ref (Km)'!FK118&lt;&gt;0,AM118,)</f>
        <v>0</v>
      </c>
      <c r="FL118" s="14">
        <f>IF('[1]FC vers Ref (Km)'!FL118&lt;&gt;0,AN118,)</f>
        <v>0</v>
      </c>
      <c r="FM118" s="14">
        <f>IF('[1]FC vers Ref (Km)'!FM118&lt;&gt;0,AO118,)+(55/60)</f>
        <v>468.91666666666669</v>
      </c>
      <c r="FN118" s="14">
        <f>IF('[1]FC vers Ref (Km)'!FN118&lt;&gt;0,AP118,)</f>
        <v>0</v>
      </c>
      <c r="FO118" s="14">
        <f>IF('[1]FC vers Ref (Km)'!FO118&lt;&gt;0,AQ118,)</f>
        <v>0</v>
      </c>
      <c r="FP118" s="14">
        <f>IF('[1]FC vers Ref (Km)'!FP118&lt;&gt;0,AR118,)</f>
        <v>0</v>
      </c>
      <c r="FQ118" s="14">
        <f>IF('[1]FC vers Ref (Km)'!FQ118&lt;&gt;0,AS118,)</f>
        <v>0</v>
      </c>
      <c r="FR118" s="14">
        <f>IF('[1]FC vers Ref (Km)'!FR118&lt;&gt;0,AT118,)</f>
        <v>0</v>
      </c>
      <c r="FS118" s="14">
        <f>IF('[1]FC vers Ref (Km)'!FS118&lt;&gt;0,AU118,)</f>
        <v>0</v>
      </c>
      <c r="FT118" s="14">
        <f>IF('[1]FC vers Ref (Km)'!FT118&lt;&gt;0,AV118,)+1+(7/60)</f>
        <v>469.11666666666667</v>
      </c>
      <c r="FU118" s="14">
        <f>IF('[1]FC vers Ref (Km)'!FU118&lt;&gt;0,AW118,)+8+(3/60)</f>
        <v>278.05</v>
      </c>
      <c r="FV118" s="14">
        <f>IF('[1]FC vers Ref (Km)'!FV118&lt;&gt;0,AX118,)+2*24+11</f>
        <v>329</v>
      </c>
      <c r="FW118" s="14">
        <f>IF('[1]FC vers Ref (Km)'!FW118&lt;&gt;0,AY118,)</f>
        <v>0</v>
      </c>
      <c r="FX118" s="14">
        <f>IF('[1]FC vers Ref (Km)'!FX118&lt;&gt;0,AZ118,)</f>
        <v>0</v>
      </c>
      <c r="FY118" s="14">
        <f>IF('[1]FC vers Ref (Km)'!FY118&lt;&gt;0,BA118,)+5+(41/60)</f>
        <v>244.68333333333334</v>
      </c>
      <c r="FZ118" s="14">
        <f>IF('[1]FC vers Ref (Km)'!FZ118&lt;&gt;0,BB118,)</f>
        <v>0</v>
      </c>
      <c r="GA118" s="14">
        <f>IF('[1]FC vers Ref (Km)'!GA118&lt;&gt;0,BC118,)</f>
        <v>0</v>
      </c>
      <c r="GB118" s="14">
        <f>IF('[1]FC vers Ref (Km)'!GB118&lt;&gt;0,BD118,)</f>
        <v>0</v>
      </c>
      <c r="GC118" s="14">
        <f>IF('[1]FC vers Ref (Km)'!GC118&lt;&gt;0,BE118,)+(30/60)</f>
        <v>477.5</v>
      </c>
      <c r="GD118" s="14">
        <f>IF('[1]FC vers Ref (Km)'!GD118&lt;&gt;0,BF118,)</f>
        <v>0</v>
      </c>
      <c r="GE118" s="14">
        <f>IF('[1]FC vers Ref (Km)'!GE118&lt;&gt;0,BG118,)+15+(1/60)</f>
        <v>288.01666666666665</v>
      </c>
      <c r="GF118" s="14">
        <f>IF('[1]FC vers Ref (Km)'!GF118&lt;&gt;0,BH118,)</f>
        <v>0</v>
      </c>
      <c r="GG118" s="12">
        <f>IF('[1]FC vers Ref (Km)'!GG118&lt;&gt;0,BI118,)</f>
        <v>0</v>
      </c>
      <c r="GH118" s="12">
        <f>IF('[1]FC vers Ref (Km)'!GH118&lt;&gt;0,BJ118,)</f>
        <v>0</v>
      </c>
      <c r="GI118" s="17">
        <f>IF('[1]FC vers Ref (Km)'!GI118&lt;&gt;0,BK118,)</f>
        <v>0</v>
      </c>
    </row>
    <row r="119" spans="1:191" x14ac:dyDescent="0.3">
      <c r="A119" s="10" t="s">
        <v>15</v>
      </c>
      <c r="B119" s="35" t="s">
        <v>78</v>
      </c>
      <c r="C119" s="16">
        <f>5*24+23</f>
        <v>143</v>
      </c>
      <c r="D119" s="14">
        <f>7*24+1</f>
        <v>169</v>
      </c>
      <c r="E119" s="14">
        <f>6*24+9</f>
        <v>153</v>
      </c>
      <c r="F119" s="14">
        <f>9*24+7</f>
        <v>223</v>
      </c>
      <c r="G119" s="14">
        <f>6*24+11</f>
        <v>155</v>
      </c>
      <c r="H119" s="14">
        <f>10*24+15</f>
        <v>255</v>
      </c>
      <c r="I119" s="14">
        <f>12*24+13</f>
        <v>301</v>
      </c>
      <c r="J119" s="14">
        <f>10*24+15</f>
        <v>255</v>
      </c>
      <c r="K119" s="14">
        <f>7*24+10</f>
        <v>178</v>
      </c>
      <c r="L119" s="14">
        <f>7*24+10</f>
        <v>178</v>
      </c>
      <c r="M119" s="14">
        <f>12*24+13</f>
        <v>301</v>
      </c>
      <c r="N119" s="14">
        <f>12*24+13</f>
        <v>301</v>
      </c>
      <c r="O119" s="14">
        <f>7*24+6</f>
        <v>174</v>
      </c>
      <c r="P119" s="13">
        <f>1*24+21</f>
        <v>45</v>
      </c>
      <c r="Q119" s="12"/>
      <c r="R119" s="14">
        <v>185</v>
      </c>
      <c r="S119" s="14">
        <v>169</v>
      </c>
      <c r="T119" s="14">
        <v>172</v>
      </c>
      <c r="U119" s="14">
        <v>165</v>
      </c>
      <c r="V119" s="14">
        <v>159</v>
      </c>
      <c r="W119" s="14">
        <v>199</v>
      </c>
      <c r="X119" s="14">
        <v>184</v>
      </c>
      <c r="Y119" s="14">
        <v>204</v>
      </c>
      <c r="Z119" s="14">
        <v>174</v>
      </c>
      <c r="AA119" s="14">
        <v>167</v>
      </c>
      <c r="AB119" s="14">
        <v>166</v>
      </c>
      <c r="AC119" s="14">
        <v>146</v>
      </c>
      <c r="AD119" s="14">
        <v>152</v>
      </c>
      <c r="AE119" s="14">
        <v>204</v>
      </c>
      <c r="AF119" s="14">
        <v>199</v>
      </c>
      <c r="AG119" s="14">
        <v>199</v>
      </c>
      <c r="AH119" s="14">
        <v>199</v>
      </c>
      <c r="AI119" s="14">
        <v>329</v>
      </c>
      <c r="AJ119" s="14">
        <v>366</v>
      </c>
      <c r="AK119" s="14">
        <v>329</v>
      </c>
      <c r="AL119" s="14">
        <v>338</v>
      </c>
      <c r="AM119" s="14">
        <v>455</v>
      </c>
      <c r="AN119" s="14">
        <v>466</v>
      </c>
      <c r="AO119" s="14">
        <v>470</v>
      </c>
      <c r="AP119" s="14">
        <v>380</v>
      </c>
      <c r="AQ119" s="14">
        <v>376</v>
      </c>
      <c r="AR119" s="14">
        <v>333</v>
      </c>
      <c r="AS119" s="14">
        <v>331</v>
      </c>
      <c r="AT119" s="14">
        <v>331</v>
      </c>
      <c r="AU119" s="14">
        <v>331</v>
      </c>
      <c r="AV119" s="14">
        <f>19*24+15</f>
        <v>471</v>
      </c>
      <c r="AW119" s="14">
        <f>9*24+10</f>
        <v>226</v>
      </c>
      <c r="AX119" s="14">
        <f>9*24+10</f>
        <v>226</v>
      </c>
      <c r="AY119" s="14">
        <f>19*24</f>
        <v>456</v>
      </c>
      <c r="AZ119" s="14"/>
      <c r="BA119" s="14">
        <f>10*24+1</f>
        <v>241</v>
      </c>
      <c r="BB119" s="14">
        <f>16*24+20</f>
        <v>404</v>
      </c>
      <c r="BC119" s="14">
        <f>8*24+22</f>
        <v>214</v>
      </c>
      <c r="BD119" s="14">
        <f>17*24+17</f>
        <v>425</v>
      </c>
      <c r="BE119" s="14">
        <f>20*24</f>
        <v>480</v>
      </c>
      <c r="BF119" s="14">
        <f>19*24+2</f>
        <v>458</v>
      </c>
      <c r="BG119" s="14">
        <f>9*24+13</f>
        <v>229</v>
      </c>
      <c r="BH119" s="14">
        <f>8*24</f>
        <v>192</v>
      </c>
      <c r="BI119" s="13">
        <f>6*24+5</f>
        <v>149</v>
      </c>
      <c r="BJ119" s="13">
        <f>8*24+2</f>
        <v>194</v>
      </c>
      <c r="BK119" s="18">
        <f>8*24+2</f>
        <v>194</v>
      </c>
      <c r="BM119" s="10" t="s">
        <v>15</v>
      </c>
      <c r="BN119" s="35" t="s">
        <v>78</v>
      </c>
      <c r="BO119" s="16">
        <f>IF('[1]FC vers Ref (Km)'!BO119&lt;&gt;0,'Délai intermédiaire'!C119,)+(40/60)</f>
        <v>143.66666666666666</v>
      </c>
      <c r="BP119" s="14">
        <f>IF('[1]FC vers Ref (Km)'!BP119&lt;&gt;0,'Délai intermédiaire'!D119,)+(40/60)</f>
        <v>169.66666666666666</v>
      </c>
      <c r="BQ119" s="14">
        <f>IF('[1]FC vers Ref (Km)'!BQ119&lt;&gt;0,'Délai intermédiaire'!E119,)+(40/60)+19+(49/60)</f>
        <v>173.48333333333332</v>
      </c>
      <c r="BR119" s="14">
        <f>IF('[1]FC vers Ref (Km)'!BR119&lt;&gt;0,'Délai intermédiaire'!F119,)+(40/60)</f>
        <v>223.66666666666666</v>
      </c>
      <c r="BS119" s="14">
        <f>IF('[1]FC vers Ref (Km)'!BS119&lt;&gt;0,'Délai intermédiaire'!G119,)+(40/60)+(48/60)</f>
        <v>156.46666666666667</v>
      </c>
      <c r="BT119" s="14">
        <f>IF('[1]FC vers Ref (Km)'!BT119&lt;&gt;0,'Délai intermédiaire'!H119,)+(40/60)+15+(47/60)</f>
        <v>271.45</v>
      </c>
      <c r="BU119" s="14">
        <f>IF('[1]FC vers Ref (Km)'!BU119&lt;&gt;0,'Délai intermédiaire'!I119,)+(40/60)</f>
        <v>301.66666666666669</v>
      </c>
      <c r="BV119" s="14">
        <f>IF('[1]FC vers Ref (Km)'!BV119&lt;&gt;0,'Délai intermédiaire'!J119,)+(40/60)</f>
        <v>255.66666666666666</v>
      </c>
      <c r="BW119" s="14">
        <f>IF('[1]FC vers Ref (Km)'!BW119&lt;&gt;0,'Délai intermédiaire'!K119,)+(40/60)+6+(13/60)</f>
        <v>184.88333333333333</v>
      </c>
      <c r="BX119" s="14">
        <f>IF('[1]FC vers Ref (Km)'!BX119&lt;&gt;0,'Délai intermédiaire'!L119,)+(40/60)</f>
        <v>178.66666666666666</v>
      </c>
      <c r="BY119" s="14">
        <f>IF('[1]FC vers Ref (Km)'!BY119&lt;&gt;0,'Délai intermédiaire'!M119,)+(40/60)+11+(1/60)</f>
        <v>312.68333333333334</v>
      </c>
      <c r="BZ119" s="14">
        <f>IF('[1]FC vers Ref (Km)'!BZ119&lt;&gt;0,'Délai intermédiaire'!N119,)+(40/60)</f>
        <v>301.66666666666669</v>
      </c>
      <c r="CA119" s="14">
        <f>IF('[1]FC vers Ref (Km)'!CA119&lt;&gt;0,'Délai intermédiaire'!O119,)+(40/60)+4+(51/60)</f>
        <v>179.51666666666665</v>
      </c>
      <c r="CB119" s="13">
        <f>IF('[1]FC vers Ref (Km)'!CB119&lt;&gt;0,'Délai intermédiaire'!P119,)+(40/60)+5+(3/60)</f>
        <v>50.716666666666661</v>
      </c>
      <c r="CC119" s="12"/>
      <c r="CD119" s="14">
        <f>IF('[1]FC vers Ref (Km)'!CD119&lt;&gt;0,'Délai intermédiaire'!R119,)+(40/60)</f>
        <v>185.66666666666666</v>
      </c>
      <c r="CE119" s="14">
        <f>IF('[1]FC vers Ref (Km)'!CE119&lt;&gt;0,'Délai intermédiaire'!S119,)+(40/60)</f>
        <v>169.66666666666666</v>
      </c>
      <c r="CF119" s="14">
        <f>IF('[1]FC vers Ref (Km)'!CF119&lt;&gt;0,'Délai intermédiaire'!T119,)+(40/60)</f>
        <v>172.66666666666666</v>
      </c>
      <c r="CG119" s="14">
        <f>IF('[1]FC vers Ref (Km)'!CG119&lt;&gt;0,'Délai intermédiaire'!U119,)+(40/60)+1+(53/60)</f>
        <v>167.54999999999998</v>
      </c>
      <c r="CH119" s="14">
        <f>IF('[1]FC vers Ref (Km)'!CH119&lt;&gt;0,'Délai intermédiaire'!V119,)+(40/60)+2+(57/60)</f>
        <v>162.61666666666665</v>
      </c>
      <c r="CI119" s="14">
        <f>IF('[1]FC vers Ref (Km)'!CI119&lt;&gt;0,'Délai intermédiaire'!W119,)+(40/60)+4+(47/60)</f>
        <v>204.45</v>
      </c>
      <c r="CJ119" s="14">
        <f>IF('[1]FC vers Ref (Km)'!CJ119&lt;&gt;0,'Délai intermédiaire'!X119,)+(40/60)</f>
        <v>184.66666666666666</v>
      </c>
      <c r="CK119" s="14">
        <f>IF('[1]FC vers Ref (Km)'!CK119&lt;&gt;0,'Délai intermédiaire'!Y119,)+(40/60)+1+(33/60)</f>
        <v>206.21666666666667</v>
      </c>
      <c r="CL119" s="14">
        <f>IF('[1]FC vers Ref (Km)'!CL119&lt;&gt;0,'Délai intermédiaire'!Z119,)+(40/60)+2+(30/60)</f>
        <v>177.16666666666666</v>
      </c>
      <c r="CM119" s="14">
        <f>IF('[1]FC vers Ref (Km)'!CM119&lt;&gt;0,'Délai intermédiaire'!AA119,)+(40/60)+(56/60)</f>
        <v>168.6</v>
      </c>
      <c r="CN119" s="14">
        <f>IF('[1]FC vers Ref (Km)'!CN119&lt;&gt;0,'Délai intermédiaire'!AB119,)+(40/60)+1+(39/60)</f>
        <v>168.31666666666666</v>
      </c>
      <c r="CO119" s="14">
        <f>IF('[1]FC vers Ref (Km)'!CO119&lt;&gt;0,'Délai intermédiaire'!AC119,)+(40/60)+3+(25/60)</f>
        <v>150.08333333333331</v>
      </c>
      <c r="CP119" s="14">
        <f>IF('[1]FC vers Ref (Km)'!CP119&lt;&gt;0,'Délai intermédiaire'!AD119,)+(40/60)</f>
        <v>152.66666666666666</v>
      </c>
      <c r="CQ119" s="14">
        <f>IF('[1]FC vers Ref (Km)'!CQ119&lt;&gt;0,'Délai intermédiaire'!AE119,)+(40/60)</f>
        <v>204.66666666666666</v>
      </c>
      <c r="CR119" s="14">
        <f>IF('[1]FC vers Ref (Km)'!CR119&lt;&gt;0,'Délai intermédiaire'!AF119,)+(40/60)+9+(1/60)</f>
        <v>208.68333333333334</v>
      </c>
      <c r="CS119" s="14">
        <f>IF('[1]FC vers Ref (Km)'!CS119&lt;&gt;0,'Délai intermédiaire'!AG119,)+(40/60)+7+(48/60)</f>
        <v>207.46666666666667</v>
      </c>
      <c r="CT119" s="14">
        <f>IF('[1]FC vers Ref (Km)'!CT119&lt;&gt;0,'Délai intermédiaire'!AH119,)+(40/60)+5+(5/60)</f>
        <v>204.75</v>
      </c>
      <c r="CU119" s="14">
        <f>IF('[1]FC vers Ref (Km)'!CU119&lt;&gt;0,'Délai intermédiaire'!AI119,)+(40/60)+19+(46/60)</f>
        <v>349.43333333333334</v>
      </c>
      <c r="CV119" s="14">
        <f>IF('[1]FC vers Ref (Km)'!CV119&lt;&gt;0,'Délai intermédiaire'!AJ119,)+(40/60)</f>
        <v>366.66666666666669</v>
      </c>
      <c r="CW119" s="14">
        <f>IF('[1]FC vers Ref (Km)'!CW119&lt;&gt;0,'Délai intermédiaire'!AK119,)+(40/60)+12+(26/60)</f>
        <v>342.1</v>
      </c>
      <c r="CX119" s="14">
        <f>IF('[1]FC vers Ref (Km)'!CX119&lt;&gt;0,'Délai intermédiaire'!AL119,)+(40/60)</f>
        <v>338.66666666666669</v>
      </c>
      <c r="CY119" s="14">
        <f>IF('[1]FC vers Ref (Km)'!CY119&lt;&gt;0,'Délai intermédiaire'!AM119,)+(40/60)</f>
        <v>455.66666666666669</v>
      </c>
      <c r="CZ119" s="14">
        <f>IF('[1]FC vers Ref (Km)'!CZ119&lt;&gt;0,'Délai intermédiaire'!AN119,)+(40/60)</f>
        <v>466.66666666666669</v>
      </c>
      <c r="DA119" s="14">
        <f>IF('[1]FC vers Ref (Km)'!DA119&lt;&gt;0,'Délai intermédiaire'!AO119,)+(40/60)+1+(56/60)</f>
        <v>472.6</v>
      </c>
      <c r="DB119" s="14">
        <f>IF('[1]FC vers Ref (Km)'!DB119&lt;&gt;0,'Délai intermédiaire'!AP119,)+(40/60)</f>
        <v>380.66666666666669</v>
      </c>
      <c r="DC119" s="14">
        <f>IF('[1]FC vers Ref (Km)'!DC119&lt;&gt;0,'Délai intermédiaire'!AQ119,)+(40/60)</f>
        <v>376.66666666666669</v>
      </c>
      <c r="DD119" s="14">
        <f>IF('[1]FC vers Ref (Km)'!DD119&lt;&gt;0,'Délai intermédiaire'!AR119,)+(40/60)</f>
        <v>333.66666666666669</v>
      </c>
      <c r="DE119" s="14">
        <f>IF('[1]FC vers Ref (Km)'!DE119&lt;&gt;0,'Délai intermédiaire'!AS119,)+(40/60)</f>
        <v>331.66666666666669</v>
      </c>
      <c r="DF119" s="14">
        <f>IF('[1]FC vers Ref (Km)'!DF119&lt;&gt;0,'Délai intermédiaire'!AT119,)+(40/60)+20+(5/60)</f>
        <v>351.75</v>
      </c>
      <c r="DG119" s="14">
        <f>IF('[1]FC vers Ref (Km)'!DG119&lt;&gt;0,'Délai intermédiaire'!AU119,)+(40/60)+11+(36/60)</f>
        <v>343.26666666666671</v>
      </c>
      <c r="DH119" s="14">
        <f>IF('[1]FC vers Ref (Km)'!DH119&lt;&gt;0,'Délai intermédiaire'!AV119,)+(40/60)+(28/60)</f>
        <v>472.13333333333333</v>
      </c>
      <c r="DI119" s="14">
        <f>IF('[1]FC vers Ref (Km)'!DI119&lt;&gt;0,'Délai intermédiaire'!AW119,)+(40/60)+7+(13/60)</f>
        <v>233.88333333333333</v>
      </c>
      <c r="DJ119" s="14">
        <f>IF('[1]FC vers Ref (Km)'!DJ119&lt;&gt;0,'Délai intermédiaire'!AX119,)+(40/60)+2*24+15</f>
        <v>289.66666666666663</v>
      </c>
      <c r="DK119" s="14">
        <f>IF('[1]FC vers Ref (Km)'!DK119&lt;&gt;0,'Délai intermédiaire'!AY119,)+(40/60)</f>
        <v>456.66666666666669</v>
      </c>
      <c r="DL119" s="14">
        <f>IF('[1]FC vers Ref (Km)'!DL119&lt;&gt;0,'Délai intermédiaire'!AZ119,)+(40/60)</f>
        <v>0.66666666666666663</v>
      </c>
      <c r="DM119" s="14">
        <f>IF('[1]FC vers Ref (Km)'!DM119&lt;&gt;0,'Délai intermédiaire'!BA119,)+(40/60)+7+(17/60)</f>
        <v>248.95</v>
      </c>
      <c r="DN119" s="14">
        <f>IF('[1]FC vers Ref (Km)'!DN119&lt;&gt;0,'Délai intermédiaire'!BB119,)+(40/60)</f>
        <v>404.66666666666669</v>
      </c>
      <c r="DO119" s="14">
        <f>IF('[1]FC vers Ref (Km)'!DO119&lt;&gt;0,'Délai intermédiaire'!BC119,)+(40/60)</f>
        <v>214.66666666666666</v>
      </c>
      <c r="DP119" s="14">
        <f>IF('[1]FC vers Ref (Km)'!DP119&lt;&gt;0,'Délai intermédiaire'!BD119,)+(40/60)</f>
        <v>425.66666666666669</v>
      </c>
      <c r="DQ119" s="14">
        <f>IF('[1]FC vers Ref (Km)'!DQ119&lt;&gt;0,'Délai intermédiaire'!BE119,)+(40/60)+1+(22/60)</f>
        <v>482.03333333333336</v>
      </c>
      <c r="DR119" s="14">
        <f>IF('[1]FC vers Ref (Km)'!DR119&lt;&gt;0,'Délai intermédiaire'!BF119,)+(40/60)</f>
        <v>458.66666666666669</v>
      </c>
      <c r="DS119" s="14">
        <f>IF('[1]FC vers Ref (Km)'!DS119&lt;&gt;0,'Délai intermédiaire'!BG119,)+(40/60)+10+(43/60)</f>
        <v>240.38333333333333</v>
      </c>
      <c r="DT119" s="14">
        <f>IF('[1]FC vers Ref (Km)'!DT119&lt;&gt;0,'Délai intermédiaire'!BH119,)+(40/60)+(12/60)</f>
        <v>192.86666666666665</v>
      </c>
      <c r="DU119" s="13">
        <f>IF('[1]FC vers Ref (Km)'!DU119&lt;&gt;0,'Délai intermédiaire'!BI119,)+(40/60)+7+(45/60)</f>
        <v>157.41666666666666</v>
      </c>
      <c r="DV119" s="13">
        <f>IF('[1]FC vers Ref (Km)'!DV119&lt;&gt;0,'Délai intermédiaire'!BJ119,)+(40/60)+1+(10/60)</f>
        <v>195.83333333333331</v>
      </c>
      <c r="DW119" s="18">
        <f>IF('[1]FC vers Ref (Km)'!DW119&lt;&gt;0,'Délai intermédiaire'!BK119,)+(40/60)+12+(41/60)</f>
        <v>207.35</v>
      </c>
      <c r="DX119" s="27"/>
      <c r="DY119" s="10" t="s">
        <v>15</v>
      </c>
      <c r="DZ119" s="35" t="s">
        <v>78</v>
      </c>
      <c r="EA119" s="16">
        <f>IF('[1]FC vers Ref (Km)'!EA119&lt;&gt;0,C119,)</f>
        <v>0</v>
      </c>
      <c r="EB119" s="14">
        <f>IF('[1]FC vers Ref (Km)'!EB119&lt;&gt;0,D119,)</f>
        <v>0</v>
      </c>
      <c r="EC119" s="14">
        <f>IF('[1]FC vers Ref (Km)'!EC119&lt;&gt;0,E119,)+7+(55/60)+19+(53/60)</f>
        <v>180.79999999999998</v>
      </c>
      <c r="ED119" s="14">
        <f>IF('[1]FC vers Ref (Km)'!ED119&lt;&gt;0,F119,)</f>
        <v>0</v>
      </c>
      <c r="EE119" s="14">
        <f>IF('[1]FC vers Ref (Km)'!EE119&lt;&gt;0,G119,)+(32/60)</f>
        <v>155.53333333333333</v>
      </c>
      <c r="EF119" s="14">
        <f>IF('[1]FC vers Ref (Km)'!EF119&lt;&gt;0,H119,)+14+(25/60)+31+(8/60)+14+(25/60)+31+(8/60)</f>
        <v>346.1</v>
      </c>
      <c r="EG119" s="14">
        <f>IF('[1]FC vers Ref (Km)'!EG119&lt;&gt;0,I119,)</f>
        <v>0</v>
      </c>
      <c r="EH119" s="14">
        <f>IF('[1]FC vers Ref (Km)'!EH119&lt;&gt;0,J119,)</f>
        <v>0</v>
      </c>
      <c r="EI119" s="14">
        <f>IF('[1]FC vers Ref (Km)'!EI119&lt;&gt;0,K119,)+5+(11/60)</f>
        <v>183.18333333333334</v>
      </c>
      <c r="EJ119" s="14">
        <f>IF('[1]FC vers Ref (Km)'!EJ119&lt;&gt;0,L119,)</f>
        <v>0</v>
      </c>
      <c r="EK119" s="14">
        <f>IF('[1]FC vers Ref (Km)'!EK119&lt;&gt;0,M119,)</f>
        <v>0</v>
      </c>
      <c r="EL119" s="14">
        <f>IF('[1]FC vers Ref (Km)'!EL119&lt;&gt;0,N119,)</f>
        <v>0</v>
      </c>
      <c r="EM119" s="14">
        <f>IF('[1]FC vers Ref (Km)'!EM119&lt;&gt;0,O119,)</f>
        <v>0</v>
      </c>
      <c r="EN119" s="13">
        <f>IF('[1]FC vers Ref (Km)'!EN119&lt;&gt;0,P119,)</f>
        <v>0</v>
      </c>
      <c r="EO119" s="12">
        <f>IF('[1]FC vers Ref (Km)'!EO119&lt;&gt;0,Q119,)</f>
        <v>0</v>
      </c>
      <c r="EP119" s="14">
        <f>IF('[1]FC vers Ref (Km)'!EP119&lt;&gt;0,R119,)</f>
        <v>0</v>
      </c>
      <c r="EQ119" s="14">
        <f>IF('[1]FC vers Ref (Km)'!EQ119&lt;&gt;0,S119,)</f>
        <v>0</v>
      </c>
      <c r="ER119" s="14">
        <f>IF('[1]FC vers Ref (Km)'!ER119&lt;&gt;0,T119,)</f>
        <v>0</v>
      </c>
      <c r="ES119" s="14">
        <f>IF('[1]FC vers Ref (Km)'!ES119&lt;&gt;0,U119,)+2+(21/60)</f>
        <v>167.35</v>
      </c>
      <c r="ET119" s="14">
        <f>IF('[1]FC vers Ref (Km)'!ET119&lt;&gt;0,V119,)+1+(44/60)</f>
        <v>160.73333333333332</v>
      </c>
      <c r="EU119" s="14">
        <f>IF('[1]FC vers Ref (Km)'!EU119&lt;&gt;0,W119,)+1+(47/60)+2+(31/60)+2+(54/60)</f>
        <v>206.20000000000002</v>
      </c>
      <c r="EV119" s="14">
        <f>IF('[1]FC vers Ref (Km)'!EV119&lt;&gt;0,X119,)</f>
        <v>0</v>
      </c>
      <c r="EW119" s="14">
        <f>IF('[1]FC vers Ref (Km)'!EW119&lt;&gt;0,Y119,)+(56/60)+(59/60)+(56/60)+(59/60)</f>
        <v>207.83333333333331</v>
      </c>
      <c r="EX119" s="14">
        <f>IF('[1]FC vers Ref (Km)'!EX119&lt;&gt;0,Z119,)+1+(35/60)+(37/60)</f>
        <v>176.20000000000002</v>
      </c>
      <c r="EY119" s="14">
        <f>IF('[1]FC vers Ref (Km)'!EY119&lt;&gt;0,AA119,)+1+(18/60)</f>
        <v>168.3</v>
      </c>
      <c r="EZ119" s="14">
        <f>IF('[1]FC vers Ref (Km)'!EZ119&lt;&gt;0,AB119,)+1+(39/60)</f>
        <v>167.65</v>
      </c>
      <c r="FA119" s="14">
        <f>IF('[1]FC vers Ref (Km)'!FA119&lt;&gt;0,AC119,)+1+(47/60)</f>
        <v>147.78333333333333</v>
      </c>
      <c r="FB119" s="14">
        <f>IF('[1]FC vers Ref (Km)'!FB119&lt;&gt;0,AD119,)</f>
        <v>0</v>
      </c>
      <c r="FC119" s="14">
        <f>IF('[1]FC vers Ref (Km)'!FC119&lt;&gt;0,AE119,)</f>
        <v>0</v>
      </c>
      <c r="FD119" s="14">
        <f>IF('[1]FC vers Ref (Km)'!FD119&lt;&gt;0,AF119,)+5+(31/60)+5+(51/60)+1+(8/60)</f>
        <v>211.5</v>
      </c>
      <c r="FE119" s="14">
        <f>IF('[1]FC vers Ref (Km)'!FE119&lt;&gt;0,AG119,)+4+(2/60)+5+(51/60)+1+(8/60)</f>
        <v>210.01666666666665</v>
      </c>
      <c r="FF119" s="14">
        <f>IF('[1]FC vers Ref (Km)'!FF119&lt;&gt;0,AH119,)+1+(7/60)+5+(51/60)+1+(8/60)</f>
        <v>207.1</v>
      </c>
      <c r="FG119" s="14">
        <f>IF('[1]FC vers Ref (Km)'!FG119&lt;&gt;0,AI119,)+15+(50/60)</f>
        <v>344.83333333333331</v>
      </c>
      <c r="FH119" s="14">
        <f>IF('[1]FC vers Ref (Km)'!FH119&lt;&gt;0,AJ119,)</f>
        <v>0</v>
      </c>
      <c r="FI119" s="14">
        <f>IF('[1]FC vers Ref (Km)'!FI119&lt;&gt;0,AK119,)+4+(40/60)+11+(32/60)</f>
        <v>345.20000000000005</v>
      </c>
      <c r="FJ119" s="14">
        <f>IF('[1]FC vers Ref (Km)'!FJ119&lt;&gt;0,AL119,)</f>
        <v>0</v>
      </c>
      <c r="FK119" s="14">
        <f>IF('[1]FC vers Ref (Km)'!FK119&lt;&gt;0,AM119,)</f>
        <v>0</v>
      </c>
      <c r="FL119" s="14">
        <f>IF('[1]FC vers Ref (Km)'!FL119&lt;&gt;0,AN119,)</f>
        <v>0</v>
      </c>
      <c r="FM119" s="14">
        <f>IF('[1]FC vers Ref (Km)'!FM119&lt;&gt;0,AO119,)+(55/60)</f>
        <v>470.91666666666669</v>
      </c>
      <c r="FN119" s="14">
        <f>IF('[1]FC vers Ref (Km)'!FN119&lt;&gt;0,AP119,)</f>
        <v>0</v>
      </c>
      <c r="FO119" s="14">
        <f>IF('[1]FC vers Ref (Km)'!FO119&lt;&gt;0,AQ119,)</f>
        <v>0</v>
      </c>
      <c r="FP119" s="14">
        <f>IF('[1]FC vers Ref (Km)'!FP119&lt;&gt;0,AR119,)</f>
        <v>0</v>
      </c>
      <c r="FQ119" s="14">
        <f>IF('[1]FC vers Ref (Km)'!FQ119&lt;&gt;0,AS119,)</f>
        <v>0</v>
      </c>
      <c r="FR119" s="14">
        <f>IF('[1]FC vers Ref (Km)'!FR119&lt;&gt;0,AT119,)</f>
        <v>0</v>
      </c>
      <c r="FS119" s="14">
        <f>IF('[1]FC vers Ref (Km)'!FS119&lt;&gt;0,AU119,)</f>
        <v>0</v>
      </c>
      <c r="FT119" s="14">
        <f>IF('[1]FC vers Ref (Km)'!FT119&lt;&gt;0,AV119,)+1+(7/60)</f>
        <v>472.11666666666667</v>
      </c>
      <c r="FU119" s="14">
        <f>IF('[1]FC vers Ref (Km)'!FU119&lt;&gt;0,AW119,)+8+(3/60)</f>
        <v>234.05</v>
      </c>
      <c r="FV119" s="14">
        <f>IF('[1]FC vers Ref (Km)'!FV119&lt;&gt;0,AX119,)+2*24+11</f>
        <v>285</v>
      </c>
      <c r="FW119" s="14">
        <f>IF('[1]FC vers Ref (Km)'!FW119&lt;&gt;0,AY119,)</f>
        <v>0</v>
      </c>
      <c r="FX119" s="14">
        <f>IF('[1]FC vers Ref (Km)'!FX119&lt;&gt;0,AZ119,)</f>
        <v>0</v>
      </c>
      <c r="FY119" s="14">
        <f>IF('[1]FC vers Ref (Km)'!FY119&lt;&gt;0,BA119,)+5+(41/60)</f>
        <v>246.68333333333334</v>
      </c>
      <c r="FZ119" s="14">
        <f>IF('[1]FC vers Ref (Km)'!FZ119&lt;&gt;0,BB119,)</f>
        <v>0</v>
      </c>
      <c r="GA119" s="14">
        <f>IF('[1]FC vers Ref (Km)'!GA119&lt;&gt;0,BC119,)</f>
        <v>0</v>
      </c>
      <c r="GB119" s="14">
        <f>IF('[1]FC vers Ref (Km)'!GB119&lt;&gt;0,BD119,)</f>
        <v>0</v>
      </c>
      <c r="GC119" s="14">
        <f>IF('[1]FC vers Ref (Km)'!GC119&lt;&gt;0,BE119,)+(30/60)</f>
        <v>480.5</v>
      </c>
      <c r="GD119" s="14">
        <f>IF('[1]FC vers Ref (Km)'!GD119&lt;&gt;0,BF119,)</f>
        <v>0</v>
      </c>
      <c r="GE119" s="14">
        <f>IF('[1]FC vers Ref (Km)'!GE119&lt;&gt;0,BG119,)+15+(1/60)</f>
        <v>244.01666666666668</v>
      </c>
      <c r="GF119" s="14">
        <f>IF('[1]FC vers Ref (Km)'!GF119&lt;&gt;0,BH119,)</f>
        <v>0</v>
      </c>
      <c r="GG119" s="13">
        <f>IF('[1]FC vers Ref (Km)'!GG119&lt;&gt;0,BI119,)</f>
        <v>0</v>
      </c>
      <c r="GH119" s="13">
        <f>IF('[1]FC vers Ref (Km)'!GH119&lt;&gt;0,BJ119,)</f>
        <v>0</v>
      </c>
      <c r="GI119" s="18">
        <f>IF('[1]FC vers Ref (Km)'!GI119&lt;&gt;0,BK119,)</f>
        <v>0</v>
      </c>
    </row>
    <row r="120" spans="1:191" x14ac:dyDescent="0.3">
      <c r="A120" s="10" t="s">
        <v>16</v>
      </c>
      <c r="B120" s="35" t="s">
        <v>79</v>
      </c>
      <c r="C120" s="16">
        <f>6*24+22</f>
        <v>166</v>
      </c>
      <c r="D120" s="14">
        <f>8*24+5</f>
        <v>197</v>
      </c>
      <c r="E120" s="14">
        <f>5*24+16</f>
        <v>136</v>
      </c>
      <c r="F120" s="14">
        <f>7*24+5</f>
        <v>173</v>
      </c>
      <c r="G120" s="14">
        <f>6*24+4</f>
        <v>148</v>
      </c>
      <c r="H120" s="14">
        <f>13*24+9</f>
        <v>321</v>
      </c>
      <c r="I120" s="14">
        <f>15*24+6</f>
        <v>366</v>
      </c>
      <c r="J120" s="14">
        <f>13*24+9</f>
        <v>321</v>
      </c>
      <c r="K120" s="14">
        <f>5*24+8</f>
        <v>128</v>
      </c>
      <c r="L120" s="14">
        <f>5*24+8</f>
        <v>128</v>
      </c>
      <c r="M120" s="14">
        <f>15*24+7</f>
        <v>367</v>
      </c>
      <c r="N120" s="14">
        <f>15*24+7</f>
        <v>367</v>
      </c>
      <c r="O120" s="14">
        <f>8*24+15</f>
        <v>207</v>
      </c>
      <c r="P120" s="14">
        <f>9*24+13</f>
        <v>229</v>
      </c>
      <c r="Q120" s="14">
        <f>7*24+17</f>
        <v>185</v>
      </c>
      <c r="R120" s="12"/>
      <c r="S120" s="13">
        <v>27</v>
      </c>
      <c r="T120" s="13">
        <v>17</v>
      </c>
      <c r="U120" s="13">
        <v>21</v>
      </c>
      <c r="V120" s="13">
        <v>96</v>
      </c>
      <c r="W120" s="13">
        <v>136</v>
      </c>
      <c r="X120" s="13">
        <v>20</v>
      </c>
      <c r="Y120" s="13">
        <v>32</v>
      </c>
      <c r="Z120" s="13">
        <v>16</v>
      </c>
      <c r="AA120" s="13">
        <v>104</v>
      </c>
      <c r="AB120" s="13">
        <v>103</v>
      </c>
      <c r="AC120" s="13">
        <v>84</v>
      </c>
      <c r="AD120" s="13">
        <v>89</v>
      </c>
      <c r="AE120" s="13">
        <v>32</v>
      </c>
      <c r="AF120" s="13">
        <v>136</v>
      </c>
      <c r="AG120" s="13">
        <v>136</v>
      </c>
      <c r="AH120" s="13">
        <v>136</v>
      </c>
      <c r="AI120" s="14">
        <v>274</v>
      </c>
      <c r="AJ120" s="14">
        <v>343</v>
      </c>
      <c r="AK120" s="14">
        <v>274</v>
      </c>
      <c r="AL120" s="14">
        <v>315</v>
      </c>
      <c r="AM120" s="14">
        <v>477</v>
      </c>
      <c r="AN120" s="14">
        <v>468</v>
      </c>
      <c r="AO120" s="14">
        <v>462</v>
      </c>
      <c r="AP120" s="14">
        <v>474</v>
      </c>
      <c r="AQ120" s="14">
        <v>493</v>
      </c>
      <c r="AR120" s="14">
        <v>410</v>
      </c>
      <c r="AS120" s="14">
        <v>268</v>
      </c>
      <c r="AT120" s="14">
        <v>268</v>
      </c>
      <c r="AU120" s="14">
        <v>268</v>
      </c>
      <c r="AV120" s="14">
        <f>19*24+6</f>
        <v>462</v>
      </c>
      <c r="AW120" s="14">
        <f>2*24+7</f>
        <v>55</v>
      </c>
      <c r="AX120" s="14">
        <f>2*24+7</f>
        <v>55</v>
      </c>
      <c r="AY120" s="14">
        <f>20*24+1</f>
        <v>481</v>
      </c>
      <c r="AZ120" s="14"/>
      <c r="BA120" s="14">
        <f>11*24+8</f>
        <v>272</v>
      </c>
      <c r="BB120" s="14">
        <f>16*24+7</f>
        <v>391</v>
      </c>
      <c r="BC120" s="13">
        <f>1*24+19</f>
        <v>43</v>
      </c>
      <c r="BD120" s="14">
        <f>17*24+9</f>
        <v>417</v>
      </c>
      <c r="BE120" s="14">
        <f>19*24+15</f>
        <v>471</v>
      </c>
      <c r="BF120" s="14">
        <f>18*24+17</f>
        <v>449</v>
      </c>
      <c r="BG120" s="13">
        <f>6*24+22</f>
        <v>166</v>
      </c>
      <c r="BH120" s="13">
        <f>5*24+9</f>
        <v>129</v>
      </c>
      <c r="BI120" s="14">
        <f>8*24+22</f>
        <v>214</v>
      </c>
      <c r="BJ120" s="14">
        <f>12*24+21</f>
        <v>309</v>
      </c>
      <c r="BK120" s="15">
        <f>12*24+21</f>
        <v>309</v>
      </c>
      <c r="BM120" s="10" t="s">
        <v>16</v>
      </c>
      <c r="BN120" s="35" t="s">
        <v>79</v>
      </c>
      <c r="BO120" s="16">
        <f>IF('[1]FC vers Ref (Km)'!BO120&lt;&gt;0,'Délai intermédiaire'!C120,)</f>
        <v>0</v>
      </c>
      <c r="BP120" s="14">
        <f>IF('[1]FC vers Ref (Km)'!BP120&lt;&gt;0,'Délai intermédiaire'!D120,)</f>
        <v>0</v>
      </c>
      <c r="BQ120" s="14">
        <f>IF('[1]FC vers Ref (Km)'!BQ120&lt;&gt;0,'Délai intermédiaire'!E120,)+19+(49/60)</f>
        <v>155.81666666666666</v>
      </c>
      <c r="BR120" s="14">
        <f>IF('[1]FC vers Ref (Km)'!BR120&lt;&gt;0,'Délai intermédiaire'!F120,)</f>
        <v>0</v>
      </c>
      <c r="BS120" s="14">
        <f>IF('[1]FC vers Ref (Km)'!BS120&lt;&gt;0,'Délai intermédiaire'!G120,)+(48/60)</f>
        <v>148.80000000000001</v>
      </c>
      <c r="BT120" s="14">
        <f>IF('[1]FC vers Ref (Km)'!BT120&lt;&gt;0,'Délai intermédiaire'!H120,)+15+(47/60)</f>
        <v>336.78333333333336</v>
      </c>
      <c r="BU120" s="14">
        <f>IF('[1]FC vers Ref (Km)'!BU120&lt;&gt;0,'Délai intermédiaire'!I120,)</f>
        <v>0</v>
      </c>
      <c r="BV120" s="14">
        <f>IF('[1]FC vers Ref (Km)'!BV120&lt;&gt;0,'Délai intermédiaire'!J120,)</f>
        <v>0</v>
      </c>
      <c r="BW120" s="14">
        <f>IF('[1]FC vers Ref (Km)'!BW120&lt;&gt;0,'Délai intermédiaire'!K120,)+6+(13/60)</f>
        <v>134.21666666666667</v>
      </c>
      <c r="BX120" s="14">
        <f>IF('[1]FC vers Ref (Km)'!BX120&lt;&gt;0,'Délai intermédiaire'!L120,)</f>
        <v>0</v>
      </c>
      <c r="BY120" s="14">
        <f>IF('[1]FC vers Ref (Km)'!BY120&lt;&gt;0,'Délai intermédiaire'!M120,)+11+(1/60)</f>
        <v>378.01666666666665</v>
      </c>
      <c r="BZ120" s="14">
        <f>IF('[1]FC vers Ref (Km)'!BZ120&lt;&gt;0,'Délai intermédiaire'!N120,)</f>
        <v>0</v>
      </c>
      <c r="CA120" s="14">
        <f>IF('[1]FC vers Ref (Km)'!CA120&lt;&gt;0,'Délai intermédiaire'!O120,)+4+(51/60)</f>
        <v>211.85</v>
      </c>
      <c r="CB120" s="14">
        <f>IF('[1]FC vers Ref (Km)'!CB120&lt;&gt;0,'Délai intermédiaire'!P120,)+5+(3/60)</f>
        <v>234.05</v>
      </c>
      <c r="CC120" s="14">
        <f>IF('[1]FC vers Ref (Km)'!CC120&lt;&gt;0,'Délai intermédiaire'!Q120,)+(40/60)</f>
        <v>185.66666666666666</v>
      </c>
      <c r="CD120" s="12"/>
      <c r="CE120" s="13">
        <f>IF('[1]FC vers Ref (Km)'!CE120&lt;&gt;0,'Délai intermédiaire'!S120,)</f>
        <v>0</v>
      </c>
      <c r="CF120" s="13">
        <f>IF('[1]FC vers Ref (Km)'!CF120&lt;&gt;0,'Délai intermédiaire'!T120,)</f>
        <v>0</v>
      </c>
      <c r="CG120" s="13">
        <f>IF('[1]FC vers Ref (Km)'!CG120&lt;&gt;0,'Délai intermédiaire'!U120,)+1+(53/60)</f>
        <v>22.883333333333333</v>
      </c>
      <c r="CH120" s="13">
        <f>IF('[1]FC vers Ref (Km)'!CH120&lt;&gt;0,'Délai intermédiaire'!V120,)+2+(57/60)</f>
        <v>98.95</v>
      </c>
      <c r="CI120" s="13">
        <f>IF('[1]FC vers Ref (Km)'!CI120&lt;&gt;0,'Délai intermédiaire'!W120,)+4+(47/60)</f>
        <v>140.78333333333333</v>
      </c>
      <c r="CJ120" s="13">
        <f>IF('[1]FC vers Ref (Km)'!CJ120&lt;&gt;0,'Délai intermédiaire'!X120,)</f>
        <v>0</v>
      </c>
      <c r="CK120" s="13">
        <f>IF('[1]FC vers Ref (Km)'!CK120&lt;&gt;0,'Délai intermédiaire'!Y120,)+1+(33/60)</f>
        <v>33.549999999999997</v>
      </c>
      <c r="CL120" s="13">
        <f>IF('[1]FC vers Ref (Km)'!CL120&lt;&gt;0,'Délai intermédiaire'!Z120,)+2+(30/60)</f>
        <v>18.5</v>
      </c>
      <c r="CM120" s="13">
        <f>IF('[1]FC vers Ref (Km)'!CM120&lt;&gt;0,'Délai intermédiaire'!AA120,)+(56/60)</f>
        <v>104.93333333333334</v>
      </c>
      <c r="CN120" s="13">
        <f>IF('[1]FC vers Ref (Km)'!CN120&lt;&gt;0,'Délai intermédiaire'!AB120,)+1+(39/60)</f>
        <v>104.65</v>
      </c>
      <c r="CO120" s="13">
        <f>IF('[1]FC vers Ref (Km)'!CO120&lt;&gt;0,'Délai intermédiaire'!AC120,)+3+(25/60)</f>
        <v>87.416666666666671</v>
      </c>
      <c r="CP120" s="13">
        <f>IF('[1]FC vers Ref (Km)'!CP120&lt;&gt;0,'Délai intermédiaire'!AD120,)</f>
        <v>0</v>
      </c>
      <c r="CQ120" s="13">
        <f>IF('[1]FC vers Ref (Km)'!CQ120&lt;&gt;0,'Délai intermédiaire'!AE120,)</f>
        <v>0</v>
      </c>
      <c r="CR120" s="13">
        <f>IF('[1]FC vers Ref (Km)'!CR120&lt;&gt;0,'Délai intermédiaire'!AF120,)+9+(1/60)</f>
        <v>145.01666666666668</v>
      </c>
      <c r="CS120" s="13">
        <f>IF('[1]FC vers Ref (Km)'!CS120&lt;&gt;0,'Délai intermédiaire'!AG120,)+7+(48/60)</f>
        <v>143.80000000000001</v>
      </c>
      <c r="CT120" s="13">
        <f>IF('[1]FC vers Ref (Km)'!CT120&lt;&gt;0,'Délai intermédiaire'!AH120,)+5+(5/60)</f>
        <v>141.08333333333334</v>
      </c>
      <c r="CU120" s="14">
        <f>IF('[1]FC vers Ref (Km)'!CU120&lt;&gt;0,'Délai intermédiaire'!AI120,)+19+(46/60)</f>
        <v>293.76666666666665</v>
      </c>
      <c r="CV120" s="14">
        <f>IF('[1]FC vers Ref (Km)'!CV120&lt;&gt;0,'Délai intermédiaire'!AJ120,)</f>
        <v>0</v>
      </c>
      <c r="CW120" s="14">
        <f>IF('[1]FC vers Ref (Km)'!CW120&lt;&gt;0,'Délai intermédiaire'!AK120,)+12+(26/60)</f>
        <v>286.43333333333334</v>
      </c>
      <c r="CX120" s="14">
        <f>IF('[1]FC vers Ref (Km)'!CX120&lt;&gt;0,'Délai intermédiaire'!AL120,)</f>
        <v>0</v>
      </c>
      <c r="CY120" s="14">
        <f>IF('[1]FC vers Ref (Km)'!CY120&lt;&gt;0,'Délai intermédiaire'!AM120,)</f>
        <v>0</v>
      </c>
      <c r="CZ120" s="14">
        <f>IF('[1]FC vers Ref (Km)'!CZ120&lt;&gt;0,'Délai intermédiaire'!AN120,)</f>
        <v>0</v>
      </c>
      <c r="DA120" s="14">
        <f>IF('[1]FC vers Ref (Km)'!DA120&lt;&gt;0,'Délai intermédiaire'!AO120,)+1+(56/60)</f>
        <v>463.93333333333334</v>
      </c>
      <c r="DB120" s="14">
        <f>IF('[1]FC vers Ref (Km)'!DB120&lt;&gt;0,'Délai intermédiaire'!AP120,)</f>
        <v>0</v>
      </c>
      <c r="DC120" s="14">
        <f>IF('[1]FC vers Ref (Km)'!DC120&lt;&gt;0,'Délai intermédiaire'!AQ120,)</f>
        <v>0</v>
      </c>
      <c r="DD120" s="14">
        <f>IF('[1]FC vers Ref (Km)'!DD120&lt;&gt;0,'Délai intermédiaire'!AR120,)</f>
        <v>0</v>
      </c>
      <c r="DE120" s="14">
        <f>IF('[1]FC vers Ref (Km)'!DE120&lt;&gt;0,'Délai intermédiaire'!AS120,)</f>
        <v>0</v>
      </c>
      <c r="DF120" s="14">
        <f>IF('[1]FC vers Ref (Km)'!DF120&lt;&gt;0,'Délai intermédiaire'!AT120,)+20+(5/60)</f>
        <v>288.08333333333331</v>
      </c>
      <c r="DG120" s="14">
        <f>IF('[1]FC vers Ref (Km)'!DG120&lt;&gt;0,'Délai intermédiaire'!AU120,)+11+(36/60)</f>
        <v>279.60000000000002</v>
      </c>
      <c r="DH120" s="14">
        <f>IF('[1]FC vers Ref (Km)'!DH120&lt;&gt;0,'Délai intermédiaire'!AV120,)+(28/60)</f>
        <v>462.46666666666664</v>
      </c>
      <c r="DI120" s="14">
        <f>IF('[1]FC vers Ref (Km)'!DI120&lt;&gt;0,'Délai intermédiaire'!AW120,)+7+(13/60)</f>
        <v>62.216666666666669</v>
      </c>
      <c r="DJ120" s="14">
        <f>IF('[1]FC vers Ref (Km)'!DJ120&lt;&gt;0,'Délai intermédiaire'!AX120,)+2*24+15</f>
        <v>118</v>
      </c>
      <c r="DK120" s="14">
        <f>IF('[1]FC vers Ref (Km)'!DK120&lt;&gt;0,'Délai intermédiaire'!AY120,)</f>
        <v>0</v>
      </c>
      <c r="DL120" s="14">
        <f>IF('[1]FC vers Ref (Km)'!DL120&lt;&gt;0,'Délai intermédiaire'!AZ120,)</f>
        <v>0</v>
      </c>
      <c r="DM120" s="14">
        <f>IF('[1]FC vers Ref (Km)'!DM120&lt;&gt;0,'Délai intermédiaire'!BA120,)+7+(17/60)</f>
        <v>279.28333333333336</v>
      </c>
      <c r="DN120" s="14">
        <f>IF('[1]FC vers Ref (Km)'!DN120&lt;&gt;0,'Délai intermédiaire'!BB120,)</f>
        <v>0</v>
      </c>
      <c r="DO120" s="13">
        <f>IF('[1]FC vers Ref (Km)'!DO120&lt;&gt;0,'Délai intermédiaire'!BC120,)</f>
        <v>0</v>
      </c>
      <c r="DP120" s="14">
        <f>IF('[1]FC vers Ref (Km)'!DP120&lt;&gt;0,'Délai intermédiaire'!BD120,)</f>
        <v>0</v>
      </c>
      <c r="DQ120" s="14">
        <f>IF('[1]FC vers Ref (Km)'!DQ120&lt;&gt;0,'Délai intermédiaire'!BE120,)+1+(22/60)</f>
        <v>472.36666666666667</v>
      </c>
      <c r="DR120" s="14">
        <f>IF('[1]FC vers Ref (Km)'!DR120&lt;&gt;0,'Délai intermédiaire'!BF120,)</f>
        <v>0</v>
      </c>
      <c r="DS120" s="13">
        <f>IF('[1]FC vers Ref (Km)'!DS120&lt;&gt;0,'Délai intermédiaire'!BG120,)+10+(43/60)</f>
        <v>176.71666666666667</v>
      </c>
      <c r="DT120" s="13">
        <f>IF('[1]FC vers Ref (Km)'!DT120&lt;&gt;0,'Délai intermédiaire'!BH120,)+(12/60)</f>
        <v>129.19999999999999</v>
      </c>
      <c r="DU120" s="14">
        <f>IF('[1]FC vers Ref (Km)'!DU120&lt;&gt;0,'Délai intermédiaire'!BI120,)+7+(45/60)</f>
        <v>221.75</v>
      </c>
      <c r="DV120" s="14">
        <f>IF('[1]FC vers Ref (Km)'!DV120&lt;&gt;0,'Délai intermédiaire'!BJ120,)+1+(10/60)</f>
        <v>310.16666666666669</v>
      </c>
      <c r="DW120" s="15">
        <f>IF('[1]FC vers Ref (Km)'!DW120&lt;&gt;0,'Délai intermédiaire'!BK120,)+12+(41/60)</f>
        <v>321.68333333333334</v>
      </c>
      <c r="DX120" s="27"/>
      <c r="DY120" s="10" t="s">
        <v>16</v>
      </c>
      <c r="DZ120" s="35" t="s">
        <v>79</v>
      </c>
      <c r="EA120" s="16">
        <f>IF('[1]FC vers Ref (Km)'!EA120&lt;&gt;0,C120,)</f>
        <v>0</v>
      </c>
      <c r="EB120" s="14">
        <f>IF('[1]FC vers Ref (Km)'!EB120&lt;&gt;0,D120,)</f>
        <v>0</v>
      </c>
      <c r="EC120" s="14">
        <f>IF('[1]FC vers Ref (Km)'!EC120&lt;&gt;0,E120,)+7+(55/60)+19+(53/60)</f>
        <v>163.79999999999998</v>
      </c>
      <c r="ED120" s="14">
        <f>IF('[1]FC vers Ref (Km)'!ED120&lt;&gt;0,F120,)</f>
        <v>0</v>
      </c>
      <c r="EE120" s="14">
        <f>IF('[1]FC vers Ref (Km)'!EE120&lt;&gt;0,G120,)+(32/60)</f>
        <v>148.53333333333333</v>
      </c>
      <c r="EF120" s="14">
        <f>IF('[1]FC vers Ref (Km)'!EF120&lt;&gt;0,H120,)+14+(25/60)+31+(8/60)</f>
        <v>366.55</v>
      </c>
      <c r="EG120" s="14">
        <f>IF('[1]FC vers Ref (Km)'!EG120&lt;&gt;0,I120,)</f>
        <v>0</v>
      </c>
      <c r="EH120" s="14">
        <f>IF('[1]FC vers Ref (Km)'!EH120&lt;&gt;0,J120,)</f>
        <v>0</v>
      </c>
      <c r="EI120" s="14">
        <f>IF('[1]FC vers Ref (Km)'!EI120&lt;&gt;0,K120,)+5+(11/60)</f>
        <v>133.18333333333334</v>
      </c>
      <c r="EJ120" s="14">
        <f>IF('[1]FC vers Ref (Km)'!EJ120&lt;&gt;0,L120,)</f>
        <v>0</v>
      </c>
      <c r="EK120" s="14">
        <f>IF('[1]FC vers Ref (Km)'!EK120&lt;&gt;0,M120,)</f>
        <v>0</v>
      </c>
      <c r="EL120" s="14">
        <f>IF('[1]FC vers Ref (Km)'!EL120&lt;&gt;0,N120,)</f>
        <v>0</v>
      </c>
      <c r="EM120" s="14">
        <f>IF('[1]FC vers Ref (Km)'!EM120&lt;&gt;0,O120,)</f>
        <v>0</v>
      </c>
      <c r="EN120" s="14">
        <f>IF('[1]FC vers Ref (Km)'!EN120&lt;&gt;0,P120,)</f>
        <v>0</v>
      </c>
      <c r="EO120" s="14">
        <f>IF('[1]FC vers Ref (Km)'!EO120&lt;&gt;0,Q120,)</f>
        <v>0</v>
      </c>
      <c r="EP120" s="12">
        <f>IF('[1]FC vers Ref (Km)'!EP120&lt;&gt;0,R120,)</f>
        <v>0</v>
      </c>
      <c r="EQ120" s="13">
        <f>IF('[1]FC vers Ref (Km)'!EQ120&lt;&gt;0,S120,)</f>
        <v>0</v>
      </c>
      <c r="ER120" s="13">
        <f>IF('[1]FC vers Ref (Km)'!ER120&lt;&gt;0,T120,)</f>
        <v>0</v>
      </c>
      <c r="ES120" s="13">
        <f>IF('[1]FC vers Ref (Km)'!ES120&lt;&gt;0,U120,)+2+(21/60)</f>
        <v>23.35</v>
      </c>
      <c r="ET120" s="13">
        <f>IF('[1]FC vers Ref (Km)'!ET120&lt;&gt;0,V120,)+1+(44/60)</f>
        <v>97.733333333333334</v>
      </c>
      <c r="EU120" s="13">
        <f>IF('[1]FC vers Ref (Km)'!EU120&lt;&gt;0,W120,)+1+(47/60)+2+(31/60)+2+(54/60)</f>
        <v>143.20000000000002</v>
      </c>
      <c r="EV120" s="13">
        <f>IF('[1]FC vers Ref (Km)'!EV120&lt;&gt;0,X120,)</f>
        <v>0</v>
      </c>
      <c r="EW120" s="13">
        <f>IF('[1]FC vers Ref (Km)'!EW120&lt;&gt;0,Y120,)+(56/60)+(59/60)</f>
        <v>33.916666666666664</v>
      </c>
      <c r="EX120" s="13">
        <f>IF('[1]FC vers Ref (Km)'!EX120&lt;&gt;0,Z120,)+1+(35/60)+(37/60)</f>
        <v>18.2</v>
      </c>
      <c r="EY120" s="13">
        <f>IF('[1]FC vers Ref (Km)'!EY120&lt;&gt;0,AA120,)+1+(18/60)</f>
        <v>105.3</v>
      </c>
      <c r="EZ120" s="13">
        <f>IF('[1]FC vers Ref (Km)'!EZ120&lt;&gt;0,AB120,)+1+(39/60)</f>
        <v>104.65</v>
      </c>
      <c r="FA120" s="13">
        <f>IF('[1]FC vers Ref (Km)'!FA120&lt;&gt;0,AC120,)+1+(47/60)</f>
        <v>85.783333333333331</v>
      </c>
      <c r="FB120" s="13">
        <f>IF('[1]FC vers Ref (Km)'!FB120&lt;&gt;0,AD120,)</f>
        <v>0</v>
      </c>
      <c r="FC120" s="13">
        <f>IF('[1]FC vers Ref (Km)'!FC120&lt;&gt;0,AE120,)</f>
        <v>0</v>
      </c>
      <c r="FD120" s="13">
        <f>IF('[1]FC vers Ref (Km)'!FD120&lt;&gt;0,AF120,)+5+(31/60)+5+(51/60)+1+(8/60)</f>
        <v>148.5</v>
      </c>
      <c r="FE120" s="13">
        <f>IF('[1]FC vers Ref (Km)'!FE120&lt;&gt;0,AG120,)+4+(2/60)+5+(51/60)+1+(8/60)</f>
        <v>147.01666666666665</v>
      </c>
      <c r="FF120" s="13">
        <f>IF('[1]FC vers Ref (Km)'!FF120&lt;&gt;0,AH120,)+1+(7/60)+5+(51/60)+1+(8/60)</f>
        <v>144.1</v>
      </c>
      <c r="FG120" s="14">
        <f>IF('[1]FC vers Ref (Km)'!FG120&lt;&gt;0,AI120,)+15+(50/60)</f>
        <v>289.83333333333331</v>
      </c>
      <c r="FH120" s="14">
        <f>IF('[1]FC vers Ref (Km)'!FH120&lt;&gt;0,AJ120,)</f>
        <v>0</v>
      </c>
      <c r="FI120" s="14">
        <f>IF('[1]FC vers Ref (Km)'!FI120&lt;&gt;0,AK120,)+4+(40/60)+11+(32/60)</f>
        <v>290.20000000000005</v>
      </c>
      <c r="FJ120" s="14">
        <f>IF('[1]FC vers Ref (Km)'!FJ120&lt;&gt;0,AL120,)</f>
        <v>0</v>
      </c>
      <c r="FK120" s="14">
        <f>IF('[1]FC vers Ref (Km)'!FK120&lt;&gt;0,AM120,)</f>
        <v>0</v>
      </c>
      <c r="FL120" s="14">
        <f>IF('[1]FC vers Ref (Km)'!FL120&lt;&gt;0,AN120,)</f>
        <v>0</v>
      </c>
      <c r="FM120" s="14">
        <f>IF('[1]FC vers Ref (Km)'!FM120&lt;&gt;0,AO120,)+(55/60)</f>
        <v>462.91666666666669</v>
      </c>
      <c r="FN120" s="14">
        <f>IF('[1]FC vers Ref (Km)'!FN120&lt;&gt;0,AP120,)</f>
        <v>0</v>
      </c>
      <c r="FO120" s="14">
        <f>IF('[1]FC vers Ref (Km)'!FO120&lt;&gt;0,AQ120,)</f>
        <v>0</v>
      </c>
      <c r="FP120" s="14">
        <f>IF('[1]FC vers Ref (Km)'!FP120&lt;&gt;0,AR120,)</f>
        <v>0</v>
      </c>
      <c r="FQ120" s="14">
        <f>IF('[1]FC vers Ref (Km)'!FQ120&lt;&gt;0,AS120,)</f>
        <v>0</v>
      </c>
      <c r="FR120" s="14">
        <f>IF('[1]FC vers Ref (Km)'!FR120&lt;&gt;0,AT120,)</f>
        <v>0</v>
      </c>
      <c r="FS120" s="14">
        <f>IF('[1]FC vers Ref (Km)'!FS120&lt;&gt;0,AU120,)</f>
        <v>0</v>
      </c>
      <c r="FT120" s="14">
        <f>IF('[1]FC vers Ref (Km)'!FT120&lt;&gt;0,AV120,)+1+(7/60)</f>
        <v>463.11666666666667</v>
      </c>
      <c r="FU120" s="14">
        <f>IF('[1]FC vers Ref (Km)'!FU120&lt;&gt;0,AW120,)+8+(3/60)</f>
        <v>63.05</v>
      </c>
      <c r="FV120" s="14">
        <f>IF('[1]FC vers Ref (Km)'!FV120&lt;&gt;0,AX120,)+2*24+11</f>
        <v>114</v>
      </c>
      <c r="FW120" s="14">
        <f>IF('[1]FC vers Ref (Km)'!FW120&lt;&gt;0,AY120,)</f>
        <v>0</v>
      </c>
      <c r="FX120" s="14">
        <f>IF('[1]FC vers Ref (Km)'!FX120&lt;&gt;0,AZ120,)</f>
        <v>0</v>
      </c>
      <c r="FY120" s="14">
        <f>IF('[1]FC vers Ref (Km)'!FY120&lt;&gt;0,BA120,)+5+(41/60)</f>
        <v>277.68333333333334</v>
      </c>
      <c r="FZ120" s="14">
        <f>IF('[1]FC vers Ref (Km)'!FZ120&lt;&gt;0,BB120,)</f>
        <v>0</v>
      </c>
      <c r="GA120" s="13">
        <f>IF('[1]FC vers Ref (Km)'!GA120&lt;&gt;0,BC120,)</f>
        <v>0</v>
      </c>
      <c r="GB120" s="14">
        <f>IF('[1]FC vers Ref (Km)'!GB120&lt;&gt;0,BD120,)</f>
        <v>0</v>
      </c>
      <c r="GC120" s="14">
        <f>IF('[1]FC vers Ref (Km)'!GC120&lt;&gt;0,BE120,)+(30/60)</f>
        <v>471.5</v>
      </c>
      <c r="GD120" s="14">
        <f>IF('[1]FC vers Ref (Km)'!GD120&lt;&gt;0,BF120,)</f>
        <v>0</v>
      </c>
      <c r="GE120" s="13">
        <f>IF('[1]FC vers Ref (Km)'!GE120&lt;&gt;0,BG120,)+15+(1/60)</f>
        <v>181.01666666666668</v>
      </c>
      <c r="GF120" s="13">
        <f>IF('[1]FC vers Ref (Km)'!GF120&lt;&gt;0,BH120,)</f>
        <v>0</v>
      </c>
      <c r="GG120" s="14">
        <f>IF('[1]FC vers Ref (Km)'!GG120&lt;&gt;0,BI120,)</f>
        <v>0</v>
      </c>
      <c r="GH120" s="14">
        <f>IF('[1]FC vers Ref (Km)'!GH120&lt;&gt;0,BJ120,)</f>
        <v>0</v>
      </c>
      <c r="GI120" s="15">
        <f>IF('[1]FC vers Ref (Km)'!GI120&lt;&gt;0,BK120,)</f>
        <v>0</v>
      </c>
    </row>
    <row r="121" spans="1:191" x14ac:dyDescent="0.3">
      <c r="A121" s="10" t="s">
        <v>17</v>
      </c>
      <c r="B121" s="35" t="s">
        <v>73</v>
      </c>
      <c r="C121" s="16">
        <f>6*24+16</f>
        <v>160</v>
      </c>
      <c r="D121" s="14">
        <f>7*24+23</f>
        <v>191</v>
      </c>
      <c r="E121" s="14">
        <f>5*24+10</f>
        <v>130</v>
      </c>
      <c r="F121" s="14">
        <f>7*24+2</f>
        <v>170</v>
      </c>
      <c r="G121" s="14">
        <f>5*24+21</f>
        <v>141</v>
      </c>
      <c r="H121" s="14">
        <f>13*24</f>
        <v>312</v>
      </c>
      <c r="I121" s="14">
        <f>14*24+22</f>
        <v>358</v>
      </c>
      <c r="J121" s="14">
        <f>13*24</f>
        <v>312</v>
      </c>
      <c r="K121" s="14">
        <f>5*24+5</f>
        <v>125</v>
      </c>
      <c r="L121" s="14">
        <f>5*24+5</f>
        <v>125</v>
      </c>
      <c r="M121" s="14">
        <f>14*24+22</f>
        <v>358</v>
      </c>
      <c r="N121" s="14">
        <f>14*24+22</f>
        <v>358</v>
      </c>
      <c r="O121" s="14">
        <f>8*24+10</f>
        <v>202</v>
      </c>
      <c r="P121" s="14">
        <f>8*24+22</f>
        <v>214</v>
      </c>
      <c r="Q121" s="14">
        <f>7*24+1</f>
        <v>169</v>
      </c>
      <c r="R121" s="13">
        <f>1*24+3</f>
        <v>27</v>
      </c>
      <c r="S121" s="12"/>
      <c r="T121" s="13">
        <v>27</v>
      </c>
      <c r="U121" s="13">
        <v>21</v>
      </c>
      <c r="V121" s="13">
        <v>82</v>
      </c>
      <c r="W121" s="13">
        <v>121</v>
      </c>
      <c r="X121" s="13">
        <v>39</v>
      </c>
      <c r="Y121" s="13">
        <v>50</v>
      </c>
      <c r="Z121" s="13">
        <v>29</v>
      </c>
      <c r="AA121" s="13">
        <v>90</v>
      </c>
      <c r="AB121" s="13">
        <v>88</v>
      </c>
      <c r="AC121" s="13">
        <v>69</v>
      </c>
      <c r="AD121" s="13">
        <v>74</v>
      </c>
      <c r="AE121" s="13">
        <v>50</v>
      </c>
      <c r="AF121" s="13">
        <v>121</v>
      </c>
      <c r="AG121" s="13">
        <v>121</v>
      </c>
      <c r="AH121" s="13">
        <v>121</v>
      </c>
      <c r="AI121" s="14">
        <v>259</v>
      </c>
      <c r="AJ121" s="14">
        <v>328</v>
      </c>
      <c r="AK121" s="14">
        <v>259</v>
      </c>
      <c r="AL121" s="14">
        <v>301</v>
      </c>
      <c r="AM121" s="14">
        <v>462</v>
      </c>
      <c r="AN121" s="14">
        <v>454</v>
      </c>
      <c r="AO121" s="14">
        <v>447</v>
      </c>
      <c r="AP121" s="14">
        <v>459</v>
      </c>
      <c r="AQ121" s="14">
        <v>478</v>
      </c>
      <c r="AR121" s="14">
        <v>395</v>
      </c>
      <c r="AS121" s="14">
        <v>253</v>
      </c>
      <c r="AT121" s="14">
        <v>253</v>
      </c>
      <c r="AU121" s="14">
        <v>253</v>
      </c>
      <c r="AV121" s="14">
        <f>18*24+16</f>
        <v>448</v>
      </c>
      <c r="AW121" s="14">
        <f>3*24+1</f>
        <v>73</v>
      </c>
      <c r="AX121" s="14">
        <f>3*24+1</f>
        <v>73</v>
      </c>
      <c r="AY121" s="14">
        <f>19*24+11</f>
        <v>467</v>
      </c>
      <c r="AZ121" s="14"/>
      <c r="BA121" s="14">
        <f>10*24+17</f>
        <v>257</v>
      </c>
      <c r="BB121" s="14">
        <f>15*24+16</f>
        <v>376</v>
      </c>
      <c r="BC121" s="13">
        <f>2*24+13</f>
        <v>61</v>
      </c>
      <c r="BD121" s="14">
        <f>16*24+18</f>
        <v>402</v>
      </c>
      <c r="BE121" s="14">
        <f>19*24+1</f>
        <v>457</v>
      </c>
      <c r="BF121" s="14">
        <f>18*24+3</f>
        <v>435</v>
      </c>
      <c r="BG121" s="13">
        <f>6*24+7</f>
        <v>151</v>
      </c>
      <c r="BH121" s="13">
        <f>4*24+19</f>
        <v>115</v>
      </c>
      <c r="BI121" s="14">
        <f>8*24+14</f>
        <v>206</v>
      </c>
      <c r="BJ121" s="14">
        <f>12*24+13</f>
        <v>301</v>
      </c>
      <c r="BK121" s="15">
        <f>12*24+13</f>
        <v>301</v>
      </c>
      <c r="BM121" s="10" t="s">
        <v>17</v>
      </c>
      <c r="BN121" s="35" t="s">
        <v>73</v>
      </c>
      <c r="BO121" s="16">
        <f>IF('[1]FC vers Ref (Km)'!BO121&lt;&gt;0,'Délai intermédiaire'!C121,)</f>
        <v>0</v>
      </c>
      <c r="BP121" s="14">
        <f>IF('[1]FC vers Ref (Km)'!BP121&lt;&gt;0,'Délai intermédiaire'!D121,)</f>
        <v>0</v>
      </c>
      <c r="BQ121" s="14">
        <f>IF('[1]FC vers Ref (Km)'!BQ121&lt;&gt;0,'Délai intermédiaire'!E121,)+19+(49/60)</f>
        <v>149.81666666666666</v>
      </c>
      <c r="BR121" s="14">
        <f>IF('[1]FC vers Ref (Km)'!BR121&lt;&gt;0,'Délai intermédiaire'!F121,)</f>
        <v>0</v>
      </c>
      <c r="BS121" s="14">
        <f>IF('[1]FC vers Ref (Km)'!BS121&lt;&gt;0,'Délai intermédiaire'!G121,)+(48/60)</f>
        <v>141.80000000000001</v>
      </c>
      <c r="BT121" s="14">
        <f>IF('[1]FC vers Ref (Km)'!BT121&lt;&gt;0,'Délai intermédiaire'!H121,)+15+(47/60)</f>
        <v>327.78333333333336</v>
      </c>
      <c r="BU121" s="14">
        <f>IF('[1]FC vers Ref (Km)'!BU121&lt;&gt;0,'Délai intermédiaire'!I121,)</f>
        <v>0</v>
      </c>
      <c r="BV121" s="14">
        <f>IF('[1]FC vers Ref (Km)'!BV121&lt;&gt;0,'Délai intermédiaire'!J121,)</f>
        <v>0</v>
      </c>
      <c r="BW121" s="14">
        <f>IF('[1]FC vers Ref (Km)'!BW121&lt;&gt;0,'Délai intermédiaire'!K121,)+6+(13/60)</f>
        <v>131.21666666666667</v>
      </c>
      <c r="BX121" s="14">
        <f>IF('[1]FC vers Ref (Km)'!BX121&lt;&gt;0,'Délai intermédiaire'!L121,)</f>
        <v>0</v>
      </c>
      <c r="BY121" s="14">
        <f>IF('[1]FC vers Ref (Km)'!BY121&lt;&gt;0,'Délai intermédiaire'!M121,)+11+(1/60)</f>
        <v>369.01666666666665</v>
      </c>
      <c r="BZ121" s="14">
        <f>IF('[1]FC vers Ref (Km)'!BZ121&lt;&gt;0,'Délai intermédiaire'!N121,)</f>
        <v>0</v>
      </c>
      <c r="CA121" s="14">
        <f>IF('[1]FC vers Ref (Km)'!CA121&lt;&gt;0,'Délai intermédiaire'!O121,)+4+(51/60)</f>
        <v>206.85</v>
      </c>
      <c r="CB121" s="14">
        <f>IF('[1]FC vers Ref (Km)'!CB121&lt;&gt;0,'Délai intermédiaire'!P121,)+5+(3/60)</f>
        <v>219.05</v>
      </c>
      <c r="CC121" s="14">
        <f>IF('[1]FC vers Ref (Km)'!CC121&lt;&gt;0,'Délai intermédiaire'!Q121,)+(40/60)</f>
        <v>169.66666666666666</v>
      </c>
      <c r="CD121" s="13">
        <f>IF('[1]FC vers Ref (Km)'!CD121&lt;&gt;0,'Délai intermédiaire'!R121,)</f>
        <v>0</v>
      </c>
      <c r="CE121" s="12"/>
      <c r="CF121" s="13">
        <f>IF('[1]FC vers Ref (Km)'!CF121&lt;&gt;0,'Délai intermédiaire'!T121,)</f>
        <v>0</v>
      </c>
      <c r="CG121" s="13">
        <f>IF('[1]FC vers Ref (Km)'!CG121&lt;&gt;0,'Délai intermédiaire'!U121,)+1+(53/60)</f>
        <v>22.883333333333333</v>
      </c>
      <c r="CH121" s="13">
        <f>IF('[1]FC vers Ref (Km)'!CH121&lt;&gt;0,'Délai intermédiaire'!V121,)+2+(57/60)</f>
        <v>84.95</v>
      </c>
      <c r="CI121" s="13">
        <f>IF('[1]FC vers Ref (Km)'!CI121&lt;&gt;0,'Délai intermédiaire'!W121,)+4+(47/60)</f>
        <v>125.78333333333333</v>
      </c>
      <c r="CJ121" s="13">
        <f>IF('[1]FC vers Ref (Km)'!CJ121&lt;&gt;0,'Délai intermédiaire'!X121,)</f>
        <v>0</v>
      </c>
      <c r="CK121" s="13">
        <f>IF('[1]FC vers Ref (Km)'!CK121&lt;&gt;0,'Délai intermédiaire'!Y121,)+1+(33/60)</f>
        <v>51.55</v>
      </c>
      <c r="CL121" s="13">
        <f>IF('[1]FC vers Ref (Km)'!CL121&lt;&gt;0,'Délai intermédiaire'!Z121,)+2+(30/60)</f>
        <v>31.5</v>
      </c>
      <c r="CM121" s="13">
        <f>IF('[1]FC vers Ref (Km)'!CM121&lt;&gt;0,'Délai intermédiaire'!AA121,)+(56/60)</f>
        <v>90.933333333333337</v>
      </c>
      <c r="CN121" s="13">
        <f>IF('[1]FC vers Ref (Km)'!CN121&lt;&gt;0,'Délai intermédiaire'!AB121,)+1+(39/60)</f>
        <v>89.65</v>
      </c>
      <c r="CO121" s="13">
        <f>IF('[1]FC vers Ref (Km)'!CO121&lt;&gt;0,'Délai intermédiaire'!AC121,)+3+(25/60)</f>
        <v>72.416666666666671</v>
      </c>
      <c r="CP121" s="13">
        <f>IF('[1]FC vers Ref (Km)'!CP121&lt;&gt;0,'Délai intermédiaire'!AD121,)</f>
        <v>0</v>
      </c>
      <c r="CQ121" s="13">
        <f>IF('[1]FC vers Ref (Km)'!CQ121&lt;&gt;0,'Délai intermédiaire'!AE121,)</f>
        <v>0</v>
      </c>
      <c r="CR121" s="13">
        <f>IF('[1]FC vers Ref (Km)'!CR121&lt;&gt;0,'Délai intermédiaire'!AF121,)+9+(1/60)</f>
        <v>130.01666666666668</v>
      </c>
      <c r="CS121" s="13">
        <f>IF('[1]FC vers Ref (Km)'!CS121&lt;&gt;0,'Délai intermédiaire'!AG121,)+7+(48/60)</f>
        <v>128.80000000000001</v>
      </c>
      <c r="CT121" s="13">
        <f>IF('[1]FC vers Ref (Km)'!CT121&lt;&gt;0,'Délai intermédiaire'!AH121,)+5+(5/60)</f>
        <v>126.08333333333333</v>
      </c>
      <c r="CU121" s="14">
        <f>IF('[1]FC vers Ref (Km)'!CU121&lt;&gt;0,'Délai intermédiaire'!AI121,)+19+(46/60)</f>
        <v>278.76666666666665</v>
      </c>
      <c r="CV121" s="14">
        <f>IF('[1]FC vers Ref (Km)'!CV121&lt;&gt;0,'Délai intermédiaire'!AJ121,)</f>
        <v>0</v>
      </c>
      <c r="CW121" s="14">
        <f>IF('[1]FC vers Ref (Km)'!CW121&lt;&gt;0,'Délai intermédiaire'!AK121,)+12+(26/60)</f>
        <v>271.43333333333334</v>
      </c>
      <c r="CX121" s="14">
        <f>IF('[1]FC vers Ref (Km)'!CX121&lt;&gt;0,'Délai intermédiaire'!AL121,)</f>
        <v>0</v>
      </c>
      <c r="CY121" s="14">
        <f>IF('[1]FC vers Ref (Km)'!CY121&lt;&gt;0,'Délai intermédiaire'!AM121,)</f>
        <v>0</v>
      </c>
      <c r="CZ121" s="14">
        <f>IF('[1]FC vers Ref (Km)'!CZ121&lt;&gt;0,'Délai intermédiaire'!AN121,)</f>
        <v>0</v>
      </c>
      <c r="DA121" s="14">
        <f>IF('[1]FC vers Ref (Km)'!DA121&lt;&gt;0,'Délai intermédiaire'!AO121,)+1+(56/60)</f>
        <v>448.93333333333334</v>
      </c>
      <c r="DB121" s="14">
        <f>IF('[1]FC vers Ref (Km)'!DB121&lt;&gt;0,'Délai intermédiaire'!AP121,)</f>
        <v>0</v>
      </c>
      <c r="DC121" s="14">
        <f>IF('[1]FC vers Ref (Km)'!DC121&lt;&gt;0,'Délai intermédiaire'!AQ121,)</f>
        <v>0</v>
      </c>
      <c r="DD121" s="14">
        <f>IF('[1]FC vers Ref (Km)'!DD121&lt;&gt;0,'Délai intermédiaire'!AR121,)</f>
        <v>0</v>
      </c>
      <c r="DE121" s="14">
        <f>IF('[1]FC vers Ref (Km)'!DE121&lt;&gt;0,'Délai intermédiaire'!AS121,)</f>
        <v>0</v>
      </c>
      <c r="DF121" s="14">
        <f>IF('[1]FC vers Ref (Km)'!DF121&lt;&gt;0,'Délai intermédiaire'!AT121,)+20+(5/60)</f>
        <v>273.08333333333331</v>
      </c>
      <c r="DG121" s="14">
        <f>IF('[1]FC vers Ref (Km)'!DG121&lt;&gt;0,'Délai intermédiaire'!AU121,)+11+(36/60)</f>
        <v>264.60000000000002</v>
      </c>
      <c r="DH121" s="14">
        <f>IF('[1]FC vers Ref (Km)'!DH121&lt;&gt;0,'Délai intermédiaire'!AV121,)+(28/60)</f>
        <v>448.46666666666664</v>
      </c>
      <c r="DI121" s="14">
        <f>IF('[1]FC vers Ref (Km)'!DI121&lt;&gt;0,'Délai intermédiaire'!AW121,)+7+(13/60)</f>
        <v>80.216666666666669</v>
      </c>
      <c r="DJ121" s="14">
        <f>IF('[1]FC vers Ref (Km)'!DJ121&lt;&gt;0,'Délai intermédiaire'!AX121,)+2*24+15</f>
        <v>136</v>
      </c>
      <c r="DK121" s="14">
        <f>IF('[1]FC vers Ref (Km)'!DK121&lt;&gt;0,'Délai intermédiaire'!AY121,)</f>
        <v>0</v>
      </c>
      <c r="DL121" s="14">
        <f>IF('[1]FC vers Ref (Km)'!DL121&lt;&gt;0,'Délai intermédiaire'!AZ121,)</f>
        <v>0</v>
      </c>
      <c r="DM121" s="14">
        <f>IF('[1]FC vers Ref (Km)'!DM121&lt;&gt;0,'Délai intermédiaire'!BA121,)+7+(17/60)</f>
        <v>264.28333333333336</v>
      </c>
      <c r="DN121" s="14">
        <f>IF('[1]FC vers Ref (Km)'!DN121&lt;&gt;0,'Délai intermédiaire'!BB121,)</f>
        <v>0</v>
      </c>
      <c r="DO121" s="13">
        <f>IF('[1]FC vers Ref (Km)'!DO121&lt;&gt;0,'Délai intermédiaire'!BC121,)</f>
        <v>0</v>
      </c>
      <c r="DP121" s="14">
        <f>IF('[1]FC vers Ref (Km)'!DP121&lt;&gt;0,'Délai intermédiaire'!BD121,)</f>
        <v>0</v>
      </c>
      <c r="DQ121" s="14">
        <f>IF('[1]FC vers Ref (Km)'!DQ121&lt;&gt;0,'Délai intermédiaire'!BE121,)+1+(22/60)</f>
        <v>458.36666666666667</v>
      </c>
      <c r="DR121" s="14">
        <f>IF('[1]FC vers Ref (Km)'!DR121&lt;&gt;0,'Délai intermédiaire'!BF121,)</f>
        <v>0</v>
      </c>
      <c r="DS121" s="13">
        <f>IF('[1]FC vers Ref (Km)'!DS121&lt;&gt;0,'Délai intermédiaire'!BG121,)+10+(43/60)</f>
        <v>161.71666666666667</v>
      </c>
      <c r="DT121" s="13">
        <f>IF('[1]FC vers Ref (Km)'!DT121&lt;&gt;0,'Délai intermédiaire'!BH121,)+(12/60)</f>
        <v>115.2</v>
      </c>
      <c r="DU121" s="14">
        <f>IF('[1]FC vers Ref (Km)'!DU121&lt;&gt;0,'Délai intermédiaire'!BI121,)+7+(45/60)</f>
        <v>213.75</v>
      </c>
      <c r="DV121" s="14">
        <f>IF('[1]FC vers Ref (Km)'!DV121&lt;&gt;0,'Délai intermédiaire'!BJ121,)+1+(10/60)</f>
        <v>302.16666666666669</v>
      </c>
      <c r="DW121" s="15">
        <f>IF('[1]FC vers Ref (Km)'!DW121&lt;&gt;0,'Délai intermédiaire'!BK121,)+12+(41/60)</f>
        <v>313.68333333333334</v>
      </c>
      <c r="DX121" s="27"/>
      <c r="DY121" s="10" t="s">
        <v>17</v>
      </c>
      <c r="DZ121" s="35" t="s">
        <v>73</v>
      </c>
      <c r="EA121" s="16">
        <f>IF('[1]FC vers Ref (Km)'!EA121&lt;&gt;0,C121,)</f>
        <v>0</v>
      </c>
      <c r="EB121" s="14">
        <f>IF('[1]FC vers Ref (Km)'!EB121&lt;&gt;0,D121,)</f>
        <v>0</v>
      </c>
      <c r="EC121" s="14">
        <f>IF('[1]FC vers Ref (Km)'!EC121&lt;&gt;0,E121,)+7+(55/60)+19+(53/60)</f>
        <v>157.79999999999998</v>
      </c>
      <c r="ED121" s="14">
        <f>IF('[1]FC vers Ref (Km)'!ED121&lt;&gt;0,F121,)</f>
        <v>0</v>
      </c>
      <c r="EE121" s="14">
        <f>IF('[1]FC vers Ref (Km)'!EE121&lt;&gt;0,G121,)+(32/60)</f>
        <v>141.53333333333333</v>
      </c>
      <c r="EF121" s="14">
        <f>IF('[1]FC vers Ref (Km)'!EF121&lt;&gt;0,H121,)+14+(25/60)+31+(8/60)</f>
        <v>357.55</v>
      </c>
      <c r="EG121" s="14">
        <f>IF('[1]FC vers Ref (Km)'!EG121&lt;&gt;0,I121,)</f>
        <v>0</v>
      </c>
      <c r="EH121" s="14">
        <f>IF('[1]FC vers Ref (Km)'!EH121&lt;&gt;0,J121,)</f>
        <v>0</v>
      </c>
      <c r="EI121" s="14">
        <f>IF('[1]FC vers Ref (Km)'!EI121&lt;&gt;0,K121,)+5+(11/60)</f>
        <v>130.18333333333334</v>
      </c>
      <c r="EJ121" s="14">
        <f>IF('[1]FC vers Ref (Km)'!EJ121&lt;&gt;0,L121,)</f>
        <v>0</v>
      </c>
      <c r="EK121" s="14">
        <f>IF('[1]FC vers Ref (Km)'!EK121&lt;&gt;0,M121,)</f>
        <v>0</v>
      </c>
      <c r="EL121" s="14">
        <f>IF('[1]FC vers Ref (Km)'!EL121&lt;&gt;0,N121,)</f>
        <v>0</v>
      </c>
      <c r="EM121" s="14">
        <f>IF('[1]FC vers Ref (Km)'!EM121&lt;&gt;0,O121,)</f>
        <v>0</v>
      </c>
      <c r="EN121" s="14">
        <f>IF('[1]FC vers Ref (Km)'!EN121&lt;&gt;0,P121,)</f>
        <v>0</v>
      </c>
      <c r="EO121" s="14">
        <f>IF('[1]FC vers Ref (Km)'!EO121&lt;&gt;0,Q121,)</f>
        <v>0</v>
      </c>
      <c r="EP121" s="13">
        <f>IF('[1]FC vers Ref (Km)'!EP121&lt;&gt;0,R121,)</f>
        <v>0</v>
      </c>
      <c r="EQ121" s="12">
        <f>IF('[1]FC vers Ref (Km)'!EQ121&lt;&gt;0,S121,)</f>
        <v>0</v>
      </c>
      <c r="ER121" s="13">
        <f>IF('[1]FC vers Ref (Km)'!ER121&lt;&gt;0,T121,)</f>
        <v>0</v>
      </c>
      <c r="ES121" s="13">
        <f>IF('[1]FC vers Ref (Km)'!ES121&lt;&gt;0,U121,)+2+(21/60)</f>
        <v>23.35</v>
      </c>
      <c r="ET121" s="13">
        <f>IF('[1]FC vers Ref (Km)'!ET121&lt;&gt;0,V121,)+1+(44/60)</f>
        <v>83.733333333333334</v>
      </c>
      <c r="EU121" s="13">
        <f>IF('[1]FC vers Ref (Km)'!EU121&lt;&gt;0,W121,)+1+(47/60)+2+(31/60)+2+(54/60)</f>
        <v>128.19999999999999</v>
      </c>
      <c r="EV121" s="13">
        <f>IF('[1]FC vers Ref (Km)'!EV121&lt;&gt;0,X121,)</f>
        <v>0</v>
      </c>
      <c r="EW121" s="13">
        <f>IF('[1]FC vers Ref (Km)'!EW121&lt;&gt;0,Y121,)+(56/60)+(59/60)</f>
        <v>51.916666666666664</v>
      </c>
      <c r="EX121" s="13">
        <f>IF('[1]FC vers Ref (Km)'!EX121&lt;&gt;0,Z121,)+1+(35/60)+(37/60)</f>
        <v>31.2</v>
      </c>
      <c r="EY121" s="13">
        <f>IF('[1]FC vers Ref (Km)'!EY121&lt;&gt;0,AA121,)+1+(18/60)</f>
        <v>91.3</v>
      </c>
      <c r="EZ121" s="13">
        <f>IF('[1]FC vers Ref (Km)'!EZ121&lt;&gt;0,AB121,)+1+(39/60)</f>
        <v>89.65</v>
      </c>
      <c r="FA121" s="13">
        <f>IF('[1]FC vers Ref (Km)'!FA121&lt;&gt;0,AC121,)+1+(47/60)</f>
        <v>70.783333333333331</v>
      </c>
      <c r="FB121" s="13">
        <f>IF('[1]FC vers Ref (Km)'!FB121&lt;&gt;0,AD121,)</f>
        <v>0</v>
      </c>
      <c r="FC121" s="13">
        <f>IF('[1]FC vers Ref (Km)'!FC121&lt;&gt;0,AE121,)</f>
        <v>0</v>
      </c>
      <c r="FD121" s="13">
        <f>IF('[1]FC vers Ref (Km)'!FD121&lt;&gt;0,AF121,)+5+(31/60)+5+(51/60)+1+(8/60)</f>
        <v>133.49999999999997</v>
      </c>
      <c r="FE121" s="13">
        <f>IF('[1]FC vers Ref (Km)'!FE121&lt;&gt;0,AG121,)+4+(2/60)+5+(51/60)+1+(8/60)</f>
        <v>132.01666666666665</v>
      </c>
      <c r="FF121" s="13">
        <f>IF('[1]FC vers Ref (Km)'!FF121&lt;&gt;0,AH121,)+1+(7/60)+5+(51/60)+1+(8/60)</f>
        <v>129.09999999999997</v>
      </c>
      <c r="FG121" s="14">
        <f>IF('[1]FC vers Ref (Km)'!FG121&lt;&gt;0,AI121,)+15+(50/60)</f>
        <v>274.83333333333331</v>
      </c>
      <c r="FH121" s="14">
        <f>IF('[1]FC vers Ref (Km)'!FH121&lt;&gt;0,AJ121,)</f>
        <v>0</v>
      </c>
      <c r="FI121" s="14">
        <f>IF('[1]FC vers Ref (Km)'!FI121&lt;&gt;0,AK121,)+4+(40/60)+11+(32/60)</f>
        <v>275.20000000000005</v>
      </c>
      <c r="FJ121" s="14">
        <f>IF('[1]FC vers Ref (Km)'!FJ121&lt;&gt;0,AL121,)</f>
        <v>0</v>
      </c>
      <c r="FK121" s="14">
        <f>IF('[1]FC vers Ref (Km)'!FK121&lt;&gt;0,AM121,)</f>
        <v>0</v>
      </c>
      <c r="FL121" s="14">
        <f>IF('[1]FC vers Ref (Km)'!FL121&lt;&gt;0,AN121,)</f>
        <v>0</v>
      </c>
      <c r="FM121" s="14">
        <f>IF('[1]FC vers Ref (Km)'!FM121&lt;&gt;0,AO121,)+(55/60)</f>
        <v>447.91666666666669</v>
      </c>
      <c r="FN121" s="14">
        <f>IF('[1]FC vers Ref (Km)'!FN121&lt;&gt;0,AP121,)</f>
        <v>0</v>
      </c>
      <c r="FO121" s="14">
        <f>IF('[1]FC vers Ref (Km)'!FO121&lt;&gt;0,AQ121,)</f>
        <v>0</v>
      </c>
      <c r="FP121" s="14">
        <f>IF('[1]FC vers Ref (Km)'!FP121&lt;&gt;0,AR121,)</f>
        <v>0</v>
      </c>
      <c r="FQ121" s="14">
        <f>IF('[1]FC vers Ref (Km)'!FQ121&lt;&gt;0,AS121,)</f>
        <v>0</v>
      </c>
      <c r="FR121" s="14">
        <f>IF('[1]FC vers Ref (Km)'!FR121&lt;&gt;0,AT121,)</f>
        <v>0</v>
      </c>
      <c r="FS121" s="14">
        <f>IF('[1]FC vers Ref (Km)'!FS121&lt;&gt;0,AU121,)</f>
        <v>0</v>
      </c>
      <c r="FT121" s="14">
        <f>IF('[1]FC vers Ref (Km)'!FT121&lt;&gt;0,AV121,)+1+(7/60)</f>
        <v>449.11666666666667</v>
      </c>
      <c r="FU121" s="14">
        <f>IF('[1]FC vers Ref (Km)'!FU121&lt;&gt;0,AW121,)+8+(3/60)</f>
        <v>81.05</v>
      </c>
      <c r="FV121" s="14">
        <f>IF('[1]FC vers Ref (Km)'!FV121&lt;&gt;0,AX121,)+2*24+11</f>
        <v>132</v>
      </c>
      <c r="FW121" s="14">
        <f>IF('[1]FC vers Ref (Km)'!FW121&lt;&gt;0,AY121,)</f>
        <v>0</v>
      </c>
      <c r="FX121" s="14">
        <f>IF('[1]FC vers Ref (Km)'!FX121&lt;&gt;0,AZ121,)</f>
        <v>0</v>
      </c>
      <c r="FY121" s="14">
        <f>IF('[1]FC vers Ref (Km)'!FY121&lt;&gt;0,BA121,)+5+(41/60)</f>
        <v>262.68333333333334</v>
      </c>
      <c r="FZ121" s="14">
        <f>IF('[1]FC vers Ref (Km)'!FZ121&lt;&gt;0,BB121,)</f>
        <v>0</v>
      </c>
      <c r="GA121" s="13">
        <f>IF('[1]FC vers Ref (Km)'!GA121&lt;&gt;0,BC121,)</f>
        <v>0</v>
      </c>
      <c r="GB121" s="14">
        <f>IF('[1]FC vers Ref (Km)'!GB121&lt;&gt;0,BD121,)</f>
        <v>0</v>
      </c>
      <c r="GC121" s="14">
        <f>IF('[1]FC vers Ref (Km)'!GC121&lt;&gt;0,BE121,)+(30/60)</f>
        <v>457.5</v>
      </c>
      <c r="GD121" s="14">
        <f>IF('[1]FC vers Ref (Km)'!GD121&lt;&gt;0,BF121,)</f>
        <v>0</v>
      </c>
      <c r="GE121" s="13">
        <f>IF('[1]FC vers Ref (Km)'!GE121&lt;&gt;0,BG121,)+15+(1/60)</f>
        <v>166.01666666666668</v>
      </c>
      <c r="GF121" s="13">
        <f>IF('[1]FC vers Ref (Km)'!GF121&lt;&gt;0,BH121,)</f>
        <v>0</v>
      </c>
      <c r="GG121" s="14">
        <f>IF('[1]FC vers Ref (Km)'!GG121&lt;&gt;0,BI121,)</f>
        <v>0</v>
      </c>
      <c r="GH121" s="14">
        <f>IF('[1]FC vers Ref (Km)'!GH121&lt;&gt;0,BJ121,)</f>
        <v>0</v>
      </c>
      <c r="GI121" s="15">
        <f>IF('[1]FC vers Ref (Km)'!GI121&lt;&gt;0,BK121,)</f>
        <v>0</v>
      </c>
    </row>
    <row r="122" spans="1:191" x14ac:dyDescent="0.3">
      <c r="A122" s="10" t="s">
        <v>18</v>
      </c>
      <c r="B122" s="35" t="s">
        <v>73</v>
      </c>
      <c r="C122" s="16">
        <f>7*24+2</f>
        <v>170</v>
      </c>
      <c r="D122" s="14">
        <f>8*24+9</f>
        <v>201</v>
      </c>
      <c r="E122" s="14">
        <f>5*24+19</f>
        <v>139</v>
      </c>
      <c r="F122" s="14">
        <f>7*24+12</f>
        <v>180</v>
      </c>
      <c r="G122" s="14">
        <f>6*24+7</f>
        <v>151</v>
      </c>
      <c r="H122" s="14">
        <f>13*24+9</f>
        <v>321</v>
      </c>
      <c r="I122" s="14">
        <f>15*24+7</f>
        <v>367</v>
      </c>
      <c r="J122" s="14">
        <f>13*24+9</f>
        <v>321</v>
      </c>
      <c r="K122" s="14">
        <f>5*24+15</f>
        <v>135</v>
      </c>
      <c r="L122" s="14">
        <f>5*24+15</f>
        <v>135</v>
      </c>
      <c r="M122" s="14">
        <f>15*24+8</f>
        <v>368</v>
      </c>
      <c r="N122" s="14">
        <f>15*24+8</f>
        <v>368</v>
      </c>
      <c r="O122" s="14">
        <f>8*24+19</f>
        <v>211</v>
      </c>
      <c r="P122" s="14">
        <f>9*24+1</f>
        <v>217</v>
      </c>
      <c r="Q122" s="14">
        <f>7*24+4</f>
        <v>172</v>
      </c>
      <c r="R122" s="13">
        <f>17</f>
        <v>17</v>
      </c>
      <c r="S122" s="13">
        <f>1*24+3</f>
        <v>27</v>
      </c>
      <c r="T122" s="12"/>
      <c r="U122" s="13">
        <v>9</v>
      </c>
      <c r="V122" s="13">
        <v>84</v>
      </c>
      <c r="W122" s="13">
        <v>124</v>
      </c>
      <c r="X122" s="13">
        <v>18</v>
      </c>
      <c r="Y122" s="13">
        <v>36</v>
      </c>
      <c r="Z122" s="13">
        <v>8</v>
      </c>
      <c r="AA122" s="13">
        <v>92</v>
      </c>
      <c r="AB122" s="13">
        <v>90</v>
      </c>
      <c r="AC122" s="13">
        <v>71</v>
      </c>
      <c r="AD122" s="13">
        <v>76</v>
      </c>
      <c r="AE122" s="13">
        <v>36</v>
      </c>
      <c r="AF122" s="13">
        <v>124</v>
      </c>
      <c r="AG122" s="13">
        <v>124</v>
      </c>
      <c r="AH122" s="13">
        <v>124</v>
      </c>
      <c r="AI122" s="14">
        <v>262</v>
      </c>
      <c r="AJ122" s="14">
        <v>330</v>
      </c>
      <c r="AK122" s="14">
        <v>262</v>
      </c>
      <c r="AL122" s="14">
        <v>303</v>
      </c>
      <c r="AM122" s="14">
        <v>465</v>
      </c>
      <c r="AN122" s="14">
        <v>456</v>
      </c>
      <c r="AO122" s="14">
        <v>449</v>
      </c>
      <c r="AP122" s="14">
        <v>461</v>
      </c>
      <c r="AQ122" s="14">
        <v>480</v>
      </c>
      <c r="AR122" s="14">
        <v>397</v>
      </c>
      <c r="AS122" s="14">
        <v>255</v>
      </c>
      <c r="AT122" s="14">
        <v>255</v>
      </c>
      <c r="AU122" s="14">
        <v>255</v>
      </c>
      <c r="AV122" s="14">
        <f>18*24+18</f>
        <v>450</v>
      </c>
      <c r="AW122" s="14">
        <f>2*24+10</f>
        <v>58</v>
      </c>
      <c r="AX122" s="14">
        <f>2*24+10</f>
        <v>58</v>
      </c>
      <c r="AY122" s="14">
        <f>19*24+13</f>
        <v>469</v>
      </c>
      <c r="AZ122" s="14"/>
      <c r="BA122" s="14">
        <f>10*24+19</f>
        <v>259</v>
      </c>
      <c r="BB122" s="14">
        <f>15*24+18</f>
        <v>378</v>
      </c>
      <c r="BC122" s="13">
        <f>1*24+23</f>
        <v>47</v>
      </c>
      <c r="BD122" s="14">
        <f>16*24+20</f>
        <v>404</v>
      </c>
      <c r="BE122" s="14">
        <f>19*24+3</f>
        <v>459</v>
      </c>
      <c r="BF122" s="14">
        <f>18*24+5</f>
        <v>437</v>
      </c>
      <c r="BG122" s="13">
        <f>6*24+9</f>
        <v>153</v>
      </c>
      <c r="BH122" s="13">
        <f>4*24+21</f>
        <v>117</v>
      </c>
      <c r="BI122" s="14">
        <f>8*24+23</f>
        <v>215</v>
      </c>
      <c r="BJ122" s="14">
        <f>12*24+22</f>
        <v>310</v>
      </c>
      <c r="BK122" s="15">
        <f>12*24+22</f>
        <v>310</v>
      </c>
      <c r="BM122" s="10" t="s">
        <v>18</v>
      </c>
      <c r="BN122" s="35" t="s">
        <v>73</v>
      </c>
      <c r="BO122" s="16">
        <f>IF('[1]FC vers Ref (Km)'!BO122&lt;&gt;0,'Délai intermédiaire'!C122,)</f>
        <v>0</v>
      </c>
      <c r="BP122" s="14">
        <f>IF('[1]FC vers Ref (Km)'!BP122&lt;&gt;0,'Délai intermédiaire'!D122,)</f>
        <v>0</v>
      </c>
      <c r="BQ122" s="14">
        <f>IF('[1]FC vers Ref (Km)'!BQ122&lt;&gt;0,'Délai intermédiaire'!E122,)+19+(49/60)</f>
        <v>158.81666666666666</v>
      </c>
      <c r="BR122" s="14">
        <f>IF('[1]FC vers Ref (Km)'!BR122&lt;&gt;0,'Délai intermédiaire'!F122,)</f>
        <v>0</v>
      </c>
      <c r="BS122" s="14">
        <f>IF('[1]FC vers Ref (Km)'!BS122&lt;&gt;0,'Délai intermédiaire'!G122,)+(48/60)</f>
        <v>151.80000000000001</v>
      </c>
      <c r="BT122" s="14">
        <f>IF('[1]FC vers Ref (Km)'!BT122&lt;&gt;0,'Délai intermédiaire'!H122,)+15+(47/60)</f>
        <v>336.78333333333336</v>
      </c>
      <c r="BU122" s="14">
        <f>IF('[1]FC vers Ref (Km)'!BU122&lt;&gt;0,'Délai intermédiaire'!I122,)</f>
        <v>0</v>
      </c>
      <c r="BV122" s="14">
        <f>IF('[1]FC vers Ref (Km)'!BV122&lt;&gt;0,'Délai intermédiaire'!J122,)</f>
        <v>0</v>
      </c>
      <c r="BW122" s="14">
        <f>IF('[1]FC vers Ref (Km)'!BW122&lt;&gt;0,'Délai intermédiaire'!K122,)+6+(13/60)</f>
        <v>141.21666666666667</v>
      </c>
      <c r="BX122" s="14">
        <f>IF('[1]FC vers Ref (Km)'!BX122&lt;&gt;0,'Délai intermédiaire'!L122,)</f>
        <v>0</v>
      </c>
      <c r="BY122" s="14">
        <f>IF('[1]FC vers Ref (Km)'!BY122&lt;&gt;0,'Délai intermédiaire'!M122,)+11+(1/60)</f>
        <v>379.01666666666665</v>
      </c>
      <c r="BZ122" s="14">
        <f>IF('[1]FC vers Ref (Km)'!BZ122&lt;&gt;0,'Délai intermédiaire'!N122,)</f>
        <v>0</v>
      </c>
      <c r="CA122" s="14">
        <f>IF('[1]FC vers Ref (Km)'!CA122&lt;&gt;0,'Délai intermédiaire'!O122,)+4+(51/60)</f>
        <v>215.85</v>
      </c>
      <c r="CB122" s="14">
        <f>IF('[1]FC vers Ref (Km)'!CB122&lt;&gt;0,'Délai intermédiaire'!P122,)+5+(3/60)</f>
        <v>222.05</v>
      </c>
      <c r="CC122" s="14">
        <f>IF('[1]FC vers Ref (Km)'!CC122&lt;&gt;0,'Délai intermédiaire'!Q122,)+(40/60)</f>
        <v>172.66666666666666</v>
      </c>
      <c r="CD122" s="13">
        <f>IF('[1]FC vers Ref (Km)'!CD122&lt;&gt;0,'Délai intermédiaire'!R122,)</f>
        <v>0</v>
      </c>
      <c r="CE122" s="13">
        <f>IF('[1]FC vers Ref (Km)'!CE122&lt;&gt;0,'Délai intermédiaire'!S122,)</f>
        <v>0</v>
      </c>
      <c r="CF122" s="12"/>
      <c r="CG122" s="13">
        <f>IF('[1]FC vers Ref (Km)'!CG122&lt;&gt;0,'Délai intermédiaire'!U122,)+1+(53/60)</f>
        <v>10.883333333333333</v>
      </c>
      <c r="CH122" s="13">
        <f>IF('[1]FC vers Ref (Km)'!CH122&lt;&gt;0,'Délai intermédiaire'!V122,)+2+(57/60)</f>
        <v>86.95</v>
      </c>
      <c r="CI122" s="13">
        <f>IF('[1]FC vers Ref (Km)'!CI122&lt;&gt;0,'Délai intermédiaire'!W122,)+4+(47/60)</f>
        <v>128.78333333333333</v>
      </c>
      <c r="CJ122" s="13">
        <f>IF('[1]FC vers Ref (Km)'!CJ122&lt;&gt;0,'Délai intermédiaire'!X122,)</f>
        <v>0</v>
      </c>
      <c r="CK122" s="13">
        <f>IF('[1]FC vers Ref (Km)'!CK122&lt;&gt;0,'Délai intermédiaire'!Y122,)+1+(33/60)</f>
        <v>37.549999999999997</v>
      </c>
      <c r="CL122" s="13">
        <f>IF('[1]FC vers Ref (Km)'!CL122&lt;&gt;0,'Délai intermédiaire'!Z122,)+2+(30/60)</f>
        <v>10.5</v>
      </c>
      <c r="CM122" s="13">
        <f>IF('[1]FC vers Ref (Km)'!CM122&lt;&gt;0,'Délai intermédiaire'!AA122,)+(56/60)</f>
        <v>92.933333333333337</v>
      </c>
      <c r="CN122" s="13">
        <f>IF('[1]FC vers Ref (Km)'!CN122&lt;&gt;0,'Délai intermédiaire'!AB122,)+1+(39/60)</f>
        <v>91.65</v>
      </c>
      <c r="CO122" s="13">
        <f>IF('[1]FC vers Ref (Km)'!CO122&lt;&gt;0,'Délai intermédiaire'!AC122,)+3+(25/60)</f>
        <v>74.416666666666671</v>
      </c>
      <c r="CP122" s="13">
        <f>IF('[1]FC vers Ref (Km)'!CP122&lt;&gt;0,'Délai intermédiaire'!AD122,)</f>
        <v>0</v>
      </c>
      <c r="CQ122" s="13">
        <f>IF('[1]FC vers Ref (Km)'!CQ122&lt;&gt;0,'Délai intermédiaire'!AE122,)</f>
        <v>0</v>
      </c>
      <c r="CR122" s="13">
        <f>IF('[1]FC vers Ref (Km)'!CR122&lt;&gt;0,'Délai intermédiaire'!AF122,)+9+(1/60)</f>
        <v>133.01666666666668</v>
      </c>
      <c r="CS122" s="13">
        <f>IF('[1]FC vers Ref (Km)'!CS122&lt;&gt;0,'Délai intermédiaire'!AG122,)+7+(48/60)</f>
        <v>131.80000000000001</v>
      </c>
      <c r="CT122" s="13">
        <f>IF('[1]FC vers Ref (Km)'!CT122&lt;&gt;0,'Délai intermédiaire'!AH122,)+5+(5/60)</f>
        <v>129.08333333333334</v>
      </c>
      <c r="CU122" s="14">
        <f>IF('[1]FC vers Ref (Km)'!CU122&lt;&gt;0,'Délai intermédiaire'!AI122,)+19+(46/60)</f>
        <v>281.76666666666665</v>
      </c>
      <c r="CV122" s="14">
        <f>IF('[1]FC vers Ref (Km)'!CV122&lt;&gt;0,'Délai intermédiaire'!AJ122,)</f>
        <v>0</v>
      </c>
      <c r="CW122" s="14">
        <f>IF('[1]FC vers Ref (Km)'!CW122&lt;&gt;0,'Délai intermédiaire'!AK122,)+12+(26/60)</f>
        <v>274.43333333333334</v>
      </c>
      <c r="CX122" s="14">
        <f>IF('[1]FC vers Ref (Km)'!CX122&lt;&gt;0,'Délai intermédiaire'!AL122,)</f>
        <v>0</v>
      </c>
      <c r="CY122" s="14">
        <f>IF('[1]FC vers Ref (Km)'!CY122&lt;&gt;0,'Délai intermédiaire'!AM122,)</f>
        <v>0</v>
      </c>
      <c r="CZ122" s="14">
        <f>IF('[1]FC vers Ref (Km)'!CZ122&lt;&gt;0,'Délai intermédiaire'!AN122,)</f>
        <v>0</v>
      </c>
      <c r="DA122" s="14">
        <f>IF('[1]FC vers Ref (Km)'!DA122&lt;&gt;0,'Délai intermédiaire'!AO122,)+1+(56/60)</f>
        <v>450.93333333333334</v>
      </c>
      <c r="DB122" s="14">
        <f>IF('[1]FC vers Ref (Km)'!DB122&lt;&gt;0,'Délai intermédiaire'!AP122,)</f>
        <v>0</v>
      </c>
      <c r="DC122" s="14">
        <f>IF('[1]FC vers Ref (Km)'!DC122&lt;&gt;0,'Délai intermédiaire'!AQ122,)</f>
        <v>0</v>
      </c>
      <c r="DD122" s="14">
        <f>IF('[1]FC vers Ref (Km)'!DD122&lt;&gt;0,'Délai intermédiaire'!AR122,)</f>
        <v>0</v>
      </c>
      <c r="DE122" s="14">
        <f>IF('[1]FC vers Ref (Km)'!DE122&lt;&gt;0,'Délai intermédiaire'!AS122,)</f>
        <v>0</v>
      </c>
      <c r="DF122" s="14">
        <f>IF('[1]FC vers Ref (Km)'!DF122&lt;&gt;0,'Délai intermédiaire'!AT122,)+20+(5/60)</f>
        <v>275.08333333333331</v>
      </c>
      <c r="DG122" s="14">
        <f>IF('[1]FC vers Ref (Km)'!DG122&lt;&gt;0,'Délai intermédiaire'!AU122,)+11+(36/60)</f>
        <v>266.60000000000002</v>
      </c>
      <c r="DH122" s="14">
        <f>IF('[1]FC vers Ref (Km)'!DH122&lt;&gt;0,'Délai intermédiaire'!AV122,)+(28/60)</f>
        <v>450.46666666666664</v>
      </c>
      <c r="DI122" s="14">
        <f>IF('[1]FC vers Ref (Km)'!DI122&lt;&gt;0,'Délai intermédiaire'!AW122,)+7+(13/60)</f>
        <v>65.216666666666669</v>
      </c>
      <c r="DJ122" s="14">
        <f>IF('[1]FC vers Ref (Km)'!DJ122&lt;&gt;0,'Délai intermédiaire'!AX122,)+2*24+15</f>
        <v>121</v>
      </c>
      <c r="DK122" s="14">
        <f>IF('[1]FC vers Ref (Km)'!DK122&lt;&gt;0,'Délai intermédiaire'!AY122,)</f>
        <v>0</v>
      </c>
      <c r="DL122" s="14">
        <f>IF('[1]FC vers Ref (Km)'!DL122&lt;&gt;0,'Délai intermédiaire'!AZ122,)</f>
        <v>0</v>
      </c>
      <c r="DM122" s="14">
        <f>IF('[1]FC vers Ref (Km)'!DM122&lt;&gt;0,'Délai intermédiaire'!BA122,)+7+(17/60)</f>
        <v>266.28333333333336</v>
      </c>
      <c r="DN122" s="14">
        <f>IF('[1]FC vers Ref (Km)'!DN122&lt;&gt;0,'Délai intermédiaire'!BB122,)</f>
        <v>0</v>
      </c>
      <c r="DO122" s="13">
        <f>IF('[1]FC vers Ref (Km)'!DO122&lt;&gt;0,'Délai intermédiaire'!BC122,)</f>
        <v>0</v>
      </c>
      <c r="DP122" s="14">
        <f>IF('[1]FC vers Ref (Km)'!DP122&lt;&gt;0,'Délai intermédiaire'!BD122,)</f>
        <v>0</v>
      </c>
      <c r="DQ122" s="14">
        <f>IF('[1]FC vers Ref (Km)'!DQ122&lt;&gt;0,'Délai intermédiaire'!BE122,)+1+(22/60)</f>
        <v>460.36666666666667</v>
      </c>
      <c r="DR122" s="14">
        <f>IF('[1]FC vers Ref (Km)'!DR122&lt;&gt;0,'Délai intermédiaire'!BF122,)</f>
        <v>0</v>
      </c>
      <c r="DS122" s="13">
        <f>IF('[1]FC vers Ref (Km)'!DS122&lt;&gt;0,'Délai intermédiaire'!BG122,)+10+(43/60)</f>
        <v>163.71666666666667</v>
      </c>
      <c r="DT122" s="13">
        <f>IF('[1]FC vers Ref (Km)'!DT122&lt;&gt;0,'Délai intermédiaire'!BH122,)+(12/60)</f>
        <v>117.2</v>
      </c>
      <c r="DU122" s="14">
        <f>IF('[1]FC vers Ref (Km)'!DU122&lt;&gt;0,'Délai intermédiaire'!BI122,)+7+(45/60)</f>
        <v>222.75</v>
      </c>
      <c r="DV122" s="14">
        <f>IF('[1]FC vers Ref (Km)'!DV122&lt;&gt;0,'Délai intermédiaire'!BJ122,)+1+(10/60)</f>
        <v>311.16666666666669</v>
      </c>
      <c r="DW122" s="15">
        <f>IF('[1]FC vers Ref (Km)'!DW122&lt;&gt;0,'Délai intermédiaire'!BK122,)+12+(41/60)</f>
        <v>322.68333333333334</v>
      </c>
      <c r="DX122" s="27"/>
      <c r="DY122" s="10" t="s">
        <v>18</v>
      </c>
      <c r="DZ122" s="35" t="s">
        <v>73</v>
      </c>
      <c r="EA122" s="16">
        <f>IF('[1]FC vers Ref (Km)'!EA122&lt;&gt;0,C122,)</f>
        <v>0</v>
      </c>
      <c r="EB122" s="14">
        <f>IF('[1]FC vers Ref (Km)'!EB122&lt;&gt;0,D122,)</f>
        <v>0</v>
      </c>
      <c r="EC122" s="14">
        <f>IF('[1]FC vers Ref (Km)'!EC122&lt;&gt;0,E122,)+7+(55/60)+19+(53/60)</f>
        <v>166.79999999999998</v>
      </c>
      <c r="ED122" s="14">
        <f>IF('[1]FC vers Ref (Km)'!ED122&lt;&gt;0,F122,)</f>
        <v>0</v>
      </c>
      <c r="EE122" s="14">
        <f>IF('[1]FC vers Ref (Km)'!EE122&lt;&gt;0,G122,)+(32/60)</f>
        <v>151.53333333333333</v>
      </c>
      <c r="EF122" s="14">
        <f>IF('[1]FC vers Ref (Km)'!EF122&lt;&gt;0,H122,)+14+(25/60)+31+(8/60)</f>
        <v>366.55</v>
      </c>
      <c r="EG122" s="14">
        <f>IF('[1]FC vers Ref (Km)'!EG122&lt;&gt;0,I122,)</f>
        <v>0</v>
      </c>
      <c r="EH122" s="14">
        <f>IF('[1]FC vers Ref (Km)'!EH122&lt;&gt;0,J122,)</f>
        <v>0</v>
      </c>
      <c r="EI122" s="14">
        <f>IF('[1]FC vers Ref (Km)'!EI122&lt;&gt;0,K122,)+5+(11/60)</f>
        <v>140.18333333333334</v>
      </c>
      <c r="EJ122" s="14">
        <f>IF('[1]FC vers Ref (Km)'!EJ122&lt;&gt;0,L122,)</f>
        <v>0</v>
      </c>
      <c r="EK122" s="14">
        <f>IF('[1]FC vers Ref (Km)'!EK122&lt;&gt;0,M122,)</f>
        <v>0</v>
      </c>
      <c r="EL122" s="14">
        <f>IF('[1]FC vers Ref (Km)'!EL122&lt;&gt;0,N122,)</f>
        <v>0</v>
      </c>
      <c r="EM122" s="14">
        <f>IF('[1]FC vers Ref (Km)'!EM122&lt;&gt;0,O122,)</f>
        <v>0</v>
      </c>
      <c r="EN122" s="14">
        <f>IF('[1]FC vers Ref (Km)'!EN122&lt;&gt;0,P122,)</f>
        <v>0</v>
      </c>
      <c r="EO122" s="14">
        <f>IF('[1]FC vers Ref (Km)'!EO122&lt;&gt;0,Q122,)</f>
        <v>0</v>
      </c>
      <c r="EP122" s="13">
        <f>IF('[1]FC vers Ref (Km)'!EP122&lt;&gt;0,R122,)</f>
        <v>0</v>
      </c>
      <c r="EQ122" s="13">
        <f>IF('[1]FC vers Ref (Km)'!EQ122&lt;&gt;0,S122,)</f>
        <v>0</v>
      </c>
      <c r="ER122" s="12">
        <f>IF('[1]FC vers Ref (Km)'!ER122&lt;&gt;0,T122,)</f>
        <v>0</v>
      </c>
      <c r="ES122" s="13">
        <f>IF('[1]FC vers Ref (Km)'!ES122&lt;&gt;0,U122,)+2+(21/60)</f>
        <v>11.35</v>
      </c>
      <c r="ET122" s="13">
        <f>IF('[1]FC vers Ref (Km)'!ET122&lt;&gt;0,V122,)+1+(44/60)</f>
        <v>85.733333333333334</v>
      </c>
      <c r="EU122" s="13">
        <f>IF('[1]FC vers Ref (Km)'!EU122&lt;&gt;0,W122,)+1+(47/60)+2+(31/60)+2+(54/60)</f>
        <v>131.20000000000002</v>
      </c>
      <c r="EV122" s="13">
        <f>IF('[1]FC vers Ref (Km)'!EV122&lt;&gt;0,X122,)</f>
        <v>0</v>
      </c>
      <c r="EW122" s="13">
        <f>IF('[1]FC vers Ref (Km)'!EW122&lt;&gt;0,Y122,)+(56/60)+(59/60)</f>
        <v>37.916666666666664</v>
      </c>
      <c r="EX122" s="13">
        <f>IF('[1]FC vers Ref (Km)'!EX122&lt;&gt;0,Z122,)+1+(35/60)+(37/60)</f>
        <v>10.200000000000001</v>
      </c>
      <c r="EY122" s="13">
        <f>IF('[1]FC vers Ref (Km)'!EY122&lt;&gt;0,AA122,)+1+(18/60)</f>
        <v>93.3</v>
      </c>
      <c r="EZ122" s="13">
        <f>IF('[1]FC vers Ref (Km)'!EZ122&lt;&gt;0,AB122,)+1+(39/60)</f>
        <v>91.65</v>
      </c>
      <c r="FA122" s="13">
        <f>IF('[1]FC vers Ref (Km)'!FA122&lt;&gt;0,AC122,)+1+(47/60)</f>
        <v>72.783333333333331</v>
      </c>
      <c r="FB122" s="13">
        <f>IF('[1]FC vers Ref (Km)'!FB122&lt;&gt;0,AD122,)</f>
        <v>0</v>
      </c>
      <c r="FC122" s="13">
        <f>IF('[1]FC vers Ref (Km)'!FC122&lt;&gt;0,AE122,)</f>
        <v>0</v>
      </c>
      <c r="FD122" s="13">
        <f>IF('[1]FC vers Ref (Km)'!FD122&lt;&gt;0,AF122,)+5+(31/60)+5+(51/60)+1+(8/60)</f>
        <v>136.5</v>
      </c>
      <c r="FE122" s="13">
        <f>IF('[1]FC vers Ref (Km)'!FE122&lt;&gt;0,AG122,)+4+(2/60)+5+(51/60)+1+(8/60)</f>
        <v>135.01666666666665</v>
      </c>
      <c r="FF122" s="13">
        <f>IF('[1]FC vers Ref (Km)'!FF122&lt;&gt;0,AH122,)+1+(7/60)+5+(51/60)+1+(8/60)</f>
        <v>132.1</v>
      </c>
      <c r="FG122" s="14">
        <f>IF('[1]FC vers Ref (Km)'!FG122&lt;&gt;0,AI122,)+15+(50/60)</f>
        <v>277.83333333333331</v>
      </c>
      <c r="FH122" s="14">
        <f>IF('[1]FC vers Ref (Km)'!FH122&lt;&gt;0,AJ122,)</f>
        <v>0</v>
      </c>
      <c r="FI122" s="14">
        <f>IF('[1]FC vers Ref (Km)'!FI122&lt;&gt;0,AK122,)+4+(40/60)+11+(32/60)</f>
        <v>278.20000000000005</v>
      </c>
      <c r="FJ122" s="14">
        <f>IF('[1]FC vers Ref (Km)'!FJ122&lt;&gt;0,AL122,)</f>
        <v>0</v>
      </c>
      <c r="FK122" s="14">
        <f>IF('[1]FC vers Ref (Km)'!FK122&lt;&gt;0,AM122,)</f>
        <v>0</v>
      </c>
      <c r="FL122" s="14">
        <f>IF('[1]FC vers Ref (Km)'!FL122&lt;&gt;0,AN122,)</f>
        <v>0</v>
      </c>
      <c r="FM122" s="14">
        <f>IF('[1]FC vers Ref (Km)'!FM122&lt;&gt;0,AO122,)+(55/60)</f>
        <v>449.91666666666669</v>
      </c>
      <c r="FN122" s="14">
        <f>IF('[1]FC vers Ref (Km)'!FN122&lt;&gt;0,AP122,)</f>
        <v>0</v>
      </c>
      <c r="FO122" s="14">
        <f>IF('[1]FC vers Ref (Km)'!FO122&lt;&gt;0,AQ122,)</f>
        <v>0</v>
      </c>
      <c r="FP122" s="14">
        <f>IF('[1]FC vers Ref (Km)'!FP122&lt;&gt;0,AR122,)</f>
        <v>0</v>
      </c>
      <c r="FQ122" s="14">
        <f>IF('[1]FC vers Ref (Km)'!FQ122&lt;&gt;0,AS122,)</f>
        <v>0</v>
      </c>
      <c r="FR122" s="14">
        <f>IF('[1]FC vers Ref (Km)'!FR122&lt;&gt;0,AT122,)</f>
        <v>0</v>
      </c>
      <c r="FS122" s="14">
        <f>IF('[1]FC vers Ref (Km)'!FS122&lt;&gt;0,AU122,)</f>
        <v>0</v>
      </c>
      <c r="FT122" s="14">
        <f>IF('[1]FC vers Ref (Km)'!FT122&lt;&gt;0,AV122,)+1+(7/60)</f>
        <v>451.11666666666667</v>
      </c>
      <c r="FU122" s="14">
        <f>IF('[1]FC vers Ref (Km)'!FU122&lt;&gt;0,AW122,)+8+(3/60)</f>
        <v>66.05</v>
      </c>
      <c r="FV122" s="14">
        <f>IF('[1]FC vers Ref (Km)'!FV122&lt;&gt;0,AX122,)+2*24+11</f>
        <v>117</v>
      </c>
      <c r="FW122" s="14">
        <f>IF('[1]FC vers Ref (Km)'!FW122&lt;&gt;0,AY122,)</f>
        <v>0</v>
      </c>
      <c r="FX122" s="14">
        <f>IF('[1]FC vers Ref (Km)'!FX122&lt;&gt;0,AZ122,)</f>
        <v>0</v>
      </c>
      <c r="FY122" s="14">
        <f>IF('[1]FC vers Ref (Km)'!FY122&lt;&gt;0,BA122,)+5+(41/60)</f>
        <v>264.68333333333334</v>
      </c>
      <c r="FZ122" s="14">
        <f>IF('[1]FC vers Ref (Km)'!FZ122&lt;&gt;0,BB122,)</f>
        <v>0</v>
      </c>
      <c r="GA122" s="13">
        <f>IF('[1]FC vers Ref (Km)'!GA122&lt;&gt;0,BC122,)</f>
        <v>0</v>
      </c>
      <c r="GB122" s="14">
        <f>IF('[1]FC vers Ref (Km)'!GB122&lt;&gt;0,BD122,)</f>
        <v>0</v>
      </c>
      <c r="GC122" s="14">
        <f>IF('[1]FC vers Ref (Km)'!GC122&lt;&gt;0,BE122,)+(30/60)</f>
        <v>459.5</v>
      </c>
      <c r="GD122" s="14">
        <f>IF('[1]FC vers Ref (Km)'!GD122&lt;&gt;0,BF122,)</f>
        <v>0</v>
      </c>
      <c r="GE122" s="13">
        <f>IF('[1]FC vers Ref (Km)'!GE122&lt;&gt;0,BG122,)+15+(1/60)</f>
        <v>168.01666666666668</v>
      </c>
      <c r="GF122" s="13">
        <f>IF('[1]FC vers Ref (Km)'!GF122&lt;&gt;0,BH122,)</f>
        <v>0</v>
      </c>
      <c r="GG122" s="14">
        <f>IF('[1]FC vers Ref (Km)'!GG122&lt;&gt;0,BI122,)</f>
        <v>0</v>
      </c>
      <c r="GH122" s="14">
        <f>IF('[1]FC vers Ref (Km)'!GH122&lt;&gt;0,BJ122,)</f>
        <v>0</v>
      </c>
      <c r="GI122" s="15">
        <f>IF('[1]FC vers Ref (Km)'!GI122&lt;&gt;0,BK122,)</f>
        <v>0</v>
      </c>
    </row>
    <row r="123" spans="1:191" x14ac:dyDescent="0.3">
      <c r="A123" s="10" t="s">
        <v>19</v>
      </c>
      <c r="B123" s="35" t="s">
        <v>80</v>
      </c>
      <c r="C123" s="16">
        <f>6*24+19</f>
        <v>163</v>
      </c>
      <c r="D123" s="14">
        <f>8*24+2</f>
        <v>194</v>
      </c>
      <c r="E123" s="14">
        <f>5*24+13</f>
        <v>133</v>
      </c>
      <c r="F123" s="14">
        <f>7*24+6</f>
        <v>174</v>
      </c>
      <c r="G123" s="14">
        <f>6*24+1</f>
        <v>145</v>
      </c>
      <c r="H123" s="14">
        <f>13*24+3</f>
        <v>315</v>
      </c>
      <c r="I123" s="14">
        <f>15*24+1</f>
        <v>361</v>
      </c>
      <c r="J123" s="14">
        <f>13*24+3</f>
        <v>315</v>
      </c>
      <c r="K123" s="14">
        <f>5*24+9</f>
        <v>129</v>
      </c>
      <c r="L123" s="14">
        <f>5*24+9</f>
        <v>129</v>
      </c>
      <c r="M123" s="14">
        <f>15*24+1</f>
        <v>361</v>
      </c>
      <c r="N123" s="14">
        <f>15*24+1</f>
        <v>361</v>
      </c>
      <c r="O123" s="14">
        <f>8*24+13</f>
        <v>205</v>
      </c>
      <c r="P123" s="14">
        <f>8*24+18</f>
        <v>210</v>
      </c>
      <c r="Q123" s="14">
        <f>6*24+21</f>
        <v>165</v>
      </c>
      <c r="R123" s="13">
        <f>21</f>
        <v>21</v>
      </c>
      <c r="S123" s="13">
        <f>21</f>
        <v>21</v>
      </c>
      <c r="T123" s="13">
        <v>9</v>
      </c>
      <c r="U123" s="12"/>
      <c r="V123" s="13">
        <v>77</v>
      </c>
      <c r="W123" s="13">
        <v>117</v>
      </c>
      <c r="X123" s="13">
        <v>21</v>
      </c>
      <c r="Y123" s="13">
        <v>40</v>
      </c>
      <c r="Z123" s="13">
        <v>10</v>
      </c>
      <c r="AA123" s="13">
        <v>85</v>
      </c>
      <c r="AB123" s="13">
        <v>83</v>
      </c>
      <c r="AC123" s="13">
        <v>64</v>
      </c>
      <c r="AD123" s="13">
        <v>70</v>
      </c>
      <c r="AE123" s="13">
        <v>40</v>
      </c>
      <c r="AF123" s="13">
        <v>117</v>
      </c>
      <c r="AG123" s="13">
        <v>117</v>
      </c>
      <c r="AH123" s="13">
        <v>117</v>
      </c>
      <c r="AI123" s="14">
        <v>255</v>
      </c>
      <c r="AJ123" s="14">
        <v>323</v>
      </c>
      <c r="AK123" s="14">
        <v>255</v>
      </c>
      <c r="AL123" s="14">
        <v>296</v>
      </c>
      <c r="AM123" s="14">
        <v>458</v>
      </c>
      <c r="AN123" s="14">
        <v>449</v>
      </c>
      <c r="AO123" s="14">
        <v>443</v>
      </c>
      <c r="AP123" s="14">
        <v>454</v>
      </c>
      <c r="AQ123" s="14">
        <v>474</v>
      </c>
      <c r="AR123" s="14">
        <v>390</v>
      </c>
      <c r="AS123" s="14">
        <v>248</v>
      </c>
      <c r="AT123" s="14">
        <v>248</v>
      </c>
      <c r="AU123" s="14">
        <v>248</v>
      </c>
      <c r="AV123" s="14">
        <f>18*24+11</f>
        <v>443</v>
      </c>
      <c r="AW123" s="14">
        <f>2*24+14</f>
        <v>62</v>
      </c>
      <c r="AX123" s="14">
        <f>2*24+14</f>
        <v>62</v>
      </c>
      <c r="AY123" s="14">
        <f>19*24+6</f>
        <v>462</v>
      </c>
      <c r="AZ123" s="14"/>
      <c r="BA123" s="14">
        <f>10*24+12</f>
        <v>252</v>
      </c>
      <c r="BB123" s="14">
        <f>15*24+11</f>
        <v>371</v>
      </c>
      <c r="BC123" s="13">
        <f>2*24+3</f>
        <v>51</v>
      </c>
      <c r="BD123" s="14">
        <f>16*24+14</f>
        <v>398</v>
      </c>
      <c r="BE123" s="14">
        <f>18*24+20</f>
        <v>452</v>
      </c>
      <c r="BF123" s="14">
        <f>17*24+22</f>
        <v>430</v>
      </c>
      <c r="BG123" s="13">
        <f>6*24+3</f>
        <v>147</v>
      </c>
      <c r="BH123" s="13">
        <f>4*24+14</f>
        <v>110</v>
      </c>
      <c r="BI123" s="14">
        <f>8*24+17</f>
        <v>209</v>
      </c>
      <c r="BJ123" s="14">
        <f>12*24+16</f>
        <v>304</v>
      </c>
      <c r="BK123" s="15">
        <f>12*24+16</f>
        <v>304</v>
      </c>
      <c r="BM123" s="10" t="s">
        <v>19</v>
      </c>
      <c r="BN123" s="35" t="s">
        <v>80</v>
      </c>
      <c r="BO123" s="16">
        <f>IF('[1]FC vers Ref (Km)'!BO123&lt;&gt;0,'Délai intermédiaire'!C123,)+1+(53/60)</f>
        <v>164.88333333333333</v>
      </c>
      <c r="BP123" s="14">
        <f>IF('[1]FC vers Ref (Km)'!BP123&lt;&gt;0,'Délai intermédiaire'!D123,)+1+(53/60)</f>
        <v>195.88333333333333</v>
      </c>
      <c r="BQ123" s="14">
        <f>IF('[1]FC vers Ref (Km)'!BQ123&lt;&gt;0,'Délai intermédiaire'!E123,)+1+(53/60)+19+(49/60)</f>
        <v>154.69999999999999</v>
      </c>
      <c r="BR123" s="14">
        <f>IF('[1]FC vers Ref (Km)'!BR123&lt;&gt;0,'Délai intermédiaire'!F123,)+1+(53/60)</f>
        <v>175.88333333333333</v>
      </c>
      <c r="BS123" s="14">
        <f>IF('[1]FC vers Ref (Km)'!BS123&lt;&gt;0,'Délai intermédiaire'!G123,)+1+(53/60)+(48/60)</f>
        <v>147.68333333333334</v>
      </c>
      <c r="BT123" s="14">
        <f>IF('[1]FC vers Ref (Km)'!BT123&lt;&gt;0,'Délai intermédiaire'!H123,)+1+(53/60)+15+(47/60)</f>
        <v>332.66666666666669</v>
      </c>
      <c r="BU123" s="14">
        <f>IF('[1]FC vers Ref (Km)'!BU123&lt;&gt;0,'Délai intermédiaire'!I123,)+1+(53/60)</f>
        <v>362.88333333333333</v>
      </c>
      <c r="BV123" s="14">
        <f>IF('[1]FC vers Ref (Km)'!BV123&lt;&gt;0,'Délai intermédiaire'!J123,)+1+(53/60)</f>
        <v>316.88333333333333</v>
      </c>
      <c r="BW123" s="14">
        <f>IF('[1]FC vers Ref (Km)'!BW123&lt;&gt;0,'Délai intermédiaire'!K123,)+1+(53/60)+6+(13/60)</f>
        <v>137.1</v>
      </c>
      <c r="BX123" s="14">
        <f>IF('[1]FC vers Ref (Km)'!BX123&lt;&gt;0,'Délai intermédiaire'!L123,)+1+(53/60)</f>
        <v>130.88333333333333</v>
      </c>
      <c r="BY123" s="14">
        <f>IF('[1]FC vers Ref (Km)'!BY123&lt;&gt;0,'Délai intermédiaire'!M123,)+1+(53/60)+11+(1/60)</f>
        <v>373.9</v>
      </c>
      <c r="BZ123" s="14">
        <f>IF('[1]FC vers Ref (Km)'!BZ123&lt;&gt;0,'Délai intermédiaire'!N123,)+1+(53/60)</f>
        <v>362.88333333333333</v>
      </c>
      <c r="CA123" s="14">
        <f>IF('[1]FC vers Ref (Km)'!CA123&lt;&gt;0,'Délai intermédiaire'!O123,)+1+(53/60)+4+(51/60)</f>
        <v>211.73333333333332</v>
      </c>
      <c r="CB123" s="14">
        <f>IF('[1]FC vers Ref (Km)'!CB123&lt;&gt;0,'Délai intermédiaire'!P123,)+1+(53/60)+5+(3/60)</f>
        <v>216.93333333333334</v>
      </c>
      <c r="CC123" s="14">
        <f>IF('[1]FC vers Ref (Km)'!CC123&lt;&gt;0,'Délai intermédiaire'!Q123,)+1+(53/60)+(40/60)</f>
        <v>167.54999999999998</v>
      </c>
      <c r="CD123" s="13">
        <f>IF('[1]FC vers Ref (Km)'!CD123&lt;&gt;0,'Délai intermédiaire'!R123,)+1+(53/60)</f>
        <v>22.883333333333333</v>
      </c>
      <c r="CE123" s="13">
        <f>IF('[1]FC vers Ref (Km)'!CE123&lt;&gt;0,'Délai intermédiaire'!S123,)+1+(53/60)</f>
        <v>22.883333333333333</v>
      </c>
      <c r="CF123" s="13">
        <f>IF('[1]FC vers Ref (Km)'!CF123&lt;&gt;0,'Délai intermédiaire'!T123,)+1+(53/60)</f>
        <v>10.883333333333333</v>
      </c>
      <c r="CG123" s="12"/>
      <c r="CH123" s="13">
        <f>IF('[1]FC vers Ref (Km)'!CH123&lt;&gt;0,'Délai intermédiaire'!V123,)+1+(53/60)+2+(57/60)</f>
        <v>81.833333333333343</v>
      </c>
      <c r="CI123" s="13">
        <f>IF('[1]FC vers Ref (Km)'!CI123&lt;&gt;0,'Délai intermédiaire'!W123,)+1+(53/60)+4+(47/60)</f>
        <v>123.66666666666667</v>
      </c>
      <c r="CJ123" s="13">
        <f>IF('[1]FC vers Ref (Km)'!CJ123&lt;&gt;0,'Délai intermédiaire'!X123,)+1+(53/60)</f>
        <v>22.883333333333333</v>
      </c>
      <c r="CK123" s="13">
        <f>IF('[1]FC vers Ref (Km)'!CK123&lt;&gt;0,'Délai intermédiaire'!Y123,)+1+(53/60)+1+(33/60)</f>
        <v>43.43333333333333</v>
      </c>
      <c r="CL123" s="13">
        <f>IF('[1]FC vers Ref (Km)'!CL123&lt;&gt;0,'Délai intermédiaire'!Z123,)+1+(53/60)+2+(30/60)</f>
        <v>14.383333333333333</v>
      </c>
      <c r="CM123" s="13">
        <f>IF('[1]FC vers Ref (Km)'!CM123&lt;&gt;0,'Délai intermédiaire'!AA123,)+1+(53/60)+(56/60)</f>
        <v>87.816666666666677</v>
      </c>
      <c r="CN123" s="13">
        <f>IF('[1]FC vers Ref (Km)'!CN123&lt;&gt;0,'Délai intermédiaire'!AB123,)+1+(53/60)+1+(39/60)</f>
        <v>86.533333333333346</v>
      </c>
      <c r="CO123" s="13">
        <f>IF('[1]FC vers Ref (Km)'!CO123&lt;&gt;0,'Délai intermédiaire'!AC123,)+1+(53/60)+3+(25/60)</f>
        <v>69.300000000000011</v>
      </c>
      <c r="CP123" s="13">
        <f>IF('[1]FC vers Ref (Km)'!CP123&lt;&gt;0,'Délai intermédiaire'!AD123,)+1+(53/60)</f>
        <v>71.88333333333334</v>
      </c>
      <c r="CQ123" s="13">
        <f>IF('[1]FC vers Ref (Km)'!CQ123&lt;&gt;0,'Délai intermédiaire'!AE123,)+1+(53/60)</f>
        <v>41.883333333333333</v>
      </c>
      <c r="CR123" s="13">
        <f>IF('[1]FC vers Ref (Km)'!CR123&lt;&gt;0,'Délai intermédiaire'!AF123,)+1+(53/60)+9+(1/60)</f>
        <v>127.9</v>
      </c>
      <c r="CS123" s="13">
        <f>IF('[1]FC vers Ref (Km)'!CS123&lt;&gt;0,'Délai intermédiaire'!AG123,)+1+(53/60)+7+(48/60)</f>
        <v>126.68333333333334</v>
      </c>
      <c r="CT123" s="13">
        <f>IF('[1]FC vers Ref (Km)'!CT123&lt;&gt;0,'Délai intermédiaire'!AH123,)+1+(53/60)+5+(5/60)</f>
        <v>123.96666666666667</v>
      </c>
      <c r="CU123" s="14">
        <f>IF('[1]FC vers Ref (Km)'!CU123&lt;&gt;0,'Délai intermédiaire'!AI123,)+1+(53/60)+19+(46/60)</f>
        <v>276.64999999999998</v>
      </c>
      <c r="CV123" s="14">
        <f>IF('[1]FC vers Ref (Km)'!CV123&lt;&gt;0,'Délai intermédiaire'!AJ123,)+1+(53/60)</f>
        <v>324.88333333333333</v>
      </c>
      <c r="CW123" s="14">
        <f>IF('[1]FC vers Ref (Km)'!CW123&lt;&gt;0,'Délai intermédiaire'!AK123,)+1+(53/60)+12+(26/60)</f>
        <v>269.31666666666666</v>
      </c>
      <c r="CX123" s="14">
        <f>IF('[1]FC vers Ref (Km)'!CX123&lt;&gt;0,'Délai intermédiaire'!AL123,)+1+(53/60)</f>
        <v>297.88333333333333</v>
      </c>
      <c r="CY123" s="14">
        <f>IF('[1]FC vers Ref (Km)'!CY123&lt;&gt;0,'Délai intermédiaire'!AM123,)+1+(53/60)</f>
        <v>459.88333333333333</v>
      </c>
      <c r="CZ123" s="14">
        <f>IF('[1]FC vers Ref (Km)'!CZ123&lt;&gt;0,'Délai intermédiaire'!AN123,)+1+(53/60)</f>
        <v>450.88333333333333</v>
      </c>
      <c r="DA123" s="14">
        <f>IF('[1]FC vers Ref (Km)'!DA123&lt;&gt;0,'Délai intermédiaire'!AO123,)+1+(53/60)+1+(56/60)</f>
        <v>446.81666666666666</v>
      </c>
      <c r="DB123" s="14">
        <f>IF('[1]FC vers Ref (Km)'!DB123&lt;&gt;0,'Délai intermédiaire'!AP123,)+1+(53/60)</f>
        <v>455.88333333333333</v>
      </c>
      <c r="DC123" s="14">
        <f>IF('[1]FC vers Ref (Km)'!DC123&lt;&gt;0,'Délai intermédiaire'!AQ123,)+1+(53/60)</f>
        <v>475.88333333333333</v>
      </c>
      <c r="DD123" s="14">
        <f>IF('[1]FC vers Ref (Km)'!DD123&lt;&gt;0,'Délai intermédiaire'!AR123,)+1+(53/60)</f>
        <v>391.88333333333333</v>
      </c>
      <c r="DE123" s="14">
        <f>IF('[1]FC vers Ref (Km)'!DE123&lt;&gt;0,'Délai intermédiaire'!AS123,)+1+(53/60)</f>
        <v>249.88333333333333</v>
      </c>
      <c r="DF123" s="14">
        <f>IF('[1]FC vers Ref (Km)'!DF123&lt;&gt;0,'Délai intermédiaire'!AT123,)+1+(53/60)+20+(5/60)</f>
        <v>269.96666666666664</v>
      </c>
      <c r="DG123" s="14">
        <f>IF('[1]FC vers Ref (Km)'!DG123&lt;&gt;0,'Délai intermédiaire'!AU123,)+1+(53/60)+11+(36/60)</f>
        <v>261.48333333333335</v>
      </c>
      <c r="DH123" s="14">
        <f>IF('[1]FC vers Ref (Km)'!DH123&lt;&gt;0,'Délai intermédiaire'!AV123,)+1+(53/60)+(28/60)</f>
        <v>445.34999999999997</v>
      </c>
      <c r="DI123" s="14">
        <f>IF('[1]FC vers Ref (Km)'!DI123&lt;&gt;0,'Délai intermédiaire'!AW123,)+1+(53/60)+7+(13/60)</f>
        <v>71.099999999999994</v>
      </c>
      <c r="DJ123" s="14">
        <f>IF('[1]FC vers Ref (Km)'!DJ123&lt;&gt;0,'Délai intermédiaire'!AX123,)+1+(53/60)+2*24+15</f>
        <v>126.88333333333333</v>
      </c>
      <c r="DK123" s="14">
        <f>IF('[1]FC vers Ref (Km)'!DK123&lt;&gt;0,'Délai intermédiaire'!AY123,)+1+(53/60)</f>
        <v>463.88333333333333</v>
      </c>
      <c r="DL123" s="14">
        <f>IF('[1]FC vers Ref (Km)'!DL123&lt;&gt;0,'Délai intermédiaire'!AZ123,)+1+(53/60)</f>
        <v>1.8833333333333333</v>
      </c>
      <c r="DM123" s="14">
        <f>IF('[1]FC vers Ref (Km)'!DM123&lt;&gt;0,'Délai intermédiaire'!BA123,)+1+(53/60)+7+(17/60)</f>
        <v>261.16666666666669</v>
      </c>
      <c r="DN123" s="14">
        <f>IF('[1]FC vers Ref (Km)'!DN123&lt;&gt;0,'Délai intermédiaire'!BB123,)+1+(53/60)</f>
        <v>372.88333333333333</v>
      </c>
      <c r="DO123" s="13">
        <f>IF('[1]FC vers Ref (Km)'!DO123&lt;&gt;0,'Délai intermédiaire'!BC123,)+1+(53/60)</f>
        <v>52.883333333333333</v>
      </c>
      <c r="DP123" s="14">
        <f>IF('[1]FC vers Ref (Km)'!DP123&lt;&gt;0,'Délai intermédiaire'!BD123,)+1+(53/60)</f>
        <v>399.88333333333333</v>
      </c>
      <c r="DQ123" s="14">
        <f>IF('[1]FC vers Ref (Km)'!DQ123&lt;&gt;0,'Délai intermédiaire'!BE123,)+1+(53/60)+1+(22/60)</f>
        <v>455.25</v>
      </c>
      <c r="DR123" s="14">
        <f>IF('[1]FC vers Ref (Km)'!DR123&lt;&gt;0,'Délai intermédiaire'!BF123,)+1+(53/60)</f>
        <v>431.88333333333333</v>
      </c>
      <c r="DS123" s="13">
        <f>IF('[1]FC vers Ref (Km)'!DS123&lt;&gt;0,'Délai intermédiaire'!BG123,)+1+(53/60)+10+(43/60)</f>
        <v>159.6</v>
      </c>
      <c r="DT123" s="13">
        <f>IF('[1]FC vers Ref (Km)'!DT123&lt;&gt;0,'Délai intermédiaire'!BH123,)+1+(53/60)+(12/60)</f>
        <v>112.08333333333334</v>
      </c>
      <c r="DU123" s="14">
        <f>IF('[1]FC vers Ref (Km)'!DU123&lt;&gt;0,'Délai intermédiaire'!BI123,)+1+(53/60)+7+(45/60)</f>
        <v>218.63333333333333</v>
      </c>
      <c r="DV123" s="14">
        <f>IF('[1]FC vers Ref (Km)'!DV123&lt;&gt;0,'Délai intermédiaire'!BJ123,)+1+(53/60)+1+(10/60)</f>
        <v>307.05</v>
      </c>
      <c r="DW123" s="15">
        <f>IF('[1]FC vers Ref (Km)'!DW123&lt;&gt;0,'Délai intermédiaire'!BK123,)+1+(53/60)+12+(41/60)</f>
        <v>318.56666666666666</v>
      </c>
      <c r="DX123" s="27"/>
      <c r="DY123" s="10" t="s">
        <v>19</v>
      </c>
      <c r="DZ123" s="35" t="s">
        <v>80</v>
      </c>
      <c r="EA123" s="16">
        <f>IF('[1]FC vers Ref (Km)'!EA123&lt;&gt;0,C123,)+2+(21/60)</f>
        <v>165.35</v>
      </c>
      <c r="EB123" s="14">
        <f>IF('[1]FC vers Ref (Km)'!EB123&lt;&gt;0,D123,)+2+(21/60)</f>
        <v>196.35</v>
      </c>
      <c r="EC123" s="14">
        <f>IF('[1]FC vers Ref (Km)'!EC123&lt;&gt;0,E123,)+2+(21/60)+7+(55/60)+19+(53/60)</f>
        <v>163.14999999999998</v>
      </c>
      <c r="ED123" s="14">
        <f>IF('[1]FC vers Ref (Km)'!ED123&lt;&gt;0,F123,)+2+(21/60)</f>
        <v>176.35</v>
      </c>
      <c r="EE123" s="14">
        <f>IF('[1]FC vers Ref (Km)'!EE123&lt;&gt;0,G123,)+2+(21/60)+(32/60)</f>
        <v>147.88333333333333</v>
      </c>
      <c r="EF123" s="14">
        <f>IF('[1]FC vers Ref (Km)'!EF123&lt;&gt;0,H123,)+2+(21/60)+14+(25/60)+31+(8/60)</f>
        <v>362.90000000000003</v>
      </c>
      <c r="EG123" s="14">
        <f>IF('[1]FC vers Ref (Km)'!EG123&lt;&gt;0,I123,)+2+(21/60)</f>
        <v>363.35</v>
      </c>
      <c r="EH123" s="14">
        <f>IF('[1]FC vers Ref (Km)'!EH123&lt;&gt;0,J123,)+2+(21/60)</f>
        <v>317.35000000000002</v>
      </c>
      <c r="EI123" s="14">
        <f>IF('[1]FC vers Ref (Km)'!EI123&lt;&gt;0,K123,)+2+(21/60)+5+(11/60)</f>
        <v>136.53333333333333</v>
      </c>
      <c r="EJ123" s="14">
        <f>IF('[1]FC vers Ref (Km)'!EJ123&lt;&gt;0,L123,)+2+(21/60)</f>
        <v>131.35</v>
      </c>
      <c r="EK123" s="14">
        <f>IF('[1]FC vers Ref (Km)'!EK123&lt;&gt;0,M123,)+2+(21/60)</f>
        <v>363.35</v>
      </c>
      <c r="EL123" s="14">
        <f>IF('[1]FC vers Ref (Km)'!EL123&lt;&gt;0,N123,)+2+(21/60)</f>
        <v>363.35</v>
      </c>
      <c r="EM123" s="14">
        <f>IF('[1]FC vers Ref (Km)'!EM123&lt;&gt;0,O123,)+2+(21/60)</f>
        <v>207.35</v>
      </c>
      <c r="EN123" s="14">
        <f>IF('[1]FC vers Ref (Km)'!EN123&lt;&gt;0,P123,)+2+(21/60)</f>
        <v>212.35</v>
      </c>
      <c r="EO123" s="14">
        <f>IF('[1]FC vers Ref (Km)'!EO123&lt;&gt;0,Q123,)+2+(21/60)</f>
        <v>167.35</v>
      </c>
      <c r="EP123" s="13">
        <f>IF('[1]FC vers Ref (Km)'!EP123&lt;&gt;0,R123,)+2+(21/60)</f>
        <v>23.35</v>
      </c>
      <c r="EQ123" s="13">
        <f>IF('[1]FC vers Ref (Km)'!EQ123&lt;&gt;0,S123,)+2+(21/60)</f>
        <v>23.35</v>
      </c>
      <c r="ER123" s="13">
        <f>IF('[1]FC vers Ref (Km)'!ER123&lt;&gt;0,T123,)+2+(21/60)</f>
        <v>11.35</v>
      </c>
      <c r="ES123" s="12"/>
      <c r="ET123" s="13">
        <f>IF('[1]FC vers Ref (Km)'!ET123&lt;&gt;0,V123,)+2+(21/60)+1+(44/60)</f>
        <v>81.083333333333329</v>
      </c>
      <c r="EU123" s="13">
        <f>IF('[1]FC vers Ref (Km)'!EU123&lt;&gt;0,W123,)+2+(21/60)+1+(47/60)+2+(31/60)+2+(54/60)</f>
        <v>126.55</v>
      </c>
      <c r="EV123" s="13">
        <f>IF('[1]FC vers Ref (Km)'!EV123&lt;&gt;0,X123,)+2+(21/60)</f>
        <v>23.35</v>
      </c>
      <c r="EW123" s="13">
        <f>IF('[1]FC vers Ref (Km)'!EW123&lt;&gt;0,Y123,)+2+(21/60)+(56/60)+(59/60)</f>
        <v>44.266666666666666</v>
      </c>
      <c r="EX123" s="13">
        <f>IF('[1]FC vers Ref (Km)'!EX123&lt;&gt;0,Z123,)+2+(21/60)+1+(35/60)+(37/60)</f>
        <v>14.55</v>
      </c>
      <c r="EY123" s="13">
        <f>IF('[1]FC vers Ref (Km)'!EY123&lt;&gt;0,AA123,)+2+(21/60)+1+(18/60)</f>
        <v>88.649999999999991</v>
      </c>
      <c r="EZ123" s="13">
        <f>IF('[1]FC vers Ref (Km)'!EZ123&lt;&gt;0,AB123,)+2+(21/60)+1+(39/60)</f>
        <v>87</v>
      </c>
      <c r="FA123" s="13">
        <f>IF('[1]FC vers Ref (Km)'!FA123&lt;&gt;0,AC123,)+2+(21/60)+1+(47/60)</f>
        <v>68.133333333333326</v>
      </c>
      <c r="FB123" s="13">
        <f>IF('[1]FC vers Ref (Km)'!FB123&lt;&gt;0,AD123,)+2+(21/60)</f>
        <v>72.349999999999994</v>
      </c>
      <c r="FC123" s="13">
        <f>IF('[1]FC vers Ref (Km)'!FC123&lt;&gt;0,AE123,)+2+(21/60)</f>
        <v>42.35</v>
      </c>
      <c r="FD123" s="13">
        <f>IF('[1]FC vers Ref (Km)'!FD123&lt;&gt;0,AF123,)+2+(21/60)+5+(31/60)+5+(51/60)+1+(8/60)</f>
        <v>131.85</v>
      </c>
      <c r="FE123" s="13">
        <f>IF('[1]FC vers Ref (Km)'!FE123&lt;&gt;0,AG123,)+2+(21/60)+4+(2/60)+5+(51/60)+1+(8/60)</f>
        <v>130.36666666666665</v>
      </c>
      <c r="FF123" s="13">
        <f>IF('[1]FC vers Ref (Km)'!FF123&lt;&gt;0,AH123,)+2+(21/60)+1+(7/60)+5+(51/60)+1+(8/60)</f>
        <v>127.44999999999999</v>
      </c>
      <c r="FG123" s="14">
        <f>IF('[1]FC vers Ref (Km)'!FG123&lt;&gt;0,AI123,)+2+(21/60)+15+(50/60)</f>
        <v>273.18333333333334</v>
      </c>
      <c r="FH123" s="14">
        <f>IF('[1]FC vers Ref (Km)'!FH123&lt;&gt;0,AJ123,)+2+(21/60)</f>
        <v>325.35000000000002</v>
      </c>
      <c r="FI123" s="14">
        <f>IF('[1]FC vers Ref (Km)'!FI123&lt;&gt;0,AK123,)+2+(21/60)+4+(40/60)+11+(32/60)</f>
        <v>273.55000000000007</v>
      </c>
      <c r="FJ123" s="14">
        <f>IF('[1]FC vers Ref (Km)'!FJ123&lt;&gt;0,AL123,)+2+(21/60)</f>
        <v>298.35000000000002</v>
      </c>
      <c r="FK123" s="14">
        <f>IF('[1]FC vers Ref (Km)'!FK123&lt;&gt;0,AM123,)+2+(21/60)</f>
        <v>460.35</v>
      </c>
      <c r="FL123" s="14">
        <f>IF('[1]FC vers Ref (Km)'!FL123&lt;&gt;0,AN123,)+2+(21/60)</f>
        <v>451.35</v>
      </c>
      <c r="FM123" s="14">
        <f>IF('[1]FC vers Ref (Km)'!FM123&lt;&gt;0,AO123,)+2+(21/60)+(55/60)</f>
        <v>446.26666666666671</v>
      </c>
      <c r="FN123" s="14">
        <f>IF('[1]FC vers Ref (Km)'!FN123&lt;&gt;0,AP123,)+2+(21/60)</f>
        <v>456.35</v>
      </c>
      <c r="FO123" s="14">
        <f>IF('[1]FC vers Ref (Km)'!FO123&lt;&gt;0,AQ123,)+2+(21/60)</f>
        <v>476.35</v>
      </c>
      <c r="FP123" s="14">
        <f>IF('[1]FC vers Ref (Km)'!FP123&lt;&gt;0,AR123,)+2+(21/60)</f>
        <v>392.35</v>
      </c>
      <c r="FQ123" s="14">
        <f>IF('[1]FC vers Ref (Km)'!FQ123&lt;&gt;0,AS123,)+2+(21/60)</f>
        <v>250.35</v>
      </c>
      <c r="FR123" s="14">
        <f>IF('[1]FC vers Ref (Km)'!FR123&lt;&gt;0,AT123,)+2+(21/60)</f>
        <v>250.35</v>
      </c>
      <c r="FS123" s="14">
        <f>IF('[1]FC vers Ref (Km)'!FS123&lt;&gt;0,AU123,)+2+(21/60)</f>
        <v>250.35</v>
      </c>
      <c r="FT123" s="14">
        <f>IF('[1]FC vers Ref (Km)'!FT123&lt;&gt;0,AV123,)+2+(21/60)+1+(7/60)</f>
        <v>446.4666666666667</v>
      </c>
      <c r="FU123" s="14">
        <f>IF('[1]FC vers Ref (Km)'!FU123&lt;&gt;0,AW123,)+2+(21/60)+8+(3/60)</f>
        <v>72.399999999999991</v>
      </c>
      <c r="FV123" s="14">
        <f>IF('[1]FC vers Ref (Km)'!FV123&lt;&gt;0,AX123,)+2+(21/60)+2*24+11</f>
        <v>123.35</v>
      </c>
      <c r="FW123" s="14">
        <f>IF('[1]FC vers Ref (Km)'!FW123&lt;&gt;0,AY123,)+2+(21/60)</f>
        <v>464.35</v>
      </c>
      <c r="FX123" s="14">
        <f>IF('[1]FC vers Ref (Km)'!FX123&lt;&gt;0,AZ123,)+2+(21/60)</f>
        <v>2.35</v>
      </c>
      <c r="FY123" s="14">
        <f>IF('[1]FC vers Ref (Km)'!FY123&lt;&gt;0,BA123,)+2+(21/60)+5+(41/60)</f>
        <v>260.03333333333336</v>
      </c>
      <c r="FZ123" s="14">
        <f>IF('[1]FC vers Ref (Km)'!FZ123&lt;&gt;0,BB123,)+2+(21/60)</f>
        <v>373.35</v>
      </c>
      <c r="GA123" s="13">
        <f>IF('[1]FC vers Ref (Km)'!GA123&lt;&gt;0,BC123,)+2+(21/60)</f>
        <v>53.35</v>
      </c>
      <c r="GB123" s="14">
        <f>IF('[1]FC vers Ref (Km)'!GB123&lt;&gt;0,BD123,)+2+(21/60)</f>
        <v>400.35</v>
      </c>
      <c r="GC123" s="14">
        <f>IF('[1]FC vers Ref (Km)'!GC123&lt;&gt;0,BE123,)+2+(21/60)+(30/60)</f>
        <v>454.85</v>
      </c>
      <c r="GD123" s="14">
        <f>IF('[1]FC vers Ref (Km)'!GD123&lt;&gt;0,BF123,)+2+(21/60)</f>
        <v>432.35</v>
      </c>
      <c r="GE123" s="13">
        <f>IF('[1]FC vers Ref (Km)'!GE123&lt;&gt;0,BG123,)+2+(21/60)+15+(1/60)</f>
        <v>164.36666666666667</v>
      </c>
      <c r="GF123" s="13">
        <f>IF('[1]FC vers Ref (Km)'!GF123&lt;&gt;0,BH123,)+2+(21/60)</f>
        <v>112.35</v>
      </c>
      <c r="GG123" s="14">
        <f>IF('[1]FC vers Ref (Km)'!GG123&lt;&gt;0,BI123,)+2+(21/60)</f>
        <v>211.35</v>
      </c>
      <c r="GH123" s="14">
        <f>IF('[1]FC vers Ref (Km)'!GH123&lt;&gt;0,BJ123,)+2+(21/60)</f>
        <v>306.35000000000002</v>
      </c>
      <c r="GI123" s="15">
        <f>IF('[1]FC vers Ref (Km)'!GI123&lt;&gt;0,BK123,)+2+(21/60)</f>
        <v>306.35000000000002</v>
      </c>
    </row>
    <row r="124" spans="1:191" x14ac:dyDescent="0.3">
      <c r="A124" s="10" t="s">
        <v>20</v>
      </c>
      <c r="B124" s="35" t="s">
        <v>81</v>
      </c>
      <c r="C124" s="16">
        <f>7*24+21</f>
        <v>189</v>
      </c>
      <c r="D124" s="14">
        <f>9*24+3</f>
        <v>219</v>
      </c>
      <c r="E124" s="14">
        <f>6*24+18</f>
        <v>162</v>
      </c>
      <c r="F124" s="14">
        <f>8*24+14</f>
        <v>206</v>
      </c>
      <c r="G124" s="14">
        <f>7*24+6</f>
        <v>174</v>
      </c>
      <c r="H124" s="14">
        <f>13*20+20</f>
        <v>280</v>
      </c>
      <c r="I124" s="14">
        <f>15*24+17</f>
        <v>377</v>
      </c>
      <c r="J124" s="14">
        <f>13*20+20</f>
        <v>280</v>
      </c>
      <c r="K124" s="14">
        <f>6*24+17</f>
        <v>161</v>
      </c>
      <c r="L124" s="14">
        <f>6*24+17</f>
        <v>161</v>
      </c>
      <c r="M124" s="14">
        <f>15*24+18</f>
        <v>378</v>
      </c>
      <c r="N124" s="14">
        <f>15*24+18</f>
        <v>378</v>
      </c>
      <c r="O124" s="14">
        <f>9*24+14</f>
        <v>230</v>
      </c>
      <c r="P124" s="14">
        <f>8*24+11</f>
        <v>203</v>
      </c>
      <c r="Q124" s="14">
        <f>6*24+15</f>
        <v>159</v>
      </c>
      <c r="R124" s="13">
        <f>4*24</f>
        <v>96</v>
      </c>
      <c r="S124" s="13">
        <f>3*24+10</f>
        <v>82</v>
      </c>
      <c r="T124" s="13">
        <f>3*24+12</f>
        <v>84</v>
      </c>
      <c r="U124" s="13">
        <f>3*24+5</f>
        <v>77</v>
      </c>
      <c r="V124" s="12"/>
      <c r="W124" s="13">
        <v>50</v>
      </c>
      <c r="X124" s="13">
        <v>96</v>
      </c>
      <c r="Y124" s="13">
        <v>115</v>
      </c>
      <c r="Z124" s="13">
        <v>85</v>
      </c>
      <c r="AA124" s="13">
        <v>13</v>
      </c>
      <c r="AB124" s="13">
        <v>8</v>
      </c>
      <c r="AC124" s="13">
        <v>14</v>
      </c>
      <c r="AD124" s="13">
        <v>8</v>
      </c>
      <c r="AE124" s="13">
        <v>115</v>
      </c>
      <c r="AF124" s="13">
        <v>50</v>
      </c>
      <c r="AG124" s="13">
        <v>50</v>
      </c>
      <c r="AH124" s="13">
        <v>50</v>
      </c>
      <c r="AI124" s="14">
        <v>190</v>
      </c>
      <c r="AJ124" s="14">
        <v>258</v>
      </c>
      <c r="AK124" s="14">
        <v>190</v>
      </c>
      <c r="AL124" s="14">
        <v>231</v>
      </c>
      <c r="AM124" s="14">
        <v>393</v>
      </c>
      <c r="AN124" s="14">
        <v>384</v>
      </c>
      <c r="AO124" s="14">
        <v>378</v>
      </c>
      <c r="AP124" s="14">
        <v>390</v>
      </c>
      <c r="AQ124" s="14">
        <v>409</v>
      </c>
      <c r="AR124" s="14">
        <v>326</v>
      </c>
      <c r="AS124" s="14">
        <v>183</v>
      </c>
      <c r="AT124" s="14">
        <v>183</v>
      </c>
      <c r="AU124" s="14">
        <v>183</v>
      </c>
      <c r="AV124" s="14">
        <f>15*24+18</f>
        <v>378</v>
      </c>
      <c r="AW124" s="14">
        <f>5*24+17</f>
        <v>137</v>
      </c>
      <c r="AX124" s="14">
        <f>5*24+17</f>
        <v>137</v>
      </c>
      <c r="AY124" s="14">
        <f>16*24+13</f>
        <v>397</v>
      </c>
      <c r="AZ124" s="14"/>
      <c r="BA124" s="14">
        <f>7*24+20</f>
        <v>188</v>
      </c>
      <c r="BB124" s="14">
        <f>12*24+19</f>
        <v>307</v>
      </c>
      <c r="BC124" s="13">
        <f>5*24+6</f>
        <v>126</v>
      </c>
      <c r="BD124" s="14">
        <f>13*24+21</f>
        <v>333</v>
      </c>
      <c r="BE124" s="14">
        <f>16*24+3</f>
        <v>387</v>
      </c>
      <c r="BF124" s="14">
        <f>15*24+5</f>
        <v>365</v>
      </c>
      <c r="BG124" s="13">
        <f>3*24+9</f>
        <v>81</v>
      </c>
      <c r="BH124" s="13">
        <f>24+20</f>
        <v>44</v>
      </c>
      <c r="BI124" s="14">
        <f>9*24+9</f>
        <v>225</v>
      </c>
      <c r="BJ124" s="14">
        <f>13*24+9</f>
        <v>321</v>
      </c>
      <c r="BK124" s="15">
        <f>13*24+9</f>
        <v>321</v>
      </c>
      <c r="BM124" s="10" t="s">
        <v>20</v>
      </c>
      <c r="BN124" s="35" t="s">
        <v>81</v>
      </c>
      <c r="BO124" s="16">
        <f>IF('[1]FC vers Ref (Km)'!BO124&lt;&gt;0,'Délai intermédiaire'!C124,)+2+(57/60)</f>
        <v>191.95</v>
      </c>
      <c r="BP124" s="14">
        <f>IF('[1]FC vers Ref (Km)'!BP124&lt;&gt;0,'Délai intermédiaire'!D124,)+2+(57/60)</f>
        <v>221.95</v>
      </c>
      <c r="BQ124" s="14">
        <f>IF('[1]FC vers Ref (Km)'!BQ124&lt;&gt;0,'Délai intermédiaire'!E124,)+2+(57/60)+19+(49/60)</f>
        <v>184.76666666666665</v>
      </c>
      <c r="BR124" s="14">
        <f>IF('[1]FC vers Ref (Km)'!BR124&lt;&gt;0,'Délai intermédiaire'!F124,)+2+(57/60)</f>
        <v>208.95</v>
      </c>
      <c r="BS124" s="14">
        <f>IF('[1]FC vers Ref (Km)'!BS124&lt;&gt;0,'Délai intermédiaire'!G124,)+2+(57/60)+(48/60)</f>
        <v>177.75</v>
      </c>
      <c r="BT124" s="14">
        <f>IF('[1]FC vers Ref (Km)'!BT124&lt;&gt;0,'Délai intermédiaire'!H124,)+2+(57/60)+15+(47/60)</f>
        <v>298.73333333333335</v>
      </c>
      <c r="BU124" s="14">
        <f>IF('[1]FC vers Ref (Km)'!BU124&lt;&gt;0,'Délai intermédiaire'!I124,)+2+(57/60)</f>
        <v>379.95</v>
      </c>
      <c r="BV124" s="14">
        <f>IF('[1]FC vers Ref (Km)'!BV124&lt;&gt;0,'Délai intermédiaire'!J124,)+2+(57/60)</f>
        <v>282.95</v>
      </c>
      <c r="BW124" s="14">
        <f>IF('[1]FC vers Ref (Km)'!BW124&lt;&gt;0,'Délai intermédiaire'!K124,)+2+(57/60)+6+(13/60)</f>
        <v>170.16666666666666</v>
      </c>
      <c r="BX124" s="14">
        <f>IF('[1]FC vers Ref (Km)'!BX124&lt;&gt;0,'Délai intermédiaire'!L124,)+2+(57/60)</f>
        <v>163.95</v>
      </c>
      <c r="BY124" s="14">
        <f>IF('[1]FC vers Ref (Km)'!BY124&lt;&gt;0,'Délai intermédiaire'!M124,)+2+(57/60)+11+(1/60)</f>
        <v>391.96666666666664</v>
      </c>
      <c r="BZ124" s="14">
        <f>IF('[1]FC vers Ref (Km)'!BZ124&lt;&gt;0,'Délai intermédiaire'!N124,)+2+(57/60)</f>
        <v>380.95</v>
      </c>
      <c r="CA124" s="14">
        <f>IF('[1]FC vers Ref (Km)'!CA124&lt;&gt;0,'Délai intermédiaire'!O124,)+2+(57/60)+4+(51/60)</f>
        <v>237.79999999999998</v>
      </c>
      <c r="CB124" s="14">
        <f>IF('[1]FC vers Ref (Km)'!CB124&lt;&gt;0,'Délai intermédiaire'!P124,)+2+(57/60)+5+(3/60)</f>
        <v>211</v>
      </c>
      <c r="CC124" s="14">
        <f>IF('[1]FC vers Ref (Km)'!CC124&lt;&gt;0,'Délai intermédiaire'!Q124,)+2+(57/60)+(40/60)</f>
        <v>162.61666666666665</v>
      </c>
      <c r="CD124" s="13">
        <f>IF('[1]FC vers Ref (Km)'!CD124&lt;&gt;0,'Délai intermédiaire'!R124,)+2+(57/60)</f>
        <v>98.95</v>
      </c>
      <c r="CE124" s="13">
        <f>IF('[1]FC vers Ref (Km)'!CE124&lt;&gt;0,'Délai intermédiaire'!S124,)+2+(57/60)</f>
        <v>84.95</v>
      </c>
      <c r="CF124" s="13">
        <f>IF('[1]FC vers Ref (Km)'!CF124&lt;&gt;0,'Délai intermédiaire'!T124,)+2+(57/60)</f>
        <v>86.95</v>
      </c>
      <c r="CG124" s="13">
        <f>IF('[1]FC vers Ref (Km)'!CG124&lt;&gt;0,'Délai intermédiaire'!U124,)+2+(57/60)+1+(53/60)</f>
        <v>81.833333333333343</v>
      </c>
      <c r="CH124" s="12"/>
      <c r="CI124" s="13">
        <f>IF('[1]FC vers Ref (Km)'!CI124&lt;&gt;0,'Délai intermédiaire'!W124,)+2+(57/60)+4+(47/60)</f>
        <v>57.733333333333334</v>
      </c>
      <c r="CJ124" s="13">
        <f>IF('[1]FC vers Ref (Km)'!CJ124&lt;&gt;0,'Délai intermédiaire'!X124,)+2+(57/60)</f>
        <v>98.95</v>
      </c>
      <c r="CK124" s="13">
        <f>IF('[1]FC vers Ref (Km)'!CK124&lt;&gt;0,'Délai intermédiaire'!Y124,)+2+(57/60)+1+(33/60)</f>
        <v>119.5</v>
      </c>
      <c r="CL124" s="13">
        <f>IF('[1]FC vers Ref (Km)'!CL124&lt;&gt;0,'Délai intermédiaire'!Z124,)+2+(57/60)+2+(30/60)</f>
        <v>90.45</v>
      </c>
      <c r="CM124" s="13">
        <f>IF('[1]FC vers Ref (Km)'!CM124&lt;&gt;0,'Délai intermédiaire'!AA124,)+2+(57/60)+(56/60)</f>
        <v>16.883333333333333</v>
      </c>
      <c r="CN124" s="13">
        <f>IF('[1]FC vers Ref (Km)'!CN124&lt;&gt;0,'Délai intermédiaire'!AB124,)+2+(57/60)+1+(39/60)</f>
        <v>12.6</v>
      </c>
      <c r="CO124" s="13">
        <f>IF('[1]FC vers Ref (Km)'!CO124&lt;&gt;0,'Délai intermédiaire'!AC124,)+2+(57/60)+3+(25/60)</f>
        <v>20.366666666666667</v>
      </c>
      <c r="CP124" s="13">
        <f>IF('[1]FC vers Ref (Km)'!CP124&lt;&gt;0,'Délai intermédiaire'!AD124,)+2+(57/60)</f>
        <v>10.95</v>
      </c>
      <c r="CQ124" s="13">
        <f>IF('[1]FC vers Ref (Km)'!CQ124&lt;&gt;0,'Délai intermédiaire'!AE124,)+2+(57/60)</f>
        <v>117.95</v>
      </c>
      <c r="CR124" s="13">
        <f>IF('[1]FC vers Ref (Km)'!CR124&lt;&gt;0,'Délai intermédiaire'!AF124,)+2+(57/60)+9+(1/60)</f>
        <v>61.966666666666669</v>
      </c>
      <c r="CS124" s="13">
        <f>IF('[1]FC vers Ref (Km)'!CS124&lt;&gt;0,'Délai intermédiaire'!AG124,)+2+(57/60)+7+(48/60)</f>
        <v>60.75</v>
      </c>
      <c r="CT124" s="13">
        <f>IF('[1]FC vers Ref (Km)'!CT124&lt;&gt;0,'Délai intermédiaire'!AH124,)+2+(57/60)+5+(5/60)</f>
        <v>58.033333333333339</v>
      </c>
      <c r="CU124" s="14">
        <f>IF('[1]FC vers Ref (Km)'!CU124&lt;&gt;0,'Délai intermédiaire'!AI124,)+2+(57/60)+19+(46/60)</f>
        <v>212.71666666666667</v>
      </c>
      <c r="CV124" s="14">
        <f>IF('[1]FC vers Ref (Km)'!CV124&lt;&gt;0,'Délai intermédiaire'!AJ124,)+2+(57/60)</f>
        <v>260.95</v>
      </c>
      <c r="CW124" s="14">
        <f>IF('[1]FC vers Ref (Km)'!CW124&lt;&gt;0,'Délai intermédiaire'!AK124,)+2+(57/60)+12+(26/60)</f>
        <v>205.38333333333333</v>
      </c>
      <c r="CX124" s="14">
        <f>IF('[1]FC vers Ref (Km)'!CX124&lt;&gt;0,'Délai intermédiaire'!AL124,)+2+(57/60)</f>
        <v>233.95</v>
      </c>
      <c r="CY124" s="14">
        <f>IF('[1]FC vers Ref (Km)'!CY124&lt;&gt;0,'Délai intermédiaire'!AM124,)+2+(57/60)</f>
        <v>395.95</v>
      </c>
      <c r="CZ124" s="14">
        <f>IF('[1]FC vers Ref (Km)'!CZ124&lt;&gt;0,'Délai intermédiaire'!AN124,)+2+(57/60)</f>
        <v>386.95</v>
      </c>
      <c r="DA124" s="14">
        <f>IF('[1]FC vers Ref (Km)'!DA124&lt;&gt;0,'Délai intermédiaire'!AO124,)+2+(57/60)+1+(56/60)</f>
        <v>382.88333333333333</v>
      </c>
      <c r="DB124" s="14">
        <f>IF('[1]FC vers Ref (Km)'!DB124&lt;&gt;0,'Délai intermédiaire'!AP124,)+2+(57/60)</f>
        <v>392.95</v>
      </c>
      <c r="DC124" s="14">
        <f>IF('[1]FC vers Ref (Km)'!DC124&lt;&gt;0,'Délai intermédiaire'!AQ124,)+2+(57/60)</f>
        <v>411.95</v>
      </c>
      <c r="DD124" s="14">
        <f>IF('[1]FC vers Ref (Km)'!DD124&lt;&gt;0,'Délai intermédiaire'!AR124,)+2+(57/60)</f>
        <v>328.95</v>
      </c>
      <c r="DE124" s="14">
        <f>IF('[1]FC vers Ref (Km)'!DE124&lt;&gt;0,'Délai intermédiaire'!AS124,)+2+(57/60)</f>
        <v>185.95</v>
      </c>
      <c r="DF124" s="14">
        <f>IF('[1]FC vers Ref (Km)'!DF124&lt;&gt;0,'Délai intermédiaire'!AT124,)+2+(57/60)+20+(5/60)</f>
        <v>206.03333333333333</v>
      </c>
      <c r="DG124" s="14">
        <f>IF('[1]FC vers Ref (Km)'!DG124&lt;&gt;0,'Délai intermédiaire'!AU124,)+2+(57/60)+11+(36/60)</f>
        <v>197.54999999999998</v>
      </c>
      <c r="DH124" s="14">
        <f>IF('[1]FC vers Ref (Km)'!DH124&lt;&gt;0,'Délai intermédiaire'!AV124,)+2+(57/60)+(28/60)</f>
        <v>381.41666666666663</v>
      </c>
      <c r="DI124" s="14">
        <f>IF('[1]FC vers Ref (Km)'!DI124&lt;&gt;0,'Délai intermédiaire'!AW124,)+2+(57/60)+7+(13/60)</f>
        <v>147.16666666666666</v>
      </c>
      <c r="DJ124" s="14">
        <f>IF('[1]FC vers Ref (Km)'!DJ124&lt;&gt;0,'Délai intermédiaire'!AX124,)+2+(57/60)+2*24+15</f>
        <v>202.95</v>
      </c>
      <c r="DK124" s="14">
        <f>IF('[1]FC vers Ref (Km)'!DK124&lt;&gt;0,'Délai intermédiaire'!AY124,)+2+(57/60)</f>
        <v>399.95</v>
      </c>
      <c r="DL124" s="14">
        <f>IF('[1]FC vers Ref (Km)'!DL124&lt;&gt;0,'Délai intermédiaire'!AZ124,)+2+(57/60)</f>
        <v>2.95</v>
      </c>
      <c r="DM124" s="14">
        <f>IF('[1]FC vers Ref (Km)'!DM124&lt;&gt;0,'Délai intermédiaire'!BA124,)+2+(57/60)+7+(17/60)</f>
        <v>198.23333333333332</v>
      </c>
      <c r="DN124" s="14">
        <f>IF('[1]FC vers Ref (Km)'!DN124&lt;&gt;0,'Délai intermédiaire'!BB124,)+2+(57/60)</f>
        <v>309.95</v>
      </c>
      <c r="DO124" s="13">
        <f>IF('[1]FC vers Ref (Km)'!DO124&lt;&gt;0,'Délai intermédiaire'!BC124,)+2+(57/60)</f>
        <v>128.94999999999999</v>
      </c>
      <c r="DP124" s="14">
        <f>IF('[1]FC vers Ref (Km)'!DP124&lt;&gt;0,'Délai intermédiaire'!BD124,)+2+(57/60)</f>
        <v>335.95</v>
      </c>
      <c r="DQ124" s="14">
        <f>IF('[1]FC vers Ref (Km)'!DQ124&lt;&gt;0,'Délai intermédiaire'!BE124,)+2+(57/60)+1+(22/60)</f>
        <v>391.31666666666666</v>
      </c>
      <c r="DR124" s="14">
        <f>IF('[1]FC vers Ref (Km)'!DR124&lt;&gt;0,'Délai intermédiaire'!BF124,)+2+(57/60)</f>
        <v>367.95</v>
      </c>
      <c r="DS124" s="13">
        <f>IF('[1]FC vers Ref (Km)'!DS124&lt;&gt;0,'Délai intermédiaire'!BG124,)+2+(57/60)+10+(43/60)</f>
        <v>94.666666666666671</v>
      </c>
      <c r="DT124" s="13">
        <f>IF('[1]FC vers Ref (Km)'!DT124&lt;&gt;0,'Délai intermédiaire'!BH124,)+2+(57/60)+(12/60)</f>
        <v>47.150000000000006</v>
      </c>
      <c r="DU124" s="14">
        <f>IF('[1]FC vers Ref (Km)'!DU124&lt;&gt;0,'Délai intermédiaire'!BI124,)+2+(57/60)+7+(45/60)</f>
        <v>235.7</v>
      </c>
      <c r="DV124" s="14">
        <f>IF('[1]FC vers Ref (Km)'!DV124&lt;&gt;0,'Délai intermédiaire'!BJ124,)+2+(57/60)+1+(10/60)</f>
        <v>325.11666666666667</v>
      </c>
      <c r="DW124" s="15">
        <f>IF('[1]FC vers Ref (Km)'!DW124&lt;&gt;0,'Délai intermédiaire'!BK124,)+2+(57/60)+12+(41/60)</f>
        <v>336.63333333333333</v>
      </c>
      <c r="DX124" s="27"/>
      <c r="DY124" s="10" t="s">
        <v>20</v>
      </c>
      <c r="DZ124" s="35" t="s">
        <v>81</v>
      </c>
      <c r="EA124" s="16">
        <f>IF('[1]FC vers Ref (Km)'!EA124&lt;&gt;0,C124,)+1+(44/60)</f>
        <v>190.73333333333332</v>
      </c>
      <c r="EB124" s="14">
        <f>IF('[1]FC vers Ref (Km)'!EB124&lt;&gt;0,D124,)+1+(44/60)</f>
        <v>220.73333333333332</v>
      </c>
      <c r="EC124" s="14">
        <f>IF('[1]FC vers Ref (Km)'!EC124&lt;&gt;0,E124,)+1+(44/60)+7+(55/60)+19+(53/60)</f>
        <v>191.5333333333333</v>
      </c>
      <c r="ED124" s="14">
        <f>IF('[1]FC vers Ref (Km)'!ED124&lt;&gt;0,F124,)+1+(44/60)</f>
        <v>207.73333333333332</v>
      </c>
      <c r="EE124" s="14">
        <f>IF('[1]FC vers Ref (Km)'!EE124&lt;&gt;0,G124,)+1+(44/60)+(32/60)</f>
        <v>176.26666666666665</v>
      </c>
      <c r="EF124" s="14">
        <f>IF('[1]FC vers Ref (Km)'!EF124&lt;&gt;0,H124,)+1+(44/60)+14+(25/60)+31+(8/60)</f>
        <v>327.28333333333336</v>
      </c>
      <c r="EG124" s="14">
        <f>IF('[1]FC vers Ref (Km)'!EG124&lt;&gt;0,I124,)+1+(44/60)</f>
        <v>378.73333333333335</v>
      </c>
      <c r="EH124" s="14">
        <f>IF('[1]FC vers Ref (Km)'!EH124&lt;&gt;0,J124,)+1+(44/60)</f>
        <v>281.73333333333335</v>
      </c>
      <c r="EI124" s="14">
        <f>IF('[1]FC vers Ref (Km)'!EI124&lt;&gt;0,K124,)+1+(44/60)+5+(11/60)</f>
        <v>167.91666666666666</v>
      </c>
      <c r="EJ124" s="14">
        <f>IF('[1]FC vers Ref (Km)'!EJ124&lt;&gt;0,L124,)+1+(44/60)</f>
        <v>162.73333333333332</v>
      </c>
      <c r="EK124" s="14">
        <f>IF('[1]FC vers Ref (Km)'!EK124&lt;&gt;0,M124,)+1+(44/60)</f>
        <v>379.73333333333335</v>
      </c>
      <c r="EL124" s="14">
        <f>IF('[1]FC vers Ref (Km)'!EL124&lt;&gt;0,N124,)+1+(44/60)</f>
        <v>379.73333333333335</v>
      </c>
      <c r="EM124" s="14">
        <f>IF('[1]FC vers Ref (Km)'!EM124&lt;&gt;0,O124,)+1+(44/60)</f>
        <v>231.73333333333332</v>
      </c>
      <c r="EN124" s="14">
        <f>IF('[1]FC vers Ref (Km)'!EN124&lt;&gt;0,P124,)+1+(44/60)</f>
        <v>204.73333333333332</v>
      </c>
      <c r="EO124" s="14">
        <f>IF('[1]FC vers Ref (Km)'!EO124&lt;&gt;0,Q124,)+1+(44/60)</f>
        <v>160.73333333333332</v>
      </c>
      <c r="EP124" s="13">
        <f>IF('[1]FC vers Ref (Km)'!EP124&lt;&gt;0,R124,)+1+(44/60)</f>
        <v>97.733333333333334</v>
      </c>
      <c r="EQ124" s="13">
        <f>IF('[1]FC vers Ref (Km)'!EQ124&lt;&gt;0,S124,)+1+(44/60)</f>
        <v>83.733333333333334</v>
      </c>
      <c r="ER124" s="13">
        <f>IF('[1]FC vers Ref (Km)'!ER124&lt;&gt;0,T124,)+1+(44/60)</f>
        <v>85.733333333333334</v>
      </c>
      <c r="ES124" s="13">
        <f>IF('[1]FC vers Ref (Km)'!ES124&lt;&gt;0,U124,)+1+(44/60)+2+(21/60)</f>
        <v>81.083333333333329</v>
      </c>
      <c r="ET124" s="12"/>
      <c r="EU124" s="13">
        <f>IF('[1]FC vers Ref (Km)'!EU124&lt;&gt;0,W124,)+1+(44/60)+1+(47/60)+2+(31/60)+2+(54/60)</f>
        <v>58.93333333333333</v>
      </c>
      <c r="EV124" s="13">
        <f>IF('[1]FC vers Ref (Km)'!EV124&lt;&gt;0,X124,)+1+(44/60)</f>
        <v>97.733333333333334</v>
      </c>
      <c r="EW124" s="13">
        <f>IF('[1]FC vers Ref (Km)'!EW124&lt;&gt;0,Y124,)+1+(44/60)+(56/60)+(59/60)</f>
        <v>118.65</v>
      </c>
      <c r="EX124" s="13">
        <f>IF('[1]FC vers Ref (Km)'!EX124&lt;&gt;0,Z124,)+1+(44/60)+1+(35/60)+(37/60)</f>
        <v>88.933333333333323</v>
      </c>
      <c r="EY124" s="13">
        <f>IF('[1]FC vers Ref (Km)'!EY124&lt;&gt;0,AA124,)+1+(44/60)+1+(18/60)</f>
        <v>16.033333333333331</v>
      </c>
      <c r="EZ124" s="13">
        <f>IF('[1]FC vers Ref (Km)'!EZ124&lt;&gt;0,AB124,)+1+(44/60)+1+(39/60)</f>
        <v>11.383333333333333</v>
      </c>
      <c r="FA124" s="13">
        <f>IF('[1]FC vers Ref (Km)'!FA124&lt;&gt;0,AC124,)+1+(44/60)+1+(47/60)</f>
        <v>17.516666666666669</v>
      </c>
      <c r="FB124" s="13">
        <f>IF('[1]FC vers Ref (Km)'!FB124&lt;&gt;0,AD124,)+1+(44/60)</f>
        <v>9.7333333333333325</v>
      </c>
      <c r="FC124" s="13">
        <f>IF('[1]FC vers Ref (Km)'!FC124&lt;&gt;0,AE124,)+1+(44/60)</f>
        <v>116.73333333333333</v>
      </c>
      <c r="FD124" s="13">
        <f>IF('[1]FC vers Ref (Km)'!FD124&lt;&gt;0,AF124,)+1+(44/60)+5+(31/60)+5+(51/60)+1+(8/60)</f>
        <v>64.233333333333334</v>
      </c>
      <c r="FE124" s="13">
        <f>IF('[1]FC vers Ref (Km)'!FE124&lt;&gt;0,AG124,)+1+(44/60)+4+(2/60)+5+(51/60)+1+(8/60)</f>
        <v>62.75</v>
      </c>
      <c r="FF124" s="13">
        <f>IF('[1]FC vers Ref (Km)'!FF124&lt;&gt;0,AH124,)+1+(44/60)+1+(7/60)+5+(51/60)+1+(8/60)</f>
        <v>59.833333333333336</v>
      </c>
      <c r="FG124" s="14">
        <f>IF('[1]FC vers Ref (Km)'!FG124&lt;&gt;0,AI124,)+1+(44/60)+15+(50/60)</f>
        <v>207.56666666666666</v>
      </c>
      <c r="FH124" s="14">
        <f>IF('[1]FC vers Ref (Km)'!FH124&lt;&gt;0,AJ124,)+1+(44/60)</f>
        <v>259.73333333333335</v>
      </c>
      <c r="FI124" s="14">
        <f>IF('[1]FC vers Ref (Km)'!FI124&lt;&gt;0,AK124,)+1+(44/60)+4+(40/60)+11+(32/60)</f>
        <v>207.93333333333331</v>
      </c>
      <c r="FJ124" s="14">
        <f>IF('[1]FC vers Ref (Km)'!FJ124&lt;&gt;0,AL124,)+1+(44/60)</f>
        <v>232.73333333333332</v>
      </c>
      <c r="FK124" s="14">
        <f>IF('[1]FC vers Ref (Km)'!FK124&lt;&gt;0,AM124,)+1+(44/60)</f>
        <v>394.73333333333335</v>
      </c>
      <c r="FL124" s="14">
        <f>IF('[1]FC vers Ref (Km)'!FL124&lt;&gt;0,AN124,)+1+(44/60)</f>
        <v>385.73333333333335</v>
      </c>
      <c r="FM124" s="14">
        <f>IF('[1]FC vers Ref (Km)'!FM124&lt;&gt;0,AO124,)+1+(44/60)+(55/60)</f>
        <v>380.65000000000003</v>
      </c>
      <c r="FN124" s="14">
        <f>IF('[1]FC vers Ref (Km)'!FN124&lt;&gt;0,AP124,)+1+(44/60)</f>
        <v>391.73333333333335</v>
      </c>
      <c r="FO124" s="14">
        <f>IF('[1]FC vers Ref (Km)'!FO124&lt;&gt;0,AQ124,)+1+(44/60)</f>
        <v>410.73333333333335</v>
      </c>
      <c r="FP124" s="14">
        <f>IF('[1]FC vers Ref (Km)'!FP124&lt;&gt;0,AR124,)+1+(44/60)</f>
        <v>327.73333333333335</v>
      </c>
      <c r="FQ124" s="14">
        <f>IF('[1]FC vers Ref (Km)'!FQ124&lt;&gt;0,AS124,)+1+(44/60)</f>
        <v>184.73333333333332</v>
      </c>
      <c r="FR124" s="14">
        <f>IF('[1]FC vers Ref (Km)'!FR124&lt;&gt;0,AT124,)+1+(44/60)</f>
        <v>184.73333333333332</v>
      </c>
      <c r="FS124" s="14">
        <f>IF('[1]FC vers Ref (Km)'!FS124&lt;&gt;0,AU124,)+1+(44/60)</f>
        <v>184.73333333333332</v>
      </c>
      <c r="FT124" s="14">
        <f>IF('[1]FC vers Ref (Km)'!FT124&lt;&gt;0,AV124,)+1+(44/60)+1+(7/60)</f>
        <v>380.85</v>
      </c>
      <c r="FU124" s="14">
        <f>IF('[1]FC vers Ref (Km)'!FU124&lt;&gt;0,AW124,)+1+(44/60)+8+(3/60)</f>
        <v>146.78333333333333</v>
      </c>
      <c r="FV124" s="14">
        <f>IF('[1]FC vers Ref (Km)'!FV124&lt;&gt;0,AX124,)+1+(44/60)+2*24+11</f>
        <v>197.73333333333332</v>
      </c>
      <c r="FW124" s="14">
        <f>IF('[1]FC vers Ref (Km)'!FW124&lt;&gt;0,AY124,)+1+(44/60)</f>
        <v>398.73333333333335</v>
      </c>
      <c r="FX124" s="14">
        <f>IF('[1]FC vers Ref (Km)'!FX124&lt;&gt;0,AZ124,)+1+(44/60)</f>
        <v>1.7333333333333334</v>
      </c>
      <c r="FY124" s="14">
        <f>IF('[1]FC vers Ref (Km)'!FY124&lt;&gt;0,BA124,)+1+(44/60)+5+(41/60)</f>
        <v>195.41666666666666</v>
      </c>
      <c r="FZ124" s="14">
        <f>IF('[1]FC vers Ref (Km)'!FZ124&lt;&gt;0,BB124,)+1+(44/60)</f>
        <v>308.73333333333335</v>
      </c>
      <c r="GA124" s="13">
        <f>IF('[1]FC vers Ref (Km)'!GA124&lt;&gt;0,BC124,)+1+(44/60)</f>
        <v>127.73333333333333</v>
      </c>
      <c r="GB124" s="14">
        <f>IF('[1]FC vers Ref (Km)'!GB124&lt;&gt;0,BD124,)+1+(44/60)</f>
        <v>334.73333333333335</v>
      </c>
      <c r="GC124" s="14">
        <f>IF('[1]FC vers Ref (Km)'!GC124&lt;&gt;0,BE124,)+1+(44/60)+(30/60)</f>
        <v>389.23333333333335</v>
      </c>
      <c r="GD124" s="14">
        <f>IF('[1]FC vers Ref (Km)'!GD124&lt;&gt;0,BF124,)+1+(44/60)</f>
        <v>366.73333333333335</v>
      </c>
      <c r="GE124" s="13">
        <f>IF('[1]FC vers Ref (Km)'!GE124&lt;&gt;0,BG124,)+1+(44/60)+15+(1/60)</f>
        <v>97.75</v>
      </c>
      <c r="GF124" s="13">
        <f>IF('[1]FC vers Ref (Km)'!GF124&lt;&gt;0,BH124,)+1+(44/60)</f>
        <v>45.733333333333334</v>
      </c>
      <c r="GG124" s="14">
        <f>IF('[1]FC vers Ref (Km)'!GG124&lt;&gt;0,BI124,)+1+(44/60)</f>
        <v>226.73333333333332</v>
      </c>
      <c r="GH124" s="14">
        <f>IF('[1]FC vers Ref (Km)'!GH124&lt;&gt;0,BJ124,)+1+(44/60)</f>
        <v>322.73333333333335</v>
      </c>
      <c r="GI124" s="15">
        <f>IF('[1]FC vers Ref (Km)'!GI124&lt;&gt;0,BK124,)+1+(44/60)</f>
        <v>322.73333333333335</v>
      </c>
    </row>
    <row r="125" spans="1:191" x14ac:dyDescent="0.3">
      <c r="A125" s="10" t="s">
        <v>21</v>
      </c>
      <c r="B125" s="35" t="s">
        <v>82</v>
      </c>
      <c r="C125" s="16">
        <f>9*24+13</f>
        <v>229</v>
      </c>
      <c r="D125" s="14">
        <f>10*24+19</f>
        <v>259</v>
      </c>
      <c r="E125" s="14">
        <f>8*24+10</f>
        <v>202</v>
      </c>
      <c r="F125" s="14">
        <f>10*24+6</f>
        <v>246</v>
      </c>
      <c r="G125" s="14">
        <f>8*24+22</f>
        <v>214</v>
      </c>
      <c r="H125" s="14">
        <f>15*24+12</f>
        <v>372</v>
      </c>
      <c r="I125" s="14">
        <f>17*24+9</f>
        <v>417</v>
      </c>
      <c r="J125" s="14">
        <f>15*24+12</f>
        <v>372</v>
      </c>
      <c r="K125" s="14">
        <f>8*24+9</f>
        <v>201</v>
      </c>
      <c r="L125" s="14">
        <f>8*24+9</f>
        <v>201</v>
      </c>
      <c r="M125" s="14">
        <f>17*24+10</f>
        <v>418</v>
      </c>
      <c r="N125" s="14">
        <f>17*24+10</f>
        <v>418</v>
      </c>
      <c r="O125" s="14">
        <f>11*24+5</f>
        <v>269</v>
      </c>
      <c r="P125" s="14">
        <f>10*24+3</f>
        <v>243</v>
      </c>
      <c r="Q125" s="14">
        <f>8*24+7</f>
        <v>199</v>
      </c>
      <c r="R125" s="13">
        <f>5*24+16</f>
        <v>136</v>
      </c>
      <c r="S125" s="13">
        <f>5*24+1</f>
        <v>121</v>
      </c>
      <c r="T125" s="13">
        <f>5*24+4</f>
        <v>124</v>
      </c>
      <c r="U125" s="13">
        <f>4*24+21</f>
        <v>117</v>
      </c>
      <c r="V125" s="13">
        <f>2*24+2</f>
        <v>50</v>
      </c>
      <c r="W125" s="12"/>
      <c r="X125" s="13">
        <v>136</v>
      </c>
      <c r="Y125" s="13">
        <v>155</v>
      </c>
      <c r="Z125" s="13">
        <v>125</v>
      </c>
      <c r="AA125" s="13">
        <v>39</v>
      </c>
      <c r="AB125" s="13">
        <v>46</v>
      </c>
      <c r="AC125" s="13">
        <v>58</v>
      </c>
      <c r="AD125" s="13">
        <v>54</v>
      </c>
      <c r="AE125" s="13">
        <v>155</v>
      </c>
      <c r="AF125" s="13">
        <v>0</v>
      </c>
      <c r="AG125" s="13">
        <v>0</v>
      </c>
      <c r="AH125" s="13">
        <v>0</v>
      </c>
      <c r="AI125" s="14">
        <v>181</v>
      </c>
      <c r="AJ125" s="14">
        <v>249</v>
      </c>
      <c r="AK125" s="14">
        <v>181</v>
      </c>
      <c r="AL125" s="14">
        <v>222</v>
      </c>
      <c r="AM125" s="14">
        <v>384</v>
      </c>
      <c r="AN125" s="14">
        <v>375</v>
      </c>
      <c r="AO125" s="14">
        <v>369</v>
      </c>
      <c r="AP125" s="14">
        <v>380</v>
      </c>
      <c r="AQ125" s="14">
        <v>400</v>
      </c>
      <c r="AR125" s="14">
        <v>316</v>
      </c>
      <c r="AS125" s="14">
        <v>174</v>
      </c>
      <c r="AT125" s="14">
        <v>174</v>
      </c>
      <c r="AU125" s="14">
        <v>174</v>
      </c>
      <c r="AV125" s="14">
        <f>15*24+9</f>
        <v>369</v>
      </c>
      <c r="AW125" s="14">
        <f>7*24+9</f>
        <v>177</v>
      </c>
      <c r="AX125" s="14">
        <f>7*24+9</f>
        <v>177</v>
      </c>
      <c r="AY125" s="14">
        <f>16*24+4</f>
        <v>388</v>
      </c>
      <c r="AZ125" s="14"/>
      <c r="BA125" s="14">
        <f>7*24+10</f>
        <v>178</v>
      </c>
      <c r="BB125" s="14">
        <f>12*24+9</f>
        <v>297</v>
      </c>
      <c r="BC125" s="13">
        <f>6*24+22</f>
        <v>166</v>
      </c>
      <c r="BD125" s="14">
        <f>13*24+12</f>
        <v>324</v>
      </c>
      <c r="BE125" s="14">
        <f>15*24+18</f>
        <v>378</v>
      </c>
      <c r="BF125" s="14">
        <f>14*24+20</f>
        <v>356</v>
      </c>
      <c r="BG125" s="13">
        <f>2*24+23</f>
        <v>71</v>
      </c>
      <c r="BH125" s="13">
        <f>24+11</f>
        <v>35</v>
      </c>
      <c r="BI125" s="14">
        <f>11*24+1</f>
        <v>265</v>
      </c>
      <c r="BJ125" s="14">
        <f>15*24+1</f>
        <v>361</v>
      </c>
      <c r="BK125" s="15">
        <f>15*24+1</f>
        <v>361</v>
      </c>
      <c r="BM125" s="10" t="s">
        <v>21</v>
      </c>
      <c r="BN125" s="35" t="s">
        <v>82</v>
      </c>
      <c r="BO125" s="16">
        <f>IF('[1]FC vers Ref (Km)'!BO125&lt;&gt;0,'Délai intermédiaire'!C125,)+4+(47/60)</f>
        <v>233.78333333333333</v>
      </c>
      <c r="BP125" s="14">
        <f>IF('[1]FC vers Ref (Km)'!BP125&lt;&gt;0,'Délai intermédiaire'!D125,)+4+(47/60)</f>
        <v>263.78333333333336</v>
      </c>
      <c r="BQ125" s="14">
        <f>IF('[1]FC vers Ref (Km)'!BQ125&lt;&gt;0,'Délai intermédiaire'!E125,)+4+(47/60)+19+(49/60)</f>
        <v>226.6</v>
      </c>
      <c r="BR125" s="14">
        <f>IF('[1]FC vers Ref (Km)'!BR125&lt;&gt;0,'Délai intermédiaire'!F125,)+4+(47/60)</f>
        <v>250.78333333333333</v>
      </c>
      <c r="BS125" s="14">
        <f>IF('[1]FC vers Ref (Km)'!BS125&lt;&gt;0,'Délai intermédiaire'!G125,)+4+(47/60)+(48/60)</f>
        <v>219.58333333333334</v>
      </c>
      <c r="BT125" s="14">
        <f>IF('[1]FC vers Ref (Km)'!BT125&lt;&gt;0,'Délai intermédiaire'!H125,)+4+(47/60)+15+(47/60)</f>
        <v>392.56666666666672</v>
      </c>
      <c r="BU125" s="14">
        <f>IF('[1]FC vers Ref (Km)'!BU125&lt;&gt;0,'Délai intermédiaire'!I125,)+4+(47/60)</f>
        <v>421.78333333333336</v>
      </c>
      <c r="BV125" s="14">
        <f>IF('[1]FC vers Ref (Km)'!BV125&lt;&gt;0,'Délai intermédiaire'!J125,)+4+(47/60)</f>
        <v>376.78333333333336</v>
      </c>
      <c r="BW125" s="14">
        <f>IF('[1]FC vers Ref (Km)'!BW125&lt;&gt;0,'Délai intermédiaire'!K125,)+4+(47/60)+6+(13/60)</f>
        <v>212</v>
      </c>
      <c r="BX125" s="14">
        <f>IF('[1]FC vers Ref (Km)'!BX125&lt;&gt;0,'Délai intermédiaire'!L125,)+4+(47/60)</f>
        <v>205.78333333333333</v>
      </c>
      <c r="BY125" s="14">
        <f>IF('[1]FC vers Ref (Km)'!BY125&lt;&gt;0,'Délai intermédiaire'!M125,)+4+(47/60)+11+(1/60)</f>
        <v>433.8</v>
      </c>
      <c r="BZ125" s="14">
        <f>IF('[1]FC vers Ref (Km)'!BZ125&lt;&gt;0,'Délai intermédiaire'!N125,)+4+(47/60)</f>
        <v>422.78333333333336</v>
      </c>
      <c r="CA125" s="14">
        <f>IF('[1]FC vers Ref (Km)'!CA125&lt;&gt;0,'Délai intermédiaire'!O125,)+4+(47/60)+4+(51/60)</f>
        <v>278.63333333333338</v>
      </c>
      <c r="CB125" s="14">
        <f>IF('[1]FC vers Ref (Km)'!CB125&lt;&gt;0,'Délai intermédiaire'!P125,)+4+(47/60)+5+(3/60)</f>
        <v>252.83333333333334</v>
      </c>
      <c r="CC125" s="14">
        <f>IF('[1]FC vers Ref (Km)'!CC125&lt;&gt;0,'Délai intermédiaire'!Q125,)+4+(47/60)+(40/60)</f>
        <v>204.45</v>
      </c>
      <c r="CD125" s="13">
        <f>IF('[1]FC vers Ref (Km)'!CD125&lt;&gt;0,'Délai intermédiaire'!R125,)+4+(47/60)</f>
        <v>140.78333333333333</v>
      </c>
      <c r="CE125" s="13">
        <f>IF('[1]FC vers Ref (Km)'!CE125&lt;&gt;0,'Délai intermédiaire'!S125,)+4+(47/60)</f>
        <v>125.78333333333333</v>
      </c>
      <c r="CF125" s="13">
        <f>IF('[1]FC vers Ref (Km)'!CF125&lt;&gt;0,'Délai intermédiaire'!T125,)+4+(47/60)</f>
        <v>128.78333333333333</v>
      </c>
      <c r="CG125" s="13">
        <f>IF('[1]FC vers Ref (Km)'!CG125&lt;&gt;0,'Délai intermédiaire'!U125,)+4+(47/60)+1+(53/60)</f>
        <v>123.66666666666667</v>
      </c>
      <c r="CH125" s="13">
        <f>IF('[1]FC vers Ref (Km)'!CH125&lt;&gt;0,'Délai intermédiaire'!V125,)+4+(47/60)+2+(57/60)</f>
        <v>57.733333333333334</v>
      </c>
      <c r="CI125" s="12"/>
      <c r="CJ125" s="13">
        <f>IF('[1]FC vers Ref (Km)'!CJ125&lt;&gt;0,'Délai intermédiaire'!X125,)+4+(47/60)</f>
        <v>140.78333333333333</v>
      </c>
      <c r="CK125" s="13">
        <f>IF('[1]FC vers Ref (Km)'!CK125&lt;&gt;0,'Délai intermédiaire'!Y125,)+4+(47/60)+1+(33/60)</f>
        <v>161.33333333333334</v>
      </c>
      <c r="CL125" s="13">
        <f>IF('[1]FC vers Ref (Km)'!CL125&lt;&gt;0,'Délai intermédiaire'!Z125,)+4+(47/60)+2+(30/60)</f>
        <v>132.28333333333333</v>
      </c>
      <c r="CM125" s="13">
        <f>IF('[1]FC vers Ref (Km)'!CM125&lt;&gt;0,'Délai intermédiaire'!AA125,)+4+(47/60)+(56/60)</f>
        <v>44.716666666666661</v>
      </c>
      <c r="CN125" s="13">
        <f>IF('[1]FC vers Ref (Km)'!CN125&lt;&gt;0,'Délai intermédiaire'!AB125,)+4+(47/60)+1+(39/60)</f>
        <v>52.43333333333333</v>
      </c>
      <c r="CO125" s="13">
        <f>IF('[1]FC vers Ref (Km)'!CO125&lt;&gt;0,'Délai intermédiaire'!AC125,)+4+(47/60)+3+(25/60)</f>
        <v>66.2</v>
      </c>
      <c r="CP125" s="13">
        <f>IF('[1]FC vers Ref (Km)'!CP125&lt;&gt;0,'Délai intermédiaire'!AD125,)+4+(47/60)</f>
        <v>58.783333333333331</v>
      </c>
      <c r="CQ125" s="13">
        <f>IF('[1]FC vers Ref (Km)'!CQ125&lt;&gt;0,'Délai intermédiaire'!AE125,)+4+(47/60)</f>
        <v>159.78333333333333</v>
      </c>
      <c r="CR125" s="13">
        <f>IF('[1]FC vers Ref (Km)'!CR125&lt;&gt;0,'Délai intermédiaire'!AF125,)+4+(47/60)+9+(1/60)</f>
        <v>13.8</v>
      </c>
      <c r="CS125" s="13">
        <f>IF('[1]FC vers Ref (Km)'!CS125&lt;&gt;0,'Délai intermédiaire'!AG125,)+4+(47/60)+7+(48/60)</f>
        <v>12.583333333333334</v>
      </c>
      <c r="CT125" s="13">
        <f>IF('[1]FC vers Ref (Km)'!CT125&lt;&gt;0,'Délai intermédiaire'!AH125,)+4+(47/60)+5+(5/60)</f>
        <v>9.8666666666666671</v>
      </c>
      <c r="CU125" s="14">
        <f>IF('[1]FC vers Ref (Km)'!CU125&lt;&gt;0,'Délai intermédiaire'!AI125,)+4+(47/60)+19+(46/60)+19+(46/60)</f>
        <v>225.31666666666669</v>
      </c>
      <c r="CV125" s="14">
        <f>IF('[1]FC vers Ref (Km)'!CV125&lt;&gt;0,'Délai intermédiaire'!AJ125,)+4+(47/60)</f>
        <v>253.78333333333333</v>
      </c>
      <c r="CW125" s="14">
        <f>IF('[1]FC vers Ref (Km)'!CW125&lt;&gt;0,'Délai intermédiaire'!AK125,)+4+(47/60)+12+(26/60)</f>
        <v>198.21666666666667</v>
      </c>
      <c r="CX125" s="14">
        <f>IF('[1]FC vers Ref (Km)'!CX125&lt;&gt;0,'Délai intermédiaire'!AL125,)+4+(47/60)</f>
        <v>226.78333333333333</v>
      </c>
      <c r="CY125" s="14">
        <f>IF('[1]FC vers Ref (Km)'!CY125&lt;&gt;0,'Délai intermédiaire'!AM125,)+4+(47/60)</f>
        <v>388.78333333333336</v>
      </c>
      <c r="CZ125" s="14">
        <f>IF('[1]FC vers Ref (Km)'!CZ125&lt;&gt;0,'Délai intermédiaire'!AN125,)+4+(47/60)</f>
        <v>379.78333333333336</v>
      </c>
      <c r="DA125" s="14">
        <f>IF('[1]FC vers Ref (Km)'!DA125&lt;&gt;0,'Délai intermédiaire'!AO125,)+4+(47/60)+1+(56/60)</f>
        <v>375.7166666666667</v>
      </c>
      <c r="DB125" s="14">
        <f>IF('[1]FC vers Ref (Km)'!DB125&lt;&gt;0,'Délai intermédiaire'!AP125,)+4+(47/60)</f>
        <v>384.78333333333336</v>
      </c>
      <c r="DC125" s="14">
        <f>IF('[1]FC vers Ref (Km)'!DC125&lt;&gt;0,'Délai intermédiaire'!AQ125,)+4+(47/60)</f>
        <v>404.78333333333336</v>
      </c>
      <c r="DD125" s="14">
        <f>IF('[1]FC vers Ref (Km)'!DD125&lt;&gt;0,'Délai intermédiaire'!AR125,)+4+(47/60)</f>
        <v>320.78333333333336</v>
      </c>
      <c r="DE125" s="14">
        <f>IF('[1]FC vers Ref (Km)'!DE125&lt;&gt;0,'Délai intermédiaire'!AS125,)+4+(47/60)</f>
        <v>178.78333333333333</v>
      </c>
      <c r="DF125" s="14">
        <f>IF('[1]FC vers Ref (Km)'!DF125&lt;&gt;0,'Délai intermédiaire'!AT125,)+4+(47/60)+20+(5/60)</f>
        <v>198.86666666666667</v>
      </c>
      <c r="DG125" s="14">
        <f>IF('[1]FC vers Ref (Km)'!DG125&lt;&gt;0,'Délai intermédiaire'!AU125,)+4+(47/60)+11+(36/60)</f>
        <v>190.38333333333333</v>
      </c>
      <c r="DH125" s="14">
        <f>IF('[1]FC vers Ref (Km)'!DH125&lt;&gt;0,'Délai intermédiaire'!AV125,)+4+(47/60)+(28/60)</f>
        <v>374.25</v>
      </c>
      <c r="DI125" s="14">
        <f>IF('[1]FC vers Ref (Km)'!DI125&lt;&gt;0,'Délai intermédiaire'!AW125,)+4+(47/60)+7+(13/60)</f>
        <v>189</v>
      </c>
      <c r="DJ125" s="14">
        <f>IF('[1]FC vers Ref (Km)'!DJ125&lt;&gt;0,'Délai intermédiaire'!AX125,)+4+(47/60)+2*24+15</f>
        <v>244.78333333333333</v>
      </c>
      <c r="DK125" s="14">
        <f>IF('[1]FC vers Ref (Km)'!DK125&lt;&gt;0,'Délai intermédiaire'!AY125,)+4+(47/60)</f>
        <v>392.78333333333336</v>
      </c>
      <c r="DL125" s="14">
        <f>IF('[1]FC vers Ref (Km)'!DL125&lt;&gt;0,'Délai intermédiaire'!AZ125,)+4+(47/60)</f>
        <v>4.7833333333333332</v>
      </c>
      <c r="DM125" s="14">
        <f>IF('[1]FC vers Ref (Km)'!DM125&lt;&gt;0,'Délai intermédiaire'!BA125,)+4+(47/60)+7+(17/60)</f>
        <v>190.06666666666666</v>
      </c>
      <c r="DN125" s="14">
        <f>IF('[1]FC vers Ref (Km)'!DN125&lt;&gt;0,'Délai intermédiaire'!BB125,)+4+(47/60)</f>
        <v>301.78333333333336</v>
      </c>
      <c r="DO125" s="13">
        <f>IF('[1]FC vers Ref (Km)'!DO125&lt;&gt;0,'Délai intermédiaire'!BC125,)+4+(47/60)</f>
        <v>170.78333333333333</v>
      </c>
      <c r="DP125" s="14">
        <f>IF('[1]FC vers Ref (Km)'!DP125&lt;&gt;0,'Délai intermédiaire'!BD125,)+4+(47/60)</f>
        <v>328.78333333333336</v>
      </c>
      <c r="DQ125" s="14">
        <f>IF('[1]FC vers Ref (Km)'!DQ125&lt;&gt;0,'Délai intermédiaire'!BE125,)+4+(47/60)+1+(22/60)</f>
        <v>384.15000000000003</v>
      </c>
      <c r="DR125" s="14">
        <f>IF('[1]FC vers Ref (Km)'!DR125&lt;&gt;0,'Délai intermédiaire'!BF125,)+4+(47/60)</f>
        <v>360.78333333333336</v>
      </c>
      <c r="DS125" s="13">
        <f>IF('[1]FC vers Ref (Km)'!DS125&lt;&gt;0,'Délai intermédiaire'!BG125,)+4+(47/60)+10+(43/60)</f>
        <v>86.5</v>
      </c>
      <c r="DT125" s="13">
        <f>IF('[1]FC vers Ref (Km)'!DT125&lt;&gt;0,'Délai intermédiaire'!BH125,)+4+(47/60)+(12/60)</f>
        <v>39.983333333333334</v>
      </c>
      <c r="DU125" s="14">
        <f>IF('[1]FC vers Ref (Km)'!DU125&lt;&gt;0,'Délai intermédiaire'!BI125,)+4+(47/60)+7+(45/60)</f>
        <v>277.53333333333336</v>
      </c>
      <c r="DV125" s="14">
        <f>IF('[1]FC vers Ref (Km)'!DV125&lt;&gt;0,'Délai intermédiaire'!BJ125,)+4+(47/60)+1+(10/60)</f>
        <v>366.95000000000005</v>
      </c>
      <c r="DW125" s="15">
        <f>IF('[1]FC vers Ref (Km)'!DW125&lt;&gt;0,'Délai intermédiaire'!BK125,)+4+(47/60)+12+(41/60)</f>
        <v>378.4666666666667</v>
      </c>
      <c r="DX125" s="27"/>
      <c r="DY125" s="10" t="s">
        <v>21</v>
      </c>
      <c r="DZ125" s="35" t="s">
        <v>82</v>
      </c>
      <c r="EA125" s="16">
        <f>IF('[1]FC vers Ref (Km)'!EA125&lt;&gt;0,C125,)+1+(47/60)+2+(31/60)+2+(54/60)</f>
        <v>236.20000000000002</v>
      </c>
      <c r="EB125" s="14">
        <f>IF('[1]FC vers Ref (Km)'!EB125&lt;&gt;0,D125,)+1+(47/60)+2+(31/60)+2+(54/60)</f>
        <v>266.2</v>
      </c>
      <c r="EC125" s="14">
        <f>IF('[1]FC vers Ref (Km)'!EC125&lt;&gt;0,E125,)+1+(47/60)+2+(31/60)+2+(54/60)+7+(55/60)+19+(53/60)</f>
        <v>237</v>
      </c>
      <c r="ED125" s="14">
        <f>IF('[1]FC vers Ref (Km)'!ED125&lt;&gt;0,F125,)+1+(47/60)+2+(31/60)+2+(54/60)</f>
        <v>253.20000000000002</v>
      </c>
      <c r="EE125" s="14">
        <f>IF('[1]FC vers Ref (Km)'!EE125&lt;&gt;0,G125,)+1+(47/60)+2+(31/60)+2+(54/60)+(32/60)</f>
        <v>221.73333333333335</v>
      </c>
      <c r="EF125" s="14">
        <f>IF('[1]FC vers Ref (Km)'!EF125&lt;&gt;0,H125,)+1+(47/60)+2+(31/60)+2+(54/60)+14+(25/60)+31+(8/60)</f>
        <v>424.75</v>
      </c>
      <c r="EG125" s="14">
        <f>IF('[1]FC vers Ref (Km)'!EG125&lt;&gt;0,I125,)+1+(47/60)+2+(31/60)+2+(54/60)</f>
        <v>424.2</v>
      </c>
      <c r="EH125" s="14">
        <f>IF('[1]FC vers Ref (Km)'!EH125&lt;&gt;0,J125,)+1+(47/60)+2+(31/60)+2+(54/60)</f>
        <v>379.2</v>
      </c>
      <c r="EI125" s="14">
        <f>IF('[1]FC vers Ref (Km)'!EI125&lt;&gt;0,K125,)+1+(47/60)+2+(31/60)+2+(54/60)+5+(11/60)</f>
        <v>213.38333333333335</v>
      </c>
      <c r="EJ125" s="14">
        <f>IF('[1]FC vers Ref (Km)'!EJ125&lt;&gt;0,L125,)+1+(47/60)+2+(31/60)+2+(54/60)</f>
        <v>208.20000000000002</v>
      </c>
      <c r="EK125" s="14">
        <f>IF('[1]FC vers Ref (Km)'!EK125&lt;&gt;0,M125,)+1+(47/60)+2+(31/60)+2+(54/60)</f>
        <v>425.2</v>
      </c>
      <c r="EL125" s="14">
        <f>IF('[1]FC vers Ref (Km)'!EL125&lt;&gt;0,N125,)+1+(47/60)+2+(31/60)+2+(54/60)</f>
        <v>425.2</v>
      </c>
      <c r="EM125" s="14">
        <f>IF('[1]FC vers Ref (Km)'!EM125&lt;&gt;0,O125,)+1+(47/60)+2+(31/60)+2+(54/60)</f>
        <v>276.2</v>
      </c>
      <c r="EN125" s="14">
        <f>IF('[1]FC vers Ref (Km)'!EN125&lt;&gt;0,P125,)+1+(47/60)+2+(31/60)+2+(54/60)</f>
        <v>250.20000000000002</v>
      </c>
      <c r="EO125" s="14">
        <f>IF('[1]FC vers Ref (Km)'!EO125&lt;&gt;0,Q125,)+1+(47/60)+2+(31/60)+2+(54/60)</f>
        <v>206.20000000000002</v>
      </c>
      <c r="EP125" s="13">
        <f>IF('[1]FC vers Ref (Km)'!EP125&lt;&gt;0,R125,)+1+(47/60)+2+(31/60)+2+(54/60)</f>
        <v>143.20000000000002</v>
      </c>
      <c r="EQ125" s="13">
        <f>IF('[1]FC vers Ref (Km)'!EQ125&lt;&gt;0,S125,)+1+(47/60)+2+(31/60)+2+(54/60)</f>
        <v>128.19999999999999</v>
      </c>
      <c r="ER125" s="13">
        <f>IF('[1]FC vers Ref (Km)'!ER125&lt;&gt;0,T125,)+1+(47/60)+2+(31/60)+2+(54/60)</f>
        <v>131.20000000000002</v>
      </c>
      <c r="ES125" s="13">
        <f>IF('[1]FC vers Ref (Km)'!ES125&lt;&gt;0,U125,)+1+(47/60)+2+(31/60)+2+(54/60)+2+(21/60)</f>
        <v>126.55</v>
      </c>
      <c r="ET125" s="13">
        <f>IF('[1]FC vers Ref (Km)'!ET125&lt;&gt;0,V125,)+1+(47/60)+2+(31/60)+2+(54/60)+1+(44/60)</f>
        <v>58.93333333333333</v>
      </c>
      <c r="EU125" s="12"/>
      <c r="EV125" s="13">
        <f>IF('[1]FC vers Ref (Km)'!EV125&lt;&gt;0,X125,)+1+(47/60)+2+(31/60)+2+(54/60)</f>
        <v>143.20000000000002</v>
      </c>
      <c r="EW125" s="13">
        <f>IF('[1]FC vers Ref (Km)'!EW125&lt;&gt;0,Y125,)+1+(47/60)+2+(31/60)+2+(54/60)+(56/60)+(59/60)</f>
        <v>164.11666666666667</v>
      </c>
      <c r="EX125" s="13">
        <f>IF('[1]FC vers Ref (Km)'!EX125&lt;&gt;0,Z125,)+1+(47/60)+2+(31/60)+2+(54/60)+1+(35/60)+(37/60)</f>
        <v>134.40000000000003</v>
      </c>
      <c r="EY125" s="13">
        <f>IF('[1]FC vers Ref (Km)'!EY125&lt;&gt;0,AA125,)+1+(47/60)+2+(31/60)+2+(54/60)+1+(18/60)</f>
        <v>47.499999999999993</v>
      </c>
      <c r="EZ125" s="13">
        <f>IF('[1]FC vers Ref (Km)'!EZ125&lt;&gt;0,AB125,)+1+(47/60)+2+(31/60)+2+(54/60)+1+(39/60)</f>
        <v>54.849999999999994</v>
      </c>
      <c r="FA125" s="13">
        <f>IF('[1]FC vers Ref (Km)'!FA125&lt;&gt;0,AC125,)+1+(47/60)+2+(31/60)+2+(54/60+1+(47/60))</f>
        <v>66.983333333333334</v>
      </c>
      <c r="FB125" s="13">
        <f>IF('[1]FC vers Ref (Km)'!FB125&lt;&gt;0,AD125,)+1+(47/60)+2+(31/60)+2+(54/60)</f>
        <v>61.199999999999996</v>
      </c>
      <c r="FC125" s="13">
        <f>IF('[1]FC vers Ref (Km)'!FC125&lt;&gt;0,AE125,)+1+(47/60)+2+(31/60)+2+(54/60)</f>
        <v>162.20000000000002</v>
      </c>
      <c r="FD125" s="13">
        <f>IF('[1]FC vers Ref (Km)'!FD125&lt;&gt;0,AF125,)+1+(47/60)+2+(31/60)+2+(54/60)+5+(31/60)+5+(51/60)+1+(8/60)</f>
        <v>19.700000000000003</v>
      </c>
      <c r="FE125" s="13">
        <f>IF('[1]FC vers Ref (Km)'!FE125&lt;&gt;0,AG125,)+1+(47/60)+2+(31/60)+2+(54/60)+4+(2/60)+5+(51/60)+1+(8/60)</f>
        <v>18.216666666666669</v>
      </c>
      <c r="FF125" s="13">
        <f>IF('[1]FC vers Ref (Km)'!FF125&lt;&gt;0,AH125,)+1+(47/60)+2+(31/60)+2+(54/60)+1+(7/60)+5+(51/60)+1+(8/60)</f>
        <v>15.299999999999999</v>
      </c>
      <c r="FG125" s="14">
        <f>IF('[1]FC vers Ref (Km)'!FG125&lt;&gt;0,AI125,)+1+(47/60)+2+(31/60)+2+(54/60)+15+(50/60)</f>
        <v>204.03333333333336</v>
      </c>
      <c r="FH125" s="14">
        <f>IF('[1]FC vers Ref (Km)'!FH125&lt;&gt;0,AJ125,)+1+(47/60)+2+(31/60)+2+(54/60)</f>
        <v>256.2</v>
      </c>
      <c r="FI125" s="14">
        <f>IF('[1]FC vers Ref (Km)'!FI125&lt;&gt;0,AK125,)+1+(47/60)+2+(31/60)+2+(54/60)+4+(40/60)+11+(32/60)</f>
        <v>204.4</v>
      </c>
      <c r="FJ125" s="14">
        <f>IF('[1]FC vers Ref (Km)'!FJ125&lt;&gt;0,AL125,)+1+(47/60)+2+(31/60)+2+(54/60)</f>
        <v>229.20000000000002</v>
      </c>
      <c r="FK125" s="14">
        <f>IF('[1]FC vers Ref (Km)'!FK125&lt;&gt;0,AM125,)+1+(47/60)+2+(31/60)+2+(54/60)</f>
        <v>391.2</v>
      </c>
      <c r="FL125" s="14">
        <f>IF('[1]FC vers Ref (Km)'!FL125&lt;&gt;0,AN125,)+1+(47/60)+2+(31/60)+2+(54/60)</f>
        <v>382.2</v>
      </c>
      <c r="FM125" s="14">
        <f>IF('[1]FC vers Ref (Km)'!FM125&lt;&gt;0,AO125,)+1+(47/60)+2+(31/60)+2+(54/60)+(55/60)</f>
        <v>377.11666666666667</v>
      </c>
      <c r="FN125" s="14">
        <f>IF('[1]FC vers Ref (Km)'!FN125&lt;&gt;0,AP125,)+1+(47/60)+2+(31/60)+2+(54/60)</f>
        <v>387.2</v>
      </c>
      <c r="FO125" s="14">
        <f>IF('[1]FC vers Ref (Km)'!FO125&lt;&gt;0,AQ125,)+1+(47/60)+2+(31/60)+2+(54/60)</f>
        <v>407.2</v>
      </c>
      <c r="FP125" s="14">
        <f>IF('[1]FC vers Ref (Km)'!FP125&lt;&gt;0,AR125,)+1+(47/60)+2+(31/60)+2+(54/60)</f>
        <v>323.2</v>
      </c>
      <c r="FQ125" s="14">
        <f>IF('[1]FC vers Ref (Km)'!FQ125&lt;&gt;0,AS125,)+1+(47/60)+2+(31/60)+2+(54/60)</f>
        <v>181.20000000000002</v>
      </c>
      <c r="FR125" s="14">
        <f>IF('[1]FC vers Ref (Km)'!FR125&lt;&gt;0,AT125,)+1+(47/60)+2+(31/60)+2+(54/60)</f>
        <v>181.20000000000002</v>
      </c>
      <c r="FS125" s="14">
        <f>IF('[1]FC vers Ref (Km)'!FS125&lt;&gt;0,AU125,)+1+(47/60)+2+(31/60)+2+(54/60)</f>
        <v>181.20000000000002</v>
      </c>
      <c r="FT125" s="14">
        <f>IF('[1]FC vers Ref (Km)'!FT125&lt;&gt;0,AV125,)+1+(47/60)+2+(31/60)+2+(54/60)+1+(7/60)</f>
        <v>377.31666666666666</v>
      </c>
      <c r="FU125" s="14">
        <f>IF('[1]FC vers Ref (Km)'!FU125&lt;&gt;0,AW125,)+1+(47/60)+2+(31/60)+2+(54/60)+8+(3/60)</f>
        <v>192.25000000000003</v>
      </c>
      <c r="FV125" s="14">
        <f>IF('[1]FC vers Ref (Km)'!FV125&lt;&gt;0,AX125,)+1+(47/60)+2+(31/60)+2+(54/60)+2*24+11</f>
        <v>243.20000000000002</v>
      </c>
      <c r="FW125" s="14">
        <f>IF('[1]FC vers Ref (Km)'!FW125&lt;&gt;0,AY125,)+1+(47/60)+2+(31/60)+2+(54/60)</f>
        <v>395.2</v>
      </c>
      <c r="FX125" s="14">
        <f>IF('[1]FC vers Ref (Km)'!FX125&lt;&gt;0,AZ125,)+1+(47/60)+2+(31/60)+2+(54/60)</f>
        <v>7.2</v>
      </c>
      <c r="FY125" s="14">
        <f>IF('[1]FC vers Ref (Km)'!FY125&lt;&gt;0,BA125,)+1+(47/60)+2+(31/60)+2+(54/60)+5+(41/60)</f>
        <v>190.88333333333335</v>
      </c>
      <c r="FZ125" s="14">
        <f>IF('[1]FC vers Ref (Km)'!FZ125&lt;&gt;0,BB125,)+1+(47/60)+2+(31/60)+2+(54/60)</f>
        <v>304.2</v>
      </c>
      <c r="GA125" s="13">
        <f>IF('[1]FC vers Ref (Km)'!GA125&lt;&gt;0,BC125,)+1+(47/60)+2+(31/60)+2+(54/60)</f>
        <v>173.20000000000002</v>
      </c>
      <c r="GB125" s="14">
        <f>IF('[1]FC vers Ref (Km)'!GB125&lt;&gt;0,BD125,)+1+(47/60)+2+(31/60)+2+(54/60)</f>
        <v>331.2</v>
      </c>
      <c r="GC125" s="14">
        <f>IF('[1]FC vers Ref (Km)'!GC125&lt;&gt;0,BE125,)+1+(47/60)+2+(31/60)+2+(54/60)+(30/60)</f>
        <v>385.7</v>
      </c>
      <c r="GD125" s="14">
        <f>IF('[1]FC vers Ref (Km)'!GD125&lt;&gt;0,BF125,)+1+(47/60)+2+(31/60)+2+(54/60)</f>
        <v>363.2</v>
      </c>
      <c r="GE125" s="13">
        <f>IF('[1]FC vers Ref (Km)'!GE125&lt;&gt;0,BG125,)+1+(47/60)+2+(31/60)+2+(54/60)+15+(1/60)</f>
        <v>93.216666666666669</v>
      </c>
      <c r="GF125" s="13">
        <f>IF('[1]FC vers Ref (Km)'!GF125&lt;&gt;0,BH125,)+1+(47/60)+2+(31/60)+2+(54/60)</f>
        <v>42.199999999999996</v>
      </c>
      <c r="GG125" s="14">
        <f>IF('[1]FC vers Ref (Km)'!GG125&lt;&gt;0,BI125,)+1+(47/60)+2+(31/60)+2+(54/60)</f>
        <v>272.2</v>
      </c>
      <c r="GH125" s="14">
        <f>IF('[1]FC vers Ref (Km)'!GH125&lt;&gt;0,BJ125,)+1+(47/60)+2+(31/60)+2+(54/60)</f>
        <v>368.2</v>
      </c>
      <c r="GI125" s="15">
        <f>IF('[1]FC vers Ref (Km)'!GI125&lt;&gt;0,BK125,)+1+(47/60)+2+(31/60)+2+(54/60)</f>
        <v>368.2</v>
      </c>
    </row>
    <row r="126" spans="1:191" x14ac:dyDescent="0.3">
      <c r="A126" s="10" t="s">
        <v>22</v>
      </c>
      <c r="B126" s="35" t="s">
        <v>73</v>
      </c>
      <c r="C126" s="16">
        <f>7*24+12</f>
        <v>180</v>
      </c>
      <c r="D126" s="14">
        <f>8*24+19</f>
        <v>211</v>
      </c>
      <c r="E126" s="14">
        <f>6*24+7</f>
        <v>151</v>
      </c>
      <c r="F126" s="14">
        <f>7*24+19</f>
        <v>187</v>
      </c>
      <c r="G126" s="14">
        <f>6*24+19</f>
        <v>163</v>
      </c>
      <c r="H126" s="14">
        <f>13*24+22</f>
        <v>334</v>
      </c>
      <c r="I126" s="14">
        <f>15*24+19</f>
        <v>379</v>
      </c>
      <c r="J126" s="14">
        <f>13*24+22</f>
        <v>334</v>
      </c>
      <c r="K126" s="14">
        <f>5*24+22</f>
        <v>142</v>
      </c>
      <c r="L126" s="14">
        <f>5*24+22</f>
        <v>142</v>
      </c>
      <c r="M126" s="14">
        <f>15*24+20</f>
        <v>380</v>
      </c>
      <c r="N126" s="14">
        <f>15*24+20</f>
        <v>380</v>
      </c>
      <c r="O126" s="14">
        <f>9*24+5</f>
        <v>221</v>
      </c>
      <c r="P126" s="14">
        <f>9*24+13</f>
        <v>229</v>
      </c>
      <c r="Q126" s="14">
        <f>7*24+16</f>
        <v>184</v>
      </c>
      <c r="R126" s="13">
        <f>20</f>
        <v>20</v>
      </c>
      <c r="S126" s="13">
        <f>1*24+15</f>
        <v>39</v>
      </c>
      <c r="T126" s="13">
        <f>18</f>
        <v>18</v>
      </c>
      <c r="U126" s="13">
        <f>21</f>
        <v>21</v>
      </c>
      <c r="V126" s="13">
        <f>4*24</f>
        <v>96</v>
      </c>
      <c r="W126" s="13">
        <f>5*24+16</f>
        <v>136</v>
      </c>
      <c r="X126" s="12"/>
      <c r="Y126" s="13">
        <v>13</v>
      </c>
      <c r="Z126" s="13">
        <v>13</v>
      </c>
      <c r="AA126" s="13">
        <v>104</v>
      </c>
      <c r="AB126" s="13">
        <v>103</v>
      </c>
      <c r="AC126" s="13">
        <v>83</v>
      </c>
      <c r="AD126" s="13">
        <v>89</v>
      </c>
      <c r="AE126" s="13">
        <v>13</v>
      </c>
      <c r="AF126" s="13">
        <v>136</v>
      </c>
      <c r="AG126" s="13">
        <v>136</v>
      </c>
      <c r="AH126" s="13">
        <v>136</v>
      </c>
      <c r="AI126" s="14">
        <v>274</v>
      </c>
      <c r="AJ126" s="14">
        <v>342</v>
      </c>
      <c r="AK126" s="14">
        <v>274</v>
      </c>
      <c r="AL126" s="14">
        <v>315</v>
      </c>
      <c r="AM126" s="14">
        <v>477</v>
      </c>
      <c r="AN126" s="14">
        <v>468</v>
      </c>
      <c r="AO126" s="14">
        <v>462</v>
      </c>
      <c r="AP126" s="14">
        <v>474</v>
      </c>
      <c r="AQ126" s="14">
        <v>493</v>
      </c>
      <c r="AR126" s="14">
        <v>410</v>
      </c>
      <c r="AS126" s="14">
        <v>267</v>
      </c>
      <c r="AT126" s="14">
        <v>267</v>
      </c>
      <c r="AU126" s="14">
        <v>267</v>
      </c>
      <c r="AV126" s="14">
        <f>19*24+6</f>
        <v>462</v>
      </c>
      <c r="AW126" s="14">
        <f>24+12</f>
        <v>36</v>
      </c>
      <c r="AX126" s="14">
        <f>24+12</f>
        <v>36</v>
      </c>
      <c r="AY126" s="14">
        <f>20*24+1</f>
        <v>481</v>
      </c>
      <c r="AZ126" s="14"/>
      <c r="BA126" s="14">
        <f>11*24+8</f>
        <v>272</v>
      </c>
      <c r="BB126" s="14">
        <f>16*24+7</f>
        <v>391</v>
      </c>
      <c r="BC126" s="12">
        <f>24</f>
        <v>24</v>
      </c>
      <c r="BD126" s="14">
        <f>17*24+9</f>
        <v>417</v>
      </c>
      <c r="BE126" s="14">
        <f>19*24+15</f>
        <v>471</v>
      </c>
      <c r="BF126" s="14">
        <f>18*24+17</f>
        <v>449</v>
      </c>
      <c r="BG126" s="13">
        <f>6*24+22</f>
        <v>166</v>
      </c>
      <c r="BH126" s="13">
        <f>5*24+9</f>
        <v>129</v>
      </c>
      <c r="BI126" s="14">
        <f>9*24+11</f>
        <v>227</v>
      </c>
      <c r="BJ126" s="14">
        <f>13*24+10</f>
        <v>322</v>
      </c>
      <c r="BK126" s="15">
        <f>13*24+10</f>
        <v>322</v>
      </c>
      <c r="BM126" s="10" t="s">
        <v>22</v>
      </c>
      <c r="BN126" s="35" t="s">
        <v>73</v>
      </c>
      <c r="BO126" s="16">
        <f>IF('[1]FC vers Ref (Km)'!BO126&lt;&gt;0,'Délai intermédiaire'!C126,)</f>
        <v>0</v>
      </c>
      <c r="BP126" s="14">
        <f>IF('[1]FC vers Ref (Km)'!BP126&lt;&gt;0,'Délai intermédiaire'!D126,)</f>
        <v>0</v>
      </c>
      <c r="BQ126" s="14">
        <f>IF('[1]FC vers Ref (Km)'!BQ126&lt;&gt;0,'Délai intermédiaire'!E126,)+19+(49/60)</f>
        <v>170.81666666666666</v>
      </c>
      <c r="BR126" s="14">
        <f>IF('[1]FC vers Ref (Km)'!BR126&lt;&gt;0,'Délai intermédiaire'!F126,)</f>
        <v>0</v>
      </c>
      <c r="BS126" s="14">
        <f>IF('[1]FC vers Ref (Km)'!BS126&lt;&gt;0,'Délai intermédiaire'!G126,)+(48/60)</f>
        <v>163.80000000000001</v>
      </c>
      <c r="BT126" s="14">
        <f>IF('[1]FC vers Ref (Km)'!BT126&lt;&gt;0,'Délai intermédiaire'!H126,)+15+(47/60)</f>
        <v>349.78333333333336</v>
      </c>
      <c r="BU126" s="14">
        <f>IF('[1]FC vers Ref (Km)'!BU126&lt;&gt;0,'Délai intermédiaire'!I126,)</f>
        <v>0</v>
      </c>
      <c r="BV126" s="14">
        <f>IF('[1]FC vers Ref (Km)'!BV126&lt;&gt;0,'Délai intermédiaire'!J126,)</f>
        <v>0</v>
      </c>
      <c r="BW126" s="14">
        <f>IF('[1]FC vers Ref (Km)'!BW126&lt;&gt;0,'Délai intermédiaire'!K126,)+6+(13/60)</f>
        <v>148.21666666666667</v>
      </c>
      <c r="BX126" s="14">
        <f>IF('[1]FC vers Ref (Km)'!BX126&lt;&gt;0,'Délai intermédiaire'!L126,)</f>
        <v>0</v>
      </c>
      <c r="BY126" s="14">
        <f>IF('[1]FC vers Ref (Km)'!BY126&lt;&gt;0,'Délai intermédiaire'!M126,)+11+(1/60)</f>
        <v>391.01666666666665</v>
      </c>
      <c r="BZ126" s="14">
        <f>IF('[1]FC vers Ref (Km)'!BZ126&lt;&gt;0,'Délai intermédiaire'!N126,)</f>
        <v>0</v>
      </c>
      <c r="CA126" s="14">
        <f>IF('[1]FC vers Ref (Km)'!CA126&lt;&gt;0,'Délai intermédiaire'!O126,)+4+(51/60)</f>
        <v>225.85</v>
      </c>
      <c r="CB126" s="14">
        <f>IF('[1]FC vers Ref (Km)'!CB126&lt;&gt;0,'Délai intermédiaire'!P126,)+5+(3/60)</f>
        <v>234.05</v>
      </c>
      <c r="CC126" s="14">
        <f>IF('[1]FC vers Ref (Km)'!CC126&lt;&gt;0,'Délai intermédiaire'!Q126,)+(40/60)</f>
        <v>184.66666666666666</v>
      </c>
      <c r="CD126" s="13">
        <f>IF('[1]FC vers Ref (Km)'!CD126&lt;&gt;0,'Délai intermédiaire'!R126,)</f>
        <v>0</v>
      </c>
      <c r="CE126" s="13">
        <f>IF('[1]FC vers Ref (Km)'!CE126&lt;&gt;0,'Délai intermédiaire'!S126,)</f>
        <v>0</v>
      </c>
      <c r="CF126" s="13">
        <f>IF('[1]FC vers Ref (Km)'!CF126&lt;&gt;0,'Délai intermédiaire'!T126,)</f>
        <v>0</v>
      </c>
      <c r="CG126" s="13">
        <f>IF('[1]FC vers Ref (Km)'!CG126&lt;&gt;0,'Délai intermédiaire'!U126,)+1+(53/60)</f>
        <v>22.883333333333333</v>
      </c>
      <c r="CH126" s="13">
        <f>IF('[1]FC vers Ref (Km)'!CH126&lt;&gt;0,'Délai intermédiaire'!V126,)+2+(57/60)</f>
        <v>98.95</v>
      </c>
      <c r="CI126" s="13">
        <f>IF('[1]FC vers Ref (Km)'!CI126&lt;&gt;0,'Délai intermédiaire'!W126,)+4+(47/60)</f>
        <v>140.78333333333333</v>
      </c>
      <c r="CJ126" s="12"/>
      <c r="CK126" s="13">
        <f>IF('[1]FC vers Ref (Km)'!CK126&lt;&gt;0,'Délai intermédiaire'!Y126,)+1+(33/60)</f>
        <v>14.55</v>
      </c>
      <c r="CL126" s="13">
        <f>IF('[1]FC vers Ref (Km)'!CL126&lt;&gt;0,'Délai intermédiaire'!Z126,)+2+(30/60)</f>
        <v>15.5</v>
      </c>
      <c r="CM126" s="13">
        <f>IF('[1]FC vers Ref (Km)'!CM126&lt;&gt;0,'Délai intermédiaire'!AA126,)+(56/60)</f>
        <v>104.93333333333334</v>
      </c>
      <c r="CN126" s="13">
        <f>IF('[1]FC vers Ref (Km)'!CN126&lt;&gt;0,'Délai intermédiaire'!AB126,)+1+(39/60)</f>
        <v>104.65</v>
      </c>
      <c r="CO126" s="13">
        <f>IF('[1]FC vers Ref (Km)'!CO126&lt;&gt;0,'Délai intermédiaire'!AC126,)+3+(25/60)</f>
        <v>86.416666666666671</v>
      </c>
      <c r="CP126" s="13">
        <f>IF('[1]FC vers Ref (Km)'!CP126&lt;&gt;0,'Délai intermédiaire'!AD126,)</f>
        <v>0</v>
      </c>
      <c r="CQ126" s="13">
        <f>IF('[1]FC vers Ref (Km)'!CQ126&lt;&gt;0,'Délai intermédiaire'!AE126,)</f>
        <v>0</v>
      </c>
      <c r="CR126" s="13">
        <f>IF('[1]FC vers Ref (Km)'!CR126&lt;&gt;0,'Délai intermédiaire'!AF126,)+9+(1/60)</f>
        <v>145.01666666666668</v>
      </c>
      <c r="CS126" s="13">
        <f>IF('[1]FC vers Ref (Km)'!CS126&lt;&gt;0,'Délai intermédiaire'!AG126,)+7+(48/60)</f>
        <v>143.80000000000001</v>
      </c>
      <c r="CT126" s="13">
        <f>IF('[1]FC vers Ref (Km)'!CT126&lt;&gt;0,'Délai intermédiaire'!AH126,)+5+(5/60)</f>
        <v>141.08333333333334</v>
      </c>
      <c r="CU126" s="14">
        <f>IF('[1]FC vers Ref (Km)'!CU126&lt;&gt;0,'Délai intermédiaire'!AI126,)+19+(46/60)</f>
        <v>293.76666666666665</v>
      </c>
      <c r="CV126" s="14">
        <f>IF('[1]FC vers Ref (Km)'!CV126&lt;&gt;0,'Délai intermédiaire'!AJ126,)</f>
        <v>0</v>
      </c>
      <c r="CW126" s="14">
        <f>IF('[1]FC vers Ref (Km)'!CW126&lt;&gt;0,'Délai intermédiaire'!AK126,)+12+(26/60)</f>
        <v>286.43333333333334</v>
      </c>
      <c r="CX126" s="14">
        <f>IF('[1]FC vers Ref (Km)'!CX126&lt;&gt;0,'Délai intermédiaire'!AL126,)</f>
        <v>0</v>
      </c>
      <c r="CY126" s="14">
        <f>IF('[1]FC vers Ref (Km)'!CY126&lt;&gt;0,'Délai intermédiaire'!AM126,)</f>
        <v>0</v>
      </c>
      <c r="CZ126" s="14">
        <f>IF('[1]FC vers Ref (Km)'!CZ126&lt;&gt;0,'Délai intermédiaire'!AN126,)</f>
        <v>0</v>
      </c>
      <c r="DA126" s="14">
        <f>IF('[1]FC vers Ref (Km)'!DA126&lt;&gt;0,'Délai intermédiaire'!AO126,)+1+(56/60)</f>
        <v>463.93333333333334</v>
      </c>
      <c r="DB126" s="14">
        <f>IF('[1]FC vers Ref (Km)'!DB126&lt;&gt;0,'Délai intermédiaire'!AP126,)</f>
        <v>0</v>
      </c>
      <c r="DC126" s="14">
        <f>IF('[1]FC vers Ref (Km)'!DC126&lt;&gt;0,'Délai intermédiaire'!AQ126,)</f>
        <v>0</v>
      </c>
      <c r="DD126" s="14">
        <f>IF('[1]FC vers Ref (Km)'!DD126&lt;&gt;0,'Délai intermédiaire'!AR126,)</f>
        <v>0</v>
      </c>
      <c r="DE126" s="14">
        <f>IF('[1]FC vers Ref (Km)'!DE126&lt;&gt;0,'Délai intermédiaire'!AS126,)</f>
        <v>0</v>
      </c>
      <c r="DF126" s="14">
        <f>IF('[1]FC vers Ref (Km)'!DF126&lt;&gt;0,'Délai intermédiaire'!AT126,)+20+(5/60)</f>
        <v>287.08333333333331</v>
      </c>
      <c r="DG126" s="14">
        <f>IF('[1]FC vers Ref (Km)'!DG126&lt;&gt;0,'Délai intermédiaire'!AU126,)+11+(36/60)</f>
        <v>278.60000000000002</v>
      </c>
      <c r="DH126" s="14">
        <f>IF('[1]FC vers Ref (Km)'!DH126&lt;&gt;0,'Délai intermédiaire'!AV126,)+(28/60)</f>
        <v>462.46666666666664</v>
      </c>
      <c r="DI126" s="14">
        <f>IF('[1]FC vers Ref (Km)'!DI126&lt;&gt;0,'Délai intermédiaire'!AW126,)+7+(13/60)</f>
        <v>43.216666666666669</v>
      </c>
      <c r="DJ126" s="14">
        <f>IF('[1]FC vers Ref (Km)'!DJ126&lt;&gt;0,'Délai intermédiaire'!AX126,)+2*24+15</f>
        <v>99</v>
      </c>
      <c r="DK126" s="14">
        <f>IF('[1]FC vers Ref (Km)'!DK126&lt;&gt;0,'Délai intermédiaire'!AY126,)</f>
        <v>0</v>
      </c>
      <c r="DL126" s="14">
        <f>IF('[1]FC vers Ref (Km)'!DL126&lt;&gt;0,'Délai intermédiaire'!AZ126,)</f>
        <v>0</v>
      </c>
      <c r="DM126" s="14">
        <f>IF('[1]FC vers Ref (Km)'!DM126&lt;&gt;0,'Délai intermédiaire'!BA126,)+7+(17/60)</f>
        <v>279.28333333333336</v>
      </c>
      <c r="DN126" s="14">
        <f>IF('[1]FC vers Ref (Km)'!DN126&lt;&gt;0,'Délai intermédiaire'!BB126,)</f>
        <v>0</v>
      </c>
      <c r="DO126" s="12">
        <f>IF('[1]FC vers Ref (Km)'!DO126&lt;&gt;0,'Délai intermédiaire'!BC126,)</f>
        <v>0</v>
      </c>
      <c r="DP126" s="14">
        <f>IF('[1]FC vers Ref (Km)'!DP126&lt;&gt;0,'Délai intermédiaire'!BD126,)</f>
        <v>0</v>
      </c>
      <c r="DQ126" s="14">
        <f>IF('[1]FC vers Ref (Km)'!DQ126&lt;&gt;0,'Délai intermédiaire'!BE126,)+1+(22/60)</f>
        <v>472.36666666666667</v>
      </c>
      <c r="DR126" s="14">
        <f>IF('[1]FC vers Ref (Km)'!DR126&lt;&gt;0,'Délai intermédiaire'!BF126,)</f>
        <v>0</v>
      </c>
      <c r="DS126" s="13">
        <f>IF('[1]FC vers Ref (Km)'!DS126&lt;&gt;0,'Délai intermédiaire'!BG126,)+10+(43/60)</f>
        <v>176.71666666666667</v>
      </c>
      <c r="DT126" s="13">
        <f>IF('[1]FC vers Ref (Km)'!DT126&lt;&gt;0,'Délai intermédiaire'!BH126,)+(12/60)</f>
        <v>129.19999999999999</v>
      </c>
      <c r="DU126" s="14">
        <f>IF('[1]FC vers Ref (Km)'!DU126&lt;&gt;0,'Délai intermédiaire'!BI126,)+7+(45/60)</f>
        <v>234.75</v>
      </c>
      <c r="DV126" s="14">
        <f>IF('[1]FC vers Ref (Km)'!DV126&lt;&gt;0,'Délai intermédiaire'!BJ126,)+1+(10/60)</f>
        <v>323.16666666666669</v>
      </c>
      <c r="DW126" s="15">
        <f>IF('[1]FC vers Ref (Km)'!DW126&lt;&gt;0,'Délai intermédiaire'!BK126,)+12+(41/60)</f>
        <v>334.68333333333334</v>
      </c>
      <c r="DX126" s="27"/>
      <c r="DY126" s="10" t="s">
        <v>22</v>
      </c>
      <c r="DZ126" s="35" t="s">
        <v>73</v>
      </c>
      <c r="EA126" s="16">
        <f>IF('[1]FC vers Ref (Km)'!EA126&lt;&gt;0,C126,)</f>
        <v>0</v>
      </c>
      <c r="EB126" s="14">
        <f>IF('[1]FC vers Ref (Km)'!EB126&lt;&gt;0,D126,)</f>
        <v>0</v>
      </c>
      <c r="EC126" s="14">
        <f>IF('[1]FC vers Ref (Km)'!EC126&lt;&gt;0,E126,)+7+(55/60)+19+(53/60)</f>
        <v>178.79999999999998</v>
      </c>
      <c r="ED126" s="14">
        <f>IF('[1]FC vers Ref (Km)'!ED126&lt;&gt;0,F126,)</f>
        <v>0</v>
      </c>
      <c r="EE126" s="14">
        <f>IF('[1]FC vers Ref (Km)'!EE126&lt;&gt;0,G126,)+(32/60)</f>
        <v>163.53333333333333</v>
      </c>
      <c r="EF126" s="14">
        <f>IF('[1]FC vers Ref (Km)'!EF126&lt;&gt;0,H126,)+14+(25/60)+31+(8/60)</f>
        <v>379.55</v>
      </c>
      <c r="EG126" s="14">
        <f>IF('[1]FC vers Ref (Km)'!EG126&lt;&gt;0,I126,)</f>
        <v>0</v>
      </c>
      <c r="EH126" s="14">
        <f>IF('[1]FC vers Ref (Km)'!EH126&lt;&gt;0,J126,)</f>
        <v>0</v>
      </c>
      <c r="EI126" s="14">
        <f>IF('[1]FC vers Ref (Km)'!EI126&lt;&gt;0,K126,)+5+(11/60)</f>
        <v>147.18333333333334</v>
      </c>
      <c r="EJ126" s="14">
        <f>IF('[1]FC vers Ref (Km)'!EJ126&lt;&gt;0,L126,)</f>
        <v>0</v>
      </c>
      <c r="EK126" s="14">
        <f>IF('[1]FC vers Ref (Km)'!EK126&lt;&gt;0,M126,)</f>
        <v>0</v>
      </c>
      <c r="EL126" s="14">
        <f>IF('[1]FC vers Ref (Km)'!EL126&lt;&gt;0,N126,)</f>
        <v>0</v>
      </c>
      <c r="EM126" s="14">
        <f>IF('[1]FC vers Ref (Km)'!EM126&lt;&gt;0,O126,)</f>
        <v>0</v>
      </c>
      <c r="EN126" s="14">
        <f>IF('[1]FC vers Ref (Km)'!EN126&lt;&gt;0,P126,)</f>
        <v>0</v>
      </c>
      <c r="EO126" s="14">
        <f>IF('[1]FC vers Ref (Km)'!EO126&lt;&gt;0,Q126,)</f>
        <v>0</v>
      </c>
      <c r="EP126" s="13">
        <f>IF('[1]FC vers Ref (Km)'!EP126&lt;&gt;0,R126,)</f>
        <v>0</v>
      </c>
      <c r="EQ126" s="13">
        <f>IF('[1]FC vers Ref (Km)'!EQ126&lt;&gt;0,S126,)</f>
        <v>0</v>
      </c>
      <c r="ER126" s="13">
        <f>IF('[1]FC vers Ref (Km)'!ER126&lt;&gt;0,T126,)</f>
        <v>0</v>
      </c>
      <c r="ES126" s="13">
        <f>IF('[1]FC vers Ref (Km)'!ES126&lt;&gt;0,U126,)+2+(21/60)</f>
        <v>23.35</v>
      </c>
      <c r="ET126" s="13">
        <f>IF('[1]FC vers Ref (Km)'!ET126&lt;&gt;0,V126,)+1+(44/60)</f>
        <v>97.733333333333334</v>
      </c>
      <c r="EU126" s="13">
        <f>IF('[1]FC vers Ref (Km)'!EU126&lt;&gt;0,W126,)+1+(47/60)+2+(31/60)+2+(54/60)</f>
        <v>143.20000000000002</v>
      </c>
      <c r="EV126" s="12">
        <f>IF('[1]FC vers Ref (Km)'!EV126&lt;&gt;0,X126,)</f>
        <v>0</v>
      </c>
      <c r="EW126" s="13">
        <f>IF('[1]FC vers Ref (Km)'!EW126&lt;&gt;0,Y126,)+(56/60)+(59/60)</f>
        <v>14.916666666666666</v>
      </c>
      <c r="EX126" s="13">
        <f>IF('[1]FC vers Ref (Km)'!EX126&lt;&gt;0,Z126,)+1+(35/60)+(37/60)</f>
        <v>15.200000000000001</v>
      </c>
      <c r="EY126" s="13">
        <f>IF('[1]FC vers Ref (Km)'!EY126&lt;&gt;0,AA126,)+1+(18/60)</f>
        <v>105.3</v>
      </c>
      <c r="EZ126" s="13">
        <f>IF('[1]FC vers Ref (Km)'!EZ126&lt;&gt;0,AB126,)+1+(39/60)</f>
        <v>104.65</v>
      </c>
      <c r="FA126" s="13">
        <f>IF('[1]FC vers Ref (Km)'!FA126&lt;&gt;0,AC126,)+1+(47/60)</f>
        <v>84.783333333333331</v>
      </c>
      <c r="FB126" s="13">
        <f>IF('[1]FC vers Ref (Km)'!FB126&lt;&gt;0,AD126,)</f>
        <v>0</v>
      </c>
      <c r="FC126" s="13">
        <f>IF('[1]FC vers Ref (Km)'!FC126&lt;&gt;0,AE126,)</f>
        <v>0</v>
      </c>
      <c r="FD126" s="13">
        <f>IF('[1]FC vers Ref (Km)'!FD126&lt;&gt;0,AF126,)+5+(31/60)+5+(51/60)+1+(8/60)</f>
        <v>148.5</v>
      </c>
      <c r="FE126" s="13">
        <f>IF('[1]FC vers Ref (Km)'!FE126&lt;&gt;0,AG126,)+4+(2/60)+5+(51/60)+1+(8/60)</f>
        <v>147.01666666666665</v>
      </c>
      <c r="FF126" s="13">
        <f>IF('[1]FC vers Ref (Km)'!FF126&lt;&gt;0,AH126,)+1+(7/60)+5+(51/60)+1+(8/60)</f>
        <v>144.1</v>
      </c>
      <c r="FG126" s="14">
        <f>IF('[1]FC vers Ref (Km)'!FG126&lt;&gt;0,AI126,)+15+(50/60)</f>
        <v>289.83333333333331</v>
      </c>
      <c r="FH126" s="14">
        <f>IF('[1]FC vers Ref (Km)'!FH126&lt;&gt;0,AJ126,)</f>
        <v>0</v>
      </c>
      <c r="FI126" s="14">
        <f>IF('[1]FC vers Ref (Km)'!FI126&lt;&gt;0,AK126,)+4+(40/60)+11+(32/60)</f>
        <v>290.20000000000005</v>
      </c>
      <c r="FJ126" s="14">
        <f>IF('[1]FC vers Ref (Km)'!FJ126&lt;&gt;0,AL126,)</f>
        <v>0</v>
      </c>
      <c r="FK126" s="14">
        <f>IF('[1]FC vers Ref (Km)'!FK126&lt;&gt;0,AM126,)</f>
        <v>0</v>
      </c>
      <c r="FL126" s="14">
        <f>IF('[1]FC vers Ref (Km)'!FL126&lt;&gt;0,AN126,)</f>
        <v>0</v>
      </c>
      <c r="FM126" s="14">
        <f>IF('[1]FC vers Ref (Km)'!FM126&lt;&gt;0,AO126,)+(55/60)</f>
        <v>462.91666666666669</v>
      </c>
      <c r="FN126" s="14">
        <f>IF('[1]FC vers Ref (Km)'!FN126&lt;&gt;0,AP126,)</f>
        <v>0</v>
      </c>
      <c r="FO126" s="14">
        <f>IF('[1]FC vers Ref (Km)'!FO126&lt;&gt;0,AQ126,)</f>
        <v>0</v>
      </c>
      <c r="FP126" s="14">
        <f>IF('[1]FC vers Ref (Km)'!FP126&lt;&gt;0,AR126,)</f>
        <v>0</v>
      </c>
      <c r="FQ126" s="14">
        <f>IF('[1]FC vers Ref (Km)'!FQ126&lt;&gt;0,AS126,)</f>
        <v>0</v>
      </c>
      <c r="FR126" s="14">
        <f>IF('[1]FC vers Ref (Km)'!FR126&lt;&gt;0,AT126,)</f>
        <v>0</v>
      </c>
      <c r="FS126" s="14">
        <f>IF('[1]FC vers Ref (Km)'!FS126&lt;&gt;0,AU126,)</f>
        <v>0</v>
      </c>
      <c r="FT126" s="14">
        <f>IF('[1]FC vers Ref (Km)'!FT126&lt;&gt;0,AV126,)+1+(7/60)</f>
        <v>463.11666666666667</v>
      </c>
      <c r="FU126" s="14">
        <f>IF('[1]FC vers Ref (Km)'!FU126&lt;&gt;0,AW126,)+8+(3/60)</f>
        <v>44.05</v>
      </c>
      <c r="FV126" s="14">
        <f>IF('[1]FC vers Ref (Km)'!FV126&lt;&gt;0,AX126,)+2*24+11</f>
        <v>95</v>
      </c>
      <c r="FW126" s="14">
        <f>IF('[1]FC vers Ref (Km)'!FW126&lt;&gt;0,AY126,)</f>
        <v>0</v>
      </c>
      <c r="FX126" s="14">
        <f>IF('[1]FC vers Ref (Km)'!FX126&lt;&gt;0,AZ126,)</f>
        <v>0</v>
      </c>
      <c r="FY126" s="14">
        <f>IF('[1]FC vers Ref (Km)'!FY126&lt;&gt;0,BA126,)+5+(41/60)</f>
        <v>277.68333333333334</v>
      </c>
      <c r="FZ126" s="14">
        <f>IF('[1]FC vers Ref (Km)'!FZ126&lt;&gt;0,BB126,)</f>
        <v>0</v>
      </c>
      <c r="GA126" s="12">
        <f>IF('[1]FC vers Ref (Km)'!GA126&lt;&gt;0,BC126,)</f>
        <v>0</v>
      </c>
      <c r="GB126" s="14">
        <f>IF('[1]FC vers Ref (Km)'!GB126&lt;&gt;0,BD126,)</f>
        <v>0</v>
      </c>
      <c r="GC126" s="14">
        <f>IF('[1]FC vers Ref (Km)'!GC126&lt;&gt;0,BE126,)+(30/60)</f>
        <v>471.5</v>
      </c>
      <c r="GD126" s="14">
        <f>IF('[1]FC vers Ref (Km)'!GD126&lt;&gt;0,BF126,)</f>
        <v>0</v>
      </c>
      <c r="GE126" s="13">
        <f>IF('[1]FC vers Ref (Km)'!GE126&lt;&gt;0,BG126,)+15+(1/60)</f>
        <v>181.01666666666668</v>
      </c>
      <c r="GF126" s="13">
        <f>IF('[1]FC vers Ref (Km)'!GF126&lt;&gt;0,BH126,)</f>
        <v>0</v>
      </c>
      <c r="GG126" s="14">
        <f>IF('[1]FC vers Ref (Km)'!GG126&lt;&gt;0,BI126,)</f>
        <v>0</v>
      </c>
      <c r="GH126" s="14">
        <f>IF('[1]FC vers Ref (Km)'!GH126&lt;&gt;0,BJ126,)</f>
        <v>0</v>
      </c>
      <c r="GI126" s="15">
        <f>IF('[1]FC vers Ref (Km)'!GI126&lt;&gt;0,BK126,)</f>
        <v>0</v>
      </c>
    </row>
    <row r="127" spans="1:191" x14ac:dyDescent="0.3">
      <c r="A127" s="10" t="s">
        <v>23</v>
      </c>
      <c r="B127" s="35" t="s">
        <v>29</v>
      </c>
      <c r="C127" s="16">
        <f>7*24+21</f>
        <v>189</v>
      </c>
      <c r="D127" s="14">
        <f>9*24+4</f>
        <v>220</v>
      </c>
      <c r="E127" s="14">
        <f>6*24+16</f>
        <v>160</v>
      </c>
      <c r="F127" s="14">
        <f>8*24+4</f>
        <v>196</v>
      </c>
      <c r="G127" s="14">
        <f>7*24+4</f>
        <v>172</v>
      </c>
      <c r="H127" s="14">
        <f>14*24+8</f>
        <v>344</v>
      </c>
      <c r="I127" s="14">
        <f>16*24+5</f>
        <v>389</v>
      </c>
      <c r="J127" s="14">
        <f>14*24+8</f>
        <v>344</v>
      </c>
      <c r="K127" s="14">
        <f>6*24+7</f>
        <v>151</v>
      </c>
      <c r="L127" s="14">
        <f>6*24+7</f>
        <v>151</v>
      </c>
      <c r="M127" s="14">
        <f>16*24+6</f>
        <v>390</v>
      </c>
      <c r="N127" s="14">
        <f>16*24+6</f>
        <v>390</v>
      </c>
      <c r="O127" s="14">
        <f>9*24+14</f>
        <v>230</v>
      </c>
      <c r="P127" s="14">
        <f>10*24+8</f>
        <v>248</v>
      </c>
      <c r="Q127" s="14">
        <f>8*24+12</f>
        <v>204</v>
      </c>
      <c r="R127" s="13">
        <f>1*24+8</f>
        <v>32</v>
      </c>
      <c r="S127" s="13">
        <f>2*24+2</f>
        <v>50</v>
      </c>
      <c r="T127" s="13">
        <f>1*24+12</f>
        <v>36</v>
      </c>
      <c r="U127" s="13">
        <f>1*24+16</f>
        <v>40</v>
      </c>
      <c r="V127" s="13">
        <f>4*24+19</f>
        <v>115</v>
      </c>
      <c r="W127" s="13">
        <f>6*24+11</f>
        <v>155</v>
      </c>
      <c r="X127" s="13">
        <v>13</v>
      </c>
      <c r="Y127" s="12"/>
      <c r="Z127" s="13">
        <v>32</v>
      </c>
      <c r="AA127" s="13">
        <v>123</v>
      </c>
      <c r="AB127" s="13">
        <v>122</v>
      </c>
      <c r="AC127" s="13">
        <v>102</v>
      </c>
      <c r="AD127" s="13">
        <v>108</v>
      </c>
      <c r="AE127" s="13">
        <v>0</v>
      </c>
      <c r="AF127" s="13">
        <v>155</v>
      </c>
      <c r="AG127" s="13">
        <v>155</v>
      </c>
      <c r="AH127" s="13">
        <v>155</v>
      </c>
      <c r="AI127" s="14">
        <v>293</v>
      </c>
      <c r="AJ127" s="14">
        <v>361</v>
      </c>
      <c r="AK127" s="14">
        <v>293</v>
      </c>
      <c r="AL127" s="14">
        <v>334</v>
      </c>
      <c r="AM127" s="14">
        <v>496</v>
      </c>
      <c r="AN127" s="14">
        <v>487</v>
      </c>
      <c r="AO127" s="14">
        <v>481</v>
      </c>
      <c r="AP127" s="14">
        <v>493</v>
      </c>
      <c r="AQ127" s="14">
        <v>512</v>
      </c>
      <c r="AR127" s="14">
        <v>429</v>
      </c>
      <c r="AS127" s="14">
        <v>286</v>
      </c>
      <c r="AT127" s="14">
        <v>286</v>
      </c>
      <c r="AU127" s="14">
        <v>286</v>
      </c>
      <c r="AV127" s="14">
        <f>20*24+1</f>
        <v>481</v>
      </c>
      <c r="AW127" s="14">
        <f>24+5</f>
        <v>29</v>
      </c>
      <c r="AX127" s="14">
        <f>24+5</f>
        <v>29</v>
      </c>
      <c r="AY127" s="14">
        <f>20*24+20</f>
        <v>500</v>
      </c>
      <c r="AZ127" s="14"/>
      <c r="BA127" s="14">
        <f>12*24+3</f>
        <v>291</v>
      </c>
      <c r="BB127" s="14">
        <f>17*24+2</f>
        <v>410</v>
      </c>
      <c r="BC127" s="13">
        <f>18</f>
        <v>18</v>
      </c>
      <c r="BD127" s="14">
        <f>18*24+4</f>
        <v>436</v>
      </c>
      <c r="BE127" s="14">
        <f>20*24+10</f>
        <v>490</v>
      </c>
      <c r="BF127" s="14">
        <f>19*24+12</f>
        <v>468</v>
      </c>
      <c r="BG127" s="13">
        <f>7*24+17</f>
        <v>185</v>
      </c>
      <c r="BH127" s="13">
        <f>6*24+4</f>
        <v>148</v>
      </c>
      <c r="BI127" s="14">
        <f>9*24+21</f>
        <v>237</v>
      </c>
      <c r="BJ127" s="14">
        <f>13*24+21</f>
        <v>333</v>
      </c>
      <c r="BK127" s="15">
        <f>13*24+21</f>
        <v>333</v>
      </c>
      <c r="BM127" s="10" t="s">
        <v>23</v>
      </c>
      <c r="BN127" s="35" t="s">
        <v>29</v>
      </c>
      <c r="BO127" s="16">
        <f>IF('[1]FC vers Ref (Km)'!BO127&lt;&gt;0,'Délai intermédiaire'!C127,)+1+(33/60)</f>
        <v>190.55</v>
      </c>
      <c r="BP127" s="14">
        <f>IF('[1]FC vers Ref (Km)'!BP127&lt;&gt;0,'Délai intermédiaire'!D127,)+1+(33/60)</f>
        <v>221.55</v>
      </c>
      <c r="BQ127" s="14">
        <f>IF('[1]FC vers Ref (Km)'!BQ127&lt;&gt;0,'Délai intermédiaire'!E127,)+1+(33/60)+19+(49/60)</f>
        <v>181.36666666666667</v>
      </c>
      <c r="BR127" s="14">
        <f>IF('[1]FC vers Ref (Km)'!BR127&lt;&gt;0,'Délai intermédiaire'!F127,)+1+(33/60)</f>
        <v>197.55</v>
      </c>
      <c r="BS127" s="14">
        <f>IF('[1]FC vers Ref (Km)'!BS127&lt;&gt;0,'Délai intermédiaire'!G127,)+1+(33/60)+(48/60)</f>
        <v>174.35000000000002</v>
      </c>
      <c r="BT127" s="14">
        <f>IF('[1]FC vers Ref (Km)'!BT127&lt;&gt;0,'Délai intermédiaire'!H127,)+1+(33/60)+15+(47/60)</f>
        <v>361.33333333333337</v>
      </c>
      <c r="BU127" s="14">
        <f>IF('[1]FC vers Ref (Km)'!BU127&lt;&gt;0,'Délai intermédiaire'!I127,)+1+(33/60)</f>
        <v>390.55</v>
      </c>
      <c r="BV127" s="14">
        <f>IF('[1]FC vers Ref (Km)'!BV127&lt;&gt;0,'Délai intermédiaire'!J127,)+1+(33/60)</f>
        <v>345.55</v>
      </c>
      <c r="BW127" s="14">
        <f>IF('[1]FC vers Ref (Km)'!BW127&lt;&gt;0,'Délai intermédiaire'!K127,)+1+(33/60)+6+(13/60)</f>
        <v>158.76666666666668</v>
      </c>
      <c r="BX127" s="14">
        <f>IF('[1]FC vers Ref (Km)'!BX127&lt;&gt;0,'Délai intermédiaire'!L127,)+1+(33/60)</f>
        <v>152.55000000000001</v>
      </c>
      <c r="BY127" s="14">
        <f>IF('[1]FC vers Ref (Km)'!BY127&lt;&gt;0,'Délai intermédiaire'!M127,)+1+(33/60)+11+(1/60)</f>
        <v>402.56666666666666</v>
      </c>
      <c r="BZ127" s="14">
        <f>IF('[1]FC vers Ref (Km)'!BZ127&lt;&gt;0,'Délai intermédiaire'!N127,)+1+(33/60)</f>
        <v>391.55</v>
      </c>
      <c r="CA127" s="14">
        <f>IF('[1]FC vers Ref (Km)'!CA127&lt;&gt;0,'Délai intermédiaire'!O127,)+1+(33/60)+4+(51/60)</f>
        <v>236.4</v>
      </c>
      <c r="CB127" s="14">
        <f>IF('[1]FC vers Ref (Km)'!CB127&lt;&gt;0,'Délai intermédiaire'!P127,)+1+(33/60)+5+(3/60)</f>
        <v>254.60000000000002</v>
      </c>
      <c r="CC127" s="14">
        <f>IF('[1]FC vers Ref (Km)'!CC127&lt;&gt;0,'Délai intermédiaire'!Q127,)+1+(33/60)+(40/60)</f>
        <v>206.21666666666667</v>
      </c>
      <c r="CD127" s="13">
        <f>IF('[1]FC vers Ref (Km)'!CD127&lt;&gt;0,'Délai intermédiaire'!R127,)+1+(33/60)</f>
        <v>33.549999999999997</v>
      </c>
      <c r="CE127" s="13">
        <f>IF('[1]FC vers Ref (Km)'!CE127&lt;&gt;0,'Délai intermédiaire'!S127,)+1+(33/60)</f>
        <v>51.55</v>
      </c>
      <c r="CF127" s="13">
        <f>IF('[1]FC vers Ref (Km)'!CF127&lt;&gt;0,'Délai intermédiaire'!T127,)+1+(33/60)</f>
        <v>37.549999999999997</v>
      </c>
      <c r="CG127" s="13">
        <f>IF('[1]FC vers Ref (Km)'!CG127&lt;&gt;0,'Délai intermédiaire'!U127,)+1+(33/60)+1+(53/60)</f>
        <v>43.43333333333333</v>
      </c>
      <c r="CH127" s="13">
        <f>IF('[1]FC vers Ref (Km)'!CH127&lt;&gt;0,'Délai intermédiaire'!V127,)+1+(33/60)+2+(57/60)</f>
        <v>119.5</v>
      </c>
      <c r="CI127" s="13">
        <f>IF('[1]FC vers Ref (Km)'!CI127&lt;&gt;0,'Délai intermédiaire'!W127,)+1+(33/60)+4+(47/60)</f>
        <v>161.33333333333334</v>
      </c>
      <c r="CJ127" s="13">
        <f>IF('[1]FC vers Ref (Km)'!CJ127&lt;&gt;0,'Délai intermédiaire'!X127,)+1+(33/60)</f>
        <v>14.55</v>
      </c>
      <c r="CK127" s="12"/>
      <c r="CL127" s="13">
        <f>IF('[1]FC vers Ref (Km)'!CL127&lt;&gt;0,'Délai intermédiaire'!Z127,)+1+(33/60)+2+(30/60)</f>
        <v>36.049999999999997</v>
      </c>
      <c r="CM127" s="13">
        <f>IF('[1]FC vers Ref (Km)'!CM127&lt;&gt;0,'Délai intermédiaire'!AA127,)+1+(33/60)+(56/60)</f>
        <v>125.48333333333333</v>
      </c>
      <c r="CN127" s="13">
        <f>IF('[1]FC vers Ref (Km)'!CN127&lt;&gt;0,'Délai intermédiaire'!AB127,)+1+(33/60)+1+(39/60)</f>
        <v>125.2</v>
      </c>
      <c r="CO127" s="13">
        <f>IF('[1]FC vers Ref (Km)'!CO127&lt;&gt;0,'Délai intermédiaire'!AC127,)+1+(33/60)+3+(25/60)</f>
        <v>106.96666666666667</v>
      </c>
      <c r="CP127" s="13">
        <f>IF('[1]FC vers Ref (Km)'!CP127&lt;&gt;0,'Délai intermédiaire'!AD127,)+1+(33/60)</f>
        <v>109.55</v>
      </c>
      <c r="CQ127" s="13">
        <f>IF('[1]FC vers Ref (Km)'!CQ127&lt;&gt;0,'Délai intermédiaire'!AE127,)+1+(33/60)</f>
        <v>1.55</v>
      </c>
      <c r="CR127" s="13">
        <f>IF('[1]FC vers Ref (Km)'!CR127&lt;&gt;0,'Délai intermédiaire'!AF127,)+1+(33/60)+9+(1/60)</f>
        <v>165.56666666666669</v>
      </c>
      <c r="CS127" s="13">
        <f>IF('[1]FC vers Ref (Km)'!CS127&lt;&gt;0,'Délai intermédiaire'!AG127,)+1+(33/60)+7+(48/60)</f>
        <v>164.35000000000002</v>
      </c>
      <c r="CT127" s="13">
        <f>IF('[1]FC vers Ref (Km)'!CT127&lt;&gt;0,'Délai intermédiaire'!AH127,)+1+(33/60)+5+(5/60)</f>
        <v>161.63333333333335</v>
      </c>
      <c r="CU127" s="14">
        <f>IF('[1]FC vers Ref (Km)'!CU127&lt;&gt;0,'Délai intermédiaire'!AI127,)+1+(33/60)+19+(46/60)</f>
        <v>314.31666666666666</v>
      </c>
      <c r="CV127" s="14">
        <f>IF('[1]FC vers Ref (Km)'!CV127&lt;&gt;0,'Délai intermédiaire'!AJ127,)+1+(33/60)</f>
        <v>362.55</v>
      </c>
      <c r="CW127" s="14">
        <f>IF('[1]FC vers Ref (Km)'!CW127&lt;&gt;0,'Délai intermédiaire'!AK127,)+1+(33/60)+12+(26/60)</f>
        <v>306.98333333333335</v>
      </c>
      <c r="CX127" s="14">
        <f>IF('[1]FC vers Ref (Km)'!CX127&lt;&gt;0,'Délai intermédiaire'!AL127,)+1+(33/60)</f>
        <v>335.55</v>
      </c>
      <c r="CY127" s="14">
        <f>IF('[1]FC vers Ref (Km)'!CY127&lt;&gt;0,'Délai intermédiaire'!AM127,)+1+(33/60)</f>
        <v>497.55</v>
      </c>
      <c r="CZ127" s="14">
        <f>IF('[1]FC vers Ref (Km)'!CZ127&lt;&gt;0,'Délai intermédiaire'!AN127,)+1+(33/60)</f>
        <v>488.55</v>
      </c>
      <c r="DA127" s="14">
        <f>IF('[1]FC vers Ref (Km)'!DA127&lt;&gt;0,'Délai intermédiaire'!AO127,)+1+(33/60)+1+(56/60)</f>
        <v>484.48333333333335</v>
      </c>
      <c r="DB127" s="14">
        <f>IF('[1]FC vers Ref (Km)'!DB127&lt;&gt;0,'Délai intermédiaire'!AP127,)+1+(33/60)</f>
        <v>494.55</v>
      </c>
      <c r="DC127" s="14">
        <f>IF('[1]FC vers Ref (Km)'!DC127&lt;&gt;0,'Délai intermédiaire'!AQ127,)+1+(33/60)</f>
        <v>513.54999999999995</v>
      </c>
      <c r="DD127" s="14">
        <f>IF('[1]FC vers Ref (Km)'!DD127&lt;&gt;0,'Délai intermédiaire'!AR127,)+1+(33/60)</f>
        <v>430.55</v>
      </c>
      <c r="DE127" s="14">
        <f>IF('[1]FC vers Ref (Km)'!DE127&lt;&gt;0,'Délai intermédiaire'!AS127,)+1+(33/60)</f>
        <v>287.55</v>
      </c>
      <c r="DF127" s="14">
        <f>IF('[1]FC vers Ref (Km)'!DF127&lt;&gt;0,'Délai intermédiaire'!AT127,)+1+(33/60)+20+(5/60)</f>
        <v>307.63333333333333</v>
      </c>
      <c r="DG127" s="14">
        <f>IF('[1]FC vers Ref (Km)'!DG127&lt;&gt;0,'Délai intermédiaire'!AU127,)+1+(33/60)+11+(36/60)</f>
        <v>299.15000000000003</v>
      </c>
      <c r="DH127" s="14">
        <f>IF('[1]FC vers Ref (Km)'!DH127&lt;&gt;0,'Délai intermédiaire'!AV127,)+1+(33/60)+(28/60)</f>
        <v>483.01666666666665</v>
      </c>
      <c r="DI127" s="14">
        <f>IF('[1]FC vers Ref (Km)'!DI127&lt;&gt;0,'Délai intermédiaire'!AW127,)+1+(33/60)+7+(13/60)</f>
        <v>37.766666666666666</v>
      </c>
      <c r="DJ127" s="14">
        <f>IF('[1]FC vers Ref (Km)'!DJ127&lt;&gt;0,'Délai intermédiaire'!AX127,)+1+(33/60)+2*24+15</f>
        <v>93.55</v>
      </c>
      <c r="DK127" s="14">
        <f>IF('[1]FC vers Ref (Km)'!DK127&lt;&gt;0,'Délai intermédiaire'!AY127,)+1+(33/60)</f>
        <v>501.55</v>
      </c>
      <c r="DL127" s="14">
        <f>IF('[1]FC vers Ref (Km)'!DL127&lt;&gt;0,'Délai intermédiaire'!AZ127,)+1+(33/60)</f>
        <v>1.55</v>
      </c>
      <c r="DM127" s="14">
        <f>IF('[1]FC vers Ref (Km)'!DM127&lt;&gt;0,'Délai intermédiaire'!BA127,)+1+(33/60)+7+(17/60)</f>
        <v>299.83333333333337</v>
      </c>
      <c r="DN127" s="14">
        <f>IF('[1]FC vers Ref (Km)'!DN127&lt;&gt;0,'Délai intermédiaire'!BB127,)+1+(33/60)</f>
        <v>411.55</v>
      </c>
      <c r="DO127" s="13">
        <f>IF('[1]FC vers Ref (Km)'!DO127&lt;&gt;0,'Délai intermédiaire'!BC127,)+1+(33/60)</f>
        <v>19.55</v>
      </c>
      <c r="DP127" s="14">
        <f>IF('[1]FC vers Ref (Km)'!DP127&lt;&gt;0,'Délai intermédiaire'!BD127,)+1+(33/60)</f>
        <v>437.55</v>
      </c>
      <c r="DQ127" s="14">
        <f>IF('[1]FC vers Ref (Km)'!DQ127&lt;&gt;0,'Délai intermédiaire'!BE127,)+1+(33/60)+1+(22/60)</f>
        <v>492.91666666666669</v>
      </c>
      <c r="DR127" s="14">
        <f>IF('[1]FC vers Ref (Km)'!DR127&lt;&gt;0,'Délai intermédiaire'!BF127,)+1+(33/60)</f>
        <v>469.55</v>
      </c>
      <c r="DS127" s="13">
        <f>IF('[1]FC vers Ref (Km)'!DS127&lt;&gt;0,'Délai intermédiaire'!BG127,)+1+(33/60)+10+(43/60)</f>
        <v>197.26666666666668</v>
      </c>
      <c r="DT127" s="13">
        <f>IF('[1]FC vers Ref (Km)'!DT127&lt;&gt;0,'Délai intermédiaire'!BH127,)+1+(33/60)+(12/60)</f>
        <v>149.75</v>
      </c>
      <c r="DU127" s="14">
        <f>IF('[1]FC vers Ref (Km)'!DU127&lt;&gt;0,'Délai intermédiaire'!BI127,)+1+(33/60)+7+(45/60)</f>
        <v>246.3</v>
      </c>
      <c r="DV127" s="14">
        <f>IF('[1]FC vers Ref (Km)'!DV127&lt;&gt;0,'Délai intermédiaire'!BJ127,)+1+(33/60)+1+(10/60)</f>
        <v>335.7166666666667</v>
      </c>
      <c r="DW127" s="15">
        <f>IF('[1]FC vers Ref (Km)'!DW127&lt;&gt;0,'Délai intermédiaire'!BK127,)+1+(33/60)+12+(41/60)</f>
        <v>347.23333333333335</v>
      </c>
      <c r="DX127" s="27"/>
      <c r="DY127" s="10" t="s">
        <v>23</v>
      </c>
      <c r="DZ127" s="35" t="s">
        <v>29</v>
      </c>
      <c r="EA127" s="16">
        <f>IF('[1]FC vers Ref (Km)'!EA127&lt;&gt;0,C127,)+(56/60)+(59/60)</f>
        <v>190.91666666666666</v>
      </c>
      <c r="EB127" s="14">
        <f>IF('[1]FC vers Ref (Km)'!EB127&lt;&gt;0,D127,)+(56/60)+(59/60)</f>
        <v>221.91666666666666</v>
      </c>
      <c r="EC127" s="14">
        <f>IF('[1]FC vers Ref (Km)'!EC127&lt;&gt;0,E127,)+(56/60)+(59/60)+7+(55/60)+19+(53/60)</f>
        <v>189.71666666666664</v>
      </c>
      <c r="ED127" s="14">
        <f>IF('[1]FC vers Ref (Km)'!ED127&lt;&gt;0,F127,)+(56/60)+(59/60)</f>
        <v>197.91666666666666</v>
      </c>
      <c r="EE127" s="14">
        <f>IF('[1]FC vers Ref (Km)'!EE127&lt;&gt;0,G127,)+(56/60)+(59/60)+(32/60)</f>
        <v>174.45</v>
      </c>
      <c r="EF127" s="14">
        <f>IF('[1]FC vers Ref (Km)'!EF127&lt;&gt;0,H127,)+(56/60)+(59/60)+14+(25/60)+31+(8/60)</f>
        <v>391.4666666666667</v>
      </c>
      <c r="EG127" s="14">
        <f>IF('[1]FC vers Ref (Km)'!EG127&lt;&gt;0,I127,)+(56/60)+(59/60)</f>
        <v>390.91666666666669</v>
      </c>
      <c r="EH127" s="14">
        <f>IF('[1]FC vers Ref (Km)'!EH127&lt;&gt;0,J127,)+(56/60)+(59/60)</f>
        <v>345.91666666666669</v>
      </c>
      <c r="EI127" s="14">
        <f>IF('[1]FC vers Ref (Km)'!EI127&lt;&gt;0,K127,)+(56/60)+(59/60)+5+(11/60)</f>
        <v>158.1</v>
      </c>
      <c r="EJ127" s="14">
        <f>IF('[1]FC vers Ref (Km)'!EJ127&lt;&gt;0,L127,)+(56/60)+(59/60)</f>
        <v>152.91666666666666</v>
      </c>
      <c r="EK127" s="14">
        <f>IF('[1]FC vers Ref (Km)'!EK127&lt;&gt;0,M127,)+(56/60)+(59/60)</f>
        <v>391.91666666666669</v>
      </c>
      <c r="EL127" s="14">
        <f>IF('[1]FC vers Ref (Km)'!EL127&lt;&gt;0,N127,)+(56/60)+(59/60)</f>
        <v>391.91666666666669</v>
      </c>
      <c r="EM127" s="14">
        <f>IF('[1]FC vers Ref (Km)'!EM127&lt;&gt;0,O127,)+(56/60)+(59/60)</f>
        <v>231.91666666666666</v>
      </c>
      <c r="EN127" s="14">
        <f>IF('[1]FC vers Ref (Km)'!EN127&lt;&gt;0,P127,)+(56/60)+(59/60)</f>
        <v>249.91666666666666</v>
      </c>
      <c r="EO127" s="14">
        <f>IF('[1]FC vers Ref (Km)'!EO127&lt;&gt;0,Q127,)+(56/60)+(59/60)</f>
        <v>205.91666666666666</v>
      </c>
      <c r="EP127" s="13">
        <f>IF('[1]FC vers Ref (Km)'!EP127&lt;&gt;0,R127,)+(56/60)+(59/60)</f>
        <v>33.916666666666664</v>
      </c>
      <c r="EQ127" s="13">
        <f>IF('[1]FC vers Ref (Km)'!EQ127&lt;&gt;0,S127,)+(56/60)+(59/60)</f>
        <v>51.916666666666664</v>
      </c>
      <c r="ER127" s="13">
        <f>IF('[1]FC vers Ref (Km)'!ER127&lt;&gt;0,T127,)+(56/60)+(59/60)</f>
        <v>37.916666666666664</v>
      </c>
      <c r="ES127" s="13">
        <f>IF('[1]FC vers Ref (Km)'!ES127&lt;&gt;0,U127,)+(56/60)+(59/60)+2+(21/60)</f>
        <v>44.266666666666666</v>
      </c>
      <c r="ET127" s="13">
        <f>IF('[1]FC vers Ref (Km)'!ET127&lt;&gt;0,V127,)+(56/60)+(59/60)+1+(44/60)</f>
        <v>118.65</v>
      </c>
      <c r="EU127" s="13">
        <f>IF('[1]FC vers Ref (Km)'!EU127&lt;&gt;0,W127,)+(56/60)+(59/60)+1+(47/60)+2+(31/60)+2+(54/60)</f>
        <v>164.11666666666667</v>
      </c>
      <c r="EV127" s="13">
        <f>IF('[1]FC vers Ref (Km)'!EV127&lt;&gt;0,X127,)+(56/60)+(59/60)</f>
        <v>14.916666666666666</v>
      </c>
      <c r="EW127" s="12"/>
      <c r="EX127" s="13">
        <f>IF('[1]FC vers Ref (Km)'!EX127&lt;&gt;0,Z127,)+(56/60)+(59/60)+1+(35/60)+(37/60)</f>
        <v>36.116666666666667</v>
      </c>
      <c r="EY127" s="13">
        <f>IF('[1]FC vers Ref (Km)'!EY127&lt;&gt;0,AA127,)+(56/60)+(59/60)+1+(18/60)</f>
        <v>126.21666666666667</v>
      </c>
      <c r="EZ127" s="13">
        <f>IF('[1]FC vers Ref (Km)'!EZ127&lt;&gt;0,AB127,)+(56/60)+(59/60)+1+(39/60)</f>
        <v>125.56666666666668</v>
      </c>
      <c r="FA127" s="13">
        <f>IF('[1]FC vers Ref (Km)'!FA127&lt;&gt;0,AC127,)+(56/60)+(59/60)+1+(47/60)</f>
        <v>105.7</v>
      </c>
      <c r="FB127" s="13">
        <f>IF('[1]FC vers Ref (Km)'!FB127&lt;&gt;0,AD127,)+(56/60)+(59/60)</f>
        <v>109.91666666666667</v>
      </c>
      <c r="FC127" s="13">
        <f>IF('[1]FC vers Ref (Km)'!FC127&lt;&gt;0,AE127,)+(56/60)+(59/60)</f>
        <v>1.9166666666666665</v>
      </c>
      <c r="FD127" s="13">
        <f>IF('[1]FC vers Ref (Km)'!FD127&lt;&gt;0,AF127,)+(56/60)+(59/60)+5+(31/60)+5+(51/60)+1+(8/60)</f>
        <v>169.41666666666666</v>
      </c>
      <c r="FE127" s="13">
        <f>IF('[1]FC vers Ref (Km)'!FE127&lt;&gt;0,AG127,)+(56/60)+(59/60)+4+(2/60)+5+(51/60)+1+(8/60)</f>
        <v>167.93333333333331</v>
      </c>
      <c r="FF127" s="13">
        <f>IF('[1]FC vers Ref (Km)'!FF127&lt;&gt;0,AH127,)+(56/60)+(59/60)+1+(7/60)+5+(51/60)+1+(8/60)</f>
        <v>165.01666666666665</v>
      </c>
      <c r="FG127" s="14">
        <f>IF('[1]FC vers Ref (Km)'!FG127&lt;&gt;0,AI127,)+(56/60)+(59/60)+15+(50/60)</f>
        <v>310.75</v>
      </c>
      <c r="FH127" s="14">
        <f>IF('[1]FC vers Ref (Km)'!FH127&lt;&gt;0,AJ127,)+(56/60)+(59/60)</f>
        <v>362.91666666666669</v>
      </c>
      <c r="FI127" s="14">
        <f>IF('[1]FC vers Ref (Km)'!FI127&lt;&gt;0,AK127,)+(56/60)+(59/60)+4+(40/60)+11+(32/60)</f>
        <v>311.11666666666673</v>
      </c>
      <c r="FJ127" s="14">
        <f>IF('[1]FC vers Ref (Km)'!FJ127&lt;&gt;0,AL127,)+(56/60)+(59/60)</f>
        <v>335.91666666666669</v>
      </c>
      <c r="FK127" s="14">
        <f>IF('[1]FC vers Ref (Km)'!FK127&lt;&gt;0,AM127,)+(56/60)+(59/60)</f>
        <v>497.91666666666669</v>
      </c>
      <c r="FL127" s="14">
        <f>IF('[1]FC vers Ref (Km)'!FL127&lt;&gt;0,AN127,)+(56/60)+(59/60)</f>
        <v>488.91666666666669</v>
      </c>
      <c r="FM127" s="14">
        <f>IF('[1]FC vers Ref (Km)'!FM127&lt;&gt;0,AO127,)+(56/60)+(59/60)+(55/60)</f>
        <v>483.83333333333337</v>
      </c>
      <c r="FN127" s="14">
        <f>IF('[1]FC vers Ref (Km)'!FN127&lt;&gt;0,AP127,)+(56/60)+(59/60)</f>
        <v>494.91666666666669</v>
      </c>
      <c r="FO127" s="14">
        <f>IF('[1]FC vers Ref (Km)'!FO127&lt;&gt;0,AQ127,)+(56/60)+(59/60)</f>
        <v>513.91666666666663</v>
      </c>
      <c r="FP127" s="14">
        <f>IF('[1]FC vers Ref (Km)'!FP127&lt;&gt;0,AR127,)+(56/60)+(59/60)</f>
        <v>430.91666666666669</v>
      </c>
      <c r="FQ127" s="14">
        <f>IF('[1]FC vers Ref (Km)'!FQ127&lt;&gt;0,AS127,)+(56/60)+(59/60)</f>
        <v>287.91666666666669</v>
      </c>
      <c r="FR127" s="14">
        <f>IF('[1]FC vers Ref (Km)'!FR127&lt;&gt;0,AT127,)+(56/60)+(59/60)</f>
        <v>287.91666666666669</v>
      </c>
      <c r="FS127" s="14">
        <f>IF('[1]FC vers Ref (Km)'!FS127&lt;&gt;0,AU127,)+(56/60)+(59/60)</f>
        <v>287.91666666666669</v>
      </c>
      <c r="FT127" s="14">
        <f>IF('[1]FC vers Ref (Km)'!FT127&lt;&gt;0,AV127,)+(56/60)+(59/60)+1+(7/60)</f>
        <v>484.03333333333336</v>
      </c>
      <c r="FU127" s="14">
        <f>IF('[1]FC vers Ref (Km)'!FU127&lt;&gt;0,AW127,)+(56/60)+(59/60)+8+(3/60)</f>
        <v>38.966666666666669</v>
      </c>
      <c r="FV127" s="14">
        <f>IF('[1]FC vers Ref (Km)'!FV127&lt;&gt;0,AX127,)+(56/60)+(59/60)+2*24+11</f>
        <v>89.916666666666671</v>
      </c>
      <c r="FW127" s="14">
        <f>IF('[1]FC vers Ref (Km)'!FW127&lt;&gt;0,AY127,)+(56/60)+(59/60)</f>
        <v>501.91666666666669</v>
      </c>
      <c r="FX127" s="14">
        <f>IF('[1]FC vers Ref (Km)'!FX127&lt;&gt;0,AZ127,)+(56/60)+(59/60)</f>
        <v>1.9166666666666665</v>
      </c>
      <c r="FY127" s="14">
        <f>IF('[1]FC vers Ref (Km)'!FY127&lt;&gt;0,BA127,)+(56/60)+(59/60)+5+(41/60)</f>
        <v>298.60000000000002</v>
      </c>
      <c r="FZ127" s="14">
        <f>IF('[1]FC vers Ref (Km)'!FZ127&lt;&gt;0,BB127,)+(56/60)+(59/60)</f>
        <v>411.91666666666669</v>
      </c>
      <c r="GA127" s="13">
        <f>IF('[1]FC vers Ref (Km)'!GA127&lt;&gt;0,BC127,)+(56/60)+(59/60)</f>
        <v>19.916666666666668</v>
      </c>
      <c r="GB127" s="14">
        <f>IF('[1]FC vers Ref (Km)'!GB127&lt;&gt;0,BD127,)+(56/60)+(59/60)</f>
        <v>437.91666666666669</v>
      </c>
      <c r="GC127" s="14">
        <f>IF('[1]FC vers Ref (Km)'!GC127&lt;&gt;0,BE127,)+(56/60)+(59/60)+(30/60)</f>
        <v>492.41666666666669</v>
      </c>
      <c r="GD127" s="14">
        <f>IF('[1]FC vers Ref (Km)'!GD127&lt;&gt;0,BF127,)+(56/60)+(59/60)</f>
        <v>469.91666666666669</v>
      </c>
      <c r="GE127" s="13">
        <f>IF('[1]FC vers Ref (Km)'!GE127&lt;&gt;0,BG127,)+(56/60)+(59/60)+15+(1/60)</f>
        <v>201.93333333333334</v>
      </c>
      <c r="GF127" s="13">
        <f>IF('[1]FC vers Ref (Km)'!GF127&lt;&gt;0,BH127,)+(56/60)+(59/60)</f>
        <v>149.91666666666666</v>
      </c>
      <c r="GG127" s="14">
        <f>IF('[1]FC vers Ref (Km)'!GG127&lt;&gt;0,BI127,)+(56/60)+(59/60)</f>
        <v>238.91666666666666</v>
      </c>
      <c r="GH127" s="14">
        <f>IF('[1]FC vers Ref (Km)'!GH127&lt;&gt;0,BJ127,)+(56/60)+(59/60)</f>
        <v>334.91666666666669</v>
      </c>
      <c r="GI127" s="15">
        <f>IF('[1]FC vers Ref (Km)'!GI127&lt;&gt;0,BK127,)+(56/60)+(59/60)</f>
        <v>334.91666666666669</v>
      </c>
    </row>
    <row r="128" spans="1:191" x14ac:dyDescent="0.3">
      <c r="A128" s="10" t="s">
        <v>24</v>
      </c>
      <c r="B128" s="35" t="s">
        <v>83</v>
      </c>
      <c r="C128" s="16">
        <f>7*24+3</f>
        <v>171</v>
      </c>
      <c r="D128" s="14">
        <f>8*24+10</f>
        <v>202</v>
      </c>
      <c r="E128" s="14">
        <f>5*24+21</f>
        <v>141</v>
      </c>
      <c r="F128" s="14">
        <f>7*24+14</f>
        <v>182</v>
      </c>
      <c r="G128" s="14">
        <f>6*24+9</f>
        <v>153</v>
      </c>
      <c r="H128" s="14">
        <f>13*24+11</f>
        <v>323</v>
      </c>
      <c r="I128" s="14">
        <f>15*24+9</f>
        <v>369</v>
      </c>
      <c r="J128" s="14">
        <f>13*24+11</f>
        <v>323</v>
      </c>
      <c r="K128" s="14">
        <f>5*24+17</f>
        <v>137</v>
      </c>
      <c r="L128" s="14">
        <f>5*24+17</f>
        <v>137</v>
      </c>
      <c r="M128" s="14">
        <f>15*24+9</f>
        <v>369</v>
      </c>
      <c r="N128" s="14">
        <f>15*24+9</f>
        <v>369</v>
      </c>
      <c r="O128" s="14">
        <f>8*24+21</f>
        <v>213</v>
      </c>
      <c r="P128" s="14">
        <f>9*24+2</f>
        <v>218</v>
      </c>
      <c r="Q128" s="14">
        <f>7*24+6</f>
        <v>174</v>
      </c>
      <c r="R128" s="13">
        <f>16</f>
        <v>16</v>
      </c>
      <c r="S128" s="13">
        <f>1*24+5</f>
        <v>29</v>
      </c>
      <c r="T128" s="13">
        <v>8</v>
      </c>
      <c r="U128" s="13">
        <v>10</v>
      </c>
      <c r="V128" s="13">
        <f>3*24+13</f>
        <v>85</v>
      </c>
      <c r="W128" s="13">
        <f>5*24+5</f>
        <v>125</v>
      </c>
      <c r="X128" s="13">
        <v>13</v>
      </c>
      <c r="Y128" s="13">
        <f>24+8</f>
        <v>32</v>
      </c>
      <c r="Z128" s="12"/>
      <c r="AA128" s="13">
        <v>93</v>
      </c>
      <c r="AB128" s="13">
        <v>92</v>
      </c>
      <c r="AC128" s="13">
        <v>73</v>
      </c>
      <c r="AD128" s="13">
        <v>78</v>
      </c>
      <c r="AE128" s="13">
        <v>32</v>
      </c>
      <c r="AF128" s="13">
        <v>125</v>
      </c>
      <c r="AG128" s="13">
        <v>125</v>
      </c>
      <c r="AH128" s="13">
        <v>125</v>
      </c>
      <c r="AI128" s="14">
        <v>263</v>
      </c>
      <c r="AJ128" s="14">
        <v>332</v>
      </c>
      <c r="AK128" s="14">
        <v>263</v>
      </c>
      <c r="AL128" s="14">
        <v>305</v>
      </c>
      <c r="AM128" s="14">
        <v>466</v>
      </c>
      <c r="AN128" s="14">
        <v>458</v>
      </c>
      <c r="AO128" s="14">
        <v>451</v>
      </c>
      <c r="AP128" s="14">
        <v>463</v>
      </c>
      <c r="AQ128" s="14">
        <v>482</v>
      </c>
      <c r="AR128" s="14">
        <v>399</v>
      </c>
      <c r="AS128" s="14">
        <v>257</v>
      </c>
      <c r="AT128" s="14">
        <v>257</v>
      </c>
      <c r="AU128" s="14">
        <v>257</v>
      </c>
      <c r="AV128" s="14">
        <f>18*24+20</f>
        <v>452</v>
      </c>
      <c r="AW128" s="14">
        <f>2*24+6</f>
        <v>54</v>
      </c>
      <c r="AX128" s="14">
        <f>2*24+6</f>
        <v>54</v>
      </c>
      <c r="AY128" s="14">
        <f>19*24+15</f>
        <v>471</v>
      </c>
      <c r="AZ128" s="14"/>
      <c r="BA128" s="14">
        <f>10*24+21</f>
        <v>261</v>
      </c>
      <c r="BB128" s="14">
        <f>15*24+20</f>
        <v>380</v>
      </c>
      <c r="BC128" s="13">
        <f>24+19</f>
        <v>43</v>
      </c>
      <c r="BD128" s="14">
        <f>16*24+22</f>
        <v>406</v>
      </c>
      <c r="BE128" s="14">
        <f>19*24+5</f>
        <v>461</v>
      </c>
      <c r="BF128" s="14">
        <f>18*24+7</f>
        <v>439</v>
      </c>
      <c r="BG128" s="13">
        <f>6*24+11</f>
        <v>155</v>
      </c>
      <c r="BH128" s="13">
        <f>4*24+22</f>
        <v>118</v>
      </c>
      <c r="BI128" s="14">
        <f>9*24</f>
        <v>216</v>
      </c>
      <c r="BJ128" s="14">
        <f>13*24</f>
        <v>312</v>
      </c>
      <c r="BK128" s="15">
        <f>13*24</f>
        <v>312</v>
      </c>
      <c r="BM128" s="10" t="s">
        <v>24</v>
      </c>
      <c r="BN128" s="35" t="s">
        <v>83</v>
      </c>
      <c r="BO128" s="16">
        <f>IF('[1]FC vers Ref (Km)'!BO128&lt;&gt;0,'Délai intermédiaire'!C128,)+2+(30/60)</f>
        <v>173.5</v>
      </c>
      <c r="BP128" s="14">
        <f>IF('[1]FC vers Ref (Km)'!BP128&lt;&gt;0,'Délai intermédiaire'!D128,)+2+(30/60)</f>
        <v>204.5</v>
      </c>
      <c r="BQ128" s="14">
        <f>IF('[1]FC vers Ref (Km)'!BQ128&lt;&gt;0,'Délai intermédiaire'!E128,)+2+(30/60)+19+(49/60)</f>
        <v>163.31666666666666</v>
      </c>
      <c r="BR128" s="14">
        <f>IF('[1]FC vers Ref (Km)'!BR128&lt;&gt;0,'Délai intermédiaire'!F128,)+2+(30/60)</f>
        <v>184.5</v>
      </c>
      <c r="BS128" s="14">
        <f>IF('[1]FC vers Ref (Km)'!BS128&lt;&gt;0,'Délai intermédiaire'!G128,)+2+(30/60)+(48/60)</f>
        <v>156.30000000000001</v>
      </c>
      <c r="BT128" s="14">
        <f>IF('[1]FC vers Ref (Km)'!BT128&lt;&gt;0,'Délai intermédiaire'!H128,)+2+(30/60)+15+(47/60)</f>
        <v>341.28333333333336</v>
      </c>
      <c r="BU128" s="14">
        <f>IF('[1]FC vers Ref (Km)'!BU128&lt;&gt;0,'Délai intermédiaire'!I128,)+2+(30/60)</f>
        <v>371.5</v>
      </c>
      <c r="BV128" s="14">
        <f>IF('[1]FC vers Ref (Km)'!BV128&lt;&gt;0,'Délai intermédiaire'!J128,)+2+(30/60)</f>
        <v>325.5</v>
      </c>
      <c r="BW128" s="14">
        <f>IF('[1]FC vers Ref (Km)'!BW128&lt;&gt;0,'Délai intermédiaire'!K128,)+2+(30/60)+6+(13/60)</f>
        <v>145.71666666666667</v>
      </c>
      <c r="BX128" s="14">
        <f>IF('[1]FC vers Ref (Km)'!BX128&lt;&gt;0,'Délai intermédiaire'!L128,)+2+(30/60)</f>
        <v>139.5</v>
      </c>
      <c r="BY128" s="14">
        <f>IF('[1]FC vers Ref (Km)'!BY128&lt;&gt;0,'Délai intermédiaire'!M128,)+2+(30/60)+11+(1/60)</f>
        <v>382.51666666666665</v>
      </c>
      <c r="BZ128" s="14">
        <f>IF('[1]FC vers Ref (Km)'!BZ128&lt;&gt;0,'Délai intermédiaire'!N128,)+2+(30/60)</f>
        <v>371.5</v>
      </c>
      <c r="CA128" s="14">
        <f>IF('[1]FC vers Ref (Km)'!CA128&lt;&gt;0,'Délai intermédiaire'!O128,)+2+(30/60)+4+(51/60)</f>
        <v>220.35</v>
      </c>
      <c r="CB128" s="14">
        <f>IF('[1]FC vers Ref (Km)'!CB128&lt;&gt;0,'Délai intermédiaire'!P128,)+2+(30/60)+5+(3/60)</f>
        <v>225.55</v>
      </c>
      <c r="CC128" s="14">
        <f>IF('[1]FC vers Ref (Km)'!CC128&lt;&gt;0,'Délai intermédiaire'!Q128,)+2+(30/60)+(40/60)</f>
        <v>177.16666666666666</v>
      </c>
      <c r="CD128" s="13">
        <f>IF('[1]FC vers Ref (Km)'!CD128&lt;&gt;0,'Délai intermédiaire'!R128,)+2+(30/60)</f>
        <v>18.5</v>
      </c>
      <c r="CE128" s="13">
        <f>IF('[1]FC vers Ref (Km)'!CE128&lt;&gt;0,'Délai intermédiaire'!S128,)+2+(30/60)</f>
        <v>31.5</v>
      </c>
      <c r="CF128" s="13">
        <f>IF('[1]FC vers Ref (Km)'!CF128&lt;&gt;0,'Délai intermédiaire'!T128,)+2+(30/60)</f>
        <v>10.5</v>
      </c>
      <c r="CG128" s="13">
        <f>IF('[1]FC vers Ref (Km)'!CG128&lt;&gt;0,'Délai intermédiaire'!U128,)+2+(30/60)+1+(53/60)</f>
        <v>14.383333333333333</v>
      </c>
      <c r="CH128" s="13">
        <f>IF('[1]FC vers Ref (Km)'!CH128&lt;&gt;0,'Délai intermédiaire'!V128,)+2+(30/60)+2+(57/60)</f>
        <v>90.45</v>
      </c>
      <c r="CI128" s="13">
        <f>IF('[1]FC vers Ref (Km)'!CI128&lt;&gt;0,'Délai intermédiaire'!W128,)+2+(30/60)+4+(47/60)</f>
        <v>132.28333333333333</v>
      </c>
      <c r="CJ128" s="13">
        <f>IF('[1]FC vers Ref (Km)'!CJ128&lt;&gt;0,'Délai intermédiaire'!X128,)+2+(30/60)</f>
        <v>15.5</v>
      </c>
      <c r="CK128" s="13">
        <f>IF('[1]FC vers Ref (Km)'!CK128&lt;&gt;0,'Délai intermédiaire'!Y128,)+2+(30/60)+1+(33/60)</f>
        <v>36.049999999999997</v>
      </c>
      <c r="CL128" s="12"/>
      <c r="CM128" s="13">
        <f>IF('[1]FC vers Ref (Km)'!CM128&lt;&gt;0,'Délai intermédiaire'!AA128,)+2+(30/60)+(56/60)</f>
        <v>96.433333333333337</v>
      </c>
      <c r="CN128" s="13">
        <f>IF('[1]FC vers Ref (Km)'!CN128&lt;&gt;0,'Délai intermédiaire'!AB128,)+2+(30/60)+1+(39/60)</f>
        <v>96.15</v>
      </c>
      <c r="CO128" s="13">
        <f>IF('[1]FC vers Ref (Km)'!CO128&lt;&gt;0,'Délai intermédiaire'!AC128,)+2+(30/60)+3+(25/60)</f>
        <v>78.916666666666671</v>
      </c>
      <c r="CP128" s="13">
        <f>IF('[1]FC vers Ref (Km)'!CP128&lt;&gt;0,'Délai intermédiaire'!AD128,)+2+(30/60)</f>
        <v>80.5</v>
      </c>
      <c r="CQ128" s="13">
        <f>IF('[1]FC vers Ref (Km)'!CQ128&lt;&gt;0,'Délai intermédiaire'!AE128,)+2+(30/60)</f>
        <v>34.5</v>
      </c>
      <c r="CR128" s="13">
        <f>IF('[1]FC vers Ref (Km)'!CR128&lt;&gt;0,'Délai intermédiaire'!AF128,)+2+(30/60)+9+(1/60)</f>
        <v>136.51666666666668</v>
      </c>
      <c r="CS128" s="13">
        <f>IF('[1]FC vers Ref (Km)'!CS128&lt;&gt;0,'Délai intermédiaire'!AG128,)+2+(30/60)+7+(48/60)</f>
        <v>135.30000000000001</v>
      </c>
      <c r="CT128" s="13">
        <f>IF('[1]FC vers Ref (Km)'!CT128&lt;&gt;0,'Délai intermédiaire'!AH128,)+2+(30/60)+5+(5/60)</f>
        <v>132.58333333333334</v>
      </c>
      <c r="CU128" s="14">
        <f>IF('[1]FC vers Ref (Km)'!CU128&lt;&gt;0,'Délai intermédiaire'!AI128,)+2+(30/60)+19+(46/60)</f>
        <v>285.26666666666665</v>
      </c>
      <c r="CV128" s="14">
        <f>IF('[1]FC vers Ref (Km)'!CV128&lt;&gt;0,'Délai intermédiaire'!AJ128,)+2+(30/60)</f>
        <v>334.5</v>
      </c>
      <c r="CW128" s="14">
        <f>IF('[1]FC vers Ref (Km)'!CW128&lt;&gt;0,'Délai intermédiaire'!AK128,)+2+(30/60)+12+(26/60)</f>
        <v>277.93333333333334</v>
      </c>
      <c r="CX128" s="14">
        <f>IF('[1]FC vers Ref (Km)'!CX128&lt;&gt;0,'Délai intermédiaire'!AL128,)+2+(30/60)</f>
        <v>307.5</v>
      </c>
      <c r="CY128" s="14">
        <f>IF('[1]FC vers Ref (Km)'!CY128&lt;&gt;0,'Délai intermédiaire'!AM128,)+2+(30/60)</f>
        <v>468.5</v>
      </c>
      <c r="CZ128" s="14">
        <f>IF('[1]FC vers Ref (Km)'!CZ128&lt;&gt;0,'Délai intermédiaire'!AN128,)+2+(30/60)</f>
        <v>460.5</v>
      </c>
      <c r="DA128" s="14">
        <f>IF('[1]FC vers Ref (Km)'!DA128&lt;&gt;0,'Délai intermédiaire'!AO128,)+2+(30/60)+1+(56/60)</f>
        <v>455.43333333333334</v>
      </c>
      <c r="DB128" s="14">
        <f>IF('[1]FC vers Ref (Km)'!DB128&lt;&gt;0,'Délai intermédiaire'!AP128,)+2+(30/60)</f>
        <v>465.5</v>
      </c>
      <c r="DC128" s="14">
        <f>IF('[1]FC vers Ref (Km)'!DC128&lt;&gt;0,'Délai intermédiaire'!AQ128,)+2+(30/60)</f>
        <v>484.5</v>
      </c>
      <c r="DD128" s="14">
        <f>IF('[1]FC vers Ref (Km)'!DD128&lt;&gt;0,'Délai intermédiaire'!AR128,)+2+(30/60)</f>
        <v>401.5</v>
      </c>
      <c r="DE128" s="14">
        <f>IF('[1]FC vers Ref (Km)'!DE128&lt;&gt;0,'Délai intermédiaire'!AS128,)+2+(30/60)</f>
        <v>259.5</v>
      </c>
      <c r="DF128" s="14">
        <f>IF('[1]FC vers Ref (Km)'!DF128&lt;&gt;0,'Délai intermédiaire'!AT128,)+2+(30/60)+20+(5/60)</f>
        <v>279.58333333333331</v>
      </c>
      <c r="DG128" s="14">
        <f>IF('[1]FC vers Ref (Km)'!DG128&lt;&gt;0,'Délai intermédiaire'!AU128,)+2+(30/60)+11+(36/60)</f>
        <v>271.10000000000002</v>
      </c>
      <c r="DH128" s="14">
        <f>IF('[1]FC vers Ref (Km)'!DH128&lt;&gt;0,'Délai intermédiaire'!AV128,)+2+(30/60)+(28/60)</f>
        <v>454.96666666666664</v>
      </c>
      <c r="DI128" s="14">
        <f>IF('[1]FC vers Ref (Km)'!DI128&lt;&gt;0,'Délai intermédiaire'!AW128,)+2+(30/60)+7+(13/60)</f>
        <v>63.716666666666669</v>
      </c>
      <c r="DJ128" s="14">
        <f>IF('[1]FC vers Ref (Km)'!DJ128&lt;&gt;0,'Délai intermédiaire'!AX128,)+2+(30/60)+2*24+15</f>
        <v>119.5</v>
      </c>
      <c r="DK128" s="14">
        <f>IF('[1]FC vers Ref (Km)'!DK128&lt;&gt;0,'Délai intermédiaire'!AY128,)+2+(30/60)</f>
        <v>473.5</v>
      </c>
      <c r="DL128" s="14">
        <f>IF('[1]FC vers Ref (Km)'!DL128&lt;&gt;0,'Délai intermédiaire'!AZ128,)+2+(30/60)</f>
        <v>2.5</v>
      </c>
      <c r="DM128" s="14">
        <f>IF('[1]FC vers Ref (Km)'!DM128&lt;&gt;0,'Délai intermédiaire'!BA128,)+2+(30/60)+7+(17/60)</f>
        <v>270.78333333333336</v>
      </c>
      <c r="DN128" s="14">
        <f>IF('[1]FC vers Ref (Km)'!DN128&lt;&gt;0,'Délai intermédiaire'!BB128,)+2+(30/60)</f>
        <v>382.5</v>
      </c>
      <c r="DO128" s="13">
        <f>IF('[1]FC vers Ref (Km)'!DO128&lt;&gt;0,'Délai intermédiaire'!BC128,)+2+(30/60)</f>
        <v>45.5</v>
      </c>
      <c r="DP128" s="14">
        <f>IF('[1]FC vers Ref (Km)'!DP128&lt;&gt;0,'Délai intermédiaire'!BD128,)+2+(30/60)</f>
        <v>408.5</v>
      </c>
      <c r="DQ128" s="14">
        <f>IF('[1]FC vers Ref (Km)'!DQ128&lt;&gt;0,'Délai intermédiaire'!BE128,)+2+(30/60)+1+(22/60)</f>
        <v>464.86666666666667</v>
      </c>
      <c r="DR128" s="14">
        <f>IF('[1]FC vers Ref (Km)'!DR128&lt;&gt;0,'Délai intermédiaire'!BF128,)+2+(30/60)</f>
        <v>441.5</v>
      </c>
      <c r="DS128" s="13">
        <f>IF('[1]FC vers Ref (Km)'!DS128&lt;&gt;0,'Délai intermédiaire'!BG128,)+2+(30/60)+10+(43/60)</f>
        <v>168.21666666666667</v>
      </c>
      <c r="DT128" s="13">
        <f>IF('[1]FC vers Ref (Km)'!DT128&lt;&gt;0,'Délai intermédiaire'!BH128,)+2+(30/60)+(12/60)</f>
        <v>120.7</v>
      </c>
      <c r="DU128" s="14">
        <f>IF('[1]FC vers Ref (Km)'!DU128&lt;&gt;0,'Délai intermédiaire'!BI128,)+2+(30/60)+7+(45/60)</f>
        <v>226.25</v>
      </c>
      <c r="DV128" s="14">
        <f>IF('[1]FC vers Ref (Km)'!DV128&lt;&gt;0,'Délai intermédiaire'!BJ128,)+2+(30/60)+1+(10/60)</f>
        <v>315.66666666666669</v>
      </c>
      <c r="DW128" s="15">
        <f>IF('[1]FC vers Ref (Km)'!DW128&lt;&gt;0,'Délai intermédiaire'!BK128,)+2+(30/60)+12+(41/60)</f>
        <v>327.18333333333334</v>
      </c>
      <c r="DX128" s="27"/>
      <c r="DY128" s="10" t="s">
        <v>24</v>
      </c>
      <c r="DZ128" s="35" t="s">
        <v>83</v>
      </c>
      <c r="EA128" s="16">
        <f>IF('[1]FC vers Ref (Km)'!EA128&lt;&gt;0,C128,)+(37/60)+1+(35/60)+(37/60)</f>
        <v>173.81666666666669</v>
      </c>
      <c r="EB128" s="14">
        <f>IF('[1]FC vers Ref (Km)'!EB128&lt;&gt;0,D128,)+(37/60)+1+(35/60)+(37/60)</f>
        <v>204.81666666666669</v>
      </c>
      <c r="EC128" s="14">
        <f>IF('[1]FC vers Ref (Km)'!EC128&lt;&gt;0,E128,)+(37/60)+1+(35/60)+(37/60)+7+(55/60)+19+(53/60)</f>
        <v>171.61666666666667</v>
      </c>
      <c r="ED128" s="14">
        <f>IF('[1]FC vers Ref (Km)'!ED128&lt;&gt;0,F128,)+(37/60)+1+(35/60)+(37/60)</f>
        <v>184.81666666666669</v>
      </c>
      <c r="EE128" s="14">
        <f>IF('[1]FC vers Ref (Km)'!EE128&lt;&gt;0,G128,)+(37/60)+1+(35/60)+(37/60)+(32/60)</f>
        <v>156.35000000000002</v>
      </c>
      <c r="EF128" s="14">
        <f>IF('[1]FC vers Ref (Km)'!EF128&lt;&gt;0,H128,)+(37/60)+1+(35/60)+(37/60)+14+(25/60)+31+(8/60)</f>
        <v>371.36666666666667</v>
      </c>
      <c r="EG128" s="14">
        <f>IF('[1]FC vers Ref (Km)'!EG128&lt;&gt;0,I128,)+(37/60)+1+(35/60)+(37/60)</f>
        <v>371.81666666666666</v>
      </c>
      <c r="EH128" s="14">
        <f>IF('[1]FC vers Ref (Km)'!EH128&lt;&gt;0,J128,)+(37/60)+1+(35/60)+(37/60)</f>
        <v>325.81666666666666</v>
      </c>
      <c r="EI128" s="14">
        <f>IF('[1]FC vers Ref (Km)'!EI128&lt;&gt;0,K128,)+(37/60)+1+(35/60)+(37/60)+5+(11/60)</f>
        <v>145.00000000000003</v>
      </c>
      <c r="EJ128" s="14">
        <f>IF('[1]FC vers Ref (Km)'!EJ128&lt;&gt;0,L128,)+(37/60)+1+(35/60)+(37/60)</f>
        <v>139.81666666666669</v>
      </c>
      <c r="EK128" s="14">
        <f>IF('[1]FC vers Ref (Km)'!EK128&lt;&gt;0,M128,)+(37/60)+1+(35/60)+(37/60)</f>
        <v>371.81666666666666</v>
      </c>
      <c r="EL128" s="14">
        <f>IF('[1]FC vers Ref (Km)'!EL128&lt;&gt;0,N128,)+(37/60)+1+(35/60)+(37/60)</f>
        <v>371.81666666666666</v>
      </c>
      <c r="EM128" s="14">
        <f>IF('[1]FC vers Ref (Km)'!EM128&lt;&gt;0,O128,)+(37/60)+1+(35/60)+(37/60)</f>
        <v>215.81666666666669</v>
      </c>
      <c r="EN128" s="14">
        <f>IF('[1]FC vers Ref (Km)'!EN128&lt;&gt;0,P128,)+(37/60)+1+(35/60)+(37/60)</f>
        <v>220.81666666666669</v>
      </c>
      <c r="EO128" s="14">
        <f>IF('[1]FC vers Ref (Km)'!EO128&lt;&gt;0,Q128,)+(37/60)+1+(35/60)+(37/60)</f>
        <v>176.81666666666669</v>
      </c>
      <c r="EP128" s="13">
        <f>IF('[1]FC vers Ref (Km)'!EP128&lt;&gt;0,R128,)+(37/60)+1+(35/60)+(37/60)</f>
        <v>18.816666666666666</v>
      </c>
      <c r="EQ128" s="13">
        <f>IF('[1]FC vers Ref (Km)'!EQ128&lt;&gt;0,S128,)+(37/60)+1+(35/60)+(37/60)</f>
        <v>31.816666666666666</v>
      </c>
      <c r="ER128" s="13">
        <f>IF('[1]FC vers Ref (Km)'!ER128&lt;&gt;0,T128,)+(37/60)+1+(35/60)+(37/60)</f>
        <v>10.816666666666668</v>
      </c>
      <c r="ES128" s="13">
        <f>IF('[1]FC vers Ref (Km)'!ES128&lt;&gt;0,U128,)+(37/60)+1+(35/60)+(37/60)+2+(21/60)</f>
        <v>15.166666666666668</v>
      </c>
      <c r="ET128" s="13">
        <f>IF('[1]FC vers Ref (Km)'!ET128&lt;&gt;0,V128,)+(37/60)+1+(35/60)+(37/60)+1+(44/60)</f>
        <v>89.549999999999983</v>
      </c>
      <c r="EU128" s="13">
        <f>IF('[1]FC vers Ref (Km)'!EU128&lt;&gt;0,W128,)+(37/60)+1+(35/60)+(37/60)+1+(47/60)+2+(31/60)+2+(54/60)</f>
        <v>135.01666666666668</v>
      </c>
      <c r="EV128" s="13">
        <f>IF('[1]FC vers Ref (Km)'!EV128&lt;&gt;0,X128,)+(37/60)+1+(35/60)+(37/60)</f>
        <v>15.816666666666668</v>
      </c>
      <c r="EW128" s="13">
        <f>IF('[1]FC vers Ref (Km)'!EW128&lt;&gt;0,Y128,)+(37/60)+1+(35/60)+(37/60)+(56/60)+(59/60)</f>
        <v>36.733333333333334</v>
      </c>
      <c r="EX128" s="12"/>
      <c r="EY128" s="13">
        <f>IF('[1]FC vers Ref (Km)'!EY128&lt;&gt;0,AA128,)+(37/60)+1+(35/60)+(37/60)+1+(18/60)</f>
        <v>97.116666666666646</v>
      </c>
      <c r="EZ128" s="13">
        <f>IF('[1]FC vers Ref (Km)'!EZ128&lt;&gt;0,AB128,)+(37/60)+1+(35/60)+(37/60)+1+(39/60)</f>
        <v>96.466666666666654</v>
      </c>
      <c r="FA128" s="13">
        <f>IF('[1]FC vers Ref (Km)'!FA128&lt;&gt;0,AC128,)+(37/60)+1+(35/60)+(37/60)+1+(47/60)</f>
        <v>77.59999999999998</v>
      </c>
      <c r="FB128" s="13">
        <f>IF('[1]FC vers Ref (Km)'!FB128&lt;&gt;0,AD128,)+(37/60)+1+(35/60)+(37/60)</f>
        <v>80.816666666666649</v>
      </c>
      <c r="FC128" s="13">
        <f>IF('[1]FC vers Ref (Km)'!FC128&lt;&gt;0,AE128,)+(37/60)+1+(35/60)+(37/60)</f>
        <v>34.81666666666667</v>
      </c>
      <c r="FD128" s="13">
        <f>IF('[1]FC vers Ref (Km)'!FD128&lt;&gt;0,AF128,)+(37/60)+1+(35/60)+(37/60)+5+(31/60)+5+(51/60)+1+(8/60)</f>
        <v>140.31666666666666</v>
      </c>
      <c r="FE128" s="13">
        <f>IF('[1]FC vers Ref (Km)'!FE128&lt;&gt;0,AG128,)+(37/60)+1+(35/60)+(37/60)+4+(2/60)+5+(51/60)+1+(8/60)</f>
        <v>138.83333333333331</v>
      </c>
      <c r="FF128" s="13">
        <f>IF('[1]FC vers Ref (Km)'!FF128&lt;&gt;0,AH128,)+(37/60)+1+(35/60)+(37/60)+1+(7/60)+5+(51/60)+1+(8/60)</f>
        <v>135.91666666666666</v>
      </c>
      <c r="FG128" s="14">
        <f>IF('[1]FC vers Ref (Km)'!FG128&lt;&gt;0,AI128,)+(37/60)+1+(35/60)+(37/60)+15+(50/60)</f>
        <v>281.64999999999998</v>
      </c>
      <c r="FH128" s="14">
        <f>IF('[1]FC vers Ref (Km)'!FH128&lt;&gt;0,AJ128,)+(37/60)+1+(35/60)+(37/60)</f>
        <v>334.81666666666666</v>
      </c>
      <c r="FI128" s="14">
        <f>IF('[1]FC vers Ref (Km)'!FI128&lt;&gt;0,AK128,)+(37/60)+1+(35/60)+(37/60)+4+(40/60)+11+(32/60)</f>
        <v>282.01666666666671</v>
      </c>
      <c r="FJ128" s="14">
        <f>IF('[1]FC vers Ref (Km)'!FJ128&lt;&gt;0,AL128,)+(37/60)+1+(35/60)+(37/60)</f>
        <v>307.81666666666666</v>
      </c>
      <c r="FK128" s="14">
        <f>IF('[1]FC vers Ref (Km)'!FK128&lt;&gt;0,AM128,)+(37/60)+1+(35/60)+(37/60)</f>
        <v>468.81666666666666</v>
      </c>
      <c r="FL128" s="14">
        <f>IF('[1]FC vers Ref (Km)'!FL128&lt;&gt;0,AN128,)+(37/60)+1+(35/60)+(37/60)</f>
        <v>460.81666666666666</v>
      </c>
      <c r="FM128" s="14">
        <f>IF('[1]FC vers Ref (Km)'!FM128&lt;&gt;0,AO128,)+(37/60)+1+(35/60)+(37/60)+(55/60)</f>
        <v>454.73333333333335</v>
      </c>
      <c r="FN128" s="14">
        <f>IF('[1]FC vers Ref (Km)'!FN128&lt;&gt;0,AP128,)+(37/60)+1+(35/60)+(37/60)</f>
        <v>465.81666666666666</v>
      </c>
      <c r="FO128" s="14">
        <f>IF('[1]FC vers Ref (Km)'!FO128&lt;&gt;0,AQ128,)+(37/60)+1+(35/60)+(37/60)</f>
        <v>484.81666666666666</v>
      </c>
      <c r="FP128" s="14">
        <f>IF('[1]FC vers Ref (Km)'!FP128&lt;&gt;0,AR128,)+(37/60)+1+(35/60)+(37/60)</f>
        <v>401.81666666666666</v>
      </c>
      <c r="FQ128" s="14">
        <f>IF('[1]FC vers Ref (Km)'!FQ128&lt;&gt;0,AS128,)+(37/60)+1+(35/60)+(37/60)</f>
        <v>259.81666666666666</v>
      </c>
      <c r="FR128" s="14">
        <f>IF('[1]FC vers Ref (Km)'!FR128&lt;&gt;0,AT128,)+(37/60)+1+(35/60)+(37/60)</f>
        <v>259.81666666666666</v>
      </c>
      <c r="FS128" s="14">
        <f>IF('[1]FC vers Ref (Km)'!FS128&lt;&gt;0,AU128,)+(37/60)+1+(35/60)+(37/60)</f>
        <v>259.81666666666666</v>
      </c>
      <c r="FT128" s="14">
        <f>IF('[1]FC vers Ref (Km)'!FT128&lt;&gt;0,AV128,)+(37/60)+1+(35/60)+(37/60)+1+(7/60)</f>
        <v>455.93333333333334</v>
      </c>
      <c r="FU128" s="14">
        <f>IF('[1]FC vers Ref (Km)'!FU128&lt;&gt;0,AW128,)+(37/60)+1+(35/60)+(37/60)+8+(3/60)</f>
        <v>64.86666666666666</v>
      </c>
      <c r="FV128" s="14">
        <f>IF('[1]FC vers Ref (Km)'!FV128&lt;&gt;0,AX128,)+(37/60)+1+(35/60)+(37/60)+2*24+11</f>
        <v>115.81666666666666</v>
      </c>
      <c r="FW128" s="14">
        <f>IF('[1]FC vers Ref (Km)'!FW128&lt;&gt;0,AY128,)+(37/60)+1+(35/60)+(37/60)</f>
        <v>473.81666666666666</v>
      </c>
      <c r="FX128" s="14">
        <f>IF('[1]FC vers Ref (Km)'!FX128&lt;&gt;0,AZ128,)+(37/60)+1+(35/60)+(37/60)</f>
        <v>2.8166666666666669</v>
      </c>
      <c r="FY128" s="14">
        <f>IF('[1]FC vers Ref (Km)'!FY128&lt;&gt;0,BA128,)+(37/60)+1+(35/60)+(37/60)+5+(41/60)</f>
        <v>269.5</v>
      </c>
      <c r="FZ128" s="14">
        <f>IF('[1]FC vers Ref (Km)'!FZ128&lt;&gt;0,BB128,)+(37/60)+1+(35/60)+(37/60)</f>
        <v>382.81666666666666</v>
      </c>
      <c r="GA128" s="13">
        <f>IF('[1]FC vers Ref (Km)'!GA128&lt;&gt;0,BC128,)+(37/60)+1+(35/60)+(37/60)</f>
        <v>45.81666666666667</v>
      </c>
      <c r="GB128" s="14">
        <f>IF('[1]FC vers Ref (Km)'!GB128&lt;&gt;0,BD128,)+(37/60)+1+(35/60)+(37/60)</f>
        <v>408.81666666666666</v>
      </c>
      <c r="GC128" s="14">
        <f>IF('[1]FC vers Ref (Km)'!GC128&lt;&gt;0,BE128,)+(37/60)+1+(35/60)+(37/60)+(30/60)</f>
        <v>464.31666666666666</v>
      </c>
      <c r="GD128" s="14">
        <f>IF('[1]FC vers Ref (Km)'!GD128&lt;&gt;0,BF128,)+(37/60)+1+(35/60)+(37/60)</f>
        <v>441.81666666666666</v>
      </c>
      <c r="GE128" s="13">
        <f>IF('[1]FC vers Ref (Km)'!GE128&lt;&gt;0,BG128,)+(37/60)+1+(35/60)+(37/60)+15+(1/60)</f>
        <v>172.83333333333337</v>
      </c>
      <c r="GF128" s="13">
        <f>IF('[1]FC vers Ref (Km)'!GF128&lt;&gt;0,BH128,)+(37/60)+1+(35/60)+(37/60)</f>
        <v>120.81666666666665</v>
      </c>
      <c r="GG128" s="14">
        <f>IF('[1]FC vers Ref (Km)'!GG128&lt;&gt;0,BI128,)+(37/60)+1+(35/60)+(37/60)</f>
        <v>218.81666666666669</v>
      </c>
      <c r="GH128" s="14">
        <f>IF('[1]FC vers Ref (Km)'!GH128&lt;&gt;0,BJ128,)+(37/60)+1+(35/60)+(37/60)</f>
        <v>314.81666666666666</v>
      </c>
      <c r="GI128" s="15">
        <f>IF('[1]FC vers Ref (Km)'!GI128&lt;&gt;0,BK128,)+(37/60)+1+(35/60)+(37/60)</f>
        <v>314.81666666666666</v>
      </c>
    </row>
    <row r="129" spans="1:191" x14ac:dyDescent="0.3">
      <c r="A129" s="10" t="s">
        <v>25</v>
      </c>
      <c r="B129" s="35" t="s">
        <v>100</v>
      </c>
      <c r="C129" s="16">
        <f>8*24+5</f>
        <v>197</v>
      </c>
      <c r="D129" s="14">
        <f>9*24+11</f>
        <v>227</v>
      </c>
      <c r="E129" s="14">
        <f>7*24+2</f>
        <v>170</v>
      </c>
      <c r="F129" s="14">
        <f>8*24+22</f>
        <v>214</v>
      </c>
      <c r="G129" s="14">
        <f>7*24+14</f>
        <v>182</v>
      </c>
      <c r="H129" s="14">
        <f>14*24+4</f>
        <v>340</v>
      </c>
      <c r="I129" s="14">
        <f>16*24+1</f>
        <v>385</v>
      </c>
      <c r="J129" s="14">
        <f>14*24+4</f>
        <v>340</v>
      </c>
      <c r="K129" s="14">
        <f>7*24+1</f>
        <v>169</v>
      </c>
      <c r="L129" s="14">
        <f>7*24+1</f>
        <v>169</v>
      </c>
      <c r="M129" s="14">
        <f>16*24+2</f>
        <v>386</v>
      </c>
      <c r="N129" s="14">
        <f>16*24+2</f>
        <v>386</v>
      </c>
      <c r="O129" s="14">
        <f>9*24+22</f>
        <v>238</v>
      </c>
      <c r="P129" s="14">
        <f>8*24+19</f>
        <v>211</v>
      </c>
      <c r="Q129" s="14">
        <f>6*24+23</f>
        <v>167</v>
      </c>
      <c r="R129" s="13">
        <f>4*24+8</f>
        <v>104</v>
      </c>
      <c r="S129" s="13">
        <f>3*24+18</f>
        <v>90</v>
      </c>
      <c r="T129" s="13">
        <f>3*24+20</f>
        <v>92</v>
      </c>
      <c r="U129" s="13">
        <f>3*24+13</f>
        <v>85</v>
      </c>
      <c r="V129" s="13">
        <v>13</v>
      </c>
      <c r="W129" s="13">
        <f>1*24+15</f>
        <v>39</v>
      </c>
      <c r="X129" s="13">
        <f>4*24+8</f>
        <v>104</v>
      </c>
      <c r="Y129" s="13">
        <f>5*24+3</f>
        <v>123</v>
      </c>
      <c r="Z129" s="13">
        <f>3*24+21</f>
        <v>93</v>
      </c>
      <c r="AA129" s="12"/>
      <c r="AB129" s="13">
        <v>8</v>
      </c>
      <c r="AC129" s="13">
        <v>24</v>
      </c>
      <c r="AD129" s="13">
        <v>18</v>
      </c>
      <c r="AE129" s="13">
        <v>123</v>
      </c>
      <c r="AF129" s="13">
        <v>39</v>
      </c>
      <c r="AG129" s="13">
        <v>39</v>
      </c>
      <c r="AH129" s="13">
        <v>39</v>
      </c>
      <c r="AI129" s="14">
        <v>178</v>
      </c>
      <c r="AJ129" s="14">
        <v>247</v>
      </c>
      <c r="AK129" s="14">
        <v>178</v>
      </c>
      <c r="AL129" s="14">
        <v>220</v>
      </c>
      <c r="AM129" s="14">
        <v>381</v>
      </c>
      <c r="AN129" s="14">
        <v>373</v>
      </c>
      <c r="AO129" s="14">
        <v>366</v>
      </c>
      <c r="AP129" s="14">
        <v>378</v>
      </c>
      <c r="AQ129" s="14">
        <v>397</v>
      </c>
      <c r="AR129" s="14">
        <v>314</v>
      </c>
      <c r="AS129" s="14">
        <v>172</v>
      </c>
      <c r="AT129" s="14">
        <v>172</v>
      </c>
      <c r="AU129" s="14">
        <v>172</v>
      </c>
      <c r="AV129" s="14">
        <f>15*24+7</f>
        <v>367</v>
      </c>
      <c r="AW129" s="14">
        <f>6*24+1</f>
        <v>145</v>
      </c>
      <c r="AX129" s="14">
        <f>6*24+1</f>
        <v>145</v>
      </c>
      <c r="AY129" s="14">
        <f>16*24+2</f>
        <v>386</v>
      </c>
      <c r="AZ129" s="14"/>
      <c r="BA129" s="14">
        <f>7*24+8</f>
        <v>176</v>
      </c>
      <c r="BB129" s="14">
        <f>12*24+7</f>
        <v>295</v>
      </c>
      <c r="BC129" s="13">
        <f>5*24+14</f>
        <v>134</v>
      </c>
      <c r="BD129" s="14">
        <f>13*24+9</f>
        <v>321</v>
      </c>
      <c r="BE129" s="14">
        <f>15*24+15</f>
        <v>375</v>
      </c>
      <c r="BF129" s="14">
        <f>14*24+18</f>
        <v>354</v>
      </c>
      <c r="BG129" s="13">
        <f>2*24+21</f>
        <v>69</v>
      </c>
      <c r="BH129" s="13">
        <f>24+9</f>
        <v>33</v>
      </c>
      <c r="BI129" s="14">
        <f>9*24+17</f>
        <v>233</v>
      </c>
      <c r="BJ129" s="14">
        <f>13*24+17</f>
        <v>329</v>
      </c>
      <c r="BK129" s="15">
        <f>13*24+17</f>
        <v>329</v>
      </c>
      <c r="BM129" s="10" t="s">
        <v>25</v>
      </c>
      <c r="BN129" s="35" t="s">
        <v>100</v>
      </c>
      <c r="BO129" s="16">
        <f>IF('[1]FC vers Ref (Km)'!BO129&lt;&gt;0,'Délai intermédiaire'!C129,)+(56/60)</f>
        <v>197.93333333333334</v>
      </c>
      <c r="BP129" s="14">
        <f>IF('[1]FC vers Ref (Km)'!BP129&lt;&gt;0,'Délai intermédiaire'!D129,)+(56/60)</f>
        <v>227.93333333333334</v>
      </c>
      <c r="BQ129" s="14">
        <f>IF('[1]FC vers Ref (Km)'!BQ129&lt;&gt;0,'Délai intermédiaire'!E129,)+(56/60)+19+(49/60)</f>
        <v>190.75</v>
      </c>
      <c r="BR129" s="14">
        <f>IF('[1]FC vers Ref (Km)'!BR129&lt;&gt;0,'Délai intermédiaire'!F129,)+(56/60)</f>
        <v>214.93333333333334</v>
      </c>
      <c r="BS129" s="14">
        <f>IF('[1]FC vers Ref (Km)'!BS129&lt;&gt;0,'Délai intermédiaire'!G129,)+(56/60)+(48/60)</f>
        <v>183.73333333333335</v>
      </c>
      <c r="BT129" s="14">
        <f>IF('[1]FC vers Ref (Km)'!BT129&lt;&gt;0,'Délai intermédiaire'!H129,)+(56/60)+15+(47/60)</f>
        <v>356.7166666666667</v>
      </c>
      <c r="BU129" s="14">
        <f>IF('[1]FC vers Ref (Km)'!BU129&lt;&gt;0,'Délai intermédiaire'!I129,)+(56/60)</f>
        <v>385.93333333333334</v>
      </c>
      <c r="BV129" s="14">
        <f>IF('[1]FC vers Ref (Km)'!BV129&lt;&gt;0,'Délai intermédiaire'!J129,)+(56/60)</f>
        <v>340.93333333333334</v>
      </c>
      <c r="BW129" s="14">
        <f>IF('[1]FC vers Ref (Km)'!BW129&lt;&gt;0,'Délai intermédiaire'!K129,)+(56/60)+6+(13/60)</f>
        <v>176.15</v>
      </c>
      <c r="BX129" s="14">
        <f>IF('[1]FC vers Ref (Km)'!BX129&lt;&gt;0,'Délai intermédiaire'!L129,)+(56/60)</f>
        <v>169.93333333333334</v>
      </c>
      <c r="BY129" s="14">
        <f>IF('[1]FC vers Ref (Km)'!BY129&lt;&gt;0,'Délai intermédiaire'!M129,)+(56/60)+11+(1/60)</f>
        <v>397.95</v>
      </c>
      <c r="BZ129" s="14">
        <f>IF('[1]FC vers Ref (Km)'!BZ129&lt;&gt;0,'Délai intermédiaire'!N129,)+(56/60)</f>
        <v>386.93333333333334</v>
      </c>
      <c r="CA129" s="14">
        <f>IF('[1]FC vers Ref (Km)'!CA129&lt;&gt;0,'Délai intermédiaire'!O129,)+(56/60)+4+(51/60)</f>
        <v>243.78333333333333</v>
      </c>
      <c r="CB129" s="14">
        <f>IF('[1]FC vers Ref (Km)'!CB129&lt;&gt;0,'Délai intermédiaire'!P129,)+(56/60)+5+(3/60)</f>
        <v>216.98333333333335</v>
      </c>
      <c r="CC129" s="14">
        <f>IF('[1]FC vers Ref (Km)'!CC129&lt;&gt;0,'Délai intermédiaire'!Q129,)+(56/60)+(40/60)</f>
        <v>168.6</v>
      </c>
      <c r="CD129" s="13">
        <f>IF('[1]FC vers Ref (Km)'!CD129&lt;&gt;0,'Délai intermédiaire'!R129,)+(56/60)</f>
        <v>104.93333333333334</v>
      </c>
      <c r="CE129" s="13">
        <f>IF('[1]FC vers Ref (Km)'!CE129&lt;&gt;0,'Délai intermédiaire'!S129,)+(56/60)</f>
        <v>90.933333333333337</v>
      </c>
      <c r="CF129" s="13">
        <f>IF('[1]FC vers Ref (Km)'!CF129&lt;&gt;0,'Délai intermédiaire'!T129,)+(56/60)</f>
        <v>92.933333333333337</v>
      </c>
      <c r="CG129" s="13">
        <f>IF('[1]FC vers Ref (Km)'!CG129&lt;&gt;0,'Délai intermédiaire'!U129,)+(56/60)+1+(53/60)</f>
        <v>87.816666666666677</v>
      </c>
      <c r="CH129" s="13">
        <f>IF('[1]FC vers Ref (Km)'!CH129&lt;&gt;0,'Délai intermédiaire'!V129,)+(56/60)+2+(57/60)</f>
        <v>16.883333333333333</v>
      </c>
      <c r="CI129" s="13">
        <f>IF('[1]FC vers Ref (Km)'!CI129&lt;&gt;0,'Délai intermédiaire'!W129,)+(56/60)+4+(47/60)</f>
        <v>44.716666666666661</v>
      </c>
      <c r="CJ129" s="13">
        <f>IF('[1]FC vers Ref (Km)'!CJ129&lt;&gt;0,'Délai intermédiaire'!X129,)+(56/60)</f>
        <v>104.93333333333334</v>
      </c>
      <c r="CK129" s="13">
        <f>IF('[1]FC vers Ref (Km)'!CK129&lt;&gt;0,'Délai intermédiaire'!Y129,)+(56/60)+1+(33/60)</f>
        <v>125.48333333333333</v>
      </c>
      <c r="CL129" s="13">
        <f>IF('[1]FC vers Ref (Km)'!CL129&lt;&gt;0,'Délai intermédiaire'!Z129,)+(56/60)+2+(30/60)</f>
        <v>96.433333333333337</v>
      </c>
      <c r="CM129" s="12"/>
      <c r="CN129" s="13">
        <f>IF('[1]FC vers Ref (Km)'!CN129&lt;&gt;0,'Délai intermédiaire'!AB129,)+(56/60)+1+(39/60)</f>
        <v>10.583333333333334</v>
      </c>
      <c r="CO129" s="13">
        <f>IF('[1]FC vers Ref (Km)'!CO129&lt;&gt;0,'Délai intermédiaire'!AC129,)+(56/60)+3+(25/60)</f>
        <v>28.35</v>
      </c>
      <c r="CP129" s="13">
        <f>IF('[1]FC vers Ref (Km)'!CP129&lt;&gt;0,'Délai intermédiaire'!AD129,)+(56/60)</f>
        <v>18.933333333333334</v>
      </c>
      <c r="CQ129" s="13">
        <f>IF('[1]FC vers Ref (Km)'!CQ129&lt;&gt;0,'Délai intermédiaire'!AE129,)+(56/60)</f>
        <v>123.93333333333334</v>
      </c>
      <c r="CR129" s="13">
        <f>IF('[1]FC vers Ref (Km)'!CR129&lt;&gt;0,'Délai intermédiaire'!AF129,)+(56/60)+9+(1/60)</f>
        <v>48.949999999999996</v>
      </c>
      <c r="CS129" s="13">
        <f>IF('[1]FC vers Ref (Km)'!CS129&lt;&gt;0,'Délai intermédiaire'!AG129,)+(56/60)+7+(48/60)</f>
        <v>47.733333333333327</v>
      </c>
      <c r="CT129" s="13">
        <f>IF('[1]FC vers Ref (Km)'!CT129&lt;&gt;0,'Délai intermédiaire'!AH129,)+(56/60)+5+(5/60)</f>
        <v>45.016666666666666</v>
      </c>
      <c r="CU129" s="14">
        <f>IF('[1]FC vers Ref (Km)'!CU129&lt;&gt;0,'Délai intermédiaire'!AI129,)+(56/60)+19+(46/60)</f>
        <v>198.70000000000002</v>
      </c>
      <c r="CV129" s="14">
        <f>IF('[1]FC vers Ref (Km)'!CV129&lt;&gt;0,'Délai intermédiaire'!AJ129,)+(56/60)</f>
        <v>247.93333333333334</v>
      </c>
      <c r="CW129" s="14">
        <f>IF('[1]FC vers Ref (Km)'!CW129&lt;&gt;0,'Délai intermédiaire'!AK129,)+(56/60)+12+(26/60)</f>
        <v>191.36666666666667</v>
      </c>
      <c r="CX129" s="14">
        <f>IF('[1]FC vers Ref (Km)'!CX129&lt;&gt;0,'Délai intermédiaire'!AL129,)+(56/60)</f>
        <v>220.93333333333334</v>
      </c>
      <c r="CY129" s="14">
        <f>IF('[1]FC vers Ref (Km)'!CY129&lt;&gt;0,'Délai intermédiaire'!AM129,)+(56/60)</f>
        <v>381.93333333333334</v>
      </c>
      <c r="CZ129" s="14">
        <f>IF('[1]FC vers Ref (Km)'!CZ129&lt;&gt;0,'Délai intermédiaire'!AN129,)+(56/60)</f>
        <v>373.93333333333334</v>
      </c>
      <c r="DA129" s="14">
        <f>IF('[1]FC vers Ref (Km)'!DA129&lt;&gt;0,'Délai intermédiaire'!AO129,)+(56/60)+1+(56/60)</f>
        <v>368.86666666666667</v>
      </c>
      <c r="DB129" s="14">
        <f>IF('[1]FC vers Ref (Km)'!DB129&lt;&gt;0,'Délai intermédiaire'!AP129,)+(56/60)</f>
        <v>378.93333333333334</v>
      </c>
      <c r="DC129" s="14">
        <f>IF('[1]FC vers Ref (Km)'!DC129&lt;&gt;0,'Délai intermédiaire'!AQ129,)+(56/60)</f>
        <v>397.93333333333334</v>
      </c>
      <c r="DD129" s="14">
        <f>IF('[1]FC vers Ref (Km)'!DD129&lt;&gt;0,'Délai intermédiaire'!AR129,)+(56/60)</f>
        <v>314.93333333333334</v>
      </c>
      <c r="DE129" s="14">
        <f>IF('[1]FC vers Ref (Km)'!DE129&lt;&gt;0,'Délai intermédiaire'!AS129,)+(56/60)</f>
        <v>172.93333333333334</v>
      </c>
      <c r="DF129" s="14">
        <f>IF('[1]FC vers Ref (Km)'!DF129&lt;&gt;0,'Délai intermédiaire'!AT129,)+(56/60)+20+(5/60)</f>
        <v>193.01666666666668</v>
      </c>
      <c r="DG129" s="14">
        <f>IF('[1]FC vers Ref (Km)'!DG129&lt;&gt;0,'Délai intermédiaire'!AU129,)+(56/60)+11+(36/60)</f>
        <v>184.53333333333333</v>
      </c>
      <c r="DH129" s="14">
        <f>IF('[1]FC vers Ref (Km)'!DH129&lt;&gt;0,'Délai intermédiaire'!AV129,)+(56/60)+(28/60)</f>
        <v>368.4</v>
      </c>
      <c r="DI129" s="14">
        <f>IF('[1]FC vers Ref (Km)'!DI129&lt;&gt;0,'Délai intermédiaire'!AW129,)+(56/60)+7+(13/60)</f>
        <v>153.15</v>
      </c>
      <c r="DJ129" s="14">
        <f>IF('[1]FC vers Ref (Km)'!DJ129&lt;&gt;0,'Délai intermédiaire'!AX129,)+(56/60)+2*24+15</f>
        <v>208.93333333333334</v>
      </c>
      <c r="DK129" s="14">
        <f>IF('[1]FC vers Ref (Km)'!DK129&lt;&gt;0,'Délai intermédiaire'!AY129,)+(56/60)</f>
        <v>386.93333333333334</v>
      </c>
      <c r="DL129" s="14">
        <f>IF('[1]FC vers Ref (Km)'!DL129&lt;&gt;0,'Délai intermédiaire'!AZ129,)+(56/60)</f>
        <v>0.93333333333333335</v>
      </c>
      <c r="DM129" s="14">
        <f>IF('[1]FC vers Ref (Km)'!DM129&lt;&gt;0,'Délai intermédiaire'!BA129,)+(56/60)+7+(17/60)</f>
        <v>184.21666666666667</v>
      </c>
      <c r="DN129" s="14">
        <f>IF('[1]FC vers Ref (Km)'!DN129&lt;&gt;0,'Délai intermédiaire'!BB129,)+(56/60)</f>
        <v>295.93333333333334</v>
      </c>
      <c r="DO129" s="13">
        <f>IF('[1]FC vers Ref (Km)'!DO129&lt;&gt;0,'Délai intermédiaire'!BC129,)+(56/60)</f>
        <v>134.93333333333334</v>
      </c>
      <c r="DP129" s="14">
        <f>IF('[1]FC vers Ref (Km)'!DP129&lt;&gt;0,'Délai intermédiaire'!BD129,)+(56/60)</f>
        <v>321.93333333333334</v>
      </c>
      <c r="DQ129" s="14">
        <f>IF('[1]FC vers Ref (Km)'!DQ129&lt;&gt;0,'Délai intermédiaire'!BE129,)+(56/60)+1+(22/60)</f>
        <v>377.3</v>
      </c>
      <c r="DR129" s="14">
        <f>IF('[1]FC vers Ref (Km)'!DR129&lt;&gt;0,'Délai intermédiaire'!BF129,)+(56/60)</f>
        <v>354.93333333333334</v>
      </c>
      <c r="DS129" s="13">
        <f>IF('[1]FC vers Ref (Km)'!DS129&lt;&gt;0,'Délai intermédiaire'!BG129,)+(56/60)+10+(43/60)</f>
        <v>80.650000000000006</v>
      </c>
      <c r="DT129" s="13">
        <f>IF('[1]FC vers Ref (Km)'!DT129&lt;&gt;0,'Délai intermédiaire'!BH129,)+(56/60)+(12/60)</f>
        <v>34.133333333333333</v>
      </c>
      <c r="DU129" s="14">
        <f>IF('[1]FC vers Ref (Km)'!DU129&lt;&gt;0,'Délai intermédiaire'!BI129,)+(56/60)+7+(45/60)</f>
        <v>241.68333333333334</v>
      </c>
      <c r="DV129" s="14">
        <f>IF('[1]FC vers Ref (Km)'!DV129&lt;&gt;0,'Délai intermédiaire'!BJ129,)+(56/60)+1+(10/60)</f>
        <v>331.1</v>
      </c>
      <c r="DW129" s="15">
        <f>IF('[1]FC vers Ref (Km)'!DW129&lt;&gt;0,'Délai intermédiaire'!BK129,)+(56/60)+12+(41/60)</f>
        <v>342.61666666666667</v>
      </c>
      <c r="DX129" s="27"/>
      <c r="DY129" s="10" t="s">
        <v>25</v>
      </c>
      <c r="DZ129" s="35" t="s">
        <v>100</v>
      </c>
      <c r="EA129" s="16">
        <f>IF('[1]FC vers Ref (Km)'!EA129&lt;&gt;0,C129,)+1+(18/60)</f>
        <v>198.3</v>
      </c>
      <c r="EB129" s="14">
        <f>IF('[1]FC vers Ref (Km)'!EB129&lt;&gt;0,D129,)+1+(18/60)</f>
        <v>228.3</v>
      </c>
      <c r="EC129" s="14">
        <f>IF('[1]FC vers Ref (Km)'!EC129&lt;&gt;0,E129,)+1+(18/60)+7+(55/60)+19+(53/60)</f>
        <v>199.1</v>
      </c>
      <c r="ED129" s="14">
        <f>IF('[1]FC vers Ref (Km)'!ED129&lt;&gt;0,F129,)+1+(18/60)</f>
        <v>215.3</v>
      </c>
      <c r="EE129" s="14">
        <f>IF('[1]FC vers Ref (Km)'!EE129&lt;&gt;0,G129,)+1+(18/60)+(32/60)</f>
        <v>183.83333333333334</v>
      </c>
      <c r="EF129" s="14">
        <f>IF('[1]FC vers Ref (Km)'!EF129&lt;&gt;0,H129,)+1+(18/60)+14+(25/60)+31+(8/60)</f>
        <v>386.85</v>
      </c>
      <c r="EG129" s="14">
        <f>IF('[1]FC vers Ref (Km)'!EG129&lt;&gt;0,I129,)+1+(18/60)</f>
        <v>386.3</v>
      </c>
      <c r="EH129" s="14">
        <f>IF('[1]FC vers Ref (Km)'!EH129&lt;&gt;0,J129,)+1+(18/60)</f>
        <v>341.3</v>
      </c>
      <c r="EI129" s="14">
        <f>IF('[1]FC vers Ref (Km)'!EI129&lt;&gt;0,K129,)+1+(18/60)+5+(11/60)</f>
        <v>175.48333333333335</v>
      </c>
      <c r="EJ129" s="14">
        <f>IF('[1]FC vers Ref (Km)'!EJ129&lt;&gt;0,L129,)+1+(18/60)</f>
        <v>170.3</v>
      </c>
      <c r="EK129" s="14">
        <f>IF('[1]FC vers Ref (Km)'!EK129&lt;&gt;0,M129,)+1+(18/60)</f>
        <v>387.3</v>
      </c>
      <c r="EL129" s="14">
        <f>IF('[1]FC vers Ref (Km)'!EL129&lt;&gt;0,N129,)+1+(18/60)</f>
        <v>387.3</v>
      </c>
      <c r="EM129" s="14">
        <f>IF('[1]FC vers Ref (Km)'!EM129&lt;&gt;0,O129,)+1+(18/60)</f>
        <v>239.3</v>
      </c>
      <c r="EN129" s="14">
        <f>IF('[1]FC vers Ref (Km)'!EN129&lt;&gt;0,P129,)+1+(18/60)</f>
        <v>212.3</v>
      </c>
      <c r="EO129" s="14">
        <f>IF('[1]FC vers Ref (Km)'!EO129&lt;&gt;0,Q129,)+1+(18/60)</f>
        <v>168.3</v>
      </c>
      <c r="EP129" s="13">
        <f>IF('[1]FC vers Ref (Km)'!EP129&lt;&gt;0,R129,)+1+(18/60)</f>
        <v>105.3</v>
      </c>
      <c r="EQ129" s="13">
        <f>IF('[1]FC vers Ref (Km)'!EQ129&lt;&gt;0,S129,)+1+(18/60)</f>
        <v>91.3</v>
      </c>
      <c r="ER129" s="13">
        <f>IF('[1]FC vers Ref (Km)'!ER129&lt;&gt;0,T129,)+1+(18/60)</f>
        <v>93.3</v>
      </c>
      <c r="ES129" s="13">
        <f>IF('[1]FC vers Ref (Km)'!ES129&lt;&gt;0,U129,)+1+(18/60)+2+(21/60)</f>
        <v>88.649999999999991</v>
      </c>
      <c r="ET129" s="13">
        <f>IF('[1]FC vers Ref (Km)'!ET129&lt;&gt;0,V129,)+1+(18/60)+1+(44/60)</f>
        <v>16.033333333333335</v>
      </c>
      <c r="EU129" s="13">
        <f>IF('[1]FC vers Ref (Km)'!EU129&lt;&gt;0,W129,)+1+(18/60)+1+(47/60)+2+(31/60)+2+(54/60)</f>
        <v>47.499999999999993</v>
      </c>
      <c r="EV129" s="13">
        <f>IF('[1]FC vers Ref (Km)'!EV129&lt;&gt;0,X129,)+1+(18/60)</f>
        <v>105.3</v>
      </c>
      <c r="EW129" s="13">
        <f>IF('[1]FC vers Ref (Km)'!EW129&lt;&gt;0,Y129,)+1+(18/60)+(56/60)+(59/60)</f>
        <v>126.21666666666667</v>
      </c>
      <c r="EX129" s="13">
        <f>IF('[1]FC vers Ref (Km)'!EX129&lt;&gt;0,Z129,)+1+(18/60)+1+(35/60)+(37/60)</f>
        <v>96.499999999999986</v>
      </c>
      <c r="EY129" s="12"/>
      <c r="EZ129" s="13">
        <f>IF('[1]FC vers Ref (Km)'!EZ129&lt;&gt;0,AB129,)+1+(18/60)+1+(39/60)</f>
        <v>10.950000000000001</v>
      </c>
      <c r="FA129" s="13">
        <f>IF('[1]FC vers Ref (Km)'!FA129&lt;&gt;0,AC129,)+1+(18/60)+1+(47/60)</f>
        <v>27.083333333333336</v>
      </c>
      <c r="FB129" s="13">
        <f>IF('[1]FC vers Ref (Km)'!FB129&lt;&gt;0,AD129,)+1+(18/60)</f>
        <v>19.3</v>
      </c>
      <c r="FC129" s="13">
        <f>IF('[1]FC vers Ref (Km)'!FC129&lt;&gt;0,AE129,)+1+(18/60)</f>
        <v>124.3</v>
      </c>
      <c r="FD129" s="13">
        <f>IF('[1]FC vers Ref (Km)'!FD129&lt;&gt;0,AF129,)+1+(18/60)+5+(31/60)+5+(51/60)+1+(8/60)</f>
        <v>52.8</v>
      </c>
      <c r="FE129" s="13">
        <f>IF('[1]FC vers Ref (Km)'!FE129&lt;&gt;0,AG129,)+1+(18/60)+4+(2/60)+5+(51/60)+1+(8/60)</f>
        <v>51.316666666666663</v>
      </c>
      <c r="FF129" s="13">
        <f>IF('[1]FC vers Ref (Km)'!FF129&lt;&gt;0,AH129,)+1+(18/60)+1+(7/60)+5+(51/60)+1+(8/60)</f>
        <v>48.4</v>
      </c>
      <c r="FG129" s="14">
        <f>IF('[1]FC vers Ref (Km)'!FG129&lt;&gt;0,AI129,)+1+(18/60)+15+(50/60)</f>
        <v>195.13333333333335</v>
      </c>
      <c r="FH129" s="14">
        <f>IF('[1]FC vers Ref (Km)'!FH129&lt;&gt;0,AJ129,)+1+(18/60)</f>
        <v>248.3</v>
      </c>
      <c r="FI129" s="14">
        <f>IF('[1]FC vers Ref (Km)'!FI129&lt;&gt;0,AK129,)+1+(18/60)+4+(40/60)+11+(32/60)</f>
        <v>195.5</v>
      </c>
      <c r="FJ129" s="14">
        <f>IF('[1]FC vers Ref (Km)'!FJ129&lt;&gt;0,AL129,)+1+(18/60)</f>
        <v>221.3</v>
      </c>
      <c r="FK129" s="14">
        <f>IF('[1]FC vers Ref (Km)'!FK129&lt;&gt;0,AM129,)+1+(18/60)</f>
        <v>382.3</v>
      </c>
      <c r="FL129" s="14">
        <f>IF('[1]FC vers Ref (Km)'!FL129&lt;&gt;0,AN129,)+1+(18/60)</f>
        <v>374.3</v>
      </c>
      <c r="FM129" s="14">
        <f>IF('[1]FC vers Ref (Km)'!FM129&lt;&gt;0,AO129,)+1+(18/60)+(55/60)</f>
        <v>368.2166666666667</v>
      </c>
      <c r="FN129" s="14">
        <f>IF('[1]FC vers Ref (Km)'!FN129&lt;&gt;0,AP129,)+1+(18/60)</f>
        <v>379.3</v>
      </c>
      <c r="FO129" s="14">
        <f>IF('[1]FC vers Ref (Km)'!FO129&lt;&gt;0,AQ129,)+1+(18/60)</f>
        <v>398.3</v>
      </c>
      <c r="FP129" s="14">
        <f>IF('[1]FC vers Ref (Km)'!FP129&lt;&gt;0,AR129,)+1+(18/60)</f>
        <v>315.3</v>
      </c>
      <c r="FQ129" s="14">
        <f>IF('[1]FC vers Ref (Km)'!FQ129&lt;&gt;0,AS129,)+1+(18/60)</f>
        <v>173.3</v>
      </c>
      <c r="FR129" s="14">
        <f>IF('[1]FC vers Ref (Km)'!FR129&lt;&gt;0,AT129,)+1+(18/60)</f>
        <v>173.3</v>
      </c>
      <c r="FS129" s="14">
        <f>IF('[1]FC vers Ref (Km)'!FS129&lt;&gt;0,AU129,)+1+(18/60)</f>
        <v>173.3</v>
      </c>
      <c r="FT129" s="14">
        <f>IF('[1]FC vers Ref (Km)'!FT129&lt;&gt;0,AV129,)+1+(18/60)+1+(7/60)</f>
        <v>369.41666666666669</v>
      </c>
      <c r="FU129" s="14">
        <f>IF('[1]FC vers Ref (Km)'!FU129&lt;&gt;0,AW129,)+1+(18/60)+8+(3/60)</f>
        <v>154.35000000000002</v>
      </c>
      <c r="FV129" s="14">
        <f>IF('[1]FC vers Ref (Km)'!FV129&lt;&gt;0,AX129,)+1+(18/60)+2*24+11</f>
        <v>205.3</v>
      </c>
      <c r="FW129" s="14">
        <f>IF('[1]FC vers Ref (Km)'!FW129&lt;&gt;0,AY129,)+1+(18/60)</f>
        <v>387.3</v>
      </c>
      <c r="FX129" s="14">
        <f>IF('[1]FC vers Ref (Km)'!FX129&lt;&gt;0,AZ129,)+1+(18/60)</f>
        <v>1.3</v>
      </c>
      <c r="FY129" s="14">
        <f>IF('[1]FC vers Ref (Km)'!FY129&lt;&gt;0,BA129,)+1+(18/60)+5+(41/60)</f>
        <v>182.98333333333335</v>
      </c>
      <c r="FZ129" s="14">
        <f>IF('[1]FC vers Ref (Km)'!FZ129&lt;&gt;0,BB129,)+1+(18/60)</f>
        <v>296.3</v>
      </c>
      <c r="GA129" s="13">
        <f>IF('[1]FC vers Ref (Km)'!GA129&lt;&gt;0,BC129,)+1+(18/60)</f>
        <v>135.30000000000001</v>
      </c>
      <c r="GB129" s="14">
        <f>IF('[1]FC vers Ref (Km)'!GB129&lt;&gt;0,BD129,)+1+(18/60)</f>
        <v>322.3</v>
      </c>
      <c r="GC129" s="14">
        <f>IF('[1]FC vers Ref (Km)'!GC129&lt;&gt;0,BE129,)+1+(18/60)+(30/60)</f>
        <v>376.8</v>
      </c>
      <c r="GD129" s="14">
        <f>IF('[1]FC vers Ref (Km)'!GD129&lt;&gt;0,BF129,)+1+(18/60)</f>
        <v>355.3</v>
      </c>
      <c r="GE129" s="13">
        <f>IF('[1]FC vers Ref (Km)'!GE129&lt;&gt;0,BG129,)+1+(18/60)+15+(1/60)</f>
        <v>85.316666666666663</v>
      </c>
      <c r="GF129" s="13">
        <f>IF('[1]FC vers Ref (Km)'!GF129&lt;&gt;0,BH129,)+1+(18/60)</f>
        <v>34.299999999999997</v>
      </c>
      <c r="GG129" s="14">
        <f>IF('[1]FC vers Ref (Km)'!GG129&lt;&gt;0,BI129,)+1+(18/60)</f>
        <v>234.3</v>
      </c>
      <c r="GH129" s="14">
        <f>IF('[1]FC vers Ref (Km)'!GH129&lt;&gt;0,BJ129,)+1+(18/60)</f>
        <v>330.3</v>
      </c>
      <c r="GI129" s="15">
        <f>IF('[1]FC vers Ref (Km)'!GI129&lt;&gt;0,BK129,)+1+(18/60)</f>
        <v>330.3</v>
      </c>
    </row>
    <row r="130" spans="1:191" x14ac:dyDescent="0.3">
      <c r="A130" s="10" t="s">
        <v>26</v>
      </c>
      <c r="B130" s="35" t="s">
        <v>85</v>
      </c>
      <c r="C130" s="16">
        <f>8*24+3</f>
        <v>195</v>
      </c>
      <c r="D130" s="14">
        <f>9*24+10</f>
        <v>226</v>
      </c>
      <c r="E130" s="14">
        <f>7*24+1</f>
        <v>169</v>
      </c>
      <c r="F130" s="14">
        <f>8*24+21</f>
        <v>213</v>
      </c>
      <c r="G130" s="14">
        <f>7*24+13</f>
        <v>181</v>
      </c>
      <c r="H130" s="14">
        <f>14*24+2</f>
        <v>338</v>
      </c>
      <c r="I130" s="14">
        <f>16*24</f>
        <v>384</v>
      </c>
      <c r="J130" s="14">
        <f>14*24+2</f>
        <v>338</v>
      </c>
      <c r="K130" s="14">
        <f>7*24</f>
        <v>168</v>
      </c>
      <c r="L130" s="14">
        <f>7*24</f>
        <v>168</v>
      </c>
      <c r="M130" s="14">
        <f>16*24+1</f>
        <v>385</v>
      </c>
      <c r="N130" s="14">
        <f>16*24+1</f>
        <v>385</v>
      </c>
      <c r="O130" s="14">
        <f>9*24+20</f>
        <v>236</v>
      </c>
      <c r="P130" s="14">
        <f>8*24+18</f>
        <v>210</v>
      </c>
      <c r="Q130" s="14">
        <f>6*24+22</f>
        <v>166</v>
      </c>
      <c r="R130" s="13">
        <f>4*24+7</f>
        <v>103</v>
      </c>
      <c r="S130" s="13">
        <f>3*24+16</f>
        <v>88</v>
      </c>
      <c r="T130" s="13">
        <f>3*24+18</f>
        <v>90</v>
      </c>
      <c r="U130" s="13">
        <f>3*24+11</f>
        <v>83</v>
      </c>
      <c r="V130" s="13">
        <f>8</f>
        <v>8</v>
      </c>
      <c r="W130" s="13">
        <f>24+22</f>
        <v>46</v>
      </c>
      <c r="X130" s="13">
        <f>4*24+7</f>
        <v>103</v>
      </c>
      <c r="Y130" s="13">
        <f>5*24+2</f>
        <v>122</v>
      </c>
      <c r="Z130" s="13">
        <f>3*24+20</f>
        <v>92</v>
      </c>
      <c r="AA130" s="13">
        <f>8</f>
        <v>8</v>
      </c>
      <c r="AB130" s="12"/>
      <c r="AC130" s="13">
        <v>21</v>
      </c>
      <c r="AD130" s="13">
        <v>15</v>
      </c>
      <c r="AE130" s="13">
        <v>122</v>
      </c>
      <c r="AF130" s="13">
        <v>46</v>
      </c>
      <c r="AG130" s="13">
        <v>46</v>
      </c>
      <c r="AH130" s="13">
        <v>46</v>
      </c>
      <c r="AI130" s="14">
        <v>186</v>
      </c>
      <c r="AJ130" s="14">
        <v>255</v>
      </c>
      <c r="AK130" s="14">
        <v>186</v>
      </c>
      <c r="AL130" s="14">
        <v>227</v>
      </c>
      <c r="AM130" s="14">
        <v>389</v>
      </c>
      <c r="AN130" s="14">
        <v>380</v>
      </c>
      <c r="AO130" s="14">
        <v>374</v>
      </c>
      <c r="AP130" s="14">
        <v>386</v>
      </c>
      <c r="AQ130" s="14">
        <v>405</v>
      </c>
      <c r="AR130" s="14">
        <v>322</v>
      </c>
      <c r="AS130" s="14">
        <v>180</v>
      </c>
      <c r="AT130" s="14">
        <v>180</v>
      </c>
      <c r="AU130" s="14">
        <v>180</v>
      </c>
      <c r="AV130" s="14">
        <f>15*24+14</f>
        <v>374</v>
      </c>
      <c r="AW130" s="14">
        <f>6*24</f>
        <v>144</v>
      </c>
      <c r="AX130" s="14">
        <f>6*24</f>
        <v>144</v>
      </c>
      <c r="AY130" s="14">
        <f>16*24+9</f>
        <v>393</v>
      </c>
      <c r="AZ130" s="14"/>
      <c r="BA130" s="14">
        <f>7*24+16</f>
        <v>184</v>
      </c>
      <c r="BB130" s="14">
        <f>12*24+15</f>
        <v>303</v>
      </c>
      <c r="BC130" s="13">
        <f>5*24+13</f>
        <v>133</v>
      </c>
      <c r="BD130" s="14">
        <f>13*24+17</f>
        <v>329</v>
      </c>
      <c r="BE130" s="14">
        <f>15*24+23</f>
        <v>383</v>
      </c>
      <c r="BF130" s="14">
        <f>15*24+1</f>
        <v>361</v>
      </c>
      <c r="BG130" s="13">
        <f>3*24+5</f>
        <v>77</v>
      </c>
      <c r="BH130" s="13">
        <f>24+17</f>
        <v>41</v>
      </c>
      <c r="BI130" s="14">
        <f>9*24+16</f>
        <v>232</v>
      </c>
      <c r="BJ130" s="14">
        <f>13*24+15</f>
        <v>327</v>
      </c>
      <c r="BK130" s="15">
        <f>13*24+15</f>
        <v>327</v>
      </c>
      <c r="BM130" s="10" t="s">
        <v>26</v>
      </c>
      <c r="BN130" s="35" t="s">
        <v>85</v>
      </c>
      <c r="BO130" s="16">
        <f>IF('[1]FC vers Ref (Km)'!BO130&lt;&gt;0,'Délai intermédiaire'!C130,)+1+(39/60)</f>
        <v>196.65</v>
      </c>
      <c r="BP130" s="14">
        <f>IF('[1]FC vers Ref (Km)'!BP130&lt;&gt;0,'Délai intermédiaire'!D130,)+1+(39/60)</f>
        <v>227.65</v>
      </c>
      <c r="BQ130" s="14">
        <f>IF('[1]FC vers Ref (Km)'!BQ130&lt;&gt;0,'Délai intermédiaire'!E130,)+1+(39/60)+19+(49/60)</f>
        <v>190.46666666666667</v>
      </c>
      <c r="BR130" s="14">
        <f>IF('[1]FC vers Ref (Km)'!BR130&lt;&gt;0,'Délai intermédiaire'!F130,)+1+(39/60)</f>
        <v>214.65</v>
      </c>
      <c r="BS130" s="14">
        <f>IF('[1]FC vers Ref (Km)'!BS130&lt;&gt;0,'Délai intermédiaire'!G130,)+1+(39/60)+(48/60)</f>
        <v>183.45000000000002</v>
      </c>
      <c r="BT130" s="14">
        <f>IF('[1]FC vers Ref (Km)'!BT130&lt;&gt;0,'Délai intermédiaire'!H130,)+1+(39/60)+15+(47/60)</f>
        <v>355.43333333333334</v>
      </c>
      <c r="BU130" s="14">
        <f>IF('[1]FC vers Ref (Km)'!BU130&lt;&gt;0,'Délai intermédiaire'!I130,)+1+(39/60)</f>
        <v>385.65</v>
      </c>
      <c r="BV130" s="14">
        <f>IF('[1]FC vers Ref (Km)'!BV130&lt;&gt;0,'Délai intermédiaire'!J130,)+1+(39/60)</f>
        <v>339.65</v>
      </c>
      <c r="BW130" s="14">
        <f>IF('[1]FC vers Ref (Km)'!BW130&lt;&gt;0,'Délai intermédiaire'!K130,)+1+(39/60)+6+(13/60)</f>
        <v>175.86666666666667</v>
      </c>
      <c r="BX130" s="14">
        <f>IF('[1]FC vers Ref (Km)'!BX130&lt;&gt;0,'Délai intermédiaire'!L130,)+1+(39/60)</f>
        <v>169.65</v>
      </c>
      <c r="BY130" s="14">
        <f>IF('[1]FC vers Ref (Km)'!BY130&lt;&gt;0,'Délai intermédiaire'!M130,)+1+(39/60)+11+(1/60)</f>
        <v>397.66666666666663</v>
      </c>
      <c r="BZ130" s="14">
        <f>IF('[1]FC vers Ref (Km)'!BZ130&lt;&gt;0,'Délai intermédiaire'!N130,)+1+(39/60)</f>
        <v>386.65</v>
      </c>
      <c r="CA130" s="14">
        <f>IF('[1]FC vers Ref (Km)'!CA130&lt;&gt;0,'Délai intermédiaire'!O130,)+1+(39/60)+4+(51/60)</f>
        <v>242.5</v>
      </c>
      <c r="CB130" s="14">
        <f>IF('[1]FC vers Ref (Km)'!CB130&lt;&gt;0,'Délai intermédiaire'!P130,)+1+(39/60)+5+(3/60)</f>
        <v>216.70000000000002</v>
      </c>
      <c r="CC130" s="14">
        <f>IF('[1]FC vers Ref (Km)'!CC130&lt;&gt;0,'Délai intermédiaire'!Q130,)+1+(39/60)+(40/60)</f>
        <v>168.31666666666666</v>
      </c>
      <c r="CD130" s="13">
        <f>IF('[1]FC vers Ref (Km)'!CD130&lt;&gt;0,'Délai intermédiaire'!R130,)+1+(39/60)</f>
        <v>104.65</v>
      </c>
      <c r="CE130" s="13">
        <f>IF('[1]FC vers Ref (Km)'!CE130&lt;&gt;0,'Délai intermédiaire'!S130,)+1+(39/60)</f>
        <v>89.65</v>
      </c>
      <c r="CF130" s="13">
        <f>IF('[1]FC vers Ref (Km)'!CF130&lt;&gt;0,'Délai intermédiaire'!T130,)+1+(39/60)</f>
        <v>91.65</v>
      </c>
      <c r="CG130" s="13">
        <f>IF('[1]FC vers Ref (Km)'!CG130&lt;&gt;0,'Délai intermédiaire'!U130,)+1+(39/60)+1+(53/60)</f>
        <v>86.533333333333346</v>
      </c>
      <c r="CH130" s="13">
        <f>IF('[1]FC vers Ref (Km)'!CH130&lt;&gt;0,'Délai intermédiaire'!V130,)+1+(39/60)+2+(57/60)</f>
        <v>12.6</v>
      </c>
      <c r="CI130" s="13">
        <f>IF('[1]FC vers Ref (Km)'!CI130&lt;&gt;0,'Délai intermédiaire'!W130,)+1+(39/60)+4+(47/60)</f>
        <v>52.43333333333333</v>
      </c>
      <c r="CJ130" s="13">
        <f>IF('[1]FC vers Ref (Km)'!CJ130&lt;&gt;0,'Délai intermédiaire'!X130,)+1+(39/60)</f>
        <v>104.65</v>
      </c>
      <c r="CK130" s="13">
        <f>IF('[1]FC vers Ref (Km)'!CK130&lt;&gt;0,'Délai intermédiaire'!Y130,)+1+(39/60)+1+(33/60)</f>
        <v>125.2</v>
      </c>
      <c r="CL130" s="13">
        <f>IF('[1]FC vers Ref (Km)'!CL130&lt;&gt;0,'Délai intermédiaire'!Z130,)+1+(39/60)+2+(30/60)</f>
        <v>96.15</v>
      </c>
      <c r="CM130" s="13">
        <f>IF('[1]FC vers Ref (Km)'!CM130&lt;&gt;0,'Délai intermédiaire'!AA130,)+1+(39/60)+(56/60)</f>
        <v>10.583333333333334</v>
      </c>
      <c r="CN130" s="12"/>
      <c r="CO130" s="13">
        <f>IF('[1]FC vers Ref (Km)'!CO130&lt;&gt;0,'Délai intermédiaire'!AC130,)+1+(39/60)+3+(25/60)</f>
        <v>26.066666666666666</v>
      </c>
      <c r="CP130" s="13">
        <f>IF('[1]FC vers Ref (Km)'!CP130&lt;&gt;0,'Délai intermédiaire'!AD130,)+1+(39/60)</f>
        <v>16.649999999999999</v>
      </c>
      <c r="CQ130" s="13">
        <f>IF('[1]FC vers Ref (Km)'!CQ130&lt;&gt;0,'Délai intermédiaire'!AE130,)+1+(39/60)</f>
        <v>123.65</v>
      </c>
      <c r="CR130" s="13">
        <f>IF('[1]FC vers Ref (Km)'!CR130&lt;&gt;0,'Délai intermédiaire'!AF130,)+1+(39/60)+9+(1/60)</f>
        <v>56.666666666666664</v>
      </c>
      <c r="CS130" s="13">
        <f>IF('[1]FC vers Ref (Km)'!CS130&lt;&gt;0,'Délai intermédiaire'!AG130,)+1+(39/60)+7+(48/60)</f>
        <v>55.449999999999996</v>
      </c>
      <c r="CT130" s="13">
        <f>IF('[1]FC vers Ref (Km)'!CT130&lt;&gt;0,'Délai intermédiaire'!AH130,)+1+(39/60)+5+(5/60)</f>
        <v>52.733333333333334</v>
      </c>
      <c r="CU130" s="14">
        <f>IF('[1]FC vers Ref (Km)'!CU130&lt;&gt;0,'Délai intermédiaire'!AI130,)+1+(39/60)+19+(46/60)</f>
        <v>207.41666666666669</v>
      </c>
      <c r="CV130" s="14">
        <f>IF('[1]FC vers Ref (Km)'!CV130&lt;&gt;0,'Délai intermédiaire'!AJ130,)+1+(39/60)</f>
        <v>256.64999999999998</v>
      </c>
      <c r="CW130" s="14">
        <f>IF('[1]FC vers Ref (Km)'!CW130&lt;&gt;0,'Délai intermédiaire'!AK130,)+1+(39/60)+12+(26/60)</f>
        <v>200.08333333333334</v>
      </c>
      <c r="CX130" s="14">
        <f>IF('[1]FC vers Ref (Km)'!CX130&lt;&gt;0,'Délai intermédiaire'!AL130,)+1+(39/60)</f>
        <v>228.65</v>
      </c>
      <c r="CY130" s="14">
        <f>IF('[1]FC vers Ref (Km)'!CY130&lt;&gt;0,'Délai intermédiaire'!AM130,)+1+(39/60)</f>
        <v>390.65</v>
      </c>
      <c r="CZ130" s="14">
        <f>IF('[1]FC vers Ref (Km)'!CZ130&lt;&gt;0,'Délai intermédiaire'!AN130,)+1+(39/60)</f>
        <v>381.65</v>
      </c>
      <c r="DA130" s="14">
        <f>IF('[1]FC vers Ref (Km)'!DA130&lt;&gt;0,'Délai intermédiaire'!AO130,)+1+(39/60)+1+(56/60)</f>
        <v>377.58333333333331</v>
      </c>
      <c r="DB130" s="14">
        <f>IF('[1]FC vers Ref (Km)'!DB130&lt;&gt;0,'Délai intermédiaire'!AP130,)+1+(39/60)</f>
        <v>387.65</v>
      </c>
      <c r="DC130" s="14">
        <f>IF('[1]FC vers Ref (Km)'!DC130&lt;&gt;0,'Délai intermédiaire'!AQ130,)+1+(39/60)</f>
        <v>406.65</v>
      </c>
      <c r="DD130" s="14">
        <f>IF('[1]FC vers Ref (Km)'!DD130&lt;&gt;0,'Délai intermédiaire'!AR130,)+1+(39/60)</f>
        <v>323.64999999999998</v>
      </c>
      <c r="DE130" s="14">
        <f>IF('[1]FC vers Ref (Km)'!DE130&lt;&gt;0,'Délai intermédiaire'!AS130,)+1+(39/60)</f>
        <v>181.65</v>
      </c>
      <c r="DF130" s="14">
        <f>IF('[1]FC vers Ref (Km)'!DF130&lt;&gt;0,'Délai intermédiaire'!AT130,)+1+(39/60)+20+(5/60)</f>
        <v>201.73333333333335</v>
      </c>
      <c r="DG130" s="14">
        <f>IF('[1]FC vers Ref (Km)'!DG130&lt;&gt;0,'Délai intermédiaire'!AU130,)+1+(39/60)+11+(36/60)</f>
        <v>193.25</v>
      </c>
      <c r="DH130" s="14">
        <f>IF('[1]FC vers Ref (Km)'!DH130&lt;&gt;0,'Délai intermédiaire'!AV130,)+1+(39/60)+(28/60)</f>
        <v>376.11666666666662</v>
      </c>
      <c r="DI130" s="14">
        <f>IF('[1]FC vers Ref (Km)'!DI130&lt;&gt;0,'Délai intermédiaire'!AW130,)+1+(39/60)+7+(13/60)</f>
        <v>152.86666666666667</v>
      </c>
      <c r="DJ130" s="14">
        <f>IF('[1]FC vers Ref (Km)'!DJ130&lt;&gt;0,'Délai intermédiaire'!AX130,)+1+(39/60)+2*24+15</f>
        <v>208.65</v>
      </c>
      <c r="DK130" s="14">
        <f>IF('[1]FC vers Ref (Km)'!DK130&lt;&gt;0,'Délai intermédiaire'!AY130,)+1+(39/60)</f>
        <v>394.65</v>
      </c>
      <c r="DL130" s="14">
        <f>IF('[1]FC vers Ref (Km)'!DL130&lt;&gt;0,'Délai intermédiaire'!AZ130,)+1+(39/60)</f>
        <v>1.65</v>
      </c>
      <c r="DM130" s="14">
        <f>IF('[1]FC vers Ref (Km)'!DM130&lt;&gt;0,'Délai intermédiaire'!BA130,)+1+(39/60)+7+(17/60)</f>
        <v>192.93333333333334</v>
      </c>
      <c r="DN130" s="14">
        <f>IF('[1]FC vers Ref (Km)'!DN130&lt;&gt;0,'Délai intermédiaire'!BB130,)+1+(39/60)</f>
        <v>304.64999999999998</v>
      </c>
      <c r="DO130" s="13">
        <f>IF('[1]FC vers Ref (Km)'!DO130&lt;&gt;0,'Délai intermédiaire'!BC130,)+1+(39/60)</f>
        <v>134.65</v>
      </c>
      <c r="DP130" s="14">
        <f>IF('[1]FC vers Ref (Km)'!DP130&lt;&gt;0,'Délai intermédiaire'!BD130,)+1+(39/60)</f>
        <v>330.65</v>
      </c>
      <c r="DQ130" s="14">
        <f>IF('[1]FC vers Ref (Km)'!DQ130&lt;&gt;0,'Délai intermédiaire'!BE130,)+1+(39/60)+1+(22/60)</f>
        <v>386.01666666666665</v>
      </c>
      <c r="DR130" s="14">
        <f>IF('[1]FC vers Ref (Km)'!DR130&lt;&gt;0,'Délai intermédiaire'!BF130,)+1+(39/60)</f>
        <v>362.65</v>
      </c>
      <c r="DS130" s="13">
        <f>IF('[1]FC vers Ref (Km)'!DS130&lt;&gt;0,'Délai intermédiaire'!BG130,)+1+(39/60)+10+(43/60)</f>
        <v>89.366666666666674</v>
      </c>
      <c r="DT130" s="13">
        <f>IF('[1]FC vers Ref (Km)'!DT130&lt;&gt;0,'Délai intermédiaire'!BH130,)+1+(39/60)+(12/60)</f>
        <v>42.85</v>
      </c>
      <c r="DU130" s="14">
        <f>IF('[1]FC vers Ref (Km)'!DU130&lt;&gt;0,'Délai intermédiaire'!BI130,)+1+(39/60)+7+(45/60)</f>
        <v>241.4</v>
      </c>
      <c r="DV130" s="14">
        <f>IF('[1]FC vers Ref (Km)'!DV130&lt;&gt;0,'Délai intermédiaire'!BJ130,)+1+(39/60)+1+(10/60)</f>
        <v>329.81666666666666</v>
      </c>
      <c r="DW130" s="15">
        <f>IF('[1]FC vers Ref (Km)'!DW130&lt;&gt;0,'Délai intermédiaire'!BK130,)+1+(39/60)+12+(41/60)</f>
        <v>341.33333333333331</v>
      </c>
      <c r="DX130" s="27"/>
      <c r="DY130" s="10" t="s">
        <v>26</v>
      </c>
      <c r="DZ130" s="35" t="s">
        <v>85</v>
      </c>
      <c r="EA130" s="16">
        <f>IF('[1]FC vers Ref (Km)'!EA130&lt;&gt;0,C130,)+1+(39/60)</f>
        <v>196.65</v>
      </c>
      <c r="EB130" s="14">
        <f>IF('[1]FC vers Ref (Km)'!EB130&lt;&gt;0,D130,)+1+(39/60)</f>
        <v>227.65</v>
      </c>
      <c r="EC130" s="14">
        <f>IF('[1]FC vers Ref (Km)'!EC130&lt;&gt;0,E130,)+1+(39/60)+7+(55/60)+19+(53/60)</f>
        <v>198.45</v>
      </c>
      <c r="ED130" s="14">
        <f>IF('[1]FC vers Ref (Km)'!ED130&lt;&gt;0,F130,)+1+(39/60)</f>
        <v>214.65</v>
      </c>
      <c r="EE130" s="14">
        <f>IF('[1]FC vers Ref (Km)'!EE130&lt;&gt;0,G130,)+1+(39/60)+(32/60)</f>
        <v>183.18333333333334</v>
      </c>
      <c r="EF130" s="14">
        <f>IF('[1]FC vers Ref (Km)'!EF130&lt;&gt;0,H130,)+1+(39/60)+14+(25/60)+31+(8/60)</f>
        <v>385.2</v>
      </c>
      <c r="EG130" s="14">
        <f>IF('[1]FC vers Ref (Km)'!EG130&lt;&gt;0,I130,)+1+(39/60)</f>
        <v>385.65</v>
      </c>
      <c r="EH130" s="14">
        <f>IF('[1]FC vers Ref (Km)'!EH130&lt;&gt;0,J130,)+1+(39/60)</f>
        <v>339.65</v>
      </c>
      <c r="EI130" s="14">
        <f>IF('[1]FC vers Ref (Km)'!EI130&lt;&gt;0,K130,)+1+(39/60)+5+(11/60)</f>
        <v>174.83333333333334</v>
      </c>
      <c r="EJ130" s="14">
        <f>IF('[1]FC vers Ref (Km)'!EJ130&lt;&gt;0,L130,)+1+(39/60)</f>
        <v>169.65</v>
      </c>
      <c r="EK130" s="14">
        <f>IF('[1]FC vers Ref (Km)'!EK130&lt;&gt;0,M130,)+1+(39/60)</f>
        <v>386.65</v>
      </c>
      <c r="EL130" s="14">
        <f>IF('[1]FC vers Ref (Km)'!EL130&lt;&gt;0,N130,)+1+(39/60)</f>
        <v>386.65</v>
      </c>
      <c r="EM130" s="14">
        <f>IF('[1]FC vers Ref (Km)'!EM130&lt;&gt;0,O130,)+1+(39/60)</f>
        <v>237.65</v>
      </c>
      <c r="EN130" s="14">
        <f>IF('[1]FC vers Ref (Km)'!EN130&lt;&gt;0,P130,)+1+(39/60)</f>
        <v>211.65</v>
      </c>
      <c r="EO130" s="14">
        <f>IF('[1]FC vers Ref (Km)'!EO130&lt;&gt;0,Q130,)+1+(39/60)</f>
        <v>167.65</v>
      </c>
      <c r="EP130" s="13">
        <f>IF('[1]FC vers Ref (Km)'!EP130&lt;&gt;0,R130,)+1+(39/60)</f>
        <v>104.65</v>
      </c>
      <c r="EQ130" s="13">
        <f>IF('[1]FC vers Ref (Km)'!EQ130&lt;&gt;0,S130,)+1+(39/60)</f>
        <v>89.65</v>
      </c>
      <c r="ER130" s="13">
        <f>IF('[1]FC vers Ref (Km)'!ER130&lt;&gt;0,T130,)+1+(39/60)</f>
        <v>91.65</v>
      </c>
      <c r="ES130" s="13">
        <f>IF('[1]FC vers Ref (Km)'!ES130&lt;&gt;0,U130,)+1+(39/60)+2+(21/60)</f>
        <v>87</v>
      </c>
      <c r="ET130" s="13">
        <f>IF('[1]FC vers Ref (Km)'!ET130&lt;&gt;0,V130,)+1+(39/60)+1+(44/60)</f>
        <v>11.383333333333333</v>
      </c>
      <c r="EU130" s="13">
        <f>IF('[1]FC vers Ref (Km)'!EU130&lt;&gt;0,W130,)+1+(39/60)+1+(47/60)+2+(31/60)+2+(54/60)</f>
        <v>54.849999999999994</v>
      </c>
      <c r="EV130" s="13">
        <f>IF('[1]FC vers Ref (Km)'!EV130&lt;&gt;0,X130,)+1+(39/60)</f>
        <v>104.65</v>
      </c>
      <c r="EW130" s="13">
        <f>IF('[1]FC vers Ref (Km)'!EW130&lt;&gt;0,Y130,)+1+(39/60)+(56/60)+(59/60)</f>
        <v>125.56666666666668</v>
      </c>
      <c r="EX130" s="13">
        <f>IF('[1]FC vers Ref (Km)'!EX130&lt;&gt;0,Z130,)+1+(39/60)+1+(35/60)+(37/60)</f>
        <v>95.85</v>
      </c>
      <c r="EY130" s="13">
        <f>IF('[1]FC vers Ref (Km)'!EY130&lt;&gt;0,AA130,)+1+(39/60)+1+(18/60)</f>
        <v>10.950000000000001</v>
      </c>
      <c r="EZ130" s="12"/>
      <c r="FA130" s="13">
        <f>IF('[1]FC vers Ref (Km)'!FA130&lt;&gt;0,AC130,)+1+(39/60)+1+(47/60)</f>
        <v>24.433333333333334</v>
      </c>
      <c r="FB130" s="13">
        <f>IF('[1]FC vers Ref (Km)'!FB130&lt;&gt;0,AD130,)+1+(39/60)</f>
        <v>16.649999999999999</v>
      </c>
      <c r="FC130" s="13">
        <f>IF('[1]FC vers Ref (Km)'!FC130&lt;&gt;0,AE130,)+1+(39/60)</f>
        <v>123.65</v>
      </c>
      <c r="FD130" s="13">
        <f>IF('[1]FC vers Ref (Km)'!FD130&lt;&gt;0,AF130,)+1+(39/60)+5+(31/60)+5+(51/60)+1+(8/60)</f>
        <v>60.15</v>
      </c>
      <c r="FE130" s="13">
        <f>IF('[1]FC vers Ref (Km)'!FE130&lt;&gt;0,AG130,)+1+(39/60)+4+(2/60)+5+(51/60)+1+(8/60)</f>
        <v>58.666666666666664</v>
      </c>
      <c r="FF130" s="13">
        <f>IF('[1]FC vers Ref (Km)'!FF130&lt;&gt;0,AH130,)+1+(39/60)+1+(7/60)+5+(51/60)+1+(8/60)</f>
        <v>55.75</v>
      </c>
      <c r="FG130" s="14">
        <f>IF('[1]FC vers Ref (Km)'!FG130&lt;&gt;0,AI130,)+1+(39/60)+15+(50/60)</f>
        <v>203.48333333333335</v>
      </c>
      <c r="FH130" s="14">
        <f>IF('[1]FC vers Ref (Km)'!FH130&lt;&gt;0,AJ130,)+1+(39/60)</f>
        <v>256.64999999999998</v>
      </c>
      <c r="FI130" s="14">
        <f>IF('[1]FC vers Ref (Km)'!FI130&lt;&gt;0,AK130,)+1+(39/60)+4+(40/60)+11+(32/60)</f>
        <v>203.85</v>
      </c>
      <c r="FJ130" s="14">
        <f>IF('[1]FC vers Ref (Km)'!FJ130&lt;&gt;0,AL130,)+1+(39/60)</f>
        <v>228.65</v>
      </c>
      <c r="FK130" s="14">
        <f>IF('[1]FC vers Ref (Km)'!FK130&lt;&gt;0,AM130,)+1+(39/60)</f>
        <v>390.65</v>
      </c>
      <c r="FL130" s="14">
        <f>IF('[1]FC vers Ref (Km)'!FL130&lt;&gt;0,AN130,)+1+(39/60)</f>
        <v>381.65</v>
      </c>
      <c r="FM130" s="14">
        <f>IF('[1]FC vers Ref (Km)'!FM130&lt;&gt;0,AO130,)+1+(39/60)+(55/60)</f>
        <v>376.56666666666666</v>
      </c>
      <c r="FN130" s="14">
        <f>IF('[1]FC vers Ref (Km)'!FN130&lt;&gt;0,AP130,)+1+(39/60)</f>
        <v>387.65</v>
      </c>
      <c r="FO130" s="14">
        <f>IF('[1]FC vers Ref (Km)'!FO130&lt;&gt;0,AQ130,)+1+(39/60)</f>
        <v>406.65</v>
      </c>
      <c r="FP130" s="14">
        <f>IF('[1]FC vers Ref (Km)'!FP130&lt;&gt;0,AR130,)+1+(39/60)</f>
        <v>323.64999999999998</v>
      </c>
      <c r="FQ130" s="14">
        <f>IF('[1]FC vers Ref (Km)'!FQ130&lt;&gt;0,AS130,)+1+(39/60)</f>
        <v>181.65</v>
      </c>
      <c r="FR130" s="14">
        <f>IF('[1]FC vers Ref (Km)'!FR130&lt;&gt;0,AT130,)+1+(39/60)</f>
        <v>181.65</v>
      </c>
      <c r="FS130" s="14">
        <f>IF('[1]FC vers Ref (Km)'!FS130&lt;&gt;0,AU130,)+1+(39/60)</f>
        <v>181.65</v>
      </c>
      <c r="FT130" s="14">
        <f>IF('[1]FC vers Ref (Km)'!FT130&lt;&gt;0,AV130,)+1+(39/60)+1+(7/60)</f>
        <v>376.76666666666665</v>
      </c>
      <c r="FU130" s="14">
        <f>IF('[1]FC vers Ref (Km)'!FU130&lt;&gt;0,AW130,)+1+(39/60)+8+(3/60)</f>
        <v>153.70000000000002</v>
      </c>
      <c r="FV130" s="14">
        <f>IF('[1]FC vers Ref (Km)'!FV130&lt;&gt;0,AX130,)+1+(39/60)+2*24+11</f>
        <v>204.65</v>
      </c>
      <c r="FW130" s="14">
        <f>IF('[1]FC vers Ref (Km)'!FW130&lt;&gt;0,AY130,)+1+(39/60)</f>
        <v>394.65</v>
      </c>
      <c r="FX130" s="14">
        <f>IF('[1]FC vers Ref (Km)'!FX130&lt;&gt;0,AZ130,)+1+(39/60)</f>
        <v>1.65</v>
      </c>
      <c r="FY130" s="14">
        <f>IF('[1]FC vers Ref (Km)'!FY130&lt;&gt;0,BA130,)+1+(39/60)+5+(41/60)</f>
        <v>191.33333333333334</v>
      </c>
      <c r="FZ130" s="14">
        <f>IF('[1]FC vers Ref (Km)'!FZ130&lt;&gt;0,BB130,)+1+(39/60)</f>
        <v>304.64999999999998</v>
      </c>
      <c r="GA130" s="13">
        <f>IF('[1]FC vers Ref (Km)'!GA130&lt;&gt;0,BC130,)+1+(39/60)</f>
        <v>134.65</v>
      </c>
      <c r="GB130" s="14">
        <f>IF('[1]FC vers Ref (Km)'!GB130&lt;&gt;0,BD130,)+1+(39/60)</f>
        <v>330.65</v>
      </c>
      <c r="GC130" s="14">
        <f>IF('[1]FC vers Ref (Km)'!GC130&lt;&gt;0,BE130,)+1+(39/60)+(30/60)</f>
        <v>385.15</v>
      </c>
      <c r="GD130" s="14">
        <f>IF('[1]FC vers Ref (Km)'!GD130&lt;&gt;0,BF130,)+1+(39/60)</f>
        <v>362.65</v>
      </c>
      <c r="GE130" s="13">
        <f>IF('[1]FC vers Ref (Km)'!GE130&lt;&gt;0,BG130,)+1+(39/60)+15+(1/60)</f>
        <v>93.666666666666671</v>
      </c>
      <c r="GF130" s="13">
        <f>IF('[1]FC vers Ref (Km)'!GF130&lt;&gt;0,BH130,)+1+(39/60)</f>
        <v>42.65</v>
      </c>
      <c r="GG130" s="14">
        <f>IF('[1]FC vers Ref (Km)'!GG130&lt;&gt;0,BI130,)+1+(39/60)</f>
        <v>233.65</v>
      </c>
      <c r="GH130" s="14">
        <f>IF('[1]FC vers Ref (Km)'!GH130&lt;&gt;0,BJ130,)+1+(39/60)</f>
        <v>328.65</v>
      </c>
      <c r="GI130" s="15">
        <f>IF('[1]FC vers Ref (Km)'!GI130&lt;&gt;0,BK130,)+1+(39/60)</f>
        <v>328.65</v>
      </c>
    </row>
    <row r="131" spans="1:191" x14ac:dyDescent="0.3">
      <c r="A131" s="10" t="s">
        <v>27</v>
      </c>
      <c r="B131" s="35" t="s">
        <v>86</v>
      </c>
      <c r="C131" s="16">
        <f>7*24+8</f>
        <v>176</v>
      </c>
      <c r="D131" s="14">
        <f>8*24+15</f>
        <v>207</v>
      </c>
      <c r="E131" s="14">
        <f>6*24+6</f>
        <v>150</v>
      </c>
      <c r="F131" s="14">
        <f>8*24+2</f>
        <v>194</v>
      </c>
      <c r="G131" s="14">
        <f>6*24+17</f>
        <v>161</v>
      </c>
      <c r="H131" s="14">
        <f>13*24+7</f>
        <v>319</v>
      </c>
      <c r="I131" s="14">
        <f>15*24+5</f>
        <v>365</v>
      </c>
      <c r="J131" s="14">
        <f>13*24+7</f>
        <v>319</v>
      </c>
      <c r="K131" s="14">
        <f>6*24+5</f>
        <v>149</v>
      </c>
      <c r="L131" s="14">
        <f>6*24+5</f>
        <v>149</v>
      </c>
      <c r="M131" s="14">
        <f>15*24+6</f>
        <v>366</v>
      </c>
      <c r="N131" s="14">
        <f>15*24+6</f>
        <v>366</v>
      </c>
      <c r="O131" s="14">
        <f>9*24+1</f>
        <v>217</v>
      </c>
      <c r="P131" s="14">
        <f>7*24+23</f>
        <v>191</v>
      </c>
      <c r="Q131" s="14">
        <f>6*24+2</f>
        <v>146</v>
      </c>
      <c r="R131" s="13">
        <f>3*24+12</f>
        <v>84</v>
      </c>
      <c r="S131" s="13">
        <f>2*24+21</f>
        <v>69</v>
      </c>
      <c r="T131" s="13">
        <f>2*24+23</f>
        <v>71</v>
      </c>
      <c r="U131" s="13">
        <f>2*24+16</f>
        <v>64</v>
      </c>
      <c r="V131" s="13">
        <v>14</v>
      </c>
      <c r="W131" s="13">
        <f>2*24+10</f>
        <v>58</v>
      </c>
      <c r="X131" s="13">
        <f>3*24+11</f>
        <v>83</v>
      </c>
      <c r="Y131" s="13">
        <f>4*24+6</f>
        <v>102</v>
      </c>
      <c r="Z131" s="13">
        <f>3*24+1</f>
        <v>73</v>
      </c>
      <c r="AA131" s="13">
        <v>24</v>
      </c>
      <c r="AB131" s="13">
        <f>21</f>
        <v>21</v>
      </c>
      <c r="AC131" s="12"/>
      <c r="AD131" s="13">
        <v>7</v>
      </c>
      <c r="AE131" s="13">
        <v>102</v>
      </c>
      <c r="AF131" s="13">
        <v>58</v>
      </c>
      <c r="AG131" s="13">
        <v>58</v>
      </c>
      <c r="AH131" s="13">
        <v>58</v>
      </c>
      <c r="AI131" s="14">
        <v>196</v>
      </c>
      <c r="AJ131" s="14">
        <v>265</v>
      </c>
      <c r="AK131" s="14">
        <v>196</v>
      </c>
      <c r="AL131" s="14">
        <v>238</v>
      </c>
      <c r="AM131" s="14">
        <v>399</v>
      </c>
      <c r="AN131" s="14">
        <v>391</v>
      </c>
      <c r="AO131" s="14">
        <v>384</v>
      </c>
      <c r="AP131" s="14">
        <v>396</v>
      </c>
      <c r="AQ131" s="14">
        <v>415</v>
      </c>
      <c r="AR131" s="14">
        <v>332</v>
      </c>
      <c r="AS131" s="14">
        <v>190</v>
      </c>
      <c r="AT131" s="14">
        <v>190</v>
      </c>
      <c r="AU131" s="14">
        <v>190</v>
      </c>
      <c r="AV131" s="14">
        <f>16*24+1</f>
        <v>385</v>
      </c>
      <c r="AW131" s="14">
        <f>5*24+5</f>
        <v>125</v>
      </c>
      <c r="AX131" s="14">
        <f>5*24+5</f>
        <v>125</v>
      </c>
      <c r="AY131" s="14">
        <f>16*24+20</f>
        <v>404</v>
      </c>
      <c r="AZ131" s="14"/>
      <c r="BA131" s="14">
        <f>8*24+2</f>
        <v>194</v>
      </c>
      <c r="BB131" s="14">
        <f>13*24+1</f>
        <v>313</v>
      </c>
      <c r="BC131" s="13">
        <f>4*24+17</f>
        <v>113</v>
      </c>
      <c r="BD131" s="14">
        <f>14*24+3</f>
        <v>339</v>
      </c>
      <c r="BE131" s="14">
        <f>16*24+10</f>
        <v>394</v>
      </c>
      <c r="BF131" s="14">
        <f>15*24+12</f>
        <v>372</v>
      </c>
      <c r="BG131" s="13">
        <f>3*24+16</f>
        <v>88</v>
      </c>
      <c r="BH131" s="13">
        <f>2*24+4</f>
        <v>52</v>
      </c>
      <c r="BI131" s="14">
        <f>8*24+21</f>
        <v>213</v>
      </c>
      <c r="BJ131" s="14">
        <f>12*24+20</f>
        <v>308</v>
      </c>
      <c r="BK131" s="15">
        <f>12*24+20</f>
        <v>308</v>
      </c>
      <c r="BM131" s="10" t="s">
        <v>27</v>
      </c>
      <c r="BN131" s="35" t="s">
        <v>86</v>
      </c>
      <c r="BO131" s="16">
        <f>IF('[1]FC vers Ref (Km)'!BO131&lt;&gt;0,'Délai intermédiaire'!C131,)+3+(25/60)</f>
        <v>179.41666666666666</v>
      </c>
      <c r="BP131" s="14">
        <f>IF('[1]FC vers Ref (Km)'!BP131&lt;&gt;0,'Délai intermédiaire'!D131,)+3+(25/60)</f>
        <v>210.41666666666666</v>
      </c>
      <c r="BQ131" s="14">
        <f>IF('[1]FC vers Ref (Km)'!BQ131&lt;&gt;0,'Délai intermédiaire'!E131,)+3+(25/60)+19+(49/60)</f>
        <v>173.23333333333332</v>
      </c>
      <c r="BR131" s="14">
        <f>IF('[1]FC vers Ref (Km)'!BR131&lt;&gt;0,'Délai intermédiaire'!F131,)+3+(25/60)</f>
        <v>197.41666666666666</v>
      </c>
      <c r="BS131" s="14">
        <f>IF('[1]FC vers Ref (Km)'!BS131&lt;&gt;0,'Délai intermédiaire'!G131,)+3+(25/60)+(48/60)</f>
        <v>165.21666666666667</v>
      </c>
      <c r="BT131" s="14">
        <f>IF('[1]FC vers Ref (Km)'!BT131&lt;&gt;0,'Délai intermédiaire'!H131,)+3+(25/60)+15+(47/60)</f>
        <v>338.20000000000005</v>
      </c>
      <c r="BU131" s="14">
        <f>IF('[1]FC vers Ref (Km)'!BU131&lt;&gt;0,'Délai intermédiaire'!I131,)+3+(25/60)</f>
        <v>368.41666666666669</v>
      </c>
      <c r="BV131" s="14">
        <f>IF('[1]FC vers Ref (Km)'!BV131&lt;&gt;0,'Délai intermédiaire'!J131,)+3+(25/60)</f>
        <v>322.41666666666669</v>
      </c>
      <c r="BW131" s="14">
        <f>IF('[1]FC vers Ref (Km)'!BW131&lt;&gt;0,'Délai intermédiaire'!K131,)+3+(25/60)+6+(13/60)</f>
        <v>158.63333333333333</v>
      </c>
      <c r="BX131" s="14">
        <f>IF('[1]FC vers Ref (Km)'!BX131&lt;&gt;0,'Délai intermédiaire'!L131,)+3+(25/60)</f>
        <v>152.41666666666666</v>
      </c>
      <c r="BY131" s="14">
        <f>IF('[1]FC vers Ref (Km)'!BY131&lt;&gt;0,'Délai intermédiaire'!M131,)+3+(25/60)+11+(1/60)</f>
        <v>380.43333333333334</v>
      </c>
      <c r="BZ131" s="14">
        <f>IF('[1]FC vers Ref (Km)'!BZ131&lt;&gt;0,'Délai intermédiaire'!N131,)+3+(25/60)</f>
        <v>369.41666666666669</v>
      </c>
      <c r="CA131" s="14">
        <f>IF('[1]FC vers Ref (Km)'!CA131&lt;&gt;0,'Délai intermédiaire'!O131,)+3+(25/60)+4+(51/60)</f>
        <v>225.26666666666665</v>
      </c>
      <c r="CB131" s="14">
        <f>IF('[1]FC vers Ref (Km)'!CB131&lt;&gt;0,'Délai intermédiaire'!P131,)+3+(25/60)+5+(3/60)</f>
        <v>199.46666666666667</v>
      </c>
      <c r="CC131" s="14">
        <f>IF('[1]FC vers Ref (Km)'!CC131&lt;&gt;0,'Délai intermédiaire'!Q131,)+3+(25/60)+(40/60)</f>
        <v>150.08333333333331</v>
      </c>
      <c r="CD131" s="13">
        <f>IF('[1]FC vers Ref (Km)'!CD131&lt;&gt;0,'Délai intermédiaire'!R131,)+3+(25/60)</f>
        <v>87.416666666666671</v>
      </c>
      <c r="CE131" s="13">
        <f>IF('[1]FC vers Ref (Km)'!CE131&lt;&gt;0,'Délai intermédiaire'!S131,)+3+(25/60)</f>
        <v>72.416666666666671</v>
      </c>
      <c r="CF131" s="13">
        <f>IF('[1]FC vers Ref (Km)'!CF131&lt;&gt;0,'Délai intermédiaire'!T131,)+3+(25/60)</f>
        <v>74.416666666666671</v>
      </c>
      <c r="CG131" s="13">
        <f>IF('[1]FC vers Ref (Km)'!CG131&lt;&gt;0,'Délai intermédiaire'!U131,)+3+(25/60)+1+(53/60)</f>
        <v>69.300000000000011</v>
      </c>
      <c r="CH131" s="13">
        <f>IF('[1]FC vers Ref (Km)'!CH131&lt;&gt;0,'Délai intermédiaire'!V131,)+3+(25/60)+2+(57/60)</f>
        <v>20.366666666666667</v>
      </c>
      <c r="CI131" s="13">
        <f>IF('[1]FC vers Ref (Km)'!CI131&lt;&gt;0,'Délai intermédiaire'!W131,)+3+(25/60)+4+(47/60)</f>
        <v>66.199999999999989</v>
      </c>
      <c r="CJ131" s="13">
        <f>IF('[1]FC vers Ref (Km)'!CJ131&lt;&gt;0,'Délai intermédiaire'!X131,)+3+(25/60)</f>
        <v>86.416666666666671</v>
      </c>
      <c r="CK131" s="13">
        <f>IF('[1]FC vers Ref (Km)'!CK131&lt;&gt;0,'Délai intermédiaire'!Y131,)+3+(25/60)+1+(33/60)</f>
        <v>106.96666666666667</v>
      </c>
      <c r="CL131" s="13">
        <f>IF('[1]FC vers Ref (Km)'!CL131&lt;&gt;0,'Délai intermédiaire'!Z131,)+3+(25/60)+2+(30/60)</f>
        <v>78.916666666666671</v>
      </c>
      <c r="CM131" s="13">
        <f>IF('[1]FC vers Ref (Km)'!CM131&lt;&gt;0,'Délai intermédiaire'!AA131,)+3+(25/60)+(56/60)</f>
        <v>28.35</v>
      </c>
      <c r="CN131" s="13">
        <f>IF('[1]FC vers Ref (Km)'!CN131&lt;&gt;0,'Délai intermédiaire'!AB131,)+3+(25/60)+1+(39/60)</f>
        <v>26.066666666666666</v>
      </c>
      <c r="CO131" s="12"/>
      <c r="CP131" s="13">
        <f>IF('[1]FC vers Ref (Km)'!CP131&lt;&gt;0,'Délai intermédiaire'!AD131,)+3+(25/60)</f>
        <v>10.416666666666666</v>
      </c>
      <c r="CQ131" s="13">
        <f>IF('[1]FC vers Ref (Km)'!CQ131&lt;&gt;0,'Délai intermédiaire'!AE131,)+3+(25/60)</f>
        <v>105.41666666666667</v>
      </c>
      <c r="CR131" s="13">
        <f>IF('[1]FC vers Ref (Km)'!CR131&lt;&gt;0,'Délai intermédiaire'!AF131,)+3+(25/60)+9+(1/60)</f>
        <v>70.433333333333323</v>
      </c>
      <c r="CS131" s="13">
        <f>IF('[1]FC vers Ref (Km)'!CS131&lt;&gt;0,'Délai intermédiaire'!AG131,)+3+(25/60)+7+(48/60)</f>
        <v>69.216666666666654</v>
      </c>
      <c r="CT131" s="13">
        <f>IF('[1]FC vers Ref (Km)'!CT131&lt;&gt;0,'Délai intermédiaire'!AH131,)+3+(25/60)+5+(5/60)</f>
        <v>66.499999999999986</v>
      </c>
      <c r="CU131" s="14">
        <f>IF('[1]FC vers Ref (Km)'!CU131&lt;&gt;0,'Délai intermédiaire'!AI131,)+3+(25/60)+19+(46/60)</f>
        <v>219.18333333333334</v>
      </c>
      <c r="CV131" s="14">
        <f>IF('[1]FC vers Ref (Km)'!CV131&lt;&gt;0,'Délai intermédiaire'!AJ131,)+3+(25/60)</f>
        <v>268.41666666666669</v>
      </c>
      <c r="CW131" s="14">
        <f>IF('[1]FC vers Ref (Km)'!CW131&lt;&gt;0,'Délai intermédiaire'!AK131,)+3+(25/60)+12+(26/60)</f>
        <v>211.85</v>
      </c>
      <c r="CX131" s="14">
        <f>IF('[1]FC vers Ref (Km)'!CX131&lt;&gt;0,'Délai intermédiaire'!AL131,)+3+(25/60)</f>
        <v>241.41666666666666</v>
      </c>
      <c r="CY131" s="14">
        <f>IF('[1]FC vers Ref (Km)'!CY131&lt;&gt;0,'Délai intermédiaire'!AM131,)+3+(25/60)</f>
        <v>402.41666666666669</v>
      </c>
      <c r="CZ131" s="14">
        <f>IF('[1]FC vers Ref (Km)'!CZ131&lt;&gt;0,'Délai intermédiaire'!AN131,)+3+(25/60)</f>
        <v>394.41666666666669</v>
      </c>
      <c r="DA131" s="14">
        <f>IF('[1]FC vers Ref (Km)'!DA131&lt;&gt;0,'Délai intermédiaire'!AO131,)+3+(25/60)+1+(56/60)</f>
        <v>389.35</v>
      </c>
      <c r="DB131" s="14">
        <f>IF('[1]FC vers Ref (Km)'!DB131&lt;&gt;0,'Délai intermédiaire'!AP131,)+3+(25/60)</f>
        <v>399.41666666666669</v>
      </c>
      <c r="DC131" s="14">
        <f>IF('[1]FC vers Ref (Km)'!DC131&lt;&gt;0,'Délai intermédiaire'!AQ131,)+3+(25/60)</f>
        <v>418.41666666666669</v>
      </c>
      <c r="DD131" s="14">
        <f>IF('[1]FC vers Ref (Km)'!DD131&lt;&gt;0,'Délai intermédiaire'!AR131,)+3+(25/60)</f>
        <v>335.41666666666669</v>
      </c>
      <c r="DE131" s="14">
        <f>IF('[1]FC vers Ref (Km)'!DE131&lt;&gt;0,'Délai intermédiaire'!AS131,)+3+(25/60)</f>
        <v>193.41666666666666</v>
      </c>
      <c r="DF131" s="14">
        <f>IF('[1]FC vers Ref (Km)'!DF131&lt;&gt;0,'Délai intermédiaire'!AT131,)+3+(25/60)+20+(5/60)</f>
        <v>213.5</v>
      </c>
      <c r="DG131" s="14">
        <f>IF('[1]FC vers Ref (Km)'!DG131&lt;&gt;0,'Délai intermédiaire'!AU131,)+3+(25/60)+11+(36/60)</f>
        <v>205.01666666666665</v>
      </c>
      <c r="DH131" s="14">
        <f>IF('[1]FC vers Ref (Km)'!DH131&lt;&gt;0,'Délai intermédiaire'!AV131,)+3+(25/60)+(28/60)</f>
        <v>388.88333333333333</v>
      </c>
      <c r="DI131" s="14">
        <f>IF('[1]FC vers Ref (Km)'!DI131&lt;&gt;0,'Délai intermédiaire'!AW131,)+3+(25/60)+7+(13/60)</f>
        <v>135.63333333333333</v>
      </c>
      <c r="DJ131" s="14">
        <f>IF('[1]FC vers Ref (Km)'!DJ131&lt;&gt;0,'Délai intermédiaire'!AX131,)+3+(25/60)+2*24+15</f>
        <v>191.41666666666666</v>
      </c>
      <c r="DK131" s="14">
        <f>IF('[1]FC vers Ref (Km)'!DK131&lt;&gt;0,'Délai intermédiaire'!AY131,)+3+(25/60)</f>
        <v>407.41666666666669</v>
      </c>
      <c r="DL131" s="14">
        <f>IF('[1]FC vers Ref (Km)'!DL131&lt;&gt;0,'Délai intermédiaire'!AZ131,)+3+(25/60)</f>
        <v>3.4166666666666665</v>
      </c>
      <c r="DM131" s="14">
        <f>IF('[1]FC vers Ref (Km)'!DM131&lt;&gt;0,'Délai intermédiaire'!BA131,)+3+(25/60)+7+(17/60)</f>
        <v>204.7</v>
      </c>
      <c r="DN131" s="14">
        <f>IF('[1]FC vers Ref (Km)'!DN131&lt;&gt;0,'Délai intermédiaire'!BB131,)+3+(25/60)</f>
        <v>316.41666666666669</v>
      </c>
      <c r="DO131" s="13">
        <f>IF('[1]FC vers Ref (Km)'!DO131&lt;&gt;0,'Délai intermédiaire'!BC131,)+3+(25/60)</f>
        <v>116.41666666666667</v>
      </c>
      <c r="DP131" s="14">
        <f>IF('[1]FC vers Ref (Km)'!DP131&lt;&gt;0,'Délai intermédiaire'!BD131,)+3+(25/60)</f>
        <v>342.41666666666669</v>
      </c>
      <c r="DQ131" s="14">
        <f>IF('[1]FC vers Ref (Km)'!DQ131&lt;&gt;0,'Délai intermédiaire'!BE131,)+3+(25/60)+1+(22/60)</f>
        <v>398.78333333333336</v>
      </c>
      <c r="DR131" s="14">
        <f>IF('[1]FC vers Ref (Km)'!DR131&lt;&gt;0,'Délai intermédiaire'!BF131,)+3+(25/60)</f>
        <v>375.41666666666669</v>
      </c>
      <c r="DS131" s="13">
        <f>IF('[1]FC vers Ref (Km)'!DS131&lt;&gt;0,'Délai intermédiaire'!BG131,)+3+(25/60)+10+(43/60)</f>
        <v>102.13333333333334</v>
      </c>
      <c r="DT131" s="13">
        <f>IF('[1]FC vers Ref (Km)'!DT131&lt;&gt;0,'Délai intermédiaire'!BH131,)+3+(25/60)+(12/60)</f>
        <v>55.616666666666667</v>
      </c>
      <c r="DU131" s="14">
        <f>IF('[1]FC vers Ref (Km)'!DU131&lt;&gt;0,'Délai intermédiaire'!BI131,)+3+(25/60)+7+(45/60)</f>
        <v>224.16666666666666</v>
      </c>
      <c r="DV131" s="14">
        <f>IF('[1]FC vers Ref (Km)'!DV131&lt;&gt;0,'Délai intermédiaire'!BJ131,)+3+(25/60)+1+(10/60)</f>
        <v>312.58333333333337</v>
      </c>
      <c r="DW131" s="15">
        <f>IF('[1]FC vers Ref (Km)'!DW131&lt;&gt;0,'Délai intermédiaire'!BK131,)+3+(25/60)+12+(41/60)</f>
        <v>324.10000000000002</v>
      </c>
      <c r="DX131" s="27"/>
      <c r="DY131" s="10" t="s">
        <v>27</v>
      </c>
      <c r="DZ131" s="35" t="s">
        <v>86</v>
      </c>
      <c r="EA131" s="16">
        <f>IF('[1]FC vers Ref (Km)'!EA131&lt;&gt;0,C131,)+1+(47/60)</f>
        <v>177.78333333333333</v>
      </c>
      <c r="EB131" s="14">
        <f>IF('[1]FC vers Ref (Km)'!EB131&lt;&gt;0,D131,)+1+(47/60)</f>
        <v>208.78333333333333</v>
      </c>
      <c r="EC131" s="14">
        <f>IF('[1]FC vers Ref (Km)'!EC131&lt;&gt;0,E131,)+1+(47/60)+7+(55/60)+19+(53/60)</f>
        <v>179.58333333333331</v>
      </c>
      <c r="ED131" s="14">
        <f>IF('[1]FC vers Ref (Km)'!ED131&lt;&gt;0,F131,)+1+(47/60)</f>
        <v>195.78333333333333</v>
      </c>
      <c r="EE131" s="14">
        <f>IF('[1]FC vers Ref (Km)'!EE131&lt;&gt;0,G131,)+1+(47/60)+(32/60)</f>
        <v>163.31666666666666</v>
      </c>
      <c r="EF131" s="14">
        <f>IF('[1]FC vers Ref (Km)'!EF131&lt;&gt;0,H131,)+1+(47/60)+14+(25/60)+31+(8/60)</f>
        <v>366.33333333333337</v>
      </c>
      <c r="EG131" s="14">
        <f>IF('[1]FC vers Ref (Km)'!EG131&lt;&gt;0,I131,)+1+(47/60)</f>
        <v>366.78333333333336</v>
      </c>
      <c r="EH131" s="14">
        <f>IF('[1]FC vers Ref (Km)'!EH131&lt;&gt;0,J131,)+1+(47/60)</f>
        <v>320.78333333333336</v>
      </c>
      <c r="EI131" s="14">
        <f>IF('[1]FC vers Ref (Km)'!EI131&lt;&gt;0,K131,)+1+(47/60)+5+(11/60)</f>
        <v>155.96666666666667</v>
      </c>
      <c r="EJ131" s="14">
        <f>IF('[1]FC vers Ref (Km)'!EJ131&lt;&gt;0,L131,)+1+(47/60)</f>
        <v>150.78333333333333</v>
      </c>
      <c r="EK131" s="14">
        <f>IF('[1]FC vers Ref (Km)'!EK131&lt;&gt;0,M131,)+1+(47/60)</f>
        <v>367.78333333333336</v>
      </c>
      <c r="EL131" s="14">
        <f>IF('[1]FC vers Ref (Km)'!EL131&lt;&gt;0,N131,)+1+(47/60)</f>
        <v>367.78333333333336</v>
      </c>
      <c r="EM131" s="14">
        <f>IF('[1]FC vers Ref (Km)'!EM131&lt;&gt;0,O131,)+1+(47/60)</f>
        <v>218.78333333333333</v>
      </c>
      <c r="EN131" s="14">
        <f>IF('[1]FC vers Ref (Km)'!EN131&lt;&gt;0,P131,)+1+(47/60)</f>
        <v>192.78333333333333</v>
      </c>
      <c r="EO131" s="14">
        <f>IF('[1]FC vers Ref (Km)'!EO131&lt;&gt;0,Q131,)+1+(47/60)</f>
        <v>147.78333333333333</v>
      </c>
      <c r="EP131" s="13">
        <f>IF('[1]FC vers Ref (Km)'!EP131&lt;&gt;0,R131,)+1+(47/60)</f>
        <v>85.783333333333331</v>
      </c>
      <c r="EQ131" s="13">
        <f>IF('[1]FC vers Ref (Km)'!EQ131&lt;&gt;0,S131,)+1+(47/60)</f>
        <v>70.783333333333331</v>
      </c>
      <c r="ER131" s="13">
        <f>IF('[1]FC vers Ref (Km)'!ER131&lt;&gt;0,T131,)+1+(47/60)</f>
        <v>72.783333333333331</v>
      </c>
      <c r="ES131" s="13">
        <f>IF('[1]FC vers Ref (Km)'!ES131&lt;&gt;0,U131,)+1+(47/60)+2+(21/60)</f>
        <v>68.133333333333326</v>
      </c>
      <c r="ET131" s="13">
        <f>IF('[1]FC vers Ref (Km)'!ET131&lt;&gt;0,V131,)+1+(47/60)+1+(44/60)</f>
        <v>17.516666666666666</v>
      </c>
      <c r="EU131" s="13">
        <f>IF('[1]FC vers Ref (Km)'!EU131&lt;&gt;0,W131,)+1+(47/60)+1+(47/60)+2+(31/60)+2+(54/60)</f>
        <v>66.983333333333334</v>
      </c>
      <c r="EV131" s="13">
        <f>IF('[1]FC vers Ref (Km)'!EV131&lt;&gt;0,X131,)+1+(47/60)</f>
        <v>84.783333333333331</v>
      </c>
      <c r="EW131" s="13">
        <f>IF('[1]FC vers Ref (Km)'!EW131&lt;&gt;0,Y131,)+1+(47/60)+(56/60)+(59/60)</f>
        <v>105.7</v>
      </c>
      <c r="EX131" s="13">
        <f>IF('[1]FC vers Ref (Km)'!EX131&lt;&gt;0,Z131,)+1+(47/60)+1+(35/60)+(37/60)</f>
        <v>76.98333333333332</v>
      </c>
      <c r="EY131" s="13">
        <f>IF('[1]FC vers Ref (Km)'!EY131&lt;&gt;0,AA131,)+1+(47/60)+1+(18/60)</f>
        <v>27.083333333333336</v>
      </c>
      <c r="EZ131" s="13">
        <f>IF('[1]FC vers Ref (Km)'!EZ131&lt;&gt;0,AB131,)+1+(47/60)+1+(39/60)</f>
        <v>24.433333333333334</v>
      </c>
      <c r="FA131" s="12"/>
      <c r="FB131" s="13">
        <f>IF('[1]FC vers Ref (Km)'!FB131&lt;&gt;0,AD131,)+1+(47/60)</f>
        <v>8.7833333333333332</v>
      </c>
      <c r="FC131" s="13">
        <f>IF('[1]FC vers Ref (Km)'!FC131&lt;&gt;0,AE131,)+1+(47/60)</f>
        <v>103.78333333333333</v>
      </c>
      <c r="FD131" s="13">
        <f>IF('[1]FC vers Ref (Km)'!FD131&lt;&gt;0,AF131,)+1+(47/60)+5+(31/60)+5+(51/60)+1+(8/60)</f>
        <v>72.283333333333331</v>
      </c>
      <c r="FE131" s="13">
        <f>IF('[1]FC vers Ref (Km)'!FE131&lt;&gt;0,AG131,)+1+(47/60)+4+(2/60)+5+(51/60)+1+(8/60)</f>
        <v>70.8</v>
      </c>
      <c r="FF131" s="13">
        <f>IF('[1]FC vers Ref (Km)'!FF131&lt;&gt;0,AH131,)+1+(47/60)+1+(7/60)+5+(51/60)+1+(8/60)</f>
        <v>67.88333333333334</v>
      </c>
      <c r="FG131" s="14">
        <f>IF('[1]FC vers Ref (Km)'!FG131&lt;&gt;0,AI131,)+1+(47/60)+15+(50/60)</f>
        <v>213.61666666666667</v>
      </c>
      <c r="FH131" s="14">
        <f>IF('[1]FC vers Ref (Km)'!FH131&lt;&gt;0,AJ131,)+1+(47/60)</f>
        <v>266.78333333333336</v>
      </c>
      <c r="FI131" s="14">
        <f>IF('[1]FC vers Ref (Km)'!FI131&lt;&gt;0,AK131,)+1+(47/60)+4+(40/60)+11+(32/60)</f>
        <v>213.98333333333332</v>
      </c>
      <c r="FJ131" s="14">
        <f>IF('[1]FC vers Ref (Km)'!FJ131&lt;&gt;0,AL131,)+1+(47/60)</f>
        <v>239.78333333333333</v>
      </c>
      <c r="FK131" s="14">
        <f>IF('[1]FC vers Ref (Km)'!FK131&lt;&gt;0,AM131,)+1+(47/60)</f>
        <v>400.78333333333336</v>
      </c>
      <c r="FL131" s="14">
        <f>IF('[1]FC vers Ref (Km)'!FL131&lt;&gt;0,AN131,)+1+(47/60)</f>
        <v>392.78333333333336</v>
      </c>
      <c r="FM131" s="14">
        <f>IF('[1]FC vers Ref (Km)'!FM131&lt;&gt;0,AO131,)+1+(47/60)+(55/60)</f>
        <v>386.70000000000005</v>
      </c>
      <c r="FN131" s="14">
        <f>IF('[1]FC vers Ref (Km)'!FN131&lt;&gt;0,AP131,)+1+(47/60)</f>
        <v>397.78333333333336</v>
      </c>
      <c r="FO131" s="14">
        <f>IF('[1]FC vers Ref (Km)'!FO131&lt;&gt;0,AQ131,)+1+(47/60)</f>
        <v>416.78333333333336</v>
      </c>
      <c r="FP131" s="14">
        <f>IF('[1]FC vers Ref (Km)'!FP131&lt;&gt;0,AR131,)+1+(47/60)</f>
        <v>333.78333333333336</v>
      </c>
      <c r="FQ131" s="14">
        <f>IF('[1]FC vers Ref (Km)'!FQ131&lt;&gt;0,AS131,)+1+(47/60)</f>
        <v>191.78333333333333</v>
      </c>
      <c r="FR131" s="14">
        <f>IF('[1]FC vers Ref (Km)'!FR131&lt;&gt;0,AT131,)+1+(47/60)</f>
        <v>191.78333333333333</v>
      </c>
      <c r="FS131" s="14">
        <f>IF('[1]FC vers Ref (Km)'!FS131&lt;&gt;0,AU131,)+1+(47/60)</f>
        <v>191.78333333333333</v>
      </c>
      <c r="FT131" s="14">
        <f>IF('[1]FC vers Ref (Km)'!FT131&lt;&gt;0,AV131,)+1+(47/60)+1+(7/60)</f>
        <v>387.90000000000003</v>
      </c>
      <c r="FU131" s="14">
        <f>IF('[1]FC vers Ref (Km)'!FU131&lt;&gt;0,AW131,)+1+(47/60)+8+(3/60)</f>
        <v>134.83333333333334</v>
      </c>
      <c r="FV131" s="14">
        <f>IF('[1]FC vers Ref (Km)'!FV131&lt;&gt;0,AX131,)+1+(47/60)+2*24+11</f>
        <v>185.78333333333333</v>
      </c>
      <c r="FW131" s="14">
        <f>IF('[1]FC vers Ref (Km)'!FW131&lt;&gt;0,AY131,)+1+(47/60)</f>
        <v>405.78333333333336</v>
      </c>
      <c r="FX131" s="14">
        <f>IF('[1]FC vers Ref (Km)'!FX131&lt;&gt;0,AZ131,)+1+(47/60)</f>
        <v>1.7833333333333332</v>
      </c>
      <c r="FY131" s="14">
        <f>IF('[1]FC vers Ref (Km)'!FY131&lt;&gt;0,BA131,)+1+(47/60)+5+(41/60)</f>
        <v>201.46666666666667</v>
      </c>
      <c r="FZ131" s="14">
        <f>IF('[1]FC vers Ref (Km)'!FZ131&lt;&gt;0,BB131,)+1+(47/60)</f>
        <v>314.78333333333336</v>
      </c>
      <c r="GA131" s="13">
        <f>IF('[1]FC vers Ref (Km)'!GA131&lt;&gt;0,BC131,)+1+(47/60)</f>
        <v>114.78333333333333</v>
      </c>
      <c r="GB131" s="14">
        <f>IF('[1]FC vers Ref (Km)'!GB131&lt;&gt;0,BD131,)+1+(47/60)</f>
        <v>340.78333333333336</v>
      </c>
      <c r="GC131" s="14">
        <f>IF('[1]FC vers Ref (Km)'!GC131&lt;&gt;0,BE131,)+1+(47/60)+(30/60)</f>
        <v>396.28333333333336</v>
      </c>
      <c r="GD131" s="14">
        <f>IF('[1]FC vers Ref (Km)'!GD131&lt;&gt;0,BF131,)+1+(47/60)</f>
        <v>373.78333333333336</v>
      </c>
      <c r="GE131" s="13">
        <f>IF('[1]FC vers Ref (Km)'!GE131&lt;&gt;0,BG131,)+1+(47/60)+15+(1/60)</f>
        <v>104.8</v>
      </c>
      <c r="GF131" s="13">
        <f>IF('[1]FC vers Ref (Km)'!GF131&lt;&gt;0,BH131,)+1+(47/60)</f>
        <v>53.783333333333331</v>
      </c>
      <c r="GG131" s="14">
        <f>IF('[1]FC vers Ref (Km)'!GG131&lt;&gt;0,BI131,)+1+(47/60)</f>
        <v>214.78333333333333</v>
      </c>
      <c r="GH131" s="14">
        <f>IF('[1]FC vers Ref (Km)'!GH131&lt;&gt;0,BJ131,)+1+(47/60)</f>
        <v>309.78333333333336</v>
      </c>
      <c r="GI131" s="15">
        <f>IF('[1]FC vers Ref (Km)'!GI131&lt;&gt;0,BK131,)+1+(47/60)</f>
        <v>309.78333333333336</v>
      </c>
    </row>
    <row r="132" spans="1:191" x14ac:dyDescent="0.3">
      <c r="A132" s="10" t="s">
        <v>65</v>
      </c>
      <c r="B132" s="35" t="s">
        <v>73</v>
      </c>
      <c r="C132" s="16">
        <f>7*24+13</f>
        <v>181</v>
      </c>
      <c r="D132" s="14">
        <f>8*24+20</f>
        <v>212</v>
      </c>
      <c r="E132" s="14">
        <f>6*24+11</f>
        <v>155</v>
      </c>
      <c r="F132" s="14">
        <f>8*24+7</f>
        <v>199</v>
      </c>
      <c r="G132" s="14">
        <f>6*24+23</f>
        <v>167</v>
      </c>
      <c r="H132" s="14">
        <f>13*24+13</f>
        <v>325</v>
      </c>
      <c r="I132" s="14">
        <f>15*24+10</f>
        <v>370</v>
      </c>
      <c r="J132" s="14">
        <f>13*24+13</f>
        <v>325</v>
      </c>
      <c r="K132" s="14">
        <f>6*24+10</f>
        <v>154</v>
      </c>
      <c r="L132" s="14">
        <f>6*24+10</f>
        <v>154</v>
      </c>
      <c r="M132" s="14">
        <f>15*24+11</f>
        <v>371</v>
      </c>
      <c r="N132" s="14">
        <f>15*24+11</f>
        <v>371</v>
      </c>
      <c r="O132" s="14">
        <f>9*24+6</f>
        <v>222</v>
      </c>
      <c r="P132" s="14">
        <f>8*24+4</f>
        <v>196</v>
      </c>
      <c r="Q132" s="14">
        <f>6*24+8</f>
        <v>152</v>
      </c>
      <c r="R132" s="13">
        <f>3*24+17</f>
        <v>89</v>
      </c>
      <c r="S132" s="13">
        <f>3*24+2</f>
        <v>74</v>
      </c>
      <c r="T132" s="13">
        <f>3*24+4</f>
        <v>76</v>
      </c>
      <c r="U132" s="13">
        <f>2*24+22</f>
        <v>70</v>
      </c>
      <c r="V132" s="13">
        <v>8</v>
      </c>
      <c r="W132" s="13">
        <f>2*24+6</f>
        <v>54</v>
      </c>
      <c r="X132" s="13">
        <f>3*24+17</f>
        <v>89</v>
      </c>
      <c r="Y132" s="13">
        <f>4*24+12</f>
        <v>108</v>
      </c>
      <c r="Z132" s="13">
        <f>3*24+6</f>
        <v>78</v>
      </c>
      <c r="AA132" s="13">
        <f>18</f>
        <v>18</v>
      </c>
      <c r="AB132" s="13">
        <v>15</v>
      </c>
      <c r="AC132" s="13">
        <f>7</f>
        <v>7</v>
      </c>
      <c r="AD132" s="12"/>
      <c r="AE132" s="13">
        <v>108</v>
      </c>
      <c r="AF132" s="13">
        <v>54</v>
      </c>
      <c r="AG132" s="13">
        <v>54</v>
      </c>
      <c r="AH132" s="13">
        <v>54</v>
      </c>
      <c r="AI132" s="14">
        <v>193</v>
      </c>
      <c r="AJ132" s="14">
        <v>262</v>
      </c>
      <c r="AK132" s="14">
        <v>193</v>
      </c>
      <c r="AL132" s="14">
        <v>234</v>
      </c>
      <c r="AM132" s="14">
        <v>396</v>
      </c>
      <c r="AN132" s="14">
        <v>387</v>
      </c>
      <c r="AO132" s="14">
        <v>381</v>
      </c>
      <c r="AP132" s="14">
        <v>393</v>
      </c>
      <c r="AQ132" s="14">
        <v>412</v>
      </c>
      <c r="AR132" s="14">
        <v>329</v>
      </c>
      <c r="AS132" s="14">
        <v>187</v>
      </c>
      <c r="AT132" s="14">
        <v>187</v>
      </c>
      <c r="AU132" s="14">
        <v>187</v>
      </c>
      <c r="AV132" s="14">
        <f>15*24+21</f>
        <v>381</v>
      </c>
      <c r="AW132" s="14">
        <f>5*24+10</f>
        <v>130</v>
      </c>
      <c r="AX132" s="14">
        <f>5*24+10</f>
        <v>130</v>
      </c>
      <c r="AY132" s="14">
        <f>16*24+16</f>
        <v>400</v>
      </c>
      <c r="AZ132" s="14"/>
      <c r="BA132" s="14">
        <f>7*24+23</f>
        <v>191</v>
      </c>
      <c r="BB132" s="14">
        <f>12*24+22</f>
        <v>310</v>
      </c>
      <c r="BC132" s="13">
        <f>4*24+23</f>
        <v>119</v>
      </c>
      <c r="BD132" s="14">
        <f>14*24</f>
        <v>336</v>
      </c>
      <c r="BE132" s="14">
        <f>16*24+6</f>
        <v>390</v>
      </c>
      <c r="BF132" s="14">
        <f>15*24+8</f>
        <v>368</v>
      </c>
      <c r="BG132" s="13">
        <f>3*24+13</f>
        <v>85</v>
      </c>
      <c r="BH132" s="13">
        <f>2*24</f>
        <v>48</v>
      </c>
      <c r="BI132" s="14">
        <f>9*24+2</f>
        <v>218</v>
      </c>
      <c r="BJ132" s="14">
        <f>13*24+1</f>
        <v>313</v>
      </c>
      <c r="BK132" s="15">
        <f>13*24+1</f>
        <v>313</v>
      </c>
      <c r="BM132" s="10" t="s">
        <v>65</v>
      </c>
      <c r="BN132" s="35" t="s">
        <v>73</v>
      </c>
      <c r="BO132" s="16">
        <f>IF('[1]FC vers Ref (Km)'!BO132&lt;&gt;0,'Délai intermédiaire'!C132,)</f>
        <v>0</v>
      </c>
      <c r="BP132" s="14">
        <f>IF('[1]FC vers Ref (Km)'!BP132&lt;&gt;0,'Délai intermédiaire'!D132,)</f>
        <v>0</v>
      </c>
      <c r="BQ132" s="14">
        <f>IF('[1]FC vers Ref (Km)'!BQ132&lt;&gt;0,'Délai intermédiaire'!E132,)+19+(49/60)</f>
        <v>174.81666666666666</v>
      </c>
      <c r="BR132" s="14">
        <f>IF('[1]FC vers Ref (Km)'!BR132&lt;&gt;0,'Délai intermédiaire'!F132,)</f>
        <v>0</v>
      </c>
      <c r="BS132" s="14">
        <f>IF('[1]FC vers Ref (Km)'!BS132&lt;&gt;0,'Délai intermédiaire'!G132,)+(48/60)</f>
        <v>167.8</v>
      </c>
      <c r="BT132" s="14">
        <f>IF('[1]FC vers Ref (Km)'!BT132&lt;&gt;0,'Délai intermédiaire'!H132,)+15+(47/60)</f>
        <v>340.78333333333336</v>
      </c>
      <c r="BU132" s="14">
        <f>IF('[1]FC vers Ref (Km)'!BU132&lt;&gt;0,'Délai intermédiaire'!I132,)</f>
        <v>0</v>
      </c>
      <c r="BV132" s="14">
        <f>IF('[1]FC vers Ref (Km)'!BV132&lt;&gt;0,'Délai intermédiaire'!J132,)</f>
        <v>0</v>
      </c>
      <c r="BW132" s="14">
        <f>IF('[1]FC vers Ref (Km)'!BW132&lt;&gt;0,'Délai intermédiaire'!K132,)+6+(13/60)</f>
        <v>160.21666666666667</v>
      </c>
      <c r="BX132" s="14">
        <f>IF('[1]FC vers Ref (Km)'!BX132&lt;&gt;0,'Délai intermédiaire'!L132,)</f>
        <v>0</v>
      </c>
      <c r="BY132" s="14">
        <f>IF('[1]FC vers Ref (Km)'!BY132&lt;&gt;0,'Délai intermédiaire'!M132,)+11+(1/60)</f>
        <v>382.01666666666665</v>
      </c>
      <c r="BZ132" s="14">
        <f>IF('[1]FC vers Ref (Km)'!BZ132&lt;&gt;0,'Délai intermédiaire'!N132,)</f>
        <v>0</v>
      </c>
      <c r="CA132" s="14">
        <f>IF('[1]FC vers Ref (Km)'!CA132&lt;&gt;0,'Délai intermédiaire'!O132,)+4+(51/60)</f>
        <v>226.85</v>
      </c>
      <c r="CB132" s="14">
        <f>IF('[1]FC vers Ref (Km)'!CB132&lt;&gt;0,'Délai intermédiaire'!P132,)+5+(3/60)</f>
        <v>201.05</v>
      </c>
      <c r="CC132" s="14">
        <f>IF('[1]FC vers Ref (Km)'!CC132&lt;&gt;0,'Délai intermédiaire'!Q132,)+(40/60)</f>
        <v>152.66666666666666</v>
      </c>
      <c r="CD132" s="13">
        <f>IF('[1]FC vers Ref (Km)'!CD132&lt;&gt;0,'Délai intermédiaire'!R132,)</f>
        <v>0</v>
      </c>
      <c r="CE132" s="13">
        <f>IF('[1]FC vers Ref (Km)'!CE132&lt;&gt;0,'Délai intermédiaire'!S132,)</f>
        <v>0</v>
      </c>
      <c r="CF132" s="13">
        <f>IF('[1]FC vers Ref (Km)'!CF132&lt;&gt;0,'Délai intermédiaire'!T132,)</f>
        <v>0</v>
      </c>
      <c r="CG132" s="13">
        <f>IF('[1]FC vers Ref (Km)'!CG132&lt;&gt;0,'Délai intermédiaire'!U132,)+1+(53/60)</f>
        <v>71.88333333333334</v>
      </c>
      <c r="CH132" s="13">
        <f>IF('[1]FC vers Ref (Km)'!CH132&lt;&gt;0,'Délai intermédiaire'!V132,)+2+(57/60)</f>
        <v>10.95</v>
      </c>
      <c r="CI132" s="13">
        <f>IF('[1]FC vers Ref (Km)'!CI132&lt;&gt;0,'Délai intermédiaire'!W132,)+4+(47/60)</f>
        <v>58.783333333333331</v>
      </c>
      <c r="CJ132" s="13">
        <f>IF('[1]FC vers Ref (Km)'!CJ132&lt;&gt;0,'Délai intermédiaire'!X132,)</f>
        <v>0</v>
      </c>
      <c r="CK132" s="13">
        <f>IF('[1]FC vers Ref (Km)'!CK132&lt;&gt;0,'Délai intermédiaire'!Y132,)+1+(33/60)</f>
        <v>109.55</v>
      </c>
      <c r="CL132" s="13">
        <f>IF('[1]FC vers Ref (Km)'!CL132&lt;&gt;0,'Délai intermédiaire'!Z132,)+2+(30/60)</f>
        <v>80.5</v>
      </c>
      <c r="CM132" s="13">
        <f>IF('[1]FC vers Ref (Km)'!CM132&lt;&gt;0,'Délai intermédiaire'!AA132,)+(56/60)</f>
        <v>18.933333333333334</v>
      </c>
      <c r="CN132" s="13">
        <f>IF('[1]FC vers Ref (Km)'!CN132&lt;&gt;0,'Délai intermédiaire'!AB132,)+1+(39/60)</f>
        <v>16.649999999999999</v>
      </c>
      <c r="CO132" s="13">
        <f>IF('[1]FC vers Ref (Km)'!CO132&lt;&gt;0,'Délai intermédiaire'!AC132,)+3+(25/60)</f>
        <v>10.416666666666666</v>
      </c>
      <c r="CP132" s="12"/>
      <c r="CQ132" s="13">
        <f>IF('[1]FC vers Ref (Km)'!CQ132&lt;&gt;0,'Délai intermédiaire'!AE132,)</f>
        <v>0</v>
      </c>
      <c r="CR132" s="13">
        <f>IF('[1]FC vers Ref (Km)'!CR132&lt;&gt;0,'Délai intermédiaire'!AF132,)+9+(1/60)</f>
        <v>63.016666666666666</v>
      </c>
      <c r="CS132" s="13">
        <f>IF('[1]FC vers Ref (Km)'!CS132&lt;&gt;0,'Délai intermédiaire'!AG132,)+7+(48/60)</f>
        <v>61.8</v>
      </c>
      <c r="CT132" s="13">
        <f>IF('[1]FC vers Ref (Km)'!CT132&lt;&gt;0,'Délai intermédiaire'!AH132,)+5+(5/60)</f>
        <v>59.083333333333336</v>
      </c>
      <c r="CU132" s="14">
        <f>IF('[1]FC vers Ref (Km)'!CU132&lt;&gt;0,'Délai intermédiaire'!AI132,)+19+(46/60)</f>
        <v>212.76666666666668</v>
      </c>
      <c r="CV132" s="14">
        <f>IF('[1]FC vers Ref (Km)'!CV132&lt;&gt;0,'Délai intermédiaire'!AJ132,)</f>
        <v>0</v>
      </c>
      <c r="CW132" s="14">
        <f>IF('[1]FC vers Ref (Km)'!CW132&lt;&gt;0,'Délai intermédiaire'!AK132,)+12+(26/60)</f>
        <v>205.43333333333334</v>
      </c>
      <c r="CX132" s="14">
        <f>IF('[1]FC vers Ref (Km)'!CX132&lt;&gt;0,'Délai intermédiaire'!AL132,)</f>
        <v>0</v>
      </c>
      <c r="CY132" s="14">
        <f>IF('[1]FC vers Ref (Km)'!CY132&lt;&gt;0,'Délai intermédiaire'!AM132,)</f>
        <v>0</v>
      </c>
      <c r="CZ132" s="14">
        <f>IF('[1]FC vers Ref (Km)'!CZ132&lt;&gt;0,'Délai intermédiaire'!AN132,)</f>
        <v>0</v>
      </c>
      <c r="DA132" s="14">
        <f>IF('[1]FC vers Ref (Km)'!DA132&lt;&gt;0,'Délai intermédiaire'!AO132,)+1+(56/60)</f>
        <v>382.93333333333334</v>
      </c>
      <c r="DB132" s="14">
        <f>IF('[1]FC vers Ref (Km)'!DB132&lt;&gt;0,'Délai intermédiaire'!AP132,)</f>
        <v>0</v>
      </c>
      <c r="DC132" s="14">
        <f>IF('[1]FC vers Ref (Km)'!DC132&lt;&gt;0,'Délai intermédiaire'!AQ132,)</f>
        <v>0</v>
      </c>
      <c r="DD132" s="14">
        <f>IF('[1]FC vers Ref (Km)'!DD132&lt;&gt;0,'Délai intermédiaire'!AR132,)</f>
        <v>0</v>
      </c>
      <c r="DE132" s="14">
        <f>IF('[1]FC vers Ref (Km)'!DE132&lt;&gt;0,'Délai intermédiaire'!AS132,)</f>
        <v>0</v>
      </c>
      <c r="DF132" s="14">
        <f>IF('[1]FC vers Ref (Km)'!DF132&lt;&gt;0,'Délai intermédiaire'!AT132,)+20+(5/60)</f>
        <v>207.08333333333334</v>
      </c>
      <c r="DG132" s="14">
        <f>IF('[1]FC vers Ref (Km)'!DG132&lt;&gt;0,'Délai intermédiaire'!AU132,)+11+(36/60)</f>
        <v>198.6</v>
      </c>
      <c r="DH132" s="14">
        <f>IF('[1]FC vers Ref (Km)'!DH132&lt;&gt;0,'Délai intermédiaire'!AV132,)+(28/60)</f>
        <v>381.46666666666664</v>
      </c>
      <c r="DI132" s="14">
        <f>IF('[1]FC vers Ref (Km)'!DI132&lt;&gt;0,'Délai intermédiaire'!AW132,)+7+(13/60)</f>
        <v>137.21666666666667</v>
      </c>
      <c r="DJ132" s="14">
        <f>IF('[1]FC vers Ref (Km)'!DJ132&lt;&gt;0,'Délai intermédiaire'!AX132,)+2*24+15</f>
        <v>193</v>
      </c>
      <c r="DK132" s="14">
        <f>IF('[1]FC vers Ref (Km)'!DK132&lt;&gt;0,'Délai intermédiaire'!AY132,)</f>
        <v>0</v>
      </c>
      <c r="DL132" s="14">
        <f>IF('[1]FC vers Ref (Km)'!DL132&lt;&gt;0,'Délai intermédiaire'!AZ132,)</f>
        <v>0</v>
      </c>
      <c r="DM132" s="14">
        <f>IF('[1]FC vers Ref (Km)'!DM132&lt;&gt;0,'Délai intermédiaire'!BA132,)+7+(17/60)</f>
        <v>198.28333333333333</v>
      </c>
      <c r="DN132" s="14">
        <f>IF('[1]FC vers Ref (Km)'!DN132&lt;&gt;0,'Délai intermédiaire'!BB132,)</f>
        <v>0</v>
      </c>
      <c r="DO132" s="13">
        <f>IF('[1]FC vers Ref (Km)'!DO132&lt;&gt;0,'Délai intermédiaire'!BC132,)</f>
        <v>0</v>
      </c>
      <c r="DP132" s="14">
        <f>IF('[1]FC vers Ref (Km)'!DP132&lt;&gt;0,'Délai intermédiaire'!BD132,)</f>
        <v>0</v>
      </c>
      <c r="DQ132" s="14">
        <f>IF('[1]FC vers Ref (Km)'!DQ132&lt;&gt;0,'Délai intermédiaire'!BE132,)+1+(22/60)</f>
        <v>391.36666666666667</v>
      </c>
      <c r="DR132" s="14">
        <f>IF('[1]FC vers Ref (Km)'!DR132&lt;&gt;0,'Délai intermédiaire'!BF132,)</f>
        <v>0</v>
      </c>
      <c r="DS132" s="13">
        <f>IF('[1]FC vers Ref (Km)'!DS132&lt;&gt;0,'Délai intermédiaire'!BG132,)+10+(43/60)</f>
        <v>95.716666666666669</v>
      </c>
      <c r="DT132" s="13">
        <f>IF('[1]FC vers Ref (Km)'!DT132&lt;&gt;0,'Délai intermédiaire'!BH132,)+(12/60)</f>
        <v>48.2</v>
      </c>
      <c r="DU132" s="14">
        <f>IF('[1]FC vers Ref (Km)'!DU132&lt;&gt;0,'Délai intermédiaire'!BI132,)+7+(45/60)</f>
        <v>225.75</v>
      </c>
      <c r="DV132" s="14">
        <f>IF('[1]FC vers Ref (Km)'!DV132&lt;&gt;0,'Délai intermédiaire'!BJ132,)+1+(10/60)</f>
        <v>314.16666666666669</v>
      </c>
      <c r="DW132" s="15">
        <f>IF('[1]FC vers Ref (Km)'!DW132&lt;&gt;0,'Délai intermédiaire'!BK132,)+12+(41/60)</f>
        <v>325.68333333333334</v>
      </c>
      <c r="DX132" s="27"/>
      <c r="DY132" s="10" t="s">
        <v>65</v>
      </c>
      <c r="DZ132" s="35" t="s">
        <v>73</v>
      </c>
      <c r="EA132" s="16">
        <f>IF('[1]FC vers Ref (Km)'!EA132&lt;&gt;0,C132,)</f>
        <v>0</v>
      </c>
      <c r="EB132" s="14">
        <f>IF('[1]FC vers Ref (Km)'!EB132&lt;&gt;0,D132,)</f>
        <v>0</v>
      </c>
      <c r="EC132" s="14">
        <f>IF('[1]FC vers Ref (Km)'!EC132&lt;&gt;0,E132,)+7+(55/60)+19+(53/60)</f>
        <v>182.79999999999998</v>
      </c>
      <c r="ED132" s="14">
        <f>IF('[1]FC vers Ref (Km)'!ED132&lt;&gt;0,F132,)</f>
        <v>0</v>
      </c>
      <c r="EE132" s="14">
        <f>IF('[1]FC vers Ref (Km)'!EE132&lt;&gt;0,G132,)+(32/60)</f>
        <v>167.53333333333333</v>
      </c>
      <c r="EF132" s="14">
        <f>IF('[1]FC vers Ref (Km)'!EF132&lt;&gt;0,H132,)+14+(25/60)+31+(8/60)</f>
        <v>370.55</v>
      </c>
      <c r="EG132" s="14">
        <f>IF('[1]FC vers Ref (Km)'!EG132&lt;&gt;0,I132,)</f>
        <v>0</v>
      </c>
      <c r="EH132" s="14">
        <f>IF('[1]FC vers Ref (Km)'!EH132&lt;&gt;0,J132,)</f>
        <v>0</v>
      </c>
      <c r="EI132" s="14">
        <f>IF('[1]FC vers Ref (Km)'!EI132&lt;&gt;0,K132,)+5+(11/60)</f>
        <v>159.18333333333334</v>
      </c>
      <c r="EJ132" s="14">
        <f>IF('[1]FC vers Ref (Km)'!EJ132&lt;&gt;0,L132,)</f>
        <v>0</v>
      </c>
      <c r="EK132" s="14">
        <f>IF('[1]FC vers Ref (Km)'!EK132&lt;&gt;0,M132,)</f>
        <v>0</v>
      </c>
      <c r="EL132" s="14">
        <f>IF('[1]FC vers Ref (Km)'!EL132&lt;&gt;0,N132,)</f>
        <v>0</v>
      </c>
      <c r="EM132" s="14">
        <f>IF('[1]FC vers Ref (Km)'!EM132&lt;&gt;0,O132,)</f>
        <v>0</v>
      </c>
      <c r="EN132" s="14">
        <f>IF('[1]FC vers Ref (Km)'!EN132&lt;&gt;0,P132,)</f>
        <v>0</v>
      </c>
      <c r="EO132" s="14">
        <f>IF('[1]FC vers Ref (Km)'!EO132&lt;&gt;0,Q132,)</f>
        <v>0</v>
      </c>
      <c r="EP132" s="13">
        <f>IF('[1]FC vers Ref (Km)'!EP132&lt;&gt;0,R132,)</f>
        <v>0</v>
      </c>
      <c r="EQ132" s="13">
        <f>IF('[1]FC vers Ref (Km)'!EQ132&lt;&gt;0,S132,)</f>
        <v>0</v>
      </c>
      <c r="ER132" s="13">
        <f>IF('[1]FC vers Ref (Km)'!ER132&lt;&gt;0,T132,)</f>
        <v>0</v>
      </c>
      <c r="ES132" s="13">
        <f>IF('[1]FC vers Ref (Km)'!ES132&lt;&gt;0,U132,)+2+(21/60)</f>
        <v>72.349999999999994</v>
      </c>
      <c r="ET132" s="13">
        <f>IF('[1]FC vers Ref (Km)'!ET132&lt;&gt;0,V132,)+1+(44/60)</f>
        <v>9.7333333333333325</v>
      </c>
      <c r="EU132" s="13">
        <f>IF('[1]FC vers Ref (Km)'!EU132&lt;&gt;0,W132,)+1+(47/60)+2+(31/60)+2+(54/60)</f>
        <v>61.199999999999996</v>
      </c>
      <c r="EV132" s="13">
        <f>IF('[1]FC vers Ref (Km)'!EV132&lt;&gt;0,X132,)</f>
        <v>0</v>
      </c>
      <c r="EW132" s="13">
        <f>IF('[1]FC vers Ref (Km)'!EW132&lt;&gt;0,Y132,)+(56/60)+(59/60)</f>
        <v>109.91666666666667</v>
      </c>
      <c r="EX132" s="13">
        <f>IF('[1]FC vers Ref (Km)'!EX132&lt;&gt;0,Z132,)+1+(35/60)+(37/60)</f>
        <v>80.199999999999989</v>
      </c>
      <c r="EY132" s="13">
        <f>IF('[1]FC vers Ref (Km)'!EY132&lt;&gt;0,AA132,)+1+(18/60)</f>
        <v>19.3</v>
      </c>
      <c r="EZ132" s="13">
        <f>IF('[1]FC vers Ref (Km)'!EZ132&lt;&gt;0,AB132,)+1+(39/60)</f>
        <v>16.649999999999999</v>
      </c>
      <c r="FA132" s="13">
        <f>IF('[1]FC vers Ref (Km)'!FA132&lt;&gt;0,AC132,)+1+(47/60)</f>
        <v>8.7833333333333332</v>
      </c>
      <c r="FB132" s="12">
        <f>IF('[1]FC vers Ref (Km)'!FB132&lt;&gt;0,AD132,)</f>
        <v>0</v>
      </c>
      <c r="FC132" s="13">
        <f>IF('[1]FC vers Ref (Km)'!FC132&lt;&gt;0,AE132,)</f>
        <v>0</v>
      </c>
      <c r="FD132" s="13">
        <f>IF('[1]FC vers Ref (Km)'!FD132&lt;&gt;0,AF132,)+5+(31/60)+5+(51/60)+1+(8/60)</f>
        <v>66.5</v>
      </c>
      <c r="FE132" s="13">
        <f>IF('[1]FC vers Ref (Km)'!FE132&lt;&gt;0,AG132,)+4+(2/60)+5+(51/60)+1+(8/60)</f>
        <v>65.016666666666666</v>
      </c>
      <c r="FF132" s="13">
        <f>IF('[1]FC vers Ref (Km)'!FF132&lt;&gt;0,AH132,)+1+(7/60)+5+(51/60)+1+(8/60)</f>
        <v>62.1</v>
      </c>
      <c r="FG132" s="14">
        <f>IF('[1]FC vers Ref (Km)'!FG132&lt;&gt;0,AI132,)+15+(50/60)</f>
        <v>208.83333333333334</v>
      </c>
      <c r="FH132" s="14">
        <f>IF('[1]FC vers Ref (Km)'!FH132&lt;&gt;0,AJ132,)</f>
        <v>0</v>
      </c>
      <c r="FI132" s="14">
        <f>IF('[1]FC vers Ref (Km)'!FI132&lt;&gt;0,AK132,)+4+(40/60)+11+(32/60)</f>
        <v>209.2</v>
      </c>
      <c r="FJ132" s="14">
        <f>IF('[1]FC vers Ref (Km)'!FJ132&lt;&gt;0,AL132,)</f>
        <v>0</v>
      </c>
      <c r="FK132" s="14">
        <f>IF('[1]FC vers Ref (Km)'!FK132&lt;&gt;0,AM132,)</f>
        <v>0</v>
      </c>
      <c r="FL132" s="14">
        <f>IF('[1]FC vers Ref (Km)'!FL132&lt;&gt;0,AN132,)</f>
        <v>0</v>
      </c>
      <c r="FM132" s="14">
        <f>IF('[1]FC vers Ref (Km)'!FM132&lt;&gt;0,AO132,)+(55/60)</f>
        <v>381.91666666666669</v>
      </c>
      <c r="FN132" s="14">
        <f>IF('[1]FC vers Ref (Km)'!FN132&lt;&gt;0,AP132,)</f>
        <v>0</v>
      </c>
      <c r="FO132" s="14">
        <f>IF('[1]FC vers Ref (Km)'!FO132&lt;&gt;0,AQ132,)</f>
        <v>0</v>
      </c>
      <c r="FP132" s="14">
        <f>IF('[1]FC vers Ref (Km)'!FP132&lt;&gt;0,AR132,)</f>
        <v>0</v>
      </c>
      <c r="FQ132" s="14">
        <f>IF('[1]FC vers Ref (Km)'!FQ132&lt;&gt;0,AS132,)</f>
        <v>0</v>
      </c>
      <c r="FR132" s="14">
        <f>IF('[1]FC vers Ref (Km)'!FR132&lt;&gt;0,AT132,)</f>
        <v>0</v>
      </c>
      <c r="FS132" s="14">
        <f>IF('[1]FC vers Ref (Km)'!FS132&lt;&gt;0,AU132,)</f>
        <v>0</v>
      </c>
      <c r="FT132" s="14">
        <f>IF('[1]FC vers Ref (Km)'!FT132&lt;&gt;0,AV132,)+1+(7/60)</f>
        <v>382.11666666666667</v>
      </c>
      <c r="FU132" s="14">
        <f>IF('[1]FC vers Ref (Km)'!FU132&lt;&gt;0,AW132,)+8+(3/60)</f>
        <v>138.05000000000001</v>
      </c>
      <c r="FV132" s="14">
        <f>IF('[1]FC vers Ref (Km)'!FV132&lt;&gt;0,AX132,)+2*24+11</f>
        <v>189</v>
      </c>
      <c r="FW132" s="14">
        <f>IF('[1]FC vers Ref (Km)'!FW132&lt;&gt;0,AY132,)</f>
        <v>0</v>
      </c>
      <c r="FX132" s="14">
        <f>IF('[1]FC vers Ref (Km)'!FX132&lt;&gt;0,AZ132,)</f>
        <v>0</v>
      </c>
      <c r="FY132" s="14">
        <f>IF('[1]FC vers Ref (Km)'!FY132&lt;&gt;0,BA132,)+5+(41/60)</f>
        <v>196.68333333333334</v>
      </c>
      <c r="FZ132" s="14">
        <f>IF('[1]FC vers Ref (Km)'!FZ132&lt;&gt;0,BB132,)</f>
        <v>0</v>
      </c>
      <c r="GA132" s="13">
        <f>IF('[1]FC vers Ref (Km)'!GA132&lt;&gt;0,BC132,)</f>
        <v>0</v>
      </c>
      <c r="GB132" s="14">
        <f>IF('[1]FC vers Ref (Km)'!GB132&lt;&gt;0,BD132,)</f>
        <v>0</v>
      </c>
      <c r="GC132" s="14">
        <f>IF('[1]FC vers Ref (Km)'!GC132&lt;&gt;0,BE132,)+(30/60)</f>
        <v>390.5</v>
      </c>
      <c r="GD132" s="14">
        <f>IF('[1]FC vers Ref (Km)'!GD132&lt;&gt;0,BF132,)</f>
        <v>0</v>
      </c>
      <c r="GE132" s="13">
        <f>IF('[1]FC vers Ref (Km)'!GE132&lt;&gt;0,BG132,)+15+(1/60)</f>
        <v>100.01666666666667</v>
      </c>
      <c r="GF132" s="13">
        <f>IF('[1]FC vers Ref (Km)'!GF132&lt;&gt;0,BH132,)</f>
        <v>0</v>
      </c>
      <c r="GG132" s="14">
        <f>IF('[1]FC vers Ref (Km)'!GG132&lt;&gt;0,BI132,)</f>
        <v>0</v>
      </c>
      <c r="GH132" s="14">
        <f>IF('[1]FC vers Ref (Km)'!GH132&lt;&gt;0,BJ132,)</f>
        <v>0</v>
      </c>
      <c r="GI132" s="15">
        <f>IF('[1]FC vers Ref (Km)'!GI132&lt;&gt;0,BK132,)</f>
        <v>0</v>
      </c>
    </row>
    <row r="133" spans="1:191" x14ac:dyDescent="0.3">
      <c r="A133" s="10" t="s">
        <v>29</v>
      </c>
      <c r="B133" s="35" t="s">
        <v>73</v>
      </c>
      <c r="C133" s="16">
        <f>7*24+21</f>
        <v>189</v>
      </c>
      <c r="D133" s="14">
        <f>9*24+4</f>
        <v>220</v>
      </c>
      <c r="E133" s="14">
        <f>6*24+16</f>
        <v>160</v>
      </c>
      <c r="F133" s="14">
        <f>8*24+4</f>
        <v>196</v>
      </c>
      <c r="G133" s="14">
        <f>7*24+4</f>
        <v>172</v>
      </c>
      <c r="H133" s="14">
        <f>14*24+8</f>
        <v>344</v>
      </c>
      <c r="I133" s="14">
        <f>16*24+5</f>
        <v>389</v>
      </c>
      <c r="J133" s="14">
        <f>14*24+8</f>
        <v>344</v>
      </c>
      <c r="K133" s="14">
        <f>6*24+7</f>
        <v>151</v>
      </c>
      <c r="L133" s="14">
        <f>6*24+7</f>
        <v>151</v>
      </c>
      <c r="M133" s="14">
        <f>16*24+6</f>
        <v>390</v>
      </c>
      <c r="N133" s="14">
        <f>16*24+6</f>
        <v>390</v>
      </c>
      <c r="O133" s="14">
        <f>9*24+14</f>
        <v>230</v>
      </c>
      <c r="P133" s="14">
        <f>10*24+8</f>
        <v>248</v>
      </c>
      <c r="Q133" s="14">
        <f>8*24+12</f>
        <v>204</v>
      </c>
      <c r="R133" s="13">
        <f>1*24+8</f>
        <v>32</v>
      </c>
      <c r="S133" s="13">
        <f>2*24+2</f>
        <v>50</v>
      </c>
      <c r="T133" s="13">
        <f>1*24+12</f>
        <v>36</v>
      </c>
      <c r="U133" s="13">
        <f>1*24+16</f>
        <v>40</v>
      </c>
      <c r="V133" s="13">
        <f>4*24+19</f>
        <v>115</v>
      </c>
      <c r="W133" s="13">
        <f>6*24+11</f>
        <v>155</v>
      </c>
      <c r="X133" s="13">
        <v>13</v>
      </c>
      <c r="Y133" s="13">
        <v>0</v>
      </c>
      <c r="Z133" s="13">
        <f>24+8</f>
        <v>32</v>
      </c>
      <c r="AA133" s="13">
        <f>5*24+3</f>
        <v>123</v>
      </c>
      <c r="AB133" s="13">
        <f>5*24+2</f>
        <v>122</v>
      </c>
      <c r="AC133" s="13">
        <f>4*24+6</f>
        <v>102</v>
      </c>
      <c r="AD133" s="13">
        <f>4*24+12</f>
        <v>108</v>
      </c>
      <c r="AE133" s="12"/>
      <c r="AF133" s="13">
        <v>155</v>
      </c>
      <c r="AG133" s="13">
        <v>155</v>
      </c>
      <c r="AH133" s="13">
        <v>155</v>
      </c>
      <c r="AI133" s="14">
        <v>293</v>
      </c>
      <c r="AJ133" s="14">
        <v>361</v>
      </c>
      <c r="AK133" s="14">
        <v>293</v>
      </c>
      <c r="AL133" s="14">
        <v>334</v>
      </c>
      <c r="AM133" s="14">
        <v>496</v>
      </c>
      <c r="AN133" s="14">
        <v>487</v>
      </c>
      <c r="AO133" s="14">
        <v>481</v>
      </c>
      <c r="AP133" s="14">
        <v>493</v>
      </c>
      <c r="AQ133" s="14">
        <v>512</v>
      </c>
      <c r="AR133" s="14">
        <v>429</v>
      </c>
      <c r="AS133" s="14">
        <v>286</v>
      </c>
      <c r="AT133" s="14">
        <v>286</v>
      </c>
      <c r="AU133" s="14">
        <v>286</v>
      </c>
      <c r="AV133" s="14">
        <f>20*24+1</f>
        <v>481</v>
      </c>
      <c r="AW133" s="14">
        <f>24+5</f>
        <v>29</v>
      </c>
      <c r="AX133" s="14">
        <f>24+5</f>
        <v>29</v>
      </c>
      <c r="AY133" s="14">
        <f>20*24+20</f>
        <v>500</v>
      </c>
      <c r="AZ133" s="14"/>
      <c r="BA133" s="14">
        <f>12*24+3</f>
        <v>291</v>
      </c>
      <c r="BB133" s="14">
        <f>17*24+2</f>
        <v>410</v>
      </c>
      <c r="BC133" s="13">
        <f>18</f>
        <v>18</v>
      </c>
      <c r="BD133" s="14">
        <f>18*24+4</f>
        <v>436</v>
      </c>
      <c r="BE133" s="14">
        <f>20*24+10</f>
        <v>490</v>
      </c>
      <c r="BF133" s="14">
        <f>19*24+12</f>
        <v>468</v>
      </c>
      <c r="BG133" s="13">
        <f>7*24+17</f>
        <v>185</v>
      </c>
      <c r="BH133" s="13">
        <f>6*24+4</f>
        <v>148</v>
      </c>
      <c r="BI133" s="14">
        <f>9*24+21</f>
        <v>237</v>
      </c>
      <c r="BJ133" s="14">
        <f>13*24+21</f>
        <v>333</v>
      </c>
      <c r="BK133" s="15">
        <f>13*24+21</f>
        <v>333</v>
      </c>
      <c r="BM133" s="10" t="s">
        <v>29</v>
      </c>
      <c r="BN133" s="35" t="s">
        <v>73</v>
      </c>
      <c r="BO133" s="16">
        <f>IF('[1]FC vers Ref (Km)'!BO133&lt;&gt;0,'Délai intermédiaire'!C133,)</f>
        <v>0</v>
      </c>
      <c r="BP133" s="14">
        <f>IF('[1]FC vers Ref (Km)'!BP133&lt;&gt;0,'Délai intermédiaire'!D133,)</f>
        <v>0</v>
      </c>
      <c r="BQ133" s="14">
        <f>IF('[1]FC vers Ref (Km)'!BQ133&lt;&gt;0,'Délai intermédiaire'!E133,)+19+(49/60)</f>
        <v>179.81666666666666</v>
      </c>
      <c r="BR133" s="14">
        <f>IF('[1]FC vers Ref (Km)'!BR133&lt;&gt;0,'Délai intermédiaire'!F133,)</f>
        <v>0</v>
      </c>
      <c r="BS133" s="14">
        <f>IF('[1]FC vers Ref (Km)'!BS133&lt;&gt;0,'Délai intermédiaire'!G133,)+(48/60)</f>
        <v>172.8</v>
      </c>
      <c r="BT133" s="14">
        <f>IF('[1]FC vers Ref (Km)'!BT133&lt;&gt;0,'Délai intermédiaire'!H133,)+15+(47/60)</f>
        <v>359.78333333333336</v>
      </c>
      <c r="BU133" s="14">
        <f>IF('[1]FC vers Ref (Km)'!BU133&lt;&gt;0,'Délai intermédiaire'!I133,)</f>
        <v>0</v>
      </c>
      <c r="BV133" s="14">
        <f>IF('[1]FC vers Ref (Km)'!BV133&lt;&gt;0,'Délai intermédiaire'!J133,)</f>
        <v>0</v>
      </c>
      <c r="BW133" s="14">
        <f>IF('[1]FC vers Ref (Km)'!BW133&lt;&gt;0,'Délai intermédiaire'!K133,)+6+(13/60)</f>
        <v>157.21666666666667</v>
      </c>
      <c r="BX133" s="14">
        <f>IF('[1]FC vers Ref (Km)'!BX133&lt;&gt;0,'Délai intermédiaire'!L133,)</f>
        <v>0</v>
      </c>
      <c r="BY133" s="14">
        <f>IF('[1]FC vers Ref (Km)'!BY133&lt;&gt;0,'Délai intermédiaire'!M133,)+11+(1/60)</f>
        <v>401.01666666666665</v>
      </c>
      <c r="BZ133" s="14">
        <f>IF('[1]FC vers Ref (Km)'!BZ133&lt;&gt;0,'Délai intermédiaire'!N133,)</f>
        <v>0</v>
      </c>
      <c r="CA133" s="14">
        <f>IF('[1]FC vers Ref (Km)'!CA133&lt;&gt;0,'Délai intermédiaire'!O133,)+4+(51/60)</f>
        <v>234.85</v>
      </c>
      <c r="CB133" s="14">
        <f>IF('[1]FC vers Ref (Km)'!CB133&lt;&gt;0,'Délai intermédiaire'!P133,)+5+(3/60)</f>
        <v>253.05</v>
      </c>
      <c r="CC133" s="14">
        <f>IF('[1]FC vers Ref (Km)'!CC133&lt;&gt;0,'Délai intermédiaire'!Q133,)+(40/60)</f>
        <v>204.66666666666666</v>
      </c>
      <c r="CD133" s="13">
        <f>IF('[1]FC vers Ref (Km)'!CD133&lt;&gt;0,'Délai intermédiaire'!R133,)</f>
        <v>0</v>
      </c>
      <c r="CE133" s="13">
        <f>IF('[1]FC vers Ref (Km)'!CE133&lt;&gt;0,'Délai intermédiaire'!S133,)</f>
        <v>0</v>
      </c>
      <c r="CF133" s="13">
        <f>IF('[1]FC vers Ref (Km)'!CF133&lt;&gt;0,'Délai intermédiaire'!T133,)</f>
        <v>0</v>
      </c>
      <c r="CG133" s="13">
        <f>IF('[1]FC vers Ref (Km)'!CG133&lt;&gt;0,'Délai intermédiaire'!U133,)+1+(53/60)</f>
        <v>41.883333333333333</v>
      </c>
      <c r="CH133" s="13">
        <f>IF('[1]FC vers Ref (Km)'!CH133&lt;&gt;0,'Délai intermédiaire'!V133,)+2+(57/60)</f>
        <v>117.95</v>
      </c>
      <c r="CI133" s="13">
        <f>IF('[1]FC vers Ref (Km)'!CI133&lt;&gt;0,'Délai intermédiaire'!W133,)+4+(47/60)</f>
        <v>159.78333333333333</v>
      </c>
      <c r="CJ133" s="13">
        <f>IF('[1]FC vers Ref (Km)'!CJ133&lt;&gt;0,'Délai intermédiaire'!X133,)</f>
        <v>0</v>
      </c>
      <c r="CK133" s="13"/>
      <c r="CL133" s="13">
        <f>IF('[1]FC vers Ref (Km)'!CL133&lt;&gt;0,'Délai intermédiaire'!Z133,)+2+(30/60)</f>
        <v>34.5</v>
      </c>
      <c r="CM133" s="13">
        <f>IF('[1]FC vers Ref (Km)'!CM133&lt;&gt;0,'Délai intermédiaire'!AA133,)+(56/60)</f>
        <v>123.93333333333334</v>
      </c>
      <c r="CN133" s="13">
        <f>IF('[1]FC vers Ref (Km)'!CN133&lt;&gt;0,'Délai intermédiaire'!AB133,)+1+(39/60)</f>
        <v>123.65</v>
      </c>
      <c r="CO133" s="13">
        <f>IF('[1]FC vers Ref (Km)'!CO133&lt;&gt;0,'Délai intermédiaire'!AC133,)+3+(25/60)</f>
        <v>105.41666666666667</v>
      </c>
      <c r="CP133" s="13">
        <f>IF('[1]FC vers Ref (Km)'!CP133&lt;&gt;0,'Délai intermédiaire'!AD133,)</f>
        <v>0</v>
      </c>
      <c r="CQ133" s="12"/>
      <c r="CR133" s="13">
        <f>IF('[1]FC vers Ref (Km)'!CR133&lt;&gt;0,'Délai intermédiaire'!AF133,)+9+(1/60)</f>
        <v>164.01666666666668</v>
      </c>
      <c r="CS133" s="13">
        <f>IF('[1]FC vers Ref (Km)'!CS133&lt;&gt;0,'Délai intermédiaire'!AG133,)+7+(48/60)</f>
        <v>162.80000000000001</v>
      </c>
      <c r="CT133" s="13">
        <f>IF('[1]FC vers Ref (Km)'!CT133&lt;&gt;0,'Délai intermédiaire'!AH133,)+5+(5/60)</f>
        <v>160.08333333333334</v>
      </c>
      <c r="CU133" s="14">
        <f>IF('[1]FC vers Ref (Km)'!CU133&lt;&gt;0,'Délai intermédiaire'!AI133,)+19+(46/60)</f>
        <v>312.76666666666665</v>
      </c>
      <c r="CV133" s="14">
        <f>IF('[1]FC vers Ref (Km)'!CV133&lt;&gt;0,'Délai intermédiaire'!AJ133,)</f>
        <v>0</v>
      </c>
      <c r="CW133" s="14">
        <f>IF('[1]FC vers Ref (Km)'!CW133&lt;&gt;0,'Délai intermédiaire'!AK133,)+12+(26/60)</f>
        <v>305.43333333333334</v>
      </c>
      <c r="CX133" s="14">
        <f>IF('[1]FC vers Ref (Km)'!CX133&lt;&gt;0,'Délai intermédiaire'!AL133,)</f>
        <v>0</v>
      </c>
      <c r="CY133" s="14">
        <f>IF('[1]FC vers Ref (Km)'!CY133&lt;&gt;0,'Délai intermédiaire'!AM133,)</f>
        <v>0</v>
      </c>
      <c r="CZ133" s="14">
        <f>IF('[1]FC vers Ref (Km)'!CZ133&lt;&gt;0,'Délai intermédiaire'!AN133,)</f>
        <v>0</v>
      </c>
      <c r="DA133" s="14">
        <f>IF('[1]FC vers Ref (Km)'!DA133&lt;&gt;0,'Délai intermédiaire'!AO133,)+1+(56/60)</f>
        <v>482.93333333333334</v>
      </c>
      <c r="DB133" s="14">
        <f>IF('[1]FC vers Ref (Km)'!DB133&lt;&gt;0,'Délai intermédiaire'!AP133,)</f>
        <v>0</v>
      </c>
      <c r="DC133" s="14">
        <f>IF('[1]FC vers Ref (Km)'!DC133&lt;&gt;0,'Délai intermédiaire'!AQ133,)</f>
        <v>0</v>
      </c>
      <c r="DD133" s="14">
        <f>IF('[1]FC vers Ref (Km)'!DD133&lt;&gt;0,'Délai intermédiaire'!AR133,)</f>
        <v>0</v>
      </c>
      <c r="DE133" s="14">
        <f>IF('[1]FC vers Ref (Km)'!DE133&lt;&gt;0,'Délai intermédiaire'!AS133,)</f>
        <v>0</v>
      </c>
      <c r="DF133" s="14">
        <f>IF('[1]FC vers Ref (Km)'!DF133&lt;&gt;0,'Délai intermédiaire'!AT133,)+20+(5/60)</f>
        <v>306.08333333333331</v>
      </c>
      <c r="DG133" s="14">
        <f>IF('[1]FC vers Ref (Km)'!DG133&lt;&gt;0,'Délai intermédiaire'!AU133,)+11+(36/60)</f>
        <v>297.60000000000002</v>
      </c>
      <c r="DH133" s="14">
        <f>IF('[1]FC vers Ref (Km)'!DH133&lt;&gt;0,'Délai intermédiaire'!AV133,)+(28/60)</f>
        <v>481.46666666666664</v>
      </c>
      <c r="DI133" s="14">
        <f>IF('[1]FC vers Ref (Km)'!DI133&lt;&gt;0,'Délai intermédiaire'!AW133,)+7+(13/60)</f>
        <v>36.216666666666669</v>
      </c>
      <c r="DJ133" s="14">
        <f>IF('[1]FC vers Ref (Km)'!DJ133&lt;&gt;0,'Délai intermédiaire'!AX133,)+2*24+15</f>
        <v>92</v>
      </c>
      <c r="DK133" s="14">
        <f>IF('[1]FC vers Ref (Km)'!DK133&lt;&gt;0,'Délai intermédiaire'!AY133,)</f>
        <v>0</v>
      </c>
      <c r="DL133" s="14">
        <f>IF('[1]FC vers Ref (Km)'!DL133&lt;&gt;0,'Délai intermédiaire'!AZ133,)</f>
        <v>0</v>
      </c>
      <c r="DM133" s="14">
        <f>IF('[1]FC vers Ref (Km)'!DM133&lt;&gt;0,'Délai intermédiaire'!BA133,)+7+(17/60)</f>
        <v>298.28333333333336</v>
      </c>
      <c r="DN133" s="14">
        <f>IF('[1]FC vers Ref (Km)'!DN133&lt;&gt;0,'Délai intermédiaire'!BB133,)</f>
        <v>0</v>
      </c>
      <c r="DO133" s="13">
        <f>IF('[1]FC vers Ref (Km)'!DO133&lt;&gt;0,'Délai intermédiaire'!BC133,)</f>
        <v>0</v>
      </c>
      <c r="DP133" s="14">
        <f>IF('[1]FC vers Ref (Km)'!DP133&lt;&gt;0,'Délai intermédiaire'!BD133,)</f>
        <v>0</v>
      </c>
      <c r="DQ133" s="14">
        <f>IF('[1]FC vers Ref (Km)'!DQ133&lt;&gt;0,'Délai intermédiaire'!BE133,)+1+(22/60)</f>
        <v>491.36666666666667</v>
      </c>
      <c r="DR133" s="14">
        <f>IF('[1]FC vers Ref (Km)'!DR133&lt;&gt;0,'Délai intermédiaire'!BF133,)</f>
        <v>0</v>
      </c>
      <c r="DS133" s="13">
        <f>IF('[1]FC vers Ref (Km)'!DS133&lt;&gt;0,'Délai intermédiaire'!BG133,)+10+(43/60)</f>
        <v>195.71666666666667</v>
      </c>
      <c r="DT133" s="13">
        <f>IF('[1]FC vers Ref (Km)'!DT133&lt;&gt;0,'Délai intermédiaire'!BH133,)+(12/60)</f>
        <v>148.19999999999999</v>
      </c>
      <c r="DU133" s="14">
        <f>IF('[1]FC vers Ref (Km)'!DU133&lt;&gt;0,'Délai intermédiaire'!BI133,)+7+(45/60)</f>
        <v>244.75</v>
      </c>
      <c r="DV133" s="14">
        <f>IF('[1]FC vers Ref (Km)'!DV133&lt;&gt;0,'Délai intermédiaire'!BJ133,)+1+(10/60)</f>
        <v>334.16666666666669</v>
      </c>
      <c r="DW133" s="15">
        <f>IF('[1]FC vers Ref (Km)'!DW133&lt;&gt;0,'Délai intermédiaire'!BK133,)+12+(41/60)</f>
        <v>345.68333333333334</v>
      </c>
      <c r="DX133" s="27"/>
      <c r="DY133" s="10" t="s">
        <v>29</v>
      </c>
      <c r="DZ133" s="35" t="s">
        <v>73</v>
      </c>
      <c r="EA133" s="16">
        <f>IF('[1]FC vers Ref (Km)'!EA133&lt;&gt;0,C133,)</f>
        <v>0</v>
      </c>
      <c r="EB133" s="14">
        <f>IF('[1]FC vers Ref (Km)'!EB133&lt;&gt;0,D133,)</f>
        <v>0</v>
      </c>
      <c r="EC133" s="14">
        <f>IF('[1]FC vers Ref (Km)'!EC133&lt;&gt;0,E133,)+7+(55/60)+19+(53/60)</f>
        <v>187.79999999999998</v>
      </c>
      <c r="ED133" s="14">
        <f>IF('[1]FC vers Ref (Km)'!ED133&lt;&gt;0,F133,)</f>
        <v>0</v>
      </c>
      <c r="EE133" s="14">
        <f>IF('[1]FC vers Ref (Km)'!EE133&lt;&gt;0,G133,)+(32/60)</f>
        <v>172.53333333333333</v>
      </c>
      <c r="EF133" s="14">
        <f>IF('[1]FC vers Ref (Km)'!EF133&lt;&gt;0,H133,)+14+(25/60)+31+(8/60)</f>
        <v>389.55</v>
      </c>
      <c r="EG133" s="14">
        <f>IF('[1]FC vers Ref (Km)'!EG133&lt;&gt;0,I133,)</f>
        <v>0</v>
      </c>
      <c r="EH133" s="14">
        <f>IF('[1]FC vers Ref (Km)'!EH133&lt;&gt;0,J133,)</f>
        <v>0</v>
      </c>
      <c r="EI133" s="14">
        <f>IF('[1]FC vers Ref (Km)'!EI133&lt;&gt;0,K133,)+5+(11/60)</f>
        <v>156.18333333333334</v>
      </c>
      <c r="EJ133" s="14">
        <f>IF('[1]FC vers Ref (Km)'!EJ133&lt;&gt;0,L133,)</f>
        <v>0</v>
      </c>
      <c r="EK133" s="14">
        <f>IF('[1]FC vers Ref (Km)'!EK133&lt;&gt;0,M133,)</f>
        <v>0</v>
      </c>
      <c r="EL133" s="14">
        <f>IF('[1]FC vers Ref (Km)'!EL133&lt;&gt;0,N133,)</f>
        <v>0</v>
      </c>
      <c r="EM133" s="14">
        <f>IF('[1]FC vers Ref (Km)'!EM133&lt;&gt;0,O133,)</f>
        <v>0</v>
      </c>
      <c r="EN133" s="14">
        <f>IF('[1]FC vers Ref (Km)'!EN133&lt;&gt;0,P133,)</f>
        <v>0</v>
      </c>
      <c r="EO133" s="14">
        <f>IF('[1]FC vers Ref (Km)'!EO133&lt;&gt;0,Q133,)</f>
        <v>0</v>
      </c>
      <c r="EP133" s="13">
        <f>IF('[1]FC vers Ref (Km)'!EP133&lt;&gt;0,R133,)</f>
        <v>0</v>
      </c>
      <c r="EQ133" s="13">
        <f>IF('[1]FC vers Ref (Km)'!EQ133&lt;&gt;0,S133,)</f>
        <v>0</v>
      </c>
      <c r="ER133" s="13">
        <f>IF('[1]FC vers Ref (Km)'!ER133&lt;&gt;0,T133,)</f>
        <v>0</v>
      </c>
      <c r="ES133" s="13">
        <f>IF('[1]FC vers Ref (Km)'!ES133&lt;&gt;0,U133,)+2+(21/60)</f>
        <v>42.35</v>
      </c>
      <c r="ET133" s="13">
        <f>IF('[1]FC vers Ref (Km)'!ET133&lt;&gt;0,V133,)+1+(44/60)</f>
        <v>116.73333333333333</v>
      </c>
      <c r="EU133" s="13">
        <f>IF('[1]FC vers Ref (Km)'!EU133&lt;&gt;0,W133,)+1+(47/60)+2+(31/60)+2+(54/60)</f>
        <v>162.20000000000002</v>
      </c>
      <c r="EV133" s="13">
        <f>IF('[1]FC vers Ref (Km)'!EV133&lt;&gt;0,X133,)</f>
        <v>0</v>
      </c>
      <c r="EW133" s="13">
        <f>IF('[1]FC vers Ref (Km)'!EW133&lt;&gt;0,Y133,)+(56/60)+(59/60)</f>
        <v>1.9166666666666665</v>
      </c>
      <c r="EX133" s="13">
        <f>IF('[1]FC vers Ref (Km)'!EX133&lt;&gt;0,Z133,)+1+(35/60)+(37/60)</f>
        <v>34.200000000000003</v>
      </c>
      <c r="EY133" s="13">
        <f>IF('[1]FC vers Ref (Km)'!EY133&lt;&gt;0,AA133,)+1+(18/60)</f>
        <v>124.3</v>
      </c>
      <c r="EZ133" s="13">
        <f>IF('[1]FC vers Ref (Km)'!EZ133&lt;&gt;0,AB133,)+1+(39/60)</f>
        <v>123.65</v>
      </c>
      <c r="FA133" s="13">
        <f>IF('[1]FC vers Ref (Km)'!FA133&lt;&gt;0,AC133,)+1+(47/60)</f>
        <v>103.78333333333333</v>
      </c>
      <c r="FB133" s="13">
        <f>IF('[1]FC vers Ref (Km)'!FB133&lt;&gt;0,AD133,)</f>
        <v>0</v>
      </c>
      <c r="FC133" s="12">
        <f>IF('[1]FC vers Ref (Km)'!FC133&lt;&gt;0,AE133,)</f>
        <v>0</v>
      </c>
      <c r="FD133" s="13">
        <f>IF('[1]FC vers Ref (Km)'!FD133&lt;&gt;0,AF133,)+5+(31/60)+5+(51/60)+1+(8/60)</f>
        <v>167.5</v>
      </c>
      <c r="FE133" s="13">
        <f>IF('[1]FC vers Ref (Km)'!FE133&lt;&gt;0,AG133,)+4+(2/60)+5+(51/60)+1+(8/60)</f>
        <v>166.01666666666665</v>
      </c>
      <c r="FF133" s="13">
        <f>IF('[1]FC vers Ref (Km)'!FF133&lt;&gt;0,AH133,)+1+(7/60)+5+(51/60)+1+(8/60)</f>
        <v>163.1</v>
      </c>
      <c r="FG133" s="14">
        <f>IF('[1]FC vers Ref (Km)'!FG133&lt;&gt;0,AI133,)+15+(50/60)</f>
        <v>308.83333333333331</v>
      </c>
      <c r="FH133" s="14">
        <f>IF('[1]FC vers Ref (Km)'!FH133&lt;&gt;0,AJ133,)</f>
        <v>0</v>
      </c>
      <c r="FI133" s="14">
        <f>IF('[1]FC vers Ref (Km)'!FI133&lt;&gt;0,AK133,)+4+(40/60)+11+(32/60)</f>
        <v>309.20000000000005</v>
      </c>
      <c r="FJ133" s="14">
        <f>IF('[1]FC vers Ref (Km)'!FJ133&lt;&gt;0,AL133,)</f>
        <v>0</v>
      </c>
      <c r="FK133" s="14">
        <f>IF('[1]FC vers Ref (Km)'!FK133&lt;&gt;0,AM133,)</f>
        <v>0</v>
      </c>
      <c r="FL133" s="14">
        <f>IF('[1]FC vers Ref (Km)'!FL133&lt;&gt;0,AN133,)</f>
        <v>0</v>
      </c>
      <c r="FM133" s="14">
        <f>IF('[1]FC vers Ref (Km)'!FM133&lt;&gt;0,AO133,)+(55/60)</f>
        <v>481.91666666666669</v>
      </c>
      <c r="FN133" s="14">
        <f>IF('[1]FC vers Ref (Km)'!FN133&lt;&gt;0,AP133,)</f>
        <v>0</v>
      </c>
      <c r="FO133" s="14">
        <f>IF('[1]FC vers Ref (Km)'!FO133&lt;&gt;0,AQ133,)</f>
        <v>0</v>
      </c>
      <c r="FP133" s="14">
        <f>IF('[1]FC vers Ref (Km)'!FP133&lt;&gt;0,AR133,)</f>
        <v>0</v>
      </c>
      <c r="FQ133" s="14">
        <f>IF('[1]FC vers Ref (Km)'!FQ133&lt;&gt;0,AS133,)</f>
        <v>0</v>
      </c>
      <c r="FR133" s="14">
        <f>IF('[1]FC vers Ref (Km)'!FR133&lt;&gt;0,AT133,)</f>
        <v>0</v>
      </c>
      <c r="FS133" s="14">
        <f>IF('[1]FC vers Ref (Km)'!FS133&lt;&gt;0,AU133,)</f>
        <v>0</v>
      </c>
      <c r="FT133" s="14">
        <f>IF('[1]FC vers Ref (Km)'!FT133&lt;&gt;0,AV133,)+1+(7/60)</f>
        <v>482.11666666666667</v>
      </c>
      <c r="FU133" s="14">
        <f>IF('[1]FC vers Ref (Km)'!FU133&lt;&gt;0,AW133,)+8+(3/60)</f>
        <v>37.049999999999997</v>
      </c>
      <c r="FV133" s="14">
        <f>IF('[1]FC vers Ref (Km)'!FV133&lt;&gt;0,AX133,)+2*24+11</f>
        <v>88</v>
      </c>
      <c r="FW133" s="14">
        <f>IF('[1]FC vers Ref (Km)'!FW133&lt;&gt;0,AY133,)</f>
        <v>0</v>
      </c>
      <c r="FX133" s="14">
        <f>IF('[1]FC vers Ref (Km)'!FX133&lt;&gt;0,AZ133,)</f>
        <v>0</v>
      </c>
      <c r="FY133" s="14">
        <f>IF('[1]FC vers Ref (Km)'!FY133&lt;&gt;0,BA133,)+5+(41/60)</f>
        <v>296.68333333333334</v>
      </c>
      <c r="FZ133" s="14">
        <f>IF('[1]FC vers Ref (Km)'!FZ133&lt;&gt;0,BB133,)</f>
        <v>0</v>
      </c>
      <c r="GA133" s="13">
        <f>IF('[1]FC vers Ref (Km)'!GA133&lt;&gt;0,BC133,)</f>
        <v>0</v>
      </c>
      <c r="GB133" s="14">
        <f>IF('[1]FC vers Ref (Km)'!GB133&lt;&gt;0,BD133,)</f>
        <v>0</v>
      </c>
      <c r="GC133" s="14">
        <f>IF('[1]FC vers Ref (Km)'!GC133&lt;&gt;0,BE133,)+(30/60)</f>
        <v>490.5</v>
      </c>
      <c r="GD133" s="14">
        <f>IF('[1]FC vers Ref (Km)'!GD133&lt;&gt;0,BF133,)</f>
        <v>0</v>
      </c>
      <c r="GE133" s="13">
        <f>IF('[1]FC vers Ref (Km)'!GE133&lt;&gt;0,BG133,)+15+(1/60)</f>
        <v>200.01666666666668</v>
      </c>
      <c r="GF133" s="13">
        <f>IF('[1]FC vers Ref (Km)'!GF133&lt;&gt;0,BH133,)</f>
        <v>0</v>
      </c>
      <c r="GG133" s="14">
        <f>IF('[1]FC vers Ref (Km)'!GG133&lt;&gt;0,BI133,)</f>
        <v>0</v>
      </c>
      <c r="GH133" s="14">
        <f>IF('[1]FC vers Ref (Km)'!GH133&lt;&gt;0,BJ133,)</f>
        <v>0</v>
      </c>
      <c r="GI133" s="15">
        <f>IF('[1]FC vers Ref (Km)'!GI133&lt;&gt;0,BK133,)</f>
        <v>0</v>
      </c>
    </row>
    <row r="134" spans="1:191" x14ac:dyDescent="0.3">
      <c r="A134" s="10" t="s">
        <v>30</v>
      </c>
      <c r="B134" s="35" t="s">
        <v>82</v>
      </c>
      <c r="C134" s="16">
        <f>9*24+13</f>
        <v>229</v>
      </c>
      <c r="D134" s="14">
        <f>10*24+19</f>
        <v>259</v>
      </c>
      <c r="E134" s="14">
        <f>8*24+10</f>
        <v>202</v>
      </c>
      <c r="F134" s="14">
        <f>10*24+6</f>
        <v>246</v>
      </c>
      <c r="G134" s="14">
        <f>8*24+22</f>
        <v>214</v>
      </c>
      <c r="H134" s="14">
        <f>15*24+12</f>
        <v>372</v>
      </c>
      <c r="I134" s="14">
        <f>17*24+9</f>
        <v>417</v>
      </c>
      <c r="J134" s="14">
        <f>15*24+12</f>
        <v>372</v>
      </c>
      <c r="K134" s="14">
        <f t="shared" ref="K134:L136" si="0">8*24+9</f>
        <v>201</v>
      </c>
      <c r="L134" s="14">
        <f t="shared" si="0"/>
        <v>201</v>
      </c>
      <c r="M134" s="14">
        <f t="shared" ref="M134:N136" si="1">17*24+10</f>
        <v>418</v>
      </c>
      <c r="N134" s="14">
        <f t="shared" si="1"/>
        <v>418</v>
      </c>
      <c r="O134" s="14">
        <f>11*24+5</f>
        <v>269</v>
      </c>
      <c r="P134" s="14">
        <f>10*24+3</f>
        <v>243</v>
      </c>
      <c r="Q134" s="14">
        <f>8*24+7</f>
        <v>199</v>
      </c>
      <c r="R134" s="13">
        <f>5*24+16</f>
        <v>136</v>
      </c>
      <c r="S134" s="13">
        <f>5*24+1</f>
        <v>121</v>
      </c>
      <c r="T134" s="13">
        <f>5*24+4</f>
        <v>124</v>
      </c>
      <c r="U134" s="13">
        <f>4*24+21</f>
        <v>117</v>
      </c>
      <c r="V134" s="13">
        <f>2*24+2</f>
        <v>50</v>
      </c>
      <c r="W134" s="13">
        <v>0</v>
      </c>
      <c r="X134" s="13">
        <f>5*24+16</f>
        <v>136</v>
      </c>
      <c r="Y134" s="13">
        <f>6*24+11</f>
        <v>155</v>
      </c>
      <c r="Z134" s="13">
        <f>5*24+5</f>
        <v>125</v>
      </c>
      <c r="AA134" s="13">
        <f>1*24+15</f>
        <v>39</v>
      </c>
      <c r="AB134" s="13">
        <f>24+22</f>
        <v>46</v>
      </c>
      <c r="AC134" s="13">
        <f>2*24+10</f>
        <v>58</v>
      </c>
      <c r="AD134" s="13">
        <f>2*24+6</f>
        <v>54</v>
      </c>
      <c r="AE134" s="13">
        <f>6*24+11</f>
        <v>155</v>
      </c>
      <c r="AF134" s="12"/>
      <c r="AG134" s="13">
        <v>0</v>
      </c>
      <c r="AH134" s="13">
        <v>0</v>
      </c>
      <c r="AI134" s="14">
        <v>181</v>
      </c>
      <c r="AJ134" s="14">
        <v>249</v>
      </c>
      <c r="AK134" s="14">
        <v>181</v>
      </c>
      <c r="AL134" s="14">
        <v>222</v>
      </c>
      <c r="AM134" s="14">
        <v>384</v>
      </c>
      <c r="AN134" s="14">
        <v>375</v>
      </c>
      <c r="AO134" s="14">
        <v>369</v>
      </c>
      <c r="AP134" s="14">
        <v>380</v>
      </c>
      <c r="AQ134" s="14">
        <v>400</v>
      </c>
      <c r="AR134" s="14">
        <v>316</v>
      </c>
      <c r="AS134" s="14">
        <v>174</v>
      </c>
      <c r="AT134" s="14">
        <v>174</v>
      </c>
      <c r="AU134" s="14">
        <v>174</v>
      </c>
      <c r="AV134" s="14">
        <f>15*24+9</f>
        <v>369</v>
      </c>
      <c r="AW134" s="14">
        <f t="shared" ref="AW134:AX136" si="2">7*24+9</f>
        <v>177</v>
      </c>
      <c r="AX134" s="14">
        <f t="shared" si="2"/>
        <v>177</v>
      </c>
      <c r="AY134" s="14">
        <f>16*24+4</f>
        <v>388</v>
      </c>
      <c r="AZ134" s="14"/>
      <c r="BA134" s="14">
        <f>7*24+10</f>
        <v>178</v>
      </c>
      <c r="BB134" s="14">
        <f>12*24+9</f>
        <v>297</v>
      </c>
      <c r="BC134" s="13">
        <f>6*24+22</f>
        <v>166</v>
      </c>
      <c r="BD134" s="14">
        <f>13*24+12</f>
        <v>324</v>
      </c>
      <c r="BE134" s="14">
        <f>15*24+18</f>
        <v>378</v>
      </c>
      <c r="BF134" s="14">
        <f>14*24+20</f>
        <v>356</v>
      </c>
      <c r="BG134" s="13">
        <f>2*24+23</f>
        <v>71</v>
      </c>
      <c r="BH134" s="13">
        <f>24+11</f>
        <v>35</v>
      </c>
      <c r="BI134" s="14">
        <f>11*24+1</f>
        <v>265</v>
      </c>
      <c r="BJ134" s="14">
        <f t="shared" ref="BJ134:BK136" si="3">15*24+1</f>
        <v>361</v>
      </c>
      <c r="BK134" s="15">
        <f t="shared" si="3"/>
        <v>361</v>
      </c>
      <c r="BM134" s="10" t="s">
        <v>30</v>
      </c>
      <c r="BN134" s="35" t="s">
        <v>82</v>
      </c>
      <c r="BO134" s="16">
        <f>IF('[1]FC vers Ref (Km)'!BO134&lt;&gt;0,'Délai intermédiaire'!C134,)+9+(1/60)</f>
        <v>238.01666666666668</v>
      </c>
      <c r="BP134" s="14">
        <f>IF('[1]FC vers Ref (Km)'!BP134&lt;&gt;0,'Délai intermédiaire'!D134,)+9+(1/60)</f>
        <v>268.01666666666665</v>
      </c>
      <c r="BQ134" s="14">
        <f>IF('[1]FC vers Ref (Km)'!BQ134&lt;&gt;0,'Délai intermédiaire'!E134,)+9+(1/60)+19+(49/60)</f>
        <v>230.83333333333334</v>
      </c>
      <c r="BR134" s="14">
        <f>IF('[1]FC vers Ref (Km)'!BR134&lt;&gt;0,'Délai intermédiaire'!F134,)+9+(1/60)</f>
        <v>255.01666666666668</v>
      </c>
      <c r="BS134" s="14">
        <f>IF('[1]FC vers Ref (Km)'!BS134&lt;&gt;0,'Délai intermédiaire'!G134,)+9+(1/60)+(48/60)</f>
        <v>223.81666666666669</v>
      </c>
      <c r="BT134" s="14">
        <f>IF('[1]FC vers Ref (Km)'!BT134&lt;&gt;0,'Délai intermédiaire'!H134,)+9+(1/60)+15+(47/60)</f>
        <v>396.8</v>
      </c>
      <c r="BU134" s="14">
        <f>IF('[1]FC vers Ref (Km)'!BU134&lt;&gt;0,'Délai intermédiaire'!I134,)+9+(1/60)</f>
        <v>426.01666666666665</v>
      </c>
      <c r="BV134" s="14">
        <f>IF('[1]FC vers Ref (Km)'!BV134&lt;&gt;0,'Délai intermédiaire'!J134,)+9+(1/60)</f>
        <v>381.01666666666665</v>
      </c>
      <c r="BW134" s="14">
        <f>IF('[1]FC vers Ref (Km)'!BW134&lt;&gt;0,'Délai intermédiaire'!K134,)+9+(1/60)+6+(13/60)</f>
        <v>216.23333333333335</v>
      </c>
      <c r="BX134" s="14">
        <f>IF('[1]FC vers Ref (Km)'!BX134&lt;&gt;0,'Délai intermédiaire'!L134,)+9+(1/60)</f>
        <v>210.01666666666668</v>
      </c>
      <c r="BY134" s="14">
        <f>IF('[1]FC vers Ref (Km)'!BY134&lt;&gt;0,'Délai intermédiaire'!M134,)+9+(1/60)+11+(1/60)</f>
        <v>438.0333333333333</v>
      </c>
      <c r="BZ134" s="14">
        <f>IF('[1]FC vers Ref (Km)'!BZ134&lt;&gt;0,'Délai intermédiaire'!N134,)+9+(1/60)</f>
        <v>427.01666666666665</v>
      </c>
      <c r="CA134" s="14">
        <f>IF('[1]FC vers Ref (Km)'!CA134&lt;&gt;0,'Délai intermédiaire'!O134,)+9+(1/60)+4+(51/60)</f>
        <v>282.86666666666667</v>
      </c>
      <c r="CB134" s="14">
        <f>IF('[1]FC vers Ref (Km)'!CB134&lt;&gt;0,'Délai intermédiaire'!P134,)+9+(1/60)+5+(3/60)</f>
        <v>257.06666666666666</v>
      </c>
      <c r="CC134" s="14">
        <f>IF('[1]FC vers Ref (Km)'!CC134&lt;&gt;0,'Délai intermédiaire'!Q134,)+9+(1/60)+(40/60)</f>
        <v>208.68333333333334</v>
      </c>
      <c r="CD134" s="13">
        <f>IF('[1]FC vers Ref (Km)'!CD134&lt;&gt;0,'Délai intermédiaire'!R134,)+9+(1/60)</f>
        <v>145.01666666666668</v>
      </c>
      <c r="CE134" s="13">
        <f>IF('[1]FC vers Ref (Km)'!CE134&lt;&gt;0,'Délai intermédiaire'!S134,)+9+(1/60)</f>
        <v>130.01666666666668</v>
      </c>
      <c r="CF134" s="13">
        <f>IF('[1]FC vers Ref (Km)'!CF134&lt;&gt;0,'Délai intermédiaire'!T134,)+9+(1/60)</f>
        <v>133.01666666666668</v>
      </c>
      <c r="CG134" s="13">
        <f>IF('[1]FC vers Ref (Km)'!CG134&lt;&gt;0,'Délai intermédiaire'!U134,)+9+(1/60)+1+(53/60)</f>
        <v>127.9</v>
      </c>
      <c r="CH134" s="13">
        <f>IF('[1]FC vers Ref (Km)'!CH134&lt;&gt;0,'Délai intermédiaire'!V134,)+9+(1/60)+2+(57/60)</f>
        <v>61.966666666666669</v>
      </c>
      <c r="CI134" s="13">
        <f>IF('[1]FC vers Ref (Km)'!CI134&lt;&gt;0,'Délai intermédiaire'!W134,)+9+(1/60)+4+(47/60)</f>
        <v>13.8</v>
      </c>
      <c r="CJ134" s="13">
        <f>IF('[1]FC vers Ref (Km)'!CJ134&lt;&gt;0,'Délai intermédiaire'!X134,)+9+(1/60)</f>
        <v>145.01666666666668</v>
      </c>
      <c r="CK134" s="13">
        <f>IF('[1]FC vers Ref (Km)'!CK134&lt;&gt;0,'Délai intermédiaire'!Y134,)+9+(1/60)+1+(33/60)</f>
        <v>165.56666666666669</v>
      </c>
      <c r="CL134" s="13">
        <f>IF('[1]FC vers Ref (Km)'!CL134&lt;&gt;0,'Délai intermédiaire'!Z134,)+9+(1/60)+2+(30/60)</f>
        <v>136.51666666666668</v>
      </c>
      <c r="CM134" s="13">
        <f>IF('[1]FC vers Ref (Km)'!CM134&lt;&gt;0,'Délai intermédiaire'!AA134,)+9+(1/60)+(56/60)</f>
        <v>48.949999999999996</v>
      </c>
      <c r="CN134" s="13">
        <f>IF('[1]FC vers Ref (Km)'!CN134&lt;&gt;0,'Délai intermédiaire'!AB134,)+9+(1/60)+1+(39/60)</f>
        <v>56.666666666666664</v>
      </c>
      <c r="CO134" s="13">
        <f>IF('[1]FC vers Ref (Km)'!CO134&lt;&gt;0,'Délai intermédiaire'!AC134,)+9+(1/60)+3+(25/60)</f>
        <v>70.433333333333337</v>
      </c>
      <c r="CP134" s="13">
        <f>IF('[1]FC vers Ref (Km)'!CP134&lt;&gt;0,'Délai intermédiaire'!AD134,)+9+(1/60)</f>
        <v>63.016666666666666</v>
      </c>
      <c r="CQ134" s="13">
        <f>IF('[1]FC vers Ref (Km)'!CQ134&lt;&gt;0,'Délai intermédiaire'!AE134,)+9+(1/60)</f>
        <v>164.01666666666668</v>
      </c>
      <c r="CR134" s="12"/>
      <c r="CS134" s="13">
        <f>IF('[1]FC vers Ref (Km)'!CS134&lt;&gt;0,'Délai intermédiaire'!AG134,)+9+(1/60)+7+(48/60)</f>
        <v>16.816666666666666</v>
      </c>
      <c r="CT134" s="13">
        <f>IF('[1]FC vers Ref (Km)'!CT134&lt;&gt;0,'Délai intermédiaire'!AH134,)+9+(1/60)+5+(5/60)</f>
        <v>14.100000000000001</v>
      </c>
      <c r="CU134" s="14">
        <f>IF('[1]FC vers Ref (Km)'!CU134&lt;&gt;0,'Délai intermédiaire'!AI134,)+9+(1/60)+19+(46/60)</f>
        <v>209.78333333333336</v>
      </c>
      <c r="CV134" s="14">
        <f>IF('[1]FC vers Ref (Km)'!CV134&lt;&gt;0,'Délai intermédiaire'!AJ134,)+9+(1/60)</f>
        <v>258.01666666666665</v>
      </c>
      <c r="CW134" s="14">
        <f>IF('[1]FC vers Ref (Km)'!CW134&lt;&gt;0,'Délai intermédiaire'!AK134,)+9+(1/60)+12+(26/60)</f>
        <v>202.45000000000002</v>
      </c>
      <c r="CX134" s="14">
        <f>IF('[1]FC vers Ref (Km)'!CX134&lt;&gt;0,'Délai intermédiaire'!AL134,)+9+(1/60)</f>
        <v>231.01666666666668</v>
      </c>
      <c r="CY134" s="14">
        <f>IF('[1]FC vers Ref (Km)'!CY134&lt;&gt;0,'Délai intermédiaire'!AM134,)+9+(1/60)</f>
        <v>393.01666666666665</v>
      </c>
      <c r="CZ134" s="14">
        <f>IF('[1]FC vers Ref (Km)'!CZ134&lt;&gt;0,'Délai intermédiaire'!AN134,)+9+(1/60)</f>
        <v>384.01666666666665</v>
      </c>
      <c r="DA134" s="14">
        <f>IF('[1]FC vers Ref (Km)'!DA134&lt;&gt;0,'Délai intermédiaire'!AO134,)+9+(1/60)+1+(56/60)</f>
        <v>379.95</v>
      </c>
      <c r="DB134" s="14">
        <f>IF('[1]FC vers Ref (Km)'!DB134&lt;&gt;0,'Délai intermédiaire'!AP134,)+9+(1/60)</f>
        <v>389.01666666666665</v>
      </c>
      <c r="DC134" s="14">
        <f>IF('[1]FC vers Ref (Km)'!DC134&lt;&gt;0,'Délai intermédiaire'!AQ134,)+9+(1/60)</f>
        <v>409.01666666666665</v>
      </c>
      <c r="DD134" s="14">
        <f>IF('[1]FC vers Ref (Km)'!DD134&lt;&gt;0,'Délai intermédiaire'!AR134,)+9+(1/60)</f>
        <v>325.01666666666665</v>
      </c>
      <c r="DE134" s="14">
        <f>IF('[1]FC vers Ref (Km)'!DE134&lt;&gt;0,'Délai intermédiaire'!AS134,)+9+(1/60)</f>
        <v>183.01666666666668</v>
      </c>
      <c r="DF134" s="14">
        <f>IF('[1]FC vers Ref (Km)'!DF134&lt;&gt;0,'Délai intermédiaire'!AT134,)+9+(1/60)+20+(5/60)</f>
        <v>203.10000000000002</v>
      </c>
      <c r="DG134" s="14">
        <f>IF('[1]FC vers Ref (Km)'!DG134&lt;&gt;0,'Délai intermédiaire'!AU134,)+9+(1/60)+11+(36/60)</f>
        <v>194.61666666666667</v>
      </c>
      <c r="DH134" s="14">
        <f>IF('[1]FC vers Ref (Km)'!DH134&lt;&gt;0,'Délai intermédiaire'!AV134,)+9+(1/60)+(28/60)</f>
        <v>378.48333333333329</v>
      </c>
      <c r="DI134" s="12">
        <f>IF('[1]FC vers Ref (Km)'!DI134&lt;&gt;0,'Délai intermédiaire'!AW134,)+9+(1/60)+7+(13/60)</f>
        <v>193.23333333333335</v>
      </c>
      <c r="DJ134" s="14">
        <f>IF('[1]FC vers Ref (Km)'!DJ134&lt;&gt;0,'Délai intermédiaire'!AX134,)+9+(1/60)+2*24+15</f>
        <v>249.01666666666668</v>
      </c>
      <c r="DK134" s="14">
        <f>IF('[1]FC vers Ref (Km)'!DK134&lt;&gt;0,'Délai intermédiaire'!AY134,)+9+(1/60)</f>
        <v>397.01666666666665</v>
      </c>
      <c r="DL134" s="14">
        <f>IF('[1]FC vers Ref (Km)'!DL134&lt;&gt;0,'Délai intermédiaire'!AZ134,)+9+(1/60)</f>
        <v>9.0166666666666675</v>
      </c>
      <c r="DM134" s="14">
        <f>IF('[1]FC vers Ref (Km)'!DM134&lt;&gt;0,'Délai intermédiaire'!BA134,)+9+(1/60)+7+(17/60)</f>
        <v>194.3</v>
      </c>
      <c r="DN134" s="14">
        <f>IF('[1]FC vers Ref (Km)'!DN134&lt;&gt;0,'Délai intermédiaire'!BB134,)+9+(1/60)</f>
        <v>306.01666666666665</v>
      </c>
      <c r="DO134" s="13">
        <f>IF('[1]FC vers Ref (Km)'!DO134&lt;&gt;0,'Délai intermédiaire'!BC134,)+9+(1/60)</f>
        <v>175.01666666666668</v>
      </c>
      <c r="DP134" s="14">
        <f>IF('[1]FC vers Ref (Km)'!DP134&lt;&gt;0,'Délai intermédiaire'!BD134,)+9+(1/60)</f>
        <v>333.01666666666665</v>
      </c>
      <c r="DQ134" s="14">
        <f>IF('[1]FC vers Ref (Km)'!DQ134&lt;&gt;0,'Délai intermédiaire'!BE134,)+9+(1/60)+1+(22/60)</f>
        <v>388.38333333333333</v>
      </c>
      <c r="DR134" s="14">
        <f>IF('[1]FC vers Ref (Km)'!DR134&lt;&gt;0,'Délai intermédiaire'!BF134,)+9+(1/60)</f>
        <v>365.01666666666665</v>
      </c>
      <c r="DS134" s="12">
        <f>IF('[1]FC vers Ref (Km)'!DS134&lt;&gt;0,'Délai intermédiaire'!BG134,)+9+(1/60)+10+(43/60)</f>
        <v>90.733333333333334</v>
      </c>
      <c r="DT134" s="13">
        <f>IF('[1]FC vers Ref (Km)'!DT134&lt;&gt;0,'Délai intermédiaire'!BH134,)+9+(1/60)+(12/60)</f>
        <v>44.216666666666669</v>
      </c>
      <c r="DU134" s="14">
        <f>IF('[1]FC vers Ref (Km)'!DU134&lt;&gt;0,'Délai intermédiaire'!BI134,)+9+(1/60)+7+(45/60)</f>
        <v>281.76666666666665</v>
      </c>
      <c r="DV134" s="14">
        <f>IF('[1]FC vers Ref (Km)'!DV134&lt;&gt;0,'Délai intermédiaire'!BJ134,)+9+(1/60)+1+(10/60)</f>
        <v>371.18333333333334</v>
      </c>
      <c r="DW134" s="15">
        <f>IF('[1]FC vers Ref (Km)'!DW134&lt;&gt;0,'Délai intermédiaire'!BK134,)+9+(1/60)+12+(41/60)</f>
        <v>382.7</v>
      </c>
      <c r="DX134" s="27"/>
      <c r="DY134" s="10" t="s">
        <v>30</v>
      </c>
      <c r="DZ134" s="35" t="s">
        <v>82</v>
      </c>
      <c r="EA134" s="16">
        <f>IF('[1]FC vers Ref (Km)'!EA134&lt;&gt;0,C134,)+5+(31/60)+5+(51/60)+1+(8/60)</f>
        <v>241.5</v>
      </c>
      <c r="EB134" s="14">
        <f>IF('[1]FC vers Ref (Km)'!EB134&lt;&gt;0,D134,)+5+(31/60)+5+(51/60)+1+(8/60)</f>
        <v>271.5</v>
      </c>
      <c r="EC134" s="14">
        <f>IF('[1]FC vers Ref (Km)'!EC134&lt;&gt;0,E134,)+5+(31/60)+5+(51/60)+1+(8/60)+7+(55/60)+19+(53/60)</f>
        <v>242.29999999999998</v>
      </c>
      <c r="ED134" s="14">
        <f>IF('[1]FC vers Ref (Km)'!ED134&lt;&gt;0,F134,)+5+(31/60)+5+(51/60)+1+(8/60)</f>
        <v>258.5</v>
      </c>
      <c r="EE134" s="14">
        <f>IF('[1]FC vers Ref (Km)'!EE134&lt;&gt;0,G134,)+5+(31/60)+5+(51/60)+1+(8/60)+(32/60)</f>
        <v>227.03333333333333</v>
      </c>
      <c r="EF134" s="14">
        <f>IF('[1]FC vers Ref (Km)'!EF134&lt;&gt;0,H134,)+5+(31/60)+5+(51/60)+1+(8/60)+14+(25/60)+31+(8/60)</f>
        <v>430.05</v>
      </c>
      <c r="EG134" s="14">
        <f>IF('[1]FC vers Ref (Km)'!EG134&lt;&gt;0,I134,)+5+(31/60)+5+(51/60)+1+(8/60)</f>
        <v>429.5</v>
      </c>
      <c r="EH134" s="14">
        <f>IF('[1]FC vers Ref (Km)'!EH134&lt;&gt;0,J134,)+5+(31/60)+5+(51/60)+1+(8/60)</f>
        <v>384.5</v>
      </c>
      <c r="EI134" s="14">
        <f>IF('[1]FC vers Ref (Km)'!EI134&lt;&gt;0,K134,)+5+(31/60)+5+(51/60)+1+(8/60)+5+(11/60)</f>
        <v>218.68333333333334</v>
      </c>
      <c r="EJ134" s="14">
        <f>IF('[1]FC vers Ref (Km)'!EJ134&lt;&gt;0,L134,)+5+(31/60)+5+(51/60)+1+(8/60)</f>
        <v>213.5</v>
      </c>
      <c r="EK134" s="14">
        <f>IF('[1]FC vers Ref (Km)'!EK134&lt;&gt;0,M134,)+5+(31/60)+5+(51/60)+1+(8/60)</f>
        <v>430.5</v>
      </c>
      <c r="EL134" s="14">
        <f>IF('[1]FC vers Ref (Km)'!EL134&lt;&gt;0,N134,)+5+(31/60)+5+(51/60)+1+(8/60)</f>
        <v>430.5</v>
      </c>
      <c r="EM134" s="14">
        <f>IF('[1]FC vers Ref (Km)'!EM134&lt;&gt;0,O134,)+5+(31/60)+5+(51/60)+1+(8/60)</f>
        <v>281.5</v>
      </c>
      <c r="EN134" s="14">
        <f>IF('[1]FC vers Ref (Km)'!EN134&lt;&gt;0,P134,)+5+(31/60)+5+(51/60)+1+(8/60)</f>
        <v>255.5</v>
      </c>
      <c r="EO134" s="14">
        <f>IF('[1]FC vers Ref (Km)'!EO134&lt;&gt;0,Q134,)+5+(31/60)+5+(51/60)+1+(8/60)</f>
        <v>211.5</v>
      </c>
      <c r="EP134" s="13">
        <f>IF('[1]FC vers Ref (Km)'!EP134&lt;&gt;0,R134,)+5+(31/60)+5+(51/60)+1+(8/60)</f>
        <v>148.5</v>
      </c>
      <c r="EQ134" s="13">
        <f>IF('[1]FC vers Ref (Km)'!EQ134&lt;&gt;0,S134,)+5+(31/60)+5+(51/60)+1+(8/60)</f>
        <v>133.49999999999997</v>
      </c>
      <c r="ER134" s="13">
        <f>IF('[1]FC vers Ref (Km)'!ER134&lt;&gt;0,T134,)+5+(31/60)+5+(51/60)+1+(8/60)</f>
        <v>136.5</v>
      </c>
      <c r="ES134" s="13">
        <f>IF('[1]FC vers Ref (Km)'!ES134&lt;&gt;0,U134,)+5+(31/60)+5+(51/60)+1+(8/60)+2+(21/60)</f>
        <v>131.85</v>
      </c>
      <c r="ET134" s="13">
        <f>IF('[1]FC vers Ref (Km)'!ET134&lt;&gt;0,V134,)+5+(31/60)+5+(51/60)+1+(8/60)+1+(44/60)</f>
        <v>64.233333333333334</v>
      </c>
      <c r="EU134" s="13">
        <f>IF('[1]FC vers Ref (Km)'!EU134&lt;&gt;0,W134,)+5+(31/60)+5+(51/60)+1+(8/60)+1+(47/60)+2+(31/60)+2+(54/60)</f>
        <v>19.699999999999996</v>
      </c>
      <c r="EV134" s="13">
        <f>IF('[1]FC vers Ref (Km)'!EV134&lt;&gt;0,X134,)+5+(31/60)+5+(51/60)+1+(8/60)</f>
        <v>148.5</v>
      </c>
      <c r="EW134" s="13">
        <f>IF('[1]FC vers Ref (Km)'!EW134&lt;&gt;0,Y134,)+5+(31/60)+5+(51/60)+1+(8/60)+(56/60)+(59/60)</f>
        <v>169.41666666666666</v>
      </c>
      <c r="EX134" s="13">
        <f>IF('[1]FC vers Ref (Km)'!EX134&lt;&gt;0,Z134,)+5+(31/60)+5+(51/60)+1+(8/60)+1+(35/60)+(37/60)</f>
        <v>139.70000000000002</v>
      </c>
      <c r="EY134" s="13">
        <f>IF('[1]FC vers Ref (Km)'!EY134&lt;&gt;0,AA134,)+5+(31/60)+5+(51/60)+1+(8/60)+1+(18/60)</f>
        <v>52.8</v>
      </c>
      <c r="EZ134" s="13">
        <f>IF('[1]FC vers Ref (Km)'!EZ134&lt;&gt;0,AB134,)+5+(31/60)+5+(51/60)+1+(8/60)+1+(39/60)</f>
        <v>60.15</v>
      </c>
      <c r="FA134" s="13">
        <f>IF('[1]FC vers Ref (Km)'!FA134&lt;&gt;0,AC134,)+5+(31/60)+5+(51/60)+1+(8/60)+1+(47/60)</f>
        <v>72.283333333333331</v>
      </c>
      <c r="FB134" s="13">
        <f>IF('[1]FC vers Ref (Km)'!FB134&lt;&gt;0,AD134,)+5+(31/60)+5+(51/60)+1+(8/60)</f>
        <v>66.5</v>
      </c>
      <c r="FC134" s="13">
        <f>IF('[1]FC vers Ref (Km)'!FC134&lt;&gt;0,AE134,)+5+(31/60)+5+(51/60)+1+(8/60)</f>
        <v>167.5</v>
      </c>
      <c r="FD134" s="12"/>
      <c r="FE134" s="13">
        <f>IF('[1]FC vers Ref (Km)'!FE134&lt;&gt;0,AG134,)+5+(31/60)+5+(51/60)+1+(8/60)+4+(2/60)+5+(51/60)+1+(8/60)</f>
        <v>23.516666666666669</v>
      </c>
      <c r="FF134" s="13">
        <f>IF('[1]FC vers Ref (Km)'!FF134&lt;&gt;0,AH134,)+5+(31/60)+5+(51/60)+1+(8/60)+1+(7/60)+5+(51/60)+1+(8/60)</f>
        <v>20.6</v>
      </c>
      <c r="FG134" s="14">
        <f>IF('[1]FC vers Ref (Km)'!FG134&lt;&gt;0,AI134,)+5+(31/60)+5+(51/60)+1+(8/60)+15+(50/60)</f>
        <v>209.33333333333334</v>
      </c>
      <c r="FH134" s="14">
        <f>IF('[1]FC vers Ref (Km)'!FH134&lt;&gt;0,AJ134,)+5+(31/60)+5+(51/60)+1+(8/60)</f>
        <v>261.5</v>
      </c>
      <c r="FI134" s="14">
        <f>IF('[1]FC vers Ref (Km)'!FI134&lt;&gt;0,AK134,)+5+(31/60)+5+(51/60)+1+(8/60)+4+(40/60)+11+(32/60)</f>
        <v>209.7</v>
      </c>
      <c r="FJ134" s="14">
        <f>IF('[1]FC vers Ref (Km)'!FJ134&lt;&gt;0,AL134,)+5+(31/60)+5+(51/60)+1+(8/60)</f>
        <v>234.5</v>
      </c>
      <c r="FK134" s="14">
        <f>IF('[1]FC vers Ref (Km)'!FK134&lt;&gt;0,AM134,)+5+(31/60)+5+(51/60)+1+(8/60)</f>
        <v>396.5</v>
      </c>
      <c r="FL134" s="14">
        <f>IF('[1]FC vers Ref (Km)'!FL134&lt;&gt;0,AN134,)+5+(31/60)+5+(51/60)+1+(8/60)</f>
        <v>387.5</v>
      </c>
      <c r="FM134" s="14">
        <f>IF('[1]FC vers Ref (Km)'!FM134&lt;&gt;0,AO134,)+5+(31/60)+5+(51/60)+1+(8/60)+(55/60)</f>
        <v>382.41666666666669</v>
      </c>
      <c r="FN134" s="14">
        <f>IF('[1]FC vers Ref (Km)'!FN134&lt;&gt;0,AP134,)+5+(31/60)+5+(51/60)+1+(8/60)</f>
        <v>392.5</v>
      </c>
      <c r="FO134" s="14">
        <f>IF('[1]FC vers Ref (Km)'!FO134&lt;&gt;0,AQ134,)+5+(31/60)+5+(51/60)+1+(8/60)</f>
        <v>412.5</v>
      </c>
      <c r="FP134" s="14">
        <f>IF('[1]FC vers Ref (Km)'!FP134&lt;&gt;0,AR134,)+5+(31/60)+5+(51/60)+1+(8/60)</f>
        <v>328.5</v>
      </c>
      <c r="FQ134" s="14">
        <f>IF('[1]FC vers Ref (Km)'!FQ134&lt;&gt;0,AS134,)+5+(31/60)+5+(51/60)+1+(8/60)</f>
        <v>186.5</v>
      </c>
      <c r="FR134" s="14">
        <f>IF('[1]FC vers Ref (Km)'!FR134&lt;&gt;0,AT134,)+5+(31/60)+5+(51/60)+1+(8/60)</f>
        <v>186.5</v>
      </c>
      <c r="FS134" s="14">
        <f>IF('[1]FC vers Ref (Km)'!FS134&lt;&gt;0,AU134,)+5+(31/60)+5+(51/60)+1+(8/60)</f>
        <v>186.5</v>
      </c>
      <c r="FT134" s="14">
        <f>IF('[1]FC vers Ref (Km)'!FT134&lt;&gt;0,AV134,)+5+(31/60)+5+(51/60)+1+(8/60)+1+(7/60)</f>
        <v>382.61666666666667</v>
      </c>
      <c r="FU134" s="12">
        <f>IF('[1]FC vers Ref (Km)'!FU134&lt;&gt;0,AW134,)+5+(31/60)+5+(51/60)+1+(8/60)+8+(3/60)</f>
        <v>197.55</v>
      </c>
      <c r="FV134" s="14">
        <f>IF('[1]FC vers Ref (Km)'!FV134&lt;&gt;0,AX134,)+5+(31/60)+5+(51/60)+1+(8/60)+2*24+11</f>
        <v>248.5</v>
      </c>
      <c r="FW134" s="14">
        <f>IF('[1]FC vers Ref (Km)'!FW134&lt;&gt;0,AY134,)+5+(31/60)+5+(51/60)+1+(8/60)</f>
        <v>400.5</v>
      </c>
      <c r="FX134" s="14">
        <f>IF('[1]FC vers Ref (Km)'!FX134&lt;&gt;0,AZ134,)+5+(31/60)+5+(51/60)+1+(8/60)</f>
        <v>12.499999999999998</v>
      </c>
      <c r="FY134" s="14">
        <f>IF('[1]FC vers Ref (Km)'!FY134&lt;&gt;0,BA134,)+5+(31/60)+5+(51/60)+1+(8/60)+5+(41/60)</f>
        <v>196.18333333333334</v>
      </c>
      <c r="FZ134" s="14">
        <f>IF('[1]FC vers Ref (Km)'!FZ134&lt;&gt;0,BB134,)+5+(31/60)+5+(51/60)+1+(8/60)</f>
        <v>309.5</v>
      </c>
      <c r="GA134" s="13">
        <f>IF('[1]FC vers Ref (Km)'!GA134&lt;&gt;0,BC134,)+5+(31/60)+5+(51/60)+1+(8/60)</f>
        <v>178.5</v>
      </c>
      <c r="GB134" s="14">
        <f>IF('[1]FC vers Ref (Km)'!GB134&lt;&gt;0,BD134,)+5+(31/60)+5+(51/60)+1+(8/60)</f>
        <v>336.5</v>
      </c>
      <c r="GC134" s="14">
        <f>IF('[1]FC vers Ref (Km)'!GC134&lt;&gt;0,BE134,)+5+(31/60)+5+(51/60)+1+(8/60)+(30/60)</f>
        <v>391</v>
      </c>
      <c r="GD134" s="14">
        <f>IF('[1]FC vers Ref (Km)'!GD134&lt;&gt;0,BF134,)+5+(31/60)+5+(51/60)+1+(8/60)</f>
        <v>368.5</v>
      </c>
      <c r="GE134" s="12">
        <f>IF('[1]FC vers Ref (Km)'!GE134&lt;&gt;0,BG134,)+5+(31/60)+5+(51/60)+1+(8/60)+15+(1/60)</f>
        <v>98.516666666666666</v>
      </c>
      <c r="GF134" s="13">
        <f>IF('[1]FC vers Ref (Km)'!GF134&lt;&gt;0,BH134,)+5+(31/60)+5+(51/60)+1+(8/60)</f>
        <v>47.5</v>
      </c>
      <c r="GG134" s="14">
        <f>IF('[1]FC vers Ref (Km)'!GG134&lt;&gt;0,BI134,)+5+(31/60)+5+(51/60)+1+(8/60)</f>
        <v>277.5</v>
      </c>
      <c r="GH134" s="14">
        <f>IF('[1]FC vers Ref (Km)'!GH134&lt;&gt;0,BJ134,)+5+(31/60)+5+(51/60)+1+(8/60)</f>
        <v>373.5</v>
      </c>
      <c r="GI134" s="15">
        <f>IF('[1]FC vers Ref (Km)'!GI134&lt;&gt;0,BK134,)+5+(31/60)+5+(51/60)+1+(8/60)</f>
        <v>373.5</v>
      </c>
    </row>
    <row r="135" spans="1:191" x14ac:dyDescent="0.3">
      <c r="A135" s="10" t="s">
        <v>31</v>
      </c>
      <c r="B135" s="35" t="s">
        <v>82</v>
      </c>
      <c r="C135" s="16">
        <f>9*24+13</f>
        <v>229</v>
      </c>
      <c r="D135" s="14">
        <f>10*24+19</f>
        <v>259</v>
      </c>
      <c r="E135" s="14">
        <f>8*24+10</f>
        <v>202</v>
      </c>
      <c r="F135" s="14">
        <f>10*24+6</f>
        <v>246</v>
      </c>
      <c r="G135" s="14">
        <f>8*24+22</f>
        <v>214</v>
      </c>
      <c r="H135" s="14">
        <f>15*24+12</f>
        <v>372</v>
      </c>
      <c r="I135" s="14">
        <f>17*24+9</f>
        <v>417</v>
      </c>
      <c r="J135" s="14">
        <f>15*24+12</f>
        <v>372</v>
      </c>
      <c r="K135" s="14">
        <f t="shared" si="0"/>
        <v>201</v>
      </c>
      <c r="L135" s="14">
        <f t="shared" si="0"/>
        <v>201</v>
      </c>
      <c r="M135" s="14">
        <f t="shared" si="1"/>
        <v>418</v>
      </c>
      <c r="N135" s="14">
        <f t="shared" si="1"/>
        <v>418</v>
      </c>
      <c r="O135" s="14">
        <f>11*24+5</f>
        <v>269</v>
      </c>
      <c r="P135" s="14">
        <f>10*24+3</f>
        <v>243</v>
      </c>
      <c r="Q135" s="14">
        <f>8*24+7</f>
        <v>199</v>
      </c>
      <c r="R135" s="13">
        <f>5*24+16</f>
        <v>136</v>
      </c>
      <c r="S135" s="13">
        <f>5*24+1</f>
        <v>121</v>
      </c>
      <c r="T135" s="13">
        <f>5*24+4</f>
        <v>124</v>
      </c>
      <c r="U135" s="13">
        <f>4*24+21</f>
        <v>117</v>
      </c>
      <c r="V135" s="13">
        <f>2*24+2</f>
        <v>50</v>
      </c>
      <c r="W135" s="13">
        <v>0</v>
      </c>
      <c r="X135" s="13">
        <f>5*24+16</f>
        <v>136</v>
      </c>
      <c r="Y135" s="13">
        <f>6*24+11</f>
        <v>155</v>
      </c>
      <c r="Z135" s="13">
        <f>5*24+5</f>
        <v>125</v>
      </c>
      <c r="AA135" s="13">
        <f>1*24+15</f>
        <v>39</v>
      </c>
      <c r="AB135" s="13">
        <f>24+22</f>
        <v>46</v>
      </c>
      <c r="AC135" s="13">
        <f>2*24+10</f>
        <v>58</v>
      </c>
      <c r="AD135" s="13">
        <f>2*24+6</f>
        <v>54</v>
      </c>
      <c r="AE135" s="13">
        <f>6*24+11</f>
        <v>155</v>
      </c>
      <c r="AF135" s="13">
        <v>0</v>
      </c>
      <c r="AG135" s="12"/>
      <c r="AH135" s="13">
        <v>0</v>
      </c>
      <c r="AI135" s="14">
        <v>181</v>
      </c>
      <c r="AJ135" s="14">
        <v>249</v>
      </c>
      <c r="AK135" s="14">
        <v>181</v>
      </c>
      <c r="AL135" s="14">
        <v>222</v>
      </c>
      <c r="AM135" s="14">
        <v>384</v>
      </c>
      <c r="AN135" s="14">
        <v>375</v>
      </c>
      <c r="AO135" s="14">
        <v>369</v>
      </c>
      <c r="AP135" s="14">
        <v>380</v>
      </c>
      <c r="AQ135" s="14">
        <v>400</v>
      </c>
      <c r="AR135" s="14">
        <v>316</v>
      </c>
      <c r="AS135" s="14">
        <v>174</v>
      </c>
      <c r="AT135" s="14">
        <v>174</v>
      </c>
      <c r="AU135" s="14">
        <v>174</v>
      </c>
      <c r="AV135" s="14">
        <f>15*24+9</f>
        <v>369</v>
      </c>
      <c r="AW135" s="14">
        <f t="shared" si="2"/>
        <v>177</v>
      </c>
      <c r="AX135" s="14">
        <f t="shared" si="2"/>
        <v>177</v>
      </c>
      <c r="AY135" s="14">
        <f>16*24+4</f>
        <v>388</v>
      </c>
      <c r="AZ135" s="14"/>
      <c r="BA135" s="14">
        <f>7*24+10</f>
        <v>178</v>
      </c>
      <c r="BB135" s="14">
        <f>12*24+9</f>
        <v>297</v>
      </c>
      <c r="BC135" s="13">
        <f>6*24+22</f>
        <v>166</v>
      </c>
      <c r="BD135" s="14">
        <f>13*24+12</f>
        <v>324</v>
      </c>
      <c r="BE135" s="14">
        <f>15*24+18</f>
        <v>378</v>
      </c>
      <c r="BF135" s="14">
        <f>14*24+20</f>
        <v>356</v>
      </c>
      <c r="BG135" s="13">
        <f>2*24+23</f>
        <v>71</v>
      </c>
      <c r="BH135" s="13">
        <f>24+11</f>
        <v>35</v>
      </c>
      <c r="BI135" s="14">
        <f>11*24+1</f>
        <v>265</v>
      </c>
      <c r="BJ135" s="14">
        <f t="shared" si="3"/>
        <v>361</v>
      </c>
      <c r="BK135" s="15">
        <f t="shared" si="3"/>
        <v>361</v>
      </c>
      <c r="BM135" s="10" t="s">
        <v>31</v>
      </c>
      <c r="BN135" s="35" t="s">
        <v>82</v>
      </c>
      <c r="BO135" s="16">
        <f>IF('[1]FC vers Ref (Km)'!BO135&lt;&gt;0,'Délai intermédiaire'!C135,)+7+(48/60)</f>
        <v>236.8</v>
      </c>
      <c r="BP135" s="14">
        <f>IF('[1]FC vers Ref (Km)'!BP135&lt;&gt;0,'Délai intermédiaire'!D135,)+7+(48/60)</f>
        <v>266.8</v>
      </c>
      <c r="BQ135" s="14">
        <f>IF('[1]FC vers Ref (Km)'!BQ135&lt;&gt;0,'Délai intermédiaire'!E135,)+7+(48/60)+19+(49/60)</f>
        <v>229.61666666666667</v>
      </c>
      <c r="BR135" s="14">
        <f>IF('[1]FC vers Ref (Km)'!BR135&lt;&gt;0,'Délai intermédiaire'!F135,)+7+(48/60)</f>
        <v>253.8</v>
      </c>
      <c r="BS135" s="14">
        <f>IF('[1]FC vers Ref (Km)'!BS135&lt;&gt;0,'Délai intermédiaire'!G135,)+7+(48/60)+(48/60)</f>
        <v>222.60000000000002</v>
      </c>
      <c r="BT135" s="14">
        <f>IF('[1]FC vers Ref (Km)'!BT135&lt;&gt;0,'Délai intermédiaire'!H135,)+7+(48/60)+15+(47/60)</f>
        <v>395.58333333333337</v>
      </c>
      <c r="BU135" s="14">
        <f>IF('[1]FC vers Ref (Km)'!BU135&lt;&gt;0,'Délai intermédiaire'!I135,)+7+(48/60)</f>
        <v>424.8</v>
      </c>
      <c r="BV135" s="14">
        <f>IF('[1]FC vers Ref (Km)'!BV135&lt;&gt;0,'Délai intermédiaire'!J135,)+7+(48/60)</f>
        <v>379.8</v>
      </c>
      <c r="BW135" s="14">
        <f>IF('[1]FC vers Ref (Km)'!BW135&lt;&gt;0,'Délai intermédiaire'!K135,)+7+(48/60)+6+(13/60)</f>
        <v>215.01666666666668</v>
      </c>
      <c r="BX135" s="14">
        <f>IF('[1]FC vers Ref (Km)'!BX135&lt;&gt;0,'Délai intermédiaire'!L135,)+7+(48/60)</f>
        <v>208.8</v>
      </c>
      <c r="BY135" s="14">
        <f>IF('[1]FC vers Ref (Km)'!BY135&lt;&gt;0,'Délai intermédiaire'!M135,)+7+(48/60)+11+(1/60)</f>
        <v>436.81666666666666</v>
      </c>
      <c r="BZ135" s="14">
        <f>IF('[1]FC vers Ref (Km)'!BZ135&lt;&gt;0,'Délai intermédiaire'!N135,)+7+(48/60)</f>
        <v>425.8</v>
      </c>
      <c r="CA135" s="14">
        <f>IF('[1]FC vers Ref (Km)'!CA135&lt;&gt;0,'Délai intermédiaire'!O135,)+7+(48/60)+4+(51/60)</f>
        <v>281.65000000000003</v>
      </c>
      <c r="CB135" s="14">
        <f>IF('[1]FC vers Ref (Km)'!CB135&lt;&gt;0,'Délai intermédiaire'!P135,)+7+(48/60)+5+(3/60)</f>
        <v>255.85000000000002</v>
      </c>
      <c r="CC135" s="14">
        <f>IF('[1]FC vers Ref (Km)'!CC135&lt;&gt;0,'Délai intermédiaire'!Q135,)+7+(48/60)+(40/60)</f>
        <v>207.46666666666667</v>
      </c>
      <c r="CD135" s="13">
        <f>IF('[1]FC vers Ref (Km)'!CD135&lt;&gt;0,'Délai intermédiaire'!R135,)+7+(48/60)</f>
        <v>143.80000000000001</v>
      </c>
      <c r="CE135" s="13">
        <f>IF('[1]FC vers Ref (Km)'!CE135&lt;&gt;0,'Délai intermédiaire'!S135,)+7+(48/60)</f>
        <v>128.80000000000001</v>
      </c>
      <c r="CF135" s="13">
        <f>IF('[1]FC vers Ref (Km)'!CF135&lt;&gt;0,'Délai intermédiaire'!T135,)+7+(48/60)</f>
        <v>131.80000000000001</v>
      </c>
      <c r="CG135" s="13">
        <f>IF('[1]FC vers Ref (Km)'!CG135&lt;&gt;0,'Délai intermédiaire'!U135,)+7+(48/60)+1+(53/60)</f>
        <v>126.68333333333334</v>
      </c>
      <c r="CH135" s="13">
        <f>IF('[1]FC vers Ref (Km)'!CH135&lt;&gt;0,'Délai intermédiaire'!V135,)+7+(48/60)+2+(57/60)</f>
        <v>60.75</v>
      </c>
      <c r="CI135" s="13">
        <f>IF('[1]FC vers Ref (Km)'!CI135&lt;&gt;0,'Délai intermédiaire'!W135,)+7+(48/60)+4+(47/60)</f>
        <v>12.583333333333334</v>
      </c>
      <c r="CJ135" s="13">
        <f>IF('[1]FC vers Ref (Km)'!CJ135&lt;&gt;0,'Délai intermédiaire'!X135,)+7+(48/60)</f>
        <v>143.80000000000001</v>
      </c>
      <c r="CK135" s="13">
        <f>IF('[1]FC vers Ref (Km)'!CK135&lt;&gt;0,'Délai intermédiaire'!Y135,)+7+(48/60)+1+(33/60)</f>
        <v>164.35000000000002</v>
      </c>
      <c r="CL135" s="13">
        <f>IF('[1]FC vers Ref (Km)'!CL135&lt;&gt;0,'Délai intermédiaire'!Z135,)+7+(48/60)+2+(30/60)</f>
        <v>135.30000000000001</v>
      </c>
      <c r="CM135" s="13">
        <f>IF('[1]FC vers Ref (Km)'!CM135&lt;&gt;0,'Délai intermédiaire'!AA135,)+7+(48/60)+(56/60)</f>
        <v>47.733333333333327</v>
      </c>
      <c r="CN135" s="13">
        <f>IF('[1]FC vers Ref (Km)'!CN135&lt;&gt;0,'Délai intermédiaire'!AB135,)+7+(48/60)+1+(39/60)</f>
        <v>55.449999999999996</v>
      </c>
      <c r="CO135" s="13">
        <f>IF('[1]FC vers Ref (Km)'!CO135&lt;&gt;0,'Délai intermédiaire'!AC135,)+7+(48/60)+3+(25/60)</f>
        <v>69.216666666666669</v>
      </c>
      <c r="CP135" s="13">
        <f>IF('[1]FC vers Ref (Km)'!CP135&lt;&gt;0,'Délai intermédiaire'!AD135,)+7+(48/60)</f>
        <v>61.8</v>
      </c>
      <c r="CQ135" s="13">
        <f>IF('[1]FC vers Ref (Km)'!CQ135&lt;&gt;0,'Délai intermédiaire'!AE135,)+7+(48/60)</f>
        <v>162.80000000000001</v>
      </c>
      <c r="CR135" s="13">
        <f>IF('[1]FC vers Ref (Km)'!CR135&lt;&gt;0,'Délai intermédiaire'!AF135,)+7+(48/60)+9+(1/60)</f>
        <v>16.816666666666666</v>
      </c>
      <c r="CS135" s="12"/>
      <c r="CT135" s="13">
        <f>IF('[1]FC vers Ref (Km)'!CT135&lt;&gt;0,'Délai intermédiaire'!AH135,)+7+(48/60)+5+(5/60)</f>
        <v>12.883333333333335</v>
      </c>
      <c r="CU135" s="14">
        <f>IF('[1]FC vers Ref (Km)'!CU135&lt;&gt;0,'Délai intermédiaire'!AI135,)+7+(48/60)+19+(46/60)</f>
        <v>208.56666666666669</v>
      </c>
      <c r="CV135" s="14">
        <f>IF('[1]FC vers Ref (Km)'!CV135&lt;&gt;0,'Délai intermédiaire'!AJ135,)+7+(48/60)</f>
        <v>256.8</v>
      </c>
      <c r="CW135" s="14">
        <f>IF('[1]FC vers Ref (Km)'!CW135&lt;&gt;0,'Délai intermédiaire'!AK135,)+7+(48/60)+12+(26/60)</f>
        <v>201.23333333333335</v>
      </c>
      <c r="CX135" s="14">
        <f>IF('[1]FC vers Ref (Km)'!CX135&lt;&gt;0,'Délai intermédiaire'!AL135,)+7+(48/60)</f>
        <v>229.8</v>
      </c>
      <c r="CY135" s="14">
        <f>IF('[1]FC vers Ref (Km)'!CY135&lt;&gt;0,'Délai intermédiaire'!AM135,)+7+(48/60)</f>
        <v>391.8</v>
      </c>
      <c r="CZ135" s="14">
        <f>IF('[1]FC vers Ref (Km)'!CZ135&lt;&gt;0,'Délai intermédiaire'!AN135,)+7+(48/60)</f>
        <v>382.8</v>
      </c>
      <c r="DA135" s="14">
        <f>IF('[1]FC vers Ref (Km)'!DA135&lt;&gt;0,'Délai intermédiaire'!AO135,)+7+(48/60)+1+(56/60)</f>
        <v>378.73333333333335</v>
      </c>
      <c r="DB135" s="14">
        <f>IF('[1]FC vers Ref (Km)'!DB135&lt;&gt;0,'Délai intermédiaire'!AP135,)+7+(48/60)</f>
        <v>387.8</v>
      </c>
      <c r="DC135" s="14">
        <f>IF('[1]FC vers Ref (Km)'!DC135&lt;&gt;0,'Délai intermédiaire'!AQ135,)+7+(48/60)</f>
        <v>407.8</v>
      </c>
      <c r="DD135" s="14">
        <f>IF('[1]FC vers Ref (Km)'!DD135&lt;&gt;0,'Délai intermédiaire'!AR135,)+7+(48/60)</f>
        <v>323.8</v>
      </c>
      <c r="DE135" s="14">
        <f>IF('[1]FC vers Ref (Km)'!DE135&lt;&gt;0,'Délai intermédiaire'!AS135,)+7+(48/60)</f>
        <v>181.8</v>
      </c>
      <c r="DF135" s="14">
        <f>IF('[1]FC vers Ref (Km)'!DF135&lt;&gt;0,'Délai intermédiaire'!AT135,)+7+(48/60)+20+(5/60)</f>
        <v>201.88333333333335</v>
      </c>
      <c r="DG135" s="14">
        <f>IF('[1]FC vers Ref (Km)'!DG135&lt;&gt;0,'Délai intermédiaire'!AU135,)+7+(48/60)+11+(36/60)</f>
        <v>193.4</v>
      </c>
      <c r="DH135" s="14">
        <f>IF('[1]FC vers Ref (Km)'!DH135&lt;&gt;0,'Délai intermédiaire'!AV135,)+7+(48/60)+(28/60)</f>
        <v>377.26666666666665</v>
      </c>
      <c r="DI135" s="14">
        <f>IF('[1]FC vers Ref (Km)'!DI135&lt;&gt;0,'Délai intermédiaire'!AW135,)+7+(48/60)+7+(13/60)</f>
        <v>192.01666666666668</v>
      </c>
      <c r="DJ135" s="14">
        <f>IF('[1]FC vers Ref (Km)'!DJ135&lt;&gt;0,'Délai intermédiaire'!AX135,)+7+(48/60)+2*24+15</f>
        <v>247.8</v>
      </c>
      <c r="DK135" s="14">
        <f>IF('[1]FC vers Ref (Km)'!DK135&lt;&gt;0,'Délai intermédiaire'!AY135,)+7+(48/60)</f>
        <v>395.8</v>
      </c>
      <c r="DL135" s="14">
        <f>IF('[1]FC vers Ref (Km)'!DL135&lt;&gt;0,'Délai intermédiaire'!AZ135,)+7+(48/60)</f>
        <v>7.8</v>
      </c>
      <c r="DM135" s="14">
        <f>IF('[1]FC vers Ref (Km)'!DM135&lt;&gt;0,'Délai intermédiaire'!BA135,)+7+(48/60)+7+(17/60)</f>
        <v>193.08333333333334</v>
      </c>
      <c r="DN135" s="14">
        <f>IF('[1]FC vers Ref (Km)'!DN135&lt;&gt;0,'Délai intermédiaire'!BB135,)+7+(48/60)</f>
        <v>304.8</v>
      </c>
      <c r="DO135" s="13">
        <f>IF('[1]FC vers Ref (Km)'!DO135&lt;&gt;0,'Délai intermédiaire'!BC135,)+7+(48/60)</f>
        <v>173.8</v>
      </c>
      <c r="DP135" s="14">
        <f>IF('[1]FC vers Ref (Km)'!DP135&lt;&gt;0,'Délai intermédiaire'!BD135,)+7+(48/60)</f>
        <v>331.8</v>
      </c>
      <c r="DQ135" s="14">
        <f>IF('[1]FC vers Ref (Km)'!DQ135&lt;&gt;0,'Délai intermédiaire'!BE135,)+7+(48/60)+1+(22/60)</f>
        <v>387.16666666666669</v>
      </c>
      <c r="DR135" s="14">
        <f>IF('[1]FC vers Ref (Km)'!DR135&lt;&gt;0,'Délai intermédiaire'!BF135,)+7+(48/60)</f>
        <v>363.8</v>
      </c>
      <c r="DS135" s="13">
        <f>IF('[1]FC vers Ref (Km)'!DS135&lt;&gt;0,'Délai intermédiaire'!BG135,)+7+(48/60)+10+(43/60)</f>
        <v>89.516666666666666</v>
      </c>
      <c r="DT135" s="13">
        <f>IF('[1]FC vers Ref (Km)'!DT135&lt;&gt;0,'Délai intermédiaire'!BH135,)+7+(48/60)+(12/60)</f>
        <v>43</v>
      </c>
      <c r="DU135" s="14">
        <f>IF('[1]FC vers Ref (Km)'!DU135&lt;&gt;0,'Délai intermédiaire'!BI135,)+7+(48/60)+7+(45/60)</f>
        <v>280.55</v>
      </c>
      <c r="DV135" s="14">
        <f>IF('[1]FC vers Ref (Km)'!DV135&lt;&gt;0,'Délai intermédiaire'!BJ135,)+7+(48/60)+1+(10/60)</f>
        <v>369.9666666666667</v>
      </c>
      <c r="DW135" s="15">
        <f>IF('[1]FC vers Ref (Km)'!DW135&lt;&gt;0,'Délai intermédiaire'!BK135,)+7+(48/60)+12+(41/60)</f>
        <v>381.48333333333335</v>
      </c>
      <c r="DX135" s="27"/>
      <c r="DY135" s="10" t="s">
        <v>31</v>
      </c>
      <c r="DZ135" s="35" t="s">
        <v>82</v>
      </c>
      <c r="EA135" s="16">
        <f>IF('[1]FC vers Ref (Km)'!EA135&lt;&gt;0,C135,)+4+(2/60)+5+(51/60)+1+(8/60)</f>
        <v>240.01666666666665</v>
      </c>
      <c r="EB135" s="14">
        <f>IF('[1]FC vers Ref (Km)'!EB135&lt;&gt;0,D135,)+4+(2/60)+5+(51/60)+1+(8/60)</f>
        <v>270.01666666666671</v>
      </c>
      <c r="EC135" s="14">
        <f>IF('[1]FC vers Ref (Km)'!EC135&lt;&gt;0,E135,)+4+(2/60)+5+(51/60)+1+(8/60)+7+(55/60)+19+(53/60)</f>
        <v>240.81666666666663</v>
      </c>
      <c r="ED135" s="14">
        <f>IF('[1]FC vers Ref (Km)'!ED135&lt;&gt;0,F135,)+4+(2/60)+5+(51/60)+1+(8/60)</f>
        <v>257.01666666666665</v>
      </c>
      <c r="EE135" s="14">
        <f>IF('[1]FC vers Ref (Km)'!EE135&lt;&gt;0,G135,)+4+(2/60)+5+(51/60)+1+(8/60)+(32/60)</f>
        <v>225.54999999999998</v>
      </c>
      <c r="EF135" s="14">
        <f>IF('[1]FC vers Ref (Km)'!EF135&lt;&gt;0,H135,)+4+(2/60)+5+(51/60)+1+(8/60)+14+(25/60)+31+(8/60)</f>
        <v>428.56666666666672</v>
      </c>
      <c r="EG135" s="14">
        <f>IF('[1]FC vers Ref (Km)'!EG135&lt;&gt;0,I135,)+4+(2/60)+5+(51/60)+1+(8/60)</f>
        <v>428.01666666666671</v>
      </c>
      <c r="EH135" s="14">
        <f>IF('[1]FC vers Ref (Km)'!EH135&lt;&gt;0,J135,)+4+(2/60)+5+(51/60)+1+(8/60)</f>
        <v>383.01666666666671</v>
      </c>
      <c r="EI135" s="14">
        <f>IF('[1]FC vers Ref (Km)'!EI135&lt;&gt;0,K135,)+4+(2/60)+5+(51/60)+1+(8/60)+5+(11/60)</f>
        <v>217.2</v>
      </c>
      <c r="EJ135" s="14">
        <f>IF('[1]FC vers Ref (Km)'!EJ135&lt;&gt;0,L135,)+4+(2/60)+5+(51/60)+1+(8/60)</f>
        <v>212.01666666666665</v>
      </c>
      <c r="EK135" s="14">
        <f>IF('[1]FC vers Ref (Km)'!EK135&lt;&gt;0,M135,)+4+(2/60)+5+(51/60)+1+(8/60)</f>
        <v>429.01666666666671</v>
      </c>
      <c r="EL135" s="14">
        <f>IF('[1]FC vers Ref (Km)'!EL135&lt;&gt;0,N135,)+4+(2/60)+5+(51/60)+1+(8/60)</f>
        <v>429.01666666666671</v>
      </c>
      <c r="EM135" s="14">
        <f>IF('[1]FC vers Ref (Km)'!EM135&lt;&gt;0,O135,)+4+(2/60)+5+(51/60)+1+(8/60)</f>
        <v>280.01666666666671</v>
      </c>
      <c r="EN135" s="14">
        <f>IF('[1]FC vers Ref (Km)'!EN135&lt;&gt;0,P135,)+4+(2/60)+5+(51/60)+1+(8/60)</f>
        <v>254.01666666666665</v>
      </c>
      <c r="EO135" s="14">
        <f>IF('[1]FC vers Ref (Km)'!EO135&lt;&gt;0,Q135,)+4+(2/60)+5+(51/60)+1+(8/60)</f>
        <v>210.01666666666665</v>
      </c>
      <c r="EP135" s="13">
        <f>IF('[1]FC vers Ref (Km)'!EP135&lt;&gt;0,R135,)+4+(2/60)+5+(51/60)+1+(8/60)</f>
        <v>147.01666666666665</v>
      </c>
      <c r="EQ135" s="13">
        <f>IF('[1]FC vers Ref (Km)'!EQ135&lt;&gt;0,S135,)+4+(2/60)+5+(51/60)+1+(8/60)</f>
        <v>132.01666666666665</v>
      </c>
      <c r="ER135" s="13">
        <f>IF('[1]FC vers Ref (Km)'!ER135&lt;&gt;0,T135,)+4+(2/60)+5+(51/60)+1+(8/60)</f>
        <v>135.01666666666665</v>
      </c>
      <c r="ES135" s="13">
        <f>IF('[1]FC vers Ref (Km)'!ES135&lt;&gt;0,U135,)+4+(2/60)+5+(51/60)+1+(8/60)+2+(21/60)</f>
        <v>130.36666666666665</v>
      </c>
      <c r="ET135" s="13">
        <f>IF('[1]FC vers Ref (Km)'!ET135&lt;&gt;0,V135,)+4+(2/60)+5+(51/60)+1+(8/60)+1+(44/60)</f>
        <v>62.75</v>
      </c>
      <c r="EU135" s="13">
        <f>IF('[1]FC vers Ref (Km)'!EU135&lt;&gt;0,W135,)+4+(2/60)+5+(51/60)+1+(8/60)+1+(47/60)+2+(31/60)+2+(54/60)</f>
        <v>18.216666666666665</v>
      </c>
      <c r="EV135" s="13">
        <f>IF('[1]FC vers Ref (Km)'!EV135&lt;&gt;0,X135,)+4+(2/60)+5+(51/60)+1+(8/60)</f>
        <v>147.01666666666665</v>
      </c>
      <c r="EW135" s="13">
        <f>IF('[1]FC vers Ref (Km)'!EW135&lt;&gt;0,Y135,)+4+(2/60)+5+(51/60)+1+(8/60)+(56/60)+(59/60)</f>
        <v>167.93333333333331</v>
      </c>
      <c r="EX135" s="13">
        <f>IF('[1]FC vers Ref (Km)'!EX135&lt;&gt;0,Z135,)+4+(2/60)+5+(51/60)+1+(8/60)+1+(35/60)+(37/60)</f>
        <v>138.21666666666667</v>
      </c>
      <c r="EY135" s="13">
        <f>IF('[1]FC vers Ref (Km)'!EY135&lt;&gt;0,AA135,)+4+(2/60)+5+(51/60)+1+(8/60)+1+(18/60)</f>
        <v>51.316666666666663</v>
      </c>
      <c r="EZ135" s="13">
        <f>IF('[1]FC vers Ref (Km)'!EZ135&lt;&gt;0,AB135,)+4+(2/60)+5+(51/60)+1+(8/60)+1+(39/60)</f>
        <v>58.666666666666664</v>
      </c>
      <c r="FA135" s="13">
        <f>IF('[1]FC vers Ref (Km)'!FA135&lt;&gt;0,AC135,)+4+(2/60)+5+(51/60)+1+(8/60)+1+(47/60)</f>
        <v>70.8</v>
      </c>
      <c r="FB135" s="13">
        <f>IF('[1]FC vers Ref (Km)'!FB135&lt;&gt;0,AD135,)+4+(2/60)+5+(51/60)+1+(8/60)</f>
        <v>65.016666666666666</v>
      </c>
      <c r="FC135" s="13">
        <f>IF('[1]FC vers Ref (Km)'!FC135&lt;&gt;0,AE135,)+4+(2/60)+5+(51/60)+1+(8/60)</f>
        <v>166.01666666666665</v>
      </c>
      <c r="FD135" s="13">
        <f>IF('[1]FC vers Ref (Km)'!FD135&lt;&gt;0,AF135,)+4+(2/60)+5+(51/60)+1+(8/60)+5+(31/60)+5+(51/60)+1+(8/60)</f>
        <v>23.516666666666666</v>
      </c>
      <c r="FE135" s="12"/>
      <c r="FF135" s="13">
        <f>IF('[1]FC vers Ref (Km)'!FF135&lt;&gt;0,AH135,)+4+(2/60)+5+(51/60)+1+(8/60)+1+(7/60)+5+(51/60)+1+(8/60)</f>
        <v>19.116666666666667</v>
      </c>
      <c r="FG135" s="14">
        <f>IF('[1]FC vers Ref (Km)'!FG135&lt;&gt;0,AI135,)+4+(2/60)+5+(51/60)+1+(8/60)+15+(50/60)</f>
        <v>207.85</v>
      </c>
      <c r="FH135" s="14">
        <f>IF('[1]FC vers Ref (Km)'!FH135&lt;&gt;0,AJ135,)+4+(2/60)+5+(51/60)+1+(8/60)</f>
        <v>260.01666666666665</v>
      </c>
      <c r="FI135" s="14">
        <f>IF('[1]FC vers Ref (Km)'!FI135&lt;&gt;0,AK135,)+4+(2/60)+5+(51/60)+1+(8/60)+4+(40/60)+11+(32/60)</f>
        <v>208.21666666666664</v>
      </c>
      <c r="FJ135" s="14">
        <f>IF('[1]FC vers Ref (Km)'!FJ135&lt;&gt;0,AL135,)+4+(2/60)+5+(51/60)+1+(8/60)</f>
        <v>233.01666666666665</v>
      </c>
      <c r="FK135" s="14">
        <f>IF('[1]FC vers Ref (Km)'!FK135&lt;&gt;0,AM135,)+4+(2/60)+5+(51/60)+1+(8/60)</f>
        <v>395.01666666666671</v>
      </c>
      <c r="FL135" s="14">
        <f>IF('[1]FC vers Ref (Km)'!FL135&lt;&gt;0,AN135,)+4+(2/60)+5+(51/60)+1+(8/60)</f>
        <v>386.01666666666671</v>
      </c>
      <c r="FM135" s="14">
        <f>IF('[1]FC vers Ref (Km)'!FM135&lt;&gt;0,AO135,)+4+(2/60)+5+(51/60)+1+(8/60)+(55/60)</f>
        <v>380.93333333333339</v>
      </c>
      <c r="FN135" s="14">
        <f>IF('[1]FC vers Ref (Km)'!FN135&lt;&gt;0,AP135,)+4+(2/60)+5+(51/60)+1+(8/60)</f>
        <v>391.01666666666671</v>
      </c>
      <c r="FO135" s="14">
        <f>IF('[1]FC vers Ref (Km)'!FO135&lt;&gt;0,AQ135,)+4+(2/60)+5+(51/60)+1+(8/60)</f>
        <v>411.01666666666671</v>
      </c>
      <c r="FP135" s="14">
        <f>IF('[1]FC vers Ref (Km)'!FP135&lt;&gt;0,AR135,)+4+(2/60)+5+(51/60)+1+(8/60)</f>
        <v>327.01666666666671</v>
      </c>
      <c r="FQ135" s="14">
        <f>IF('[1]FC vers Ref (Km)'!FQ135&lt;&gt;0,AS135,)+4+(2/60)+5+(51/60)+1+(8/60)</f>
        <v>185.01666666666665</v>
      </c>
      <c r="FR135" s="14">
        <f>IF('[1]FC vers Ref (Km)'!FR135&lt;&gt;0,AT135,)+4+(2/60)+5+(51/60)+1+(8/60)</f>
        <v>185.01666666666665</v>
      </c>
      <c r="FS135" s="14">
        <f>IF('[1]FC vers Ref (Km)'!FS135&lt;&gt;0,AU135,)+4+(2/60)+5+(51/60)+1+(8/60)</f>
        <v>185.01666666666665</v>
      </c>
      <c r="FT135" s="14">
        <f>IF('[1]FC vers Ref (Km)'!FT135&lt;&gt;0,AV135,)+4+(2/60)+5+(51/60)+1+(8/60)+1+(7/60)</f>
        <v>381.13333333333338</v>
      </c>
      <c r="FU135" s="14">
        <f>IF('[1]FC vers Ref (Km)'!FU135&lt;&gt;0,AW135,)+4+(2/60)+5+(51/60)+1+(8/60)+8+(3/60)</f>
        <v>196.06666666666666</v>
      </c>
      <c r="FV135" s="14">
        <f>IF('[1]FC vers Ref (Km)'!FV135&lt;&gt;0,AX135,)+4+(2/60)+5+(51/60)+1+(8/60)+2*24+11</f>
        <v>247.01666666666665</v>
      </c>
      <c r="FW135" s="14">
        <f>IF('[1]FC vers Ref (Km)'!FW135&lt;&gt;0,AY135,)+4+(2/60)+5+(51/60)+1+(8/60)</f>
        <v>399.01666666666671</v>
      </c>
      <c r="FX135" s="14">
        <f>IF('[1]FC vers Ref (Km)'!FX135&lt;&gt;0,AZ135,)+4+(2/60)+5+(51/60)+1+(8/60)</f>
        <v>11.016666666666666</v>
      </c>
      <c r="FY135" s="14">
        <f>IF('[1]FC vers Ref (Km)'!FY135&lt;&gt;0,BA135,)+4+(2/60)+5+(51/60)+1+(8/60)+5+(41/60)</f>
        <v>194.7</v>
      </c>
      <c r="FZ135" s="14">
        <f>IF('[1]FC vers Ref (Km)'!FZ135&lt;&gt;0,BB135,)+4+(2/60)+5+(51/60)+1+(8/60)</f>
        <v>308.01666666666671</v>
      </c>
      <c r="GA135" s="13">
        <f>IF('[1]FC vers Ref (Km)'!GA135&lt;&gt;0,BC135,)+4+(2/60)+5+(51/60)+1+(8/60)</f>
        <v>177.01666666666665</v>
      </c>
      <c r="GB135" s="14">
        <f>IF('[1]FC vers Ref (Km)'!GB135&lt;&gt;0,BD135,)+4+(2/60)+5+(51/60)+1+(8/60)</f>
        <v>335.01666666666671</v>
      </c>
      <c r="GC135" s="14">
        <f>IF('[1]FC vers Ref (Km)'!GC135&lt;&gt;0,BE135,)+4+(2/60)+5+(51/60)+1+(8/60)+(30/60)</f>
        <v>389.51666666666671</v>
      </c>
      <c r="GD135" s="14">
        <f>IF('[1]FC vers Ref (Km)'!GD135&lt;&gt;0,BF135,)+4+(2/60)+5+(51/60)+1+(8/60)</f>
        <v>367.01666666666671</v>
      </c>
      <c r="GE135" s="13">
        <f>IF('[1]FC vers Ref (Km)'!GE135&lt;&gt;0,BG135,)+4+(2/60)+5+(51/60)+1+(8/60)+15+(1/60)</f>
        <v>97.033333333333331</v>
      </c>
      <c r="GF135" s="13">
        <f>IF('[1]FC vers Ref (Km)'!GF135&lt;&gt;0,BH135,)+4+(2/60)+5+(51/60)+1+(8/60)</f>
        <v>46.016666666666666</v>
      </c>
      <c r="GG135" s="14">
        <f>IF('[1]FC vers Ref (Km)'!GG135&lt;&gt;0,BI135,)+4+(2/60)+5+(51/60)+1+(8/60)</f>
        <v>276.01666666666671</v>
      </c>
      <c r="GH135" s="14">
        <f>IF('[1]FC vers Ref (Km)'!GH135&lt;&gt;0,BJ135,)+4+(2/60)+5+(51/60)+1+(8/60)</f>
        <v>372.01666666666671</v>
      </c>
      <c r="GI135" s="15">
        <f>IF('[1]FC vers Ref (Km)'!GI135&lt;&gt;0,BK135,)+4+(2/60)+5+(51/60)+1+(8/60)</f>
        <v>372.01666666666671</v>
      </c>
    </row>
    <row r="136" spans="1:191" x14ac:dyDescent="0.3">
      <c r="A136" s="10" t="s">
        <v>32</v>
      </c>
      <c r="B136" s="35" t="s">
        <v>82</v>
      </c>
      <c r="C136" s="16">
        <f>9*24+13</f>
        <v>229</v>
      </c>
      <c r="D136" s="14">
        <f>10*24+19</f>
        <v>259</v>
      </c>
      <c r="E136" s="14">
        <f>8*24+10</f>
        <v>202</v>
      </c>
      <c r="F136" s="14">
        <f>10*24+6</f>
        <v>246</v>
      </c>
      <c r="G136" s="14">
        <f>8*24+22</f>
        <v>214</v>
      </c>
      <c r="H136" s="14">
        <f>15*24+12</f>
        <v>372</v>
      </c>
      <c r="I136" s="14">
        <f>17*24+9</f>
        <v>417</v>
      </c>
      <c r="J136" s="14">
        <f>15*24+12</f>
        <v>372</v>
      </c>
      <c r="K136" s="14">
        <f t="shared" si="0"/>
        <v>201</v>
      </c>
      <c r="L136" s="14">
        <f t="shared" si="0"/>
        <v>201</v>
      </c>
      <c r="M136" s="14">
        <f t="shared" si="1"/>
        <v>418</v>
      </c>
      <c r="N136" s="14">
        <f t="shared" si="1"/>
        <v>418</v>
      </c>
      <c r="O136" s="14">
        <f>11*24+5</f>
        <v>269</v>
      </c>
      <c r="P136" s="14">
        <f>10*24+3</f>
        <v>243</v>
      </c>
      <c r="Q136" s="14">
        <f>8*24+7</f>
        <v>199</v>
      </c>
      <c r="R136" s="13">
        <f>5*24+16</f>
        <v>136</v>
      </c>
      <c r="S136" s="13">
        <f>5*24+1</f>
        <v>121</v>
      </c>
      <c r="T136" s="13">
        <f>5*24+4</f>
        <v>124</v>
      </c>
      <c r="U136" s="13">
        <f>4*24+21</f>
        <v>117</v>
      </c>
      <c r="V136" s="13">
        <f>2*24+2</f>
        <v>50</v>
      </c>
      <c r="W136" s="13">
        <v>0</v>
      </c>
      <c r="X136" s="13">
        <f>5*24+16</f>
        <v>136</v>
      </c>
      <c r="Y136" s="13">
        <f>6*24+11</f>
        <v>155</v>
      </c>
      <c r="Z136" s="13">
        <f>5*24+5</f>
        <v>125</v>
      </c>
      <c r="AA136" s="13">
        <f>1*24+15</f>
        <v>39</v>
      </c>
      <c r="AB136" s="13">
        <f>24+22</f>
        <v>46</v>
      </c>
      <c r="AC136" s="13">
        <f>2*24+10</f>
        <v>58</v>
      </c>
      <c r="AD136" s="13">
        <f>2*24+6</f>
        <v>54</v>
      </c>
      <c r="AE136" s="13">
        <f>6*24+11</f>
        <v>155</v>
      </c>
      <c r="AF136" s="13">
        <v>0</v>
      </c>
      <c r="AG136" s="13">
        <v>0</v>
      </c>
      <c r="AH136" s="12"/>
      <c r="AI136" s="14">
        <v>181</v>
      </c>
      <c r="AJ136" s="14">
        <v>249</v>
      </c>
      <c r="AK136" s="14">
        <v>181</v>
      </c>
      <c r="AL136" s="14">
        <v>222</v>
      </c>
      <c r="AM136" s="14">
        <v>384</v>
      </c>
      <c r="AN136" s="14">
        <v>375</v>
      </c>
      <c r="AO136" s="14">
        <v>369</v>
      </c>
      <c r="AP136" s="14">
        <v>380</v>
      </c>
      <c r="AQ136" s="14">
        <v>400</v>
      </c>
      <c r="AR136" s="14">
        <v>316</v>
      </c>
      <c r="AS136" s="14">
        <v>174</v>
      </c>
      <c r="AT136" s="14">
        <v>174</v>
      </c>
      <c r="AU136" s="14">
        <v>174</v>
      </c>
      <c r="AV136" s="14">
        <f>15*24+9</f>
        <v>369</v>
      </c>
      <c r="AW136" s="14">
        <f t="shared" si="2"/>
        <v>177</v>
      </c>
      <c r="AX136" s="14">
        <f t="shared" si="2"/>
        <v>177</v>
      </c>
      <c r="AY136" s="14">
        <f>16*24+4</f>
        <v>388</v>
      </c>
      <c r="AZ136" s="14"/>
      <c r="BA136" s="14">
        <f>7*24+10</f>
        <v>178</v>
      </c>
      <c r="BB136" s="14">
        <f>12*24+9</f>
        <v>297</v>
      </c>
      <c r="BC136" s="13">
        <f>6*24+22</f>
        <v>166</v>
      </c>
      <c r="BD136" s="14">
        <f>13*24+12</f>
        <v>324</v>
      </c>
      <c r="BE136" s="14">
        <f>15*24+18</f>
        <v>378</v>
      </c>
      <c r="BF136" s="14">
        <f>14*24+20</f>
        <v>356</v>
      </c>
      <c r="BG136" s="13">
        <f>2*24+23</f>
        <v>71</v>
      </c>
      <c r="BH136" s="13">
        <f>24+11</f>
        <v>35</v>
      </c>
      <c r="BI136" s="14">
        <f>11*24+1</f>
        <v>265</v>
      </c>
      <c r="BJ136" s="14">
        <f t="shared" si="3"/>
        <v>361</v>
      </c>
      <c r="BK136" s="15">
        <f t="shared" si="3"/>
        <v>361</v>
      </c>
      <c r="BM136" s="10" t="s">
        <v>32</v>
      </c>
      <c r="BN136" s="35" t="s">
        <v>82</v>
      </c>
      <c r="BO136" s="16">
        <f>IF('[1]FC vers Ref (Km)'!BO136&lt;&gt;0,'Délai intermédiaire'!C136,)+5+(5/60)</f>
        <v>234.08333333333334</v>
      </c>
      <c r="BP136" s="14">
        <f>IF('[1]FC vers Ref (Km)'!BP136&lt;&gt;0,'Délai intermédiaire'!D136,)+5+(5/60)</f>
        <v>264.08333333333331</v>
      </c>
      <c r="BQ136" s="14">
        <f>IF('[1]FC vers Ref (Km)'!BQ136&lt;&gt;0,'Délai intermédiaire'!E136,)+5+(5/60)+19+(49/60)</f>
        <v>226.9</v>
      </c>
      <c r="BR136" s="14">
        <f>IF('[1]FC vers Ref (Km)'!BR136&lt;&gt;0,'Délai intermédiaire'!F136,)+5+(5/60)</f>
        <v>251.08333333333334</v>
      </c>
      <c r="BS136" s="14">
        <f>IF('[1]FC vers Ref (Km)'!BS136&lt;&gt;0,'Délai intermédiaire'!G136,)+5+(5/60)+(48/60)</f>
        <v>219.88333333333335</v>
      </c>
      <c r="BT136" s="14">
        <f>IF('[1]FC vers Ref (Km)'!BT136&lt;&gt;0,'Délai intermédiaire'!H136,)+5+(5/60)+15+(47/60)</f>
        <v>392.86666666666667</v>
      </c>
      <c r="BU136" s="14">
        <f>IF('[1]FC vers Ref (Km)'!BU136&lt;&gt;0,'Délai intermédiaire'!I136,)+5+(5/60)</f>
        <v>422.08333333333331</v>
      </c>
      <c r="BV136" s="14">
        <f>IF('[1]FC vers Ref (Km)'!BV136&lt;&gt;0,'Délai intermédiaire'!J136,)+5+(5/60)</f>
        <v>377.08333333333331</v>
      </c>
      <c r="BW136" s="14">
        <f>IF('[1]FC vers Ref (Km)'!BW136&lt;&gt;0,'Délai intermédiaire'!K136,)+5+(5/60)+6+(13/60)</f>
        <v>212.3</v>
      </c>
      <c r="BX136" s="14">
        <f>IF('[1]FC vers Ref (Km)'!BX136&lt;&gt;0,'Délai intermédiaire'!L136,)+5+(5/60)</f>
        <v>206.08333333333334</v>
      </c>
      <c r="BY136" s="14">
        <f>IF('[1]FC vers Ref (Km)'!BY136&lt;&gt;0,'Délai intermédiaire'!M136,)+5+(5/60)+11+(1/60)</f>
        <v>434.09999999999997</v>
      </c>
      <c r="BZ136" s="14">
        <f>IF('[1]FC vers Ref (Km)'!BZ136&lt;&gt;0,'Délai intermédiaire'!N136,)+5+(5/60)</f>
        <v>423.08333333333331</v>
      </c>
      <c r="CA136" s="14">
        <f>IF('[1]FC vers Ref (Km)'!CA136&lt;&gt;0,'Délai intermédiaire'!O136,)+5+(5/60)+4+(51/60)</f>
        <v>278.93333333333334</v>
      </c>
      <c r="CB136" s="14">
        <f>IF('[1]FC vers Ref (Km)'!CB136&lt;&gt;0,'Délai intermédiaire'!P136,)+5+(5/60)+5+(3/60)</f>
        <v>253.13333333333335</v>
      </c>
      <c r="CC136" s="14">
        <f>IF('[1]FC vers Ref (Km)'!CC136&lt;&gt;0,'Délai intermédiaire'!Q136,)+5+(5/60)+(40/60)</f>
        <v>204.75</v>
      </c>
      <c r="CD136" s="13">
        <f>IF('[1]FC vers Ref (Km)'!CD136&lt;&gt;0,'Délai intermédiaire'!R136,)+5+(5/60)</f>
        <v>141.08333333333334</v>
      </c>
      <c r="CE136" s="13">
        <f>IF('[1]FC vers Ref (Km)'!CE136&lt;&gt;0,'Délai intermédiaire'!S136,)+5+(5/60)</f>
        <v>126.08333333333333</v>
      </c>
      <c r="CF136" s="13">
        <f>IF('[1]FC vers Ref (Km)'!CF136&lt;&gt;0,'Délai intermédiaire'!T136,)+5+(5/60)</f>
        <v>129.08333333333334</v>
      </c>
      <c r="CG136" s="13">
        <f>IF('[1]FC vers Ref (Km)'!CG136&lt;&gt;0,'Délai intermédiaire'!U136,)+5+(5/60)+1+(53/60)</f>
        <v>123.96666666666667</v>
      </c>
      <c r="CH136" s="13">
        <f>IF('[1]FC vers Ref (Km)'!CH136&lt;&gt;0,'Délai intermédiaire'!V136,)+5+(5/60)+2+(57/60)</f>
        <v>58.033333333333339</v>
      </c>
      <c r="CI136" s="13">
        <f>IF('[1]FC vers Ref (Km)'!CI136&lt;&gt;0,'Délai intermédiaire'!W136,)+5+(5/60)+4+(47/60)</f>
        <v>9.8666666666666654</v>
      </c>
      <c r="CJ136" s="13">
        <f>IF('[1]FC vers Ref (Km)'!CJ136&lt;&gt;0,'Délai intermédiaire'!X136,)+5+(5/60)</f>
        <v>141.08333333333334</v>
      </c>
      <c r="CK136" s="13">
        <f>IF('[1]FC vers Ref (Km)'!CK136&lt;&gt;0,'Délai intermédiaire'!Y136,)+5+(5/60)+1+(33/60)</f>
        <v>161.63333333333335</v>
      </c>
      <c r="CL136" s="13">
        <f>IF('[1]FC vers Ref (Km)'!CL136&lt;&gt;0,'Délai intermédiaire'!Z136,)+5+(5/60)+2+(30/60)</f>
        <v>132.58333333333334</v>
      </c>
      <c r="CM136" s="13">
        <f>IF('[1]FC vers Ref (Km)'!CM136&lt;&gt;0,'Délai intermédiaire'!AA136,)+5+(5/60)+(56/60)</f>
        <v>45.016666666666666</v>
      </c>
      <c r="CN136" s="13">
        <f>IF('[1]FC vers Ref (Km)'!CN136&lt;&gt;0,'Délai intermédiaire'!AB136,)+5+(5/60)+1+(39/60)</f>
        <v>52.733333333333334</v>
      </c>
      <c r="CO136" s="13">
        <f>IF('[1]FC vers Ref (Km)'!CO136&lt;&gt;0,'Délai intermédiaire'!AC136,)+5+(5/60)+3+(25/60)</f>
        <v>66.500000000000014</v>
      </c>
      <c r="CP136" s="13">
        <f>IF('[1]FC vers Ref (Km)'!CP136&lt;&gt;0,'Délai intermédiaire'!AD136,)+5+(5/60)</f>
        <v>59.083333333333336</v>
      </c>
      <c r="CQ136" s="13">
        <f>IF('[1]FC vers Ref (Km)'!CQ136&lt;&gt;0,'Délai intermédiaire'!AE136,)+5+(5/60)</f>
        <v>160.08333333333334</v>
      </c>
      <c r="CR136" s="13">
        <f>IF('[1]FC vers Ref (Km)'!CR136&lt;&gt;0,'Délai intermédiaire'!AF136,)+5+(5/60)+9+(1/60)</f>
        <v>14.1</v>
      </c>
      <c r="CS136" s="13">
        <f>IF('[1]FC vers Ref (Km)'!CS136&lt;&gt;0,'Délai intermédiaire'!AG136,)+5+(5/60)+7+(48/60)</f>
        <v>12.883333333333333</v>
      </c>
      <c r="CT136" s="12"/>
      <c r="CU136" s="14">
        <f>IF('[1]FC vers Ref (Km)'!CU136&lt;&gt;0,'Délai intermédiaire'!AI136,)+5+(5/60)+19+(46/60)</f>
        <v>205.85000000000002</v>
      </c>
      <c r="CV136" s="14">
        <f>IF('[1]FC vers Ref (Km)'!CV136&lt;&gt;0,'Délai intermédiaire'!AJ136,)+5+(5/60)</f>
        <v>254.08333333333334</v>
      </c>
      <c r="CW136" s="14">
        <f>IF('[1]FC vers Ref (Km)'!CW136&lt;&gt;0,'Délai intermédiaire'!AK136,)+5+(5/60)+12+(26/60)</f>
        <v>198.51666666666668</v>
      </c>
      <c r="CX136" s="14">
        <f>IF('[1]FC vers Ref (Km)'!CX136&lt;&gt;0,'Délai intermédiaire'!AL136,)+5+(5/60)</f>
        <v>227.08333333333334</v>
      </c>
      <c r="CY136" s="14">
        <f>IF('[1]FC vers Ref (Km)'!CY136&lt;&gt;0,'Délai intermédiaire'!AM136,)+5+(5/60)</f>
        <v>389.08333333333331</v>
      </c>
      <c r="CZ136" s="14">
        <f>IF('[1]FC vers Ref (Km)'!CZ136&lt;&gt;0,'Délai intermédiaire'!AN136,)+5+(5/60)</f>
        <v>380.08333333333331</v>
      </c>
      <c r="DA136" s="14">
        <f>IF('[1]FC vers Ref (Km)'!DA136&lt;&gt;0,'Délai intermédiaire'!AO136,)+5+(5/60)+1+(56/60)</f>
        <v>376.01666666666665</v>
      </c>
      <c r="DB136" s="14">
        <f>IF('[1]FC vers Ref (Km)'!DB136&lt;&gt;0,'Délai intermédiaire'!AP136,)+5+(5/60)</f>
        <v>385.08333333333331</v>
      </c>
      <c r="DC136" s="14">
        <f>IF('[1]FC vers Ref (Km)'!DC136&lt;&gt;0,'Délai intermédiaire'!AQ136,)+5+(5/60)</f>
        <v>405.08333333333331</v>
      </c>
      <c r="DD136" s="14">
        <f>IF('[1]FC vers Ref (Km)'!DD136&lt;&gt;0,'Délai intermédiaire'!AR136,)+5+(5/60)</f>
        <v>321.08333333333331</v>
      </c>
      <c r="DE136" s="14">
        <f>IF('[1]FC vers Ref (Km)'!DE136&lt;&gt;0,'Délai intermédiaire'!AS136,)+5+(5/60)</f>
        <v>179.08333333333334</v>
      </c>
      <c r="DF136" s="14">
        <f>IF('[1]FC vers Ref (Km)'!DF136&lt;&gt;0,'Délai intermédiaire'!AT136,)+5+(5/60)+20+(5/60)</f>
        <v>199.16666666666669</v>
      </c>
      <c r="DG136" s="14">
        <f>IF('[1]FC vers Ref (Km)'!DG136&lt;&gt;0,'Délai intermédiaire'!AU136,)+5+(5/60)+11+(36/60)</f>
        <v>190.68333333333334</v>
      </c>
      <c r="DH136" s="14">
        <f>IF('[1]FC vers Ref (Km)'!DH136&lt;&gt;0,'Délai intermédiaire'!AV136,)+5+(5/60)+(28/60)</f>
        <v>374.54999999999995</v>
      </c>
      <c r="DI136" s="14">
        <f>IF('[1]FC vers Ref (Km)'!DI136&lt;&gt;0,'Délai intermédiaire'!AW136,)+5+(5/60)+7+(13/60)</f>
        <v>189.3</v>
      </c>
      <c r="DJ136" s="14">
        <f>IF('[1]FC vers Ref (Km)'!DJ136&lt;&gt;0,'Délai intermédiaire'!AX136,)+5+(5/60)+2*24+15</f>
        <v>245.08333333333334</v>
      </c>
      <c r="DK136" s="14">
        <f>IF('[1]FC vers Ref (Km)'!DK136&lt;&gt;0,'Délai intermédiaire'!AY136,)+5+(5/60)</f>
        <v>393.08333333333331</v>
      </c>
      <c r="DL136" s="14">
        <f>IF('[1]FC vers Ref (Km)'!DL136&lt;&gt;0,'Délai intermédiaire'!AZ136,)+5+(5/60)</f>
        <v>5.083333333333333</v>
      </c>
      <c r="DM136" s="14">
        <f>IF('[1]FC vers Ref (Km)'!DM136&lt;&gt;0,'Délai intermédiaire'!BA136,)+5+(5/60)+7+(17/60)</f>
        <v>190.36666666666667</v>
      </c>
      <c r="DN136" s="14">
        <f>IF('[1]FC vers Ref (Km)'!DN136&lt;&gt;0,'Délai intermédiaire'!BB136,)+5+(5/60)</f>
        <v>302.08333333333331</v>
      </c>
      <c r="DO136" s="13">
        <f>IF('[1]FC vers Ref (Km)'!DO136&lt;&gt;0,'Délai intermédiaire'!BC136,)+5+(5/60)</f>
        <v>171.08333333333334</v>
      </c>
      <c r="DP136" s="14">
        <f>IF('[1]FC vers Ref (Km)'!DP136&lt;&gt;0,'Délai intermédiaire'!BD136,)+5+(5/60)</f>
        <v>329.08333333333331</v>
      </c>
      <c r="DQ136" s="14">
        <f>IF('[1]FC vers Ref (Km)'!DQ136&lt;&gt;0,'Délai intermédiaire'!BE136,)+5+(5/60)+1+(22/60)</f>
        <v>384.45</v>
      </c>
      <c r="DR136" s="14">
        <f>IF('[1]FC vers Ref (Km)'!DR136&lt;&gt;0,'Délai intermédiaire'!BF136,)+5+(5/60)</f>
        <v>361.08333333333331</v>
      </c>
      <c r="DS136" s="13">
        <f>IF('[1]FC vers Ref (Km)'!DS136&lt;&gt;0,'Délai intermédiaire'!BG136,)+5+(5/60)+10+(43/60)</f>
        <v>86.8</v>
      </c>
      <c r="DT136" s="12">
        <f>IF('[1]FC vers Ref (Km)'!DT136&lt;&gt;0,'Délai intermédiaire'!BH136,)+5+(5/60)+(12/60)</f>
        <v>40.283333333333339</v>
      </c>
      <c r="DU136" s="14">
        <f>IF('[1]FC vers Ref (Km)'!DU136&lt;&gt;0,'Délai intermédiaire'!BI136,)+5+(5/60)+7+(45/60)</f>
        <v>277.83333333333331</v>
      </c>
      <c r="DV136" s="14">
        <f>IF('[1]FC vers Ref (Km)'!DV136&lt;&gt;0,'Délai intermédiaire'!BJ136,)+5+(5/60)+1+(10/60)</f>
        <v>367.25</v>
      </c>
      <c r="DW136" s="15">
        <f>IF('[1]FC vers Ref (Km)'!DW136&lt;&gt;0,'Délai intermédiaire'!BK136,)+5+(5/60)+12+(41/60)</f>
        <v>378.76666666666665</v>
      </c>
      <c r="DX136" s="27"/>
      <c r="DY136" s="10" t="s">
        <v>32</v>
      </c>
      <c r="DZ136" s="35" t="s">
        <v>82</v>
      </c>
      <c r="EA136" s="16">
        <f>IF('[1]FC vers Ref (Km)'!EA136&lt;&gt;0,C136,)+1+(7/60)+5+(51/60)+1+(8/60)</f>
        <v>237.1</v>
      </c>
      <c r="EB136" s="14">
        <f>IF('[1]FC vers Ref (Km)'!EB136&lt;&gt;0,D136,)+1+(7/60)+5+(51/60)+1+(8/60)</f>
        <v>267.10000000000002</v>
      </c>
      <c r="EC136" s="14">
        <f>IF('[1]FC vers Ref (Km)'!EC136&lt;&gt;0,E136,)+1+(7/60)+5+(51/60)+1+(8/60)+7+(55/60)+19+(53/60)</f>
        <v>237.89999999999998</v>
      </c>
      <c r="ED136" s="14">
        <f>IF('[1]FC vers Ref (Km)'!ED136&lt;&gt;0,F136,)+1+(7/60)+5+(51/60)+1+(8/60)</f>
        <v>254.1</v>
      </c>
      <c r="EE136" s="14">
        <f>IF('[1]FC vers Ref (Km)'!EE136&lt;&gt;0,G136,)+1+(7/60)+5+(51/60)+1+(8/60)+(32/60)</f>
        <v>222.63333333333333</v>
      </c>
      <c r="EF136" s="14">
        <f>IF('[1]FC vers Ref (Km)'!EF136&lt;&gt;0,H136,)+1+(7/60)+5+(51/60)+1+(8/60)+14+(25/60)+31+(8/60)</f>
        <v>425.65000000000003</v>
      </c>
      <c r="EG136" s="14">
        <f>IF('[1]FC vers Ref (Km)'!EG136&lt;&gt;0,I136,)+1+(7/60)+5+(51/60)+1+(8/60)</f>
        <v>425.1</v>
      </c>
      <c r="EH136" s="14">
        <f>IF('[1]FC vers Ref (Km)'!EH136&lt;&gt;0,J136,)+1+(7/60)+5+(51/60)+1+(8/60)</f>
        <v>380.1</v>
      </c>
      <c r="EI136" s="14">
        <f>IF('[1]FC vers Ref (Km)'!EI136&lt;&gt;0,K136,)+1+(7/60)+5+(51/60)+1+(8/60)+5+(11/60)</f>
        <v>214.28333333333333</v>
      </c>
      <c r="EJ136" s="14">
        <f>IF('[1]FC vers Ref (Km)'!EJ136&lt;&gt;0,L136,)+1+(7/60)+5+(51/60)+1+(8/60)</f>
        <v>209.1</v>
      </c>
      <c r="EK136" s="14">
        <f>IF('[1]FC vers Ref (Km)'!EK136&lt;&gt;0,M136,)+1+(7/60)+5+(51/60)+1+(8/60)</f>
        <v>426.1</v>
      </c>
      <c r="EL136" s="14">
        <f>IF('[1]FC vers Ref (Km)'!EL136&lt;&gt;0,N136,)+1+(7/60)+5+(51/60)+1+(8/60)</f>
        <v>426.1</v>
      </c>
      <c r="EM136" s="14">
        <f>IF('[1]FC vers Ref (Km)'!EM136&lt;&gt;0,O136,)+1+(7/60)+5+(51/60)+1+(8/60)</f>
        <v>277.10000000000002</v>
      </c>
      <c r="EN136" s="14">
        <f>IF('[1]FC vers Ref (Km)'!EN136&lt;&gt;0,P136,)+1+(7/60)+5+(51/60)+1+(8/60)</f>
        <v>251.1</v>
      </c>
      <c r="EO136" s="14">
        <f>IF('[1]FC vers Ref (Km)'!EO136&lt;&gt;0,Q136,)+1+(7/60)+5+(51/60)+1+(8/60)</f>
        <v>207.1</v>
      </c>
      <c r="EP136" s="13">
        <f>IF('[1]FC vers Ref (Km)'!EP136&lt;&gt;0,R136,)+1+(7/60)+5+(51/60)+1+(8/60)</f>
        <v>144.1</v>
      </c>
      <c r="EQ136" s="13">
        <f>IF('[1]FC vers Ref (Km)'!EQ136&lt;&gt;0,S136,)+1+(7/60)+5+(51/60)+1+(8/60)</f>
        <v>129.09999999999997</v>
      </c>
      <c r="ER136" s="13">
        <f>IF('[1]FC vers Ref (Km)'!ER136&lt;&gt;0,T136,)+1+(7/60)+5+(51/60)+1+(8/60)</f>
        <v>132.1</v>
      </c>
      <c r="ES136" s="13">
        <f>IF('[1]FC vers Ref (Km)'!ES136&lt;&gt;0,U136,)+1+(7/60)+5+(51/60)+1+(8/60)+2+(21/60)</f>
        <v>127.44999999999999</v>
      </c>
      <c r="ET136" s="13">
        <f>IF('[1]FC vers Ref (Km)'!ET136&lt;&gt;0,V136,)+1+(7/60)+5+(51/60)+1+(8/60)+1+(44/60)</f>
        <v>59.833333333333336</v>
      </c>
      <c r="EU136" s="13">
        <f>IF('[1]FC vers Ref (Km)'!EU136&lt;&gt;0,W136,)+1+(7/60)+5+(51/60)+1+(8/60)+1+(47/60)+2+(31/60)+2+(54/60)</f>
        <v>15.3</v>
      </c>
      <c r="EV136" s="13">
        <f>IF('[1]FC vers Ref (Km)'!EV136&lt;&gt;0,X136,)+1+(7/60)+5+(51/60)+1+(8/60)</f>
        <v>144.1</v>
      </c>
      <c r="EW136" s="13">
        <f>IF('[1]FC vers Ref (Km)'!EW136&lt;&gt;0,Y136,)+1+(7/60)+5+(51/60)+1+(8/60)+(56/60)+(59/60)</f>
        <v>165.01666666666665</v>
      </c>
      <c r="EX136" s="13">
        <f>IF('[1]FC vers Ref (Km)'!EX136&lt;&gt;0,Z136,)+1+(7/60)+5+(51/60)+1+(8/60)+1+(35/60)+(37/60)</f>
        <v>135.30000000000001</v>
      </c>
      <c r="EY136" s="13">
        <f>IF('[1]FC vers Ref (Km)'!EY136&lt;&gt;0,AA136,)+1+(7/60)+5+(51/60)+1+(8/60)+1+(18/60)</f>
        <v>48.4</v>
      </c>
      <c r="EZ136" s="13">
        <f>IF('[1]FC vers Ref (Km)'!EZ136&lt;&gt;0,AB136,)+1+(7/60)+5+(51/60)+1+(8/60)+1+(39/60)</f>
        <v>55.75</v>
      </c>
      <c r="FA136" s="13">
        <f>IF('[1]FC vers Ref (Km)'!FA136&lt;&gt;0,AC136,)+1+(7/60)+5+(51/60)+1+(8/60)+1+(47/60)</f>
        <v>67.88333333333334</v>
      </c>
      <c r="FB136" s="13">
        <f>IF('[1]FC vers Ref (Km)'!FB136&lt;&gt;0,AD136,)+1+(7/60)+5+(51/60)+1+(8/60)</f>
        <v>62.1</v>
      </c>
      <c r="FC136" s="13">
        <f>IF('[1]FC vers Ref (Km)'!FC136&lt;&gt;0,AE136,)+1+(7/60)+5+(51/60)+1+(8/60)</f>
        <v>163.1</v>
      </c>
      <c r="FD136" s="13">
        <f>IF('[1]FC vers Ref (Km)'!FD136&lt;&gt;0,AF136,)+1+(7/60)+5+(51/60)+1+(8/60)+5+(31/60)+5+(51/60)+1+(8/60)</f>
        <v>20.6</v>
      </c>
      <c r="FE136" s="13">
        <f>IF('[1]FC vers Ref (Km)'!FE136&lt;&gt;0,AG136,)+1+(7/60)+5+(51/60)+1+(8/60)+4+(2/60)+5+(51/60)+1+(8/60)</f>
        <v>19.116666666666667</v>
      </c>
      <c r="FF136" s="12"/>
      <c r="FG136" s="14">
        <f>IF('[1]FC vers Ref (Km)'!FG136&lt;&gt;0,AI136,)+1+(7/60)+5+(51/60)+1+(8/60)+15+(50/60)</f>
        <v>204.93333333333334</v>
      </c>
      <c r="FH136" s="14">
        <f>IF('[1]FC vers Ref (Km)'!FH136&lt;&gt;0,AJ136,)+1+(7/60)+5+(51/60)+1+(8/60)</f>
        <v>257.10000000000002</v>
      </c>
      <c r="FI136" s="14">
        <f>IF('[1]FC vers Ref (Km)'!FI136&lt;&gt;0,AK136,)+1+(7/60)+5+(51/60)+1+(8/60)+4+(40/60)+11+(32/60)</f>
        <v>205.29999999999998</v>
      </c>
      <c r="FJ136" s="14">
        <f>IF('[1]FC vers Ref (Km)'!FJ136&lt;&gt;0,AL136,)+1+(7/60)+5+(51/60)+1+(8/60)</f>
        <v>230.1</v>
      </c>
      <c r="FK136" s="14">
        <f>IF('[1]FC vers Ref (Km)'!FK136&lt;&gt;0,AM136,)+1+(7/60)+5+(51/60)+1+(8/60)</f>
        <v>392.1</v>
      </c>
      <c r="FL136" s="14">
        <f>IF('[1]FC vers Ref (Km)'!FL136&lt;&gt;0,AN136,)+1+(7/60)+5+(51/60)+1+(8/60)</f>
        <v>383.1</v>
      </c>
      <c r="FM136" s="14">
        <f>IF('[1]FC vers Ref (Km)'!FM136&lt;&gt;0,AO136,)+1+(7/60)+5+(51/60)+1+(8/60)+(55/60)</f>
        <v>378.01666666666671</v>
      </c>
      <c r="FN136" s="14">
        <f>IF('[1]FC vers Ref (Km)'!FN136&lt;&gt;0,AP136,)+1+(7/60)+5+(51/60)+1+(8/60)</f>
        <v>388.1</v>
      </c>
      <c r="FO136" s="14">
        <f>IF('[1]FC vers Ref (Km)'!FO136&lt;&gt;0,AQ136,)+1+(7/60)+5+(51/60)+1+(8/60)</f>
        <v>408.1</v>
      </c>
      <c r="FP136" s="14">
        <f>IF('[1]FC vers Ref (Km)'!FP136&lt;&gt;0,AR136,)+1+(7/60)+5+(51/60)+1+(8/60)</f>
        <v>324.10000000000002</v>
      </c>
      <c r="FQ136" s="14">
        <f>IF('[1]FC vers Ref (Km)'!FQ136&lt;&gt;0,AS136,)+1+(7/60)+5+(51/60)+1+(8/60)</f>
        <v>182.1</v>
      </c>
      <c r="FR136" s="14">
        <f>IF('[1]FC vers Ref (Km)'!FR136&lt;&gt;0,AT136,)+1+(7/60)+5+(51/60)+1+(8/60)</f>
        <v>182.1</v>
      </c>
      <c r="FS136" s="14">
        <f>IF('[1]FC vers Ref (Km)'!FS136&lt;&gt;0,AU136,)+1+(7/60)+5+(51/60)+1+(8/60)</f>
        <v>182.1</v>
      </c>
      <c r="FT136" s="14">
        <f>IF('[1]FC vers Ref (Km)'!FT136&lt;&gt;0,AV136,)+1+(7/60)+5+(51/60)+1+(8/60)+1+(7/60)</f>
        <v>378.2166666666667</v>
      </c>
      <c r="FU136" s="14">
        <f>IF('[1]FC vers Ref (Km)'!FU136&lt;&gt;0,AW136,)+1+(7/60)+5+(51/60)+1+(8/60)+8+(3/60)</f>
        <v>193.15</v>
      </c>
      <c r="FV136" s="14">
        <f>IF('[1]FC vers Ref (Km)'!FV136&lt;&gt;0,AX136,)+1+(7/60)+5+(51/60)+1+(8/60)+2*24+11</f>
        <v>244.1</v>
      </c>
      <c r="FW136" s="14">
        <f>IF('[1]FC vers Ref (Km)'!FW136&lt;&gt;0,AY136,)+1+(7/60)+5+(51/60)+1+(8/60)</f>
        <v>396.1</v>
      </c>
      <c r="FX136" s="14">
        <f>IF('[1]FC vers Ref (Km)'!FX136&lt;&gt;0,AZ136,)+1+(7/60)+5+(51/60)+1+(8/60)</f>
        <v>8.1</v>
      </c>
      <c r="FY136" s="14">
        <f>IF('[1]FC vers Ref (Km)'!FY136&lt;&gt;0,BA136,)+1+(7/60)+5+(51/60)+1+(8/60)+5+(41/60)</f>
        <v>191.78333333333333</v>
      </c>
      <c r="FZ136" s="14">
        <f>IF('[1]FC vers Ref (Km)'!FZ136&lt;&gt;0,BB136,)+1+(7/60)+5+(51/60)+1+(8/60)</f>
        <v>305.10000000000002</v>
      </c>
      <c r="GA136" s="13">
        <f>IF('[1]FC vers Ref (Km)'!GA136&lt;&gt;0,BC136,)+1+(7/60)+5+(51/60)+1+(8/60)</f>
        <v>174.1</v>
      </c>
      <c r="GB136" s="14">
        <f>IF('[1]FC vers Ref (Km)'!GB136&lt;&gt;0,BD136,)+1+(7/60)+5+(51/60)+1+(8/60)</f>
        <v>332.1</v>
      </c>
      <c r="GC136" s="14">
        <f>IF('[1]FC vers Ref (Km)'!GC136&lt;&gt;0,BE136,)+1+(7/60)+5+(51/60)+1+(8/60)+(30/60)</f>
        <v>386.6</v>
      </c>
      <c r="GD136" s="14">
        <f>IF('[1]FC vers Ref (Km)'!GD136&lt;&gt;0,BF136,)+1+(7/60)+5+(51/60)+1+(8/60)</f>
        <v>364.1</v>
      </c>
      <c r="GE136" s="13">
        <f>IF('[1]FC vers Ref (Km)'!GE136&lt;&gt;0,BG136,)+1+(7/60)+5+(51/60)+1+(8/60)+15+(1/60)</f>
        <v>94.11666666666666</v>
      </c>
      <c r="GF136" s="12">
        <f>IF('[1]FC vers Ref (Km)'!GF136&lt;&gt;0,BH136,)+1+(7/60)+5+(51/60)+1+(8/60)</f>
        <v>43.1</v>
      </c>
      <c r="GG136" s="14">
        <f>IF('[1]FC vers Ref (Km)'!GG136&lt;&gt;0,BI136,)+1+(7/60)+5+(51/60)+1+(8/60)</f>
        <v>273.10000000000002</v>
      </c>
      <c r="GH136" s="14">
        <f>IF('[1]FC vers Ref (Km)'!GH136&lt;&gt;0,BJ136,)+1+(7/60)+5+(51/60)+1+(8/60)</f>
        <v>369.1</v>
      </c>
      <c r="GI136" s="15">
        <f>IF('[1]FC vers Ref (Km)'!GI136&lt;&gt;0,BK136,)+1+(7/60)+5+(51/60)+1+(8/60)</f>
        <v>369.1</v>
      </c>
    </row>
    <row r="137" spans="1:191" x14ac:dyDescent="0.3">
      <c r="A137" s="10" t="s">
        <v>33</v>
      </c>
      <c r="B137" s="35" t="s">
        <v>101</v>
      </c>
      <c r="C137" s="16">
        <f>15*24+6</f>
        <v>366</v>
      </c>
      <c r="D137" s="14">
        <f>16*24+13</f>
        <v>397</v>
      </c>
      <c r="E137" s="14">
        <f>14*24+4</f>
        <v>340</v>
      </c>
      <c r="F137" s="14">
        <f>16*24</f>
        <v>384</v>
      </c>
      <c r="G137" s="14">
        <f>14*24+16</f>
        <v>352</v>
      </c>
      <c r="H137" s="14">
        <f>17*24+13</f>
        <v>421</v>
      </c>
      <c r="I137" s="14">
        <f>16*24+12</f>
        <v>396</v>
      </c>
      <c r="J137" s="14">
        <f>17*24+13</f>
        <v>421</v>
      </c>
      <c r="K137" s="14">
        <f>14*24+3</f>
        <v>339</v>
      </c>
      <c r="L137" s="14">
        <f>14*24+3</f>
        <v>339</v>
      </c>
      <c r="M137" s="14">
        <f>16*24+12</f>
        <v>396</v>
      </c>
      <c r="N137" s="14">
        <f>16*24+12</f>
        <v>396</v>
      </c>
      <c r="O137" s="14">
        <f>16*24+23</f>
        <v>407</v>
      </c>
      <c r="P137" s="14">
        <f>13*24+14</f>
        <v>326</v>
      </c>
      <c r="Q137" s="14">
        <f>13*24+17</f>
        <v>329</v>
      </c>
      <c r="R137" s="14">
        <f>11*24+10</f>
        <v>274</v>
      </c>
      <c r="S137" s="14">
        <f>10*24+19</f>
        <v>259</v>
      </c>
      <c r="T137" s="14">
        <f>10*24+22</f>
        <v>262</v>
      </c>
      <c r="U137" s="14">
        <f>10*24+15</f>
        <v>255</v>
      </c>
      <c r="V137" s="14">
        <f>7*24+22</f>
        <v>190</v>
      </c>
      <c r="W137" s="14">
        <f>7*24+13</f>
        <v>181</v>
      </c>
      <c r="X137" s="14">
        <f>11*24+10</f>
        <v>274</v>
      </c>
      <c r="Y137" s="14">
        <f>12*24+5</f>
        <v>293</v>
      </c>
      <c r="Z137" s="14">
        <f>10*24+23</f>
        <v>263</v>
      </c>
      <c r="AA137" s="14">
        <f>7*24+10</f>
        <v>178</v>
      </c>
      <c r="AB137" s="14">
        <f>7*24+18</f>
        <v>186</v>
      </c>
      <c r="AC137" s="14">
        <f>8*24+4</f>
        <v>196</v>
      </c>
      <c r="AD137" s="14">
        <f>8*24+1</f>
        <v>193</v>
      </c>
      <c r="AE137" s="14">
        <f>12*24+5</f>
        <v>293</v>
      </c>
      <c r="AF137" s="14">
        <f>7*24+13</f>
        <v>181</v>
      </c>
      <c r="AG137" s="14">
        <f>7*24+13</f>
        <v>181</v>
      </c>
      <c r="AH137" s="14">
        <f>7*24+13</f>
        <v>181</v>
      </c>
      <c r="AI137" s="12"/>
      <c r="AJ137" s="13">
        <v>88</v>
      </c>
      <c r="AK137" s="13">
        <v>0</v>
      </c>
      <c r="AL137" s="13">
        <v>61</v>
      </c>
      <c r="AM137" s="13">
        <v>222</v>
      </c>
      <c r="AN137" s="13">
        <v>214</v>
      </c>
      <c r="AO137" s="13">
        <v>207</v>
      </c>
      <c r="AP137" s="14">
        <v>232</v>
      </c>
      <c r="AQ137" s="14">
        <v>251</v>
      </c>
      <c r="AR137" s="14">
        <v>166</v>
      </c>
      <c r="AS137" s="13">
        <v>47</v>
      </c>
      <c r="AT137" s="13">
        <v>47</v>
      </c>
      <c r="AU137" s="13">
        <v>47</v>
      </c>
      <c r="AV137" s="13">
        <f>8*24+16</f>
        <v>208</v>
      </c>
      <c r="AW137" s="13">
        <f>13*24+3</f>
        <v>315</v>
      </c>
      <c r="AX137" s="12">
        <f>13*24+3</f>
        <v>315</v>
      </c>
      <c r="AY137" s="13">
        <f>9*24+11</f>
        <v>227</v>
      </c>
      <c r="AZ137" s="14"/>
      <c r="BA137" s="14">
        <f>4*24+4</f>
        <v>100</v>
      </c>
      <c r="BB137" s="13">
        <f>5*24+16</f>
        <v>136</v>
      </c>
      <c r="BC137" s="14">
        <f>12*24+16</f>
        <v>304</v>
      </c>
      <c r="BD137" s="13">
        <f>6*24+18</f>
        <v>162</v>
      </c>
      <c r="BE137" s="13">
        <f>9*24+1</f>
        <v>217</v>
      </c>
      <c r="BF137" s="13">
        <f>8*24+3</f>
        <v>195</v>
      </c>
      <c r="BG137" s="14">
        <f>7*24+15</f>
        <v>183</v>
      </c>
      <c r="BH137" s="14">
        <f>6*24+8</f>
        <v>152</v>
      </c>
      <c r="BI137" s="14">
        <f>22*24+16</f>
        <v>544</v>
      </c>
      <c r="BJ137" s="14">
        <f>20*24+7</f>
        <v>487</v>
      </c>
      <c r="BK137" s="15">
        <f>20*24+7</f>
        <v>487</v>
      </c>
      <c r="BM137" s="10" t="s">
        <v>33</v>
      </c>
      <c r="BN137" s="35" t="s">
        <v>101</v>
      </c>
      <c r="BO137" s="16">
        <f>IF('[1]FC vers Ref (Km)'!BO137&lt;&gt;0,'Délai intermédiaire'!C137,)+19+(46/60)</f>
        <v>385.76666666666665</v>
      </c>
      <c r="BP137" s="14">
        <f>IF('[1]FC vers Ref (Km)'!BP137&lt;&gt;0,'Délai intermédiaire'!D137,)+19+(46/60)</f>
        <v>416.76666666666665</v>
      </c>
      <c r="BQ137" s="14">
        <f>IF('[1]FC vers Ref (Km)'!BQ137&lt;&gt;0,'Délai intermédiaire'!E137,)+19+(46/60)+19+(49/60)</f>
        <v>379.58333333333331</v>
      </c>
      <c r="BR137" s="14">
        <f>IF('[1]FC vers Ref (Km)'!BR137&lt;&gt;0,'Délai intermédiaire'!F137,)+19+(46/60)</f>
        <v>403.76666666666665</v>
      </c>
      <c r="BS137" s="14">
        <f>IF('[1]FC vers Ref (Km)'!BS137&lt;&gt;0,'Délai intermédiaire'!G137,)+19+(46/60)+(48/60)</f>
        <v>372.56666666666666</v>
      </c>
      <c r="BT137" s="14">
        <f>IF('[1]FC vers Ref (Km)'!BT137&lt;&gt;0,'Délai intermédiaire'!H137,)+19+(46/60)+15+(47/60)</f>
        <v>456.55</v>
      </c>
      <c r="BU137" s="14">
        <f>IF('[1]FC vers Ref (Km)'!BU137&lt;&gt;0,'Délai intermédiaire'!I137,)+19+(46/60)</f>
        <v>415.76666666666665</v>
      </c>
      <c r="BV137" s="14">
        <f>IF('[1]FC vers Ref (Km)'!BV137&lt;&gt;0,'Délai intermédiaire'!J137,)+19+(46/60)</f>
        <v>440.76666666666665</v>
      </c>
      <c r="BW137" s="14">
        <f>IF('[1]FC vers Ref (Km)'!BW137&lt;&gt;0,'Délai intermédiaire'!K137,)+19+(46/60)+6+(13/60)</f>
        <v>364.98333333333329</v>
      </c>
      <c r="BX137" s="14">
        <f>IF('[1]FC vers Ref (Km)'!BX137&lt;&gt;0,'Délai intermédiaire'!L137,)+19+(46/60)</f>
        <v>358.76666666666665</v>
      </c>
      <c r="BY137" s="14">
        <f>IF('[1]FC vers Ref (Km)'!BY137&lt;&gt;0,'Délai intermédiaire'!M137,)+19+(46/60)+11+(1/60)</f>
        <v>426.7833333333333</v>
      </c>
      <c r="BZ137" s="14">
        <f>IF('[1]FC vers Ref (Km)'!BZ137&lt;&gt;0,'Délai intermédiaire'!N137,)+19+(46/60)</f>
        <v>415.76666666666665</v>
      </c>
      <c r="CA137" s="14">
        <f>IF('[1]FC vers Ref (Km)'!CA137&lt;&gt;0,'Délai intermédiaire'!O137,)+19+(46/60)+4+(51/60)</f>
        <v>431.61666666666667</v>
      </c>
      <c r="CB137" s="14">
        <f>IF('[1]FC vers Ref (Km)'!CB137&lt;&gt;0,'Délai intermédiaire'!P137,)+19+(46/60)+5+(3/60)</f>
        <v>350.81666666666666</v>
      </c>
      <c r="CC137" s="14">
        <f>IF('[1]FC vers Ref (Km)'!CC137&lt;&gt;0,'Délai intermédiaire'!Q137,)+19+(46/60)+(40/60)</f>
        <v>349.43333333333334</v>
      </c>
      <c r="CD137" s="14">
        <f>IF('[1]FC vers Ref (Km)'!CD137&lt;&gt;0,'Délai intermédiaire'!R137,)+19+(46/60)</f>
        <v>293.76666666666665</v>
      </c>
      <c r="CE137" s="14">
        <f>IF('[1]FC vers Ref (Km)'!CE137&lt;&gt;0,'Délai intermédiaire'!S137,)+19+(46/60)</f>
        <v>278.76666666666665</v>
      </c>
      <c r="CF137" s="14">
        <f>IF('[1]FC vers Ref (Km)'!CF137&lt;&gt;0,'Délai intermédiaire'!T137,)+19+(46/60)</f>
        <v>281.76666666666665</v>
      </c>
      <c r="CG137" s="14">
        <f>IF('[1]FC vers Ref (Km)'!CG137&lt;&gt;0,'Délai intermédiaire'!U137,)+19+(46/60)+1+(53/60)</f>
        <v>276.64999999999998</v>
      </c>
      <c r="CH137" s="14">
        <f>IF('[1]FC vers Ref (Km)'!CH137&lt;&gt;0,'Délai intermédiaire'!V137,)+19+(46/60)+2+(57/60)</f>
        <v>212.71666666666667</v>
      </c>
      <c r="CI137" s="14">
        <f>IF('[1]FC vers Ref (Km)'!CI137&lt;&gt;0,'Délai intermédiaire'!W137,)+19+(46/60)+4+(47/60)</f>
        <v>205.55</v>
      </c>
      <c r="CJ137" s="14">
        <f>IF('[1]FC vers Ref (Km)'!CJ137&lt;&gt;0,'Délai intermédiaire'!X137,)+19+(46/60)</f>
        <v>293.76666666666665</v>
      </c>
      <c r="CK137" s="14">
        <f>IF('[1]FC vers Ref (Km)'!CK137&lt;&gt;0,'Délai intermédiaire'!Y137,)+19+(46/60)+1+(33/60)</f>
        <v>314.31666666666666</v>
      </c>
      <c r="CL137" s="14">
        <f>IF('[1]FC vers Ref (Km)'!CL137&lt;&gt;0,'Délai intermédiaire'!Z137,)+19+(46/60)+2+(30/60)</f>
        <v>285.26666666666665</v>
      </c>
      <c r="CM137" s="14">
        <f>IF('[1]FC vers Ref (Km)'!CM137&lt;&gt;0,'Délai intermédiaire'!AA137,)+19+(46/60)+(56/60)</f>
        <v>198.70000000000002</v>
      </c>
      <c r="CN137" s="14">
        <f>IF('[1]FC vers Ref (Km)'!CN137&lt;&gt;0,'Délai intermédiaire'!AB137,)+19+(46/60)+1+(39/60)</f>
        <v>207.41666666666669</v>
      </c>
      <c r="CO137" s="14">
        <f>IF('[1]FC vers Ref (Km)'!CO137&lt;&gt;0,'Délai intermédiaire'!AC137,)+19+(46/60)+3+(25/60)</f>
        <v>219.18333333333334</v>
      </c>
      <c r="CP137" s="14">
        <f>IF('[1]FC vers Ref (Km)'!CP137&lt;&gt;0,'Délai intermédiaire'!AD137,)+19+(46/60)</f>
        <v>212.76666666666668</v>
      </c>
      <c r="CQ137" s="14">
        <f>IF('[1]FC vers Ref (Km)'!CQ137&lt;&gt;0,'Délai intermédiaire'!AE137,)+19+(46/60)</f>
        <v>312.76666666666665</v>
      </c>
      <c r="CR137" s="14">
        <f>IF('[1]FC vers Ref (Km)'!CR137&lt;&gt;0,'Délai intermédiaire'!AF137,)+19+(46/60)+9+(1/60)</f>
        <v>209.78333333333336</v>
      </c>
      <c r="CS137" s="14">
        <f>IF('[1]FC vers Ref (Km)'!CS137&lt;&gt;0,'Délai intermédiaire'!AG137,)+19+(46/60)+7+(48/60)</f>
        <v>208.56666666666669</v>
      </c>
      <c r="CT137" s="14">
        <f>IF('[1]FC vers Ref (Km)'!CT137&lt;&gt;0,'Délai intermédiaire'!AH137,)+19+(46/60)+5+(5/60)</f>
        <v>205.85000000000002</v>
      </c>
      <c r="CU137" s="12"/>
      <c r="CV137" s="13">
        <f>IF('[1]FC vers Ref (Km)'!CV137&lt;&gt;0,'Délai intermédiaire'!AJ137,)+19+(46/60)</f>
        <v>107.76666666666667</v>
      </c>
      <c r="CW137" s="13">
        <f>IF('[1]FC vers Ref (Km)'!CW137&lt;&gt;0,'Délai intermédiaire'!AK137,)+19+(46/60)+12+(26/60)</f>
        <v>32.199999999999996</v>
      </c>
      <c r="CX137" s="13">
        <f>IF('[1]FC vers Ref (Km)'!CX137&lt;&gt;0,'Délai intermédiaire'!AL137,)+19+(46/60)</f>
        <v>80.766666666666666</v>
      </c>
      <c r="CY137" s="13">
        <f>IF('[1]FC vers Ref (Km)'!CY137&lt;&gt;0,'Délai intermédiaire'!AM137,)+19+(46/60)</f>
        <v>241.76666666666668</v>
      </c>
      <c r="CZ137" s="13">
        <f>IF('[1]FC vers Ref (Km)'!CZ137&lt;&gt;0,'Délai intermédiaire'!AN137,)+19+(46/60)</f>
        <v>233.76666666666668</v>
      </c>
      <c r="DA137" s="13">
        <f>IF('[1]FC vers Ref (Km)'!DA137&lt;&gt;0,'Délai intermédiaire'!AO137,)+19+(46/60)+1+(56/60)</f>
        <v>228.70000000000002</v>
      </c>
      <c r="DB137" s="14">
        <f>IF('[1]FC vers Ref (Km)'!DB137&lt;&gt;0,'Délai intermédiaire'!AP137,)+19+(46/60)</f>
        <v>251.76666666666668</v>
      </c>
      <c r="DC137" s="14">
        <f>IF('[1]FC vers Ref (Km)'!DC137&lt;&gt;0,'Délai intermédiaire'!AQ137,)+19+(46/60)</f>
        <v>270.76666666666665</v>
      </c>
      <c r="DD137" s="14">
        <f>IF('[1]FC vers Ref (Km)'!DD137&lt;&gt;0,'Délai intermédiaire'!AR137,)+19+(46/60)</f>
        <v>185.76666666666668</v>
      </c>
      <c r="DE137" s="13">
        <f>IF('[1]FC vers Ref (Km)'!DE137&lt;&gt;0,'Délai intermédiaire'!AS137,)+19+(46/60)</f>
        <v>66.766666666666666</v>
      </c>
      <c r="DF137" s="13">
        <f>IF('[1]FC vers Ref (Km)'!DF137&lt;&gt;0,'Délai intermédiaire'!AT137,)+19+(46/60)+20+(5/60)</f>
        <v>86.85</v>
      </c>
      <c r="DG137" s="13">
        <f>IF('[1]FC vers Ref (Km)'!DG137&lt;&gt;0,'Délai intermédiaire'!AU137,)+19+(46/60)+11+(36/60)</f>
        <v>78.36666666666666</v>
      </c>
      <c r="DH137" s="13">
        <f>IF('[1]FC vers Ref (Km)'!DH137&lt;&gt;0,'Délai intermédiaire'!AV137,)+19+(46/60)+(28/60)</f>
        <v>228.23333333333335</v>
      </c>
      <c r="DI137" s="13">
        <f>IF('[1]FC vers Ref (Km)'!DI137&lt;&gt;0,'Délai intermédiaire'!AW137,)+19+(46/60)+7+(13/60)</f>
        <v>341.98333333333329</v>
      </c>
      <c r="DJ137" s="12">
        <f>IF('[1]FC vers Ref (Km)'!DJ137&lt;&gt;0,'Délai intermédiaire'!AX137,)+19+(46/60)+2*24+15</f>
        <v>397.76666666666665</v>
      </c>
      <c r="DK137" s="13">
        <f>IF('[1]FC vers Ref (Km)'!DK137&lt;&gt;0,'Délai intermédiaire'!AY137,)+19+(46/60)</f>
        <v>246.76666666666668</v>
      </c>
      <c r="DL137" s="14">
        <f>IF('[1]FC vers Ref (Km)'!DL137&lt;&gt;0,'Délai intermédiaire'!AZ137,)+19+(46/60)</f>
        <v>19.766666666666666</v>
      </c>
      <c r="DM137" s="14">
        <f>IF('[1]FC vers Ref (Km)'!DM137&lt;&gt;0,'Délai intermédiaire'!BA137,)+19+(46/60)+7+(17/60)</f>
        <v>127.05</v>
      </c>
      <c r="DN137" s="13">
        <f>IF('[1]FC vers Ref (Km)'!DN137&lt;&gt;0,'Délai intermédiaire'!BB137,)+19+(46/60)</f>
        <v>155.76666666666668</v>
      </c>
      <c r="DO137" s="14">
        <f>IF('[1]FC vers Ref (Km)'!DO137&lt;&gt;0,'Délai intermédiaire'!BC137,)+19+(46/60)</f>
        <v>323.76666666666665</v>
      </c>
      <c r="DP137" s="13">
        <f>IF('[1]FC vers Ref (Km)'!DP137&lt;&gt;0,'Délai intermédiaire'!BD137,)+19+(46/60)</f>
        <v>181.76666666666668</v>
      </c>
      <c r="DQ137" s="13">
        <f>IF('[1]FC vers Ref (Km)'!DQ137&lt;&gt;0,'Délai intermédiaire'!BE137,)+19+(46/60)+1+(22/60)</f>
        <v>238.13333333333335</v>
      </c>
      <c r="DR137" s="13">
        <f>IF('[1]FC vers Ref (Km)'!DR137&lt;&gt;0,'Délai intermédiaire'!BF137,)+19+(46/60)</f>
        <v>214.76666666666668</v>
      </c>
      <c r="DS137" s="14">
        <f>IF('[1]FC vers Ref (Km)'!DS137&lt;&gt;0,'Délai intermédiaire'!BG137,)+19+(46/60)+10+(43/60)</f>
        <v>213.48333333333335</v>
      </c>
      <c r="DT137" s="14">
        <f>IF('[1]FC vers Ref (Km)'!DT137&lt;&gt;0,'Délai intermédiaire'!BH137,)+19+(46/60)+(12/60)</f>
        <v>171.96666666666667</v>
      </c>
      <c r="DU137" s="14">
        <f>IF('[1]FC vers Ref (Km)'!DU137&lt;&gt;0,'Délai intermédiaire'!BI137,)+19+(46/60)+7+(45/60)</f>
        <v>571.51666666666665</v>
      </c>
      <c r="DV137" s="14">
        <f>IF('[1]FC vers Ref (Km)'!DV137&lt;&gt;0,'Délai intermédiaire'!BJ137,)+19+(46/60)+1+(10/60)</f>
        <v>507.93333333333334</v>
      </c>
      <c r="DW137" s="15">
        <f>IF('[1]FC vers Ref (Km)'!DW137&lt;&gt;0,'Délai intermédiaire'!BK137,)+19+(46/60)+12+(41/60)</f>
        <v>519.44999999999993</v>
      </c>
      <c r="DX137" s="27"/>
      <c r="DY137" s="10" t="s">
        <v>33</v>
      </c>
      <c r="DZ137" s="35" t="s">
        <v>101</v>
      </c>
      <c r="EA137" s="16">
        <f>IF('[1]FC vers Ref (Km)'!EA137&lt;&gt;0,C137,)+15+(50/60)</f>
        <v>381.83333333333331</v>
      </c>
      <c r="EB137" s="14">
        <f>IF('[1]FC vers Ref (Km)'!EB137&lt;&gt;0,D137,)+15+(50/60)</f>
        <v>412.83333333333331</v>
      </c>
      <c r="EC137" s="14">
        <f>IF('[1]FC vers Ref (Km)'!EC137&lt;&gt;0,E137,)+15+(50/60)+7+(55/60)+19+(53/60)</f>
        <v>383.63333333333333</v>
      </c>
      <c r="ED137" s="14">
        <f>IF('[1]FC vers Ref (Km)'!ED137&lt;&gt;0,F137,)+15+(50/60)</f>
        <v>399.83333333333331</v>
      </c>
      <c r="EE137" s="14">
        <f>IF('[1]FC vers Ref (Km)'!EE137&lt;&gt;0,G137,)+15+(50/60)+(32/60)</f>
        <v>368.36666666666667</v>
      </c>
      <c r="EF137" s="14">
        <f>IF('[1]FC vers Ref (Km)'!EF137&lt;&gt;0,H137,)+15+(50/60)+14+(25/60)+31+(8/60)</f>
        <v>482.38333333333333</v>
      </c>
      <c r="EG137" s="14">
        <f>IF('[1]FC vers Ref (Km)'!EG137&lt;&gt;0,I137,)+15+(50/60)</f>
        <v>411.83333333333331</v>
      </c>
      <c r="EH137" s="14">
        <f>IF('[1]FC vers Ref (Km)'!EH137&lt;&gt;0,J137,)+15+(50/60)</f>
        <v>436.83333333333331</v>
      </c>
      <c r="EI137" s="14">
        <f>IF('[1]FC vers Ref (Km)'!EI137&lt;&gt;0,K137,)+15+(50/60)+5+(11/60)</f>
        <v>360.01666666666665</v>
      </c>
      <c r="EJ137" s="14">
        <f>IF('[1]FC vers Ref (Km)'!EJ137&lt;&gt;0,L137,)+15+(50/60)</f>
        <v>354.83333333333331</v>
      </c>
      <c r="EK137" s="14">
        <f>IF('[1]FC vers Ref (Km)'!EK137&lt;&gt;0,M137,)+15+(50/60)</f>
        <v>411.83333333333331</v>
      </c>
      <c r="EL137" s="14">
        <f>IF('[1]FC vers Ref (Km)'!EL137&lt;&gt;0,N137,)+15+(50/60)</f>
        <v>411.83333333333331</v>
      </c>
      <c r="EM137" s="14">
        <f>IF('[1]FC vers Ref (Km)'!EM137&lt;&gt;0,O137,)+15+(50/60)</f>
        <v>422.83333333333331</v>
      </c>
      <c r="EN137" s="14">
        <f>IF('[1]FC vers Ref (Km)'!EN137&lt;&gt;0,P137,)+15+(50/60)</f>
        <v>341.83333333333331</v>
      </c>
      <c r="EO137" s="14">
        <f>IF('[1]FC vers Ref (Km)'!EO137&lt;&gt;0,Q137,)+15+(50/60)</f>
        <v>344.83333333333331</v>
      </c>
      <c r="EP137" s="14">
        <f>IF('[1]FC vers Ref (Km)'!EP137&lt;&gt;0,R137,)+15+(50/60)</f>
        <v>289.83333333333331</v>
      </c>
      <c r="EQ137" s="14">
        <f>IF('[1]FC vers Ref (Km)'!EQ137&lt;&gt;0,S137,)+15+(50/60)</f>
        <v>274.83333333333331</v>
      </c>
      <c r="ER137" s="14">
        <f>IF('[1]FC vers Ref (Km)'!ER137&lt;&gt;0,T137,)+15+(50/60)</f>
        <v>277.83333333333331</v>
      </c>
      <c r="ES137" s="14">
        <f>IF('[1]FC vers Ref (Km)'!ES137&lt;&gt;0,U137,)+15+(50/60)+2+(21/60)</f>
        <v>273.18333333333334</v>
      </c>
      <c r="ET137" s="14">
        <f>IF('[1]FC vers Ref (Km)'!ET137&lt;&gt;0,V137,)+15+(50/60)+1+(44/60)</f>
        <v>207.56666666666666</v>
      </c>
      <c r="EU137" s="14">
        <f>IF('[1]FC vers Ref (Km)'!EU137&lt;&gt;0,W137,)+15+(50/60)+1+(47/60)+2+(31/60)+2+(54/60)</f>
        <v>204.03333333333336</v>
      </c>
      <c r="EV137" s="14">
        <f>IF('[1]FC vers Ref (Km)'!EV137&lt;&gt;0,X137,)+15+(50/60)</f>
        <v>289.83333333333331</v>
      </c>
      <c r="EW137" s="14">
        <f>IF('[1]FC vers Ref (Km)'!EW137&lt;&gt;0,Y137,)+15+(50/60)+(56/60)+(59/60)</f>
        <v>310.75</v>
      </c>
      <c r="EX137" s="14">
        <f>IF('[1]FC vers Ref (Km)'!EX137&lt;&gt;0,Z137,)+15+(50/60)+1+(35/60)+(37/60)</f>
        <v>281.0333333333333</v>
      </c>
      <c r="EY137" s="14">
        <f>IF('[1]FC vers Ref (Km)'!EY137&lt;&gt;0,AA137,)+15+(50/60)+1+(18/60)</f>
        <v>195.13333333333335</v>
      </c>
      <c r="EZ137" s="14">
        <f>IF('[1]FC vers Ref (Km)'!EZ137&lt;&gt;0,AB137,)+15+(50/60)+1+(39/60)</f>
        <v>203.48333333333335</v>
      </c>
      <c r="FA137" s="14">
        <f>IF('[1]FC vers Ref (Km)'!FA137&lt;&gt;0,AC137,)+15+(50/60)+1+(47/60)</f>
        <v>213.61666666666667</v>
      </c>
      <c r="FB137" s="14">
        <f>IF('[1]FC vers Ref (Km)'!FB137&lt;&gt;0,AD137,)+15+(50/60)</f>
        <v>208.83333333333334</v>
      </c>
      <c r="FC137" s="14">
        <f>IF('[1]FC vers Ref (Km)'!FC137&lt;&gt;0,AE137,)+15+(50/60)</f>
        <v>308.83333333333331</v>
      </c>
      <c r="FD137" s="14">
        <f>IF('[1]FC vers Ref (Km)'!FD137&lt;&gt;0,AF137,)+15+(50/60)+5+(31/60)+5+(51/60)+1+(8/60)</f>
        <v>209.33333333333334</v>
      </c>
      <c r="FE137" s="14">
        <f>IF('[1]FC vers Ref (Km)'!FE137&lt;&gt;0,AG137,)+15+(50/60)+4+(2/60)+5+(51/60)+1+(8/60)</f>
        <v>207.85</v>
      </c>
      <c r="FF137" s="14">
        <f>IF('[1]FC vers Ref (Km)'!FF137&lt;&gt;0,AH137,)+15+(50/60)+1+(7/60)+5+(51/60)+1+(8/60)</f>
        <v>204.93333333333334</v>
      </c>
      <c r="FG137" s="12"/>
      <c r="FH137" s="13">
        <f>IF('[1]FC vers Ref (Km)'!FH137&lt;&gt;0,AJ137,)+15+(50/60)</f>
        <v>103.83333333333333</v>
      </c>
      <c r="FI137" s="13">
        <f>IF('[1]FC vers Ref (Km)'!FI137&lt;&gt;0,AK137,)+15+(50/60)+4+(40/60)+11+(32/60)</f>
        <v>32.033333333333339</v>
      </c>
      <c r="FJ137" s="13">
        <f>IF('[1]FC vers Ref (Km)'!FJ137&lt;&gt;0,AL137,)+15+(50/60)</f>
        <v>76.833333333333329</v>
      </c>
      <c r="FK137" s="13">
        <f>IF('[1]FC vers Ref (Km)'!FK137&lt;&gt;0,AM137,)+15+(50/60)</f>
        <v>237.83333333333334</v>
      </c>
      <c r="FL137" s="13">
        <f>IF('[1]FC vers Ref (Km)'!FL137&lt;&gt;0,AN137,)+15+(50/60)</f>
        <v>229.83333333333334</v>
      </c>
      <c r="FM137" s="13">
        <f>IF('[1]FC vers Ref (Km)'!FM137&lt;&gt;0,AO137,)+15+(50/60)+(55/60)</f>
        <v>223.75</v>
      </c>
      <c r="FN137" s="14">
        <f>IF('[1]FC vers Ref (Km)'!FN137&lt;&gt;0,AP137,)+15+(50/60)</f>
        <v>247.83333333333334</v>
      </c>
      <c r="FO137" s="14">
        <f>IF('[1]FC vers Ref (Km)'!FO137&lt;&gt;0,AQ137,)+15+(50/60)</f>
        <v>266.83333333333331</v>
      </c>
      <c r="FP137" s="14">
        <f>IF('[1]FC vers Ref (Km)'!FP137&lt;&gt;0,AR137,)+15+(50/60)</f>
        <v>181.83333333333334</v>
      </c>
      <c r="FQ137" s="13">
        <f>IF('[1]FC vers Ref (Km)'!FQ137&lt;&gt;0,AS137,)+15+(50/60)</f>
        <v>62.833333333333336</v>
      </c>
      <c r="FR137" s="13">
        <f>IF('[1]FC vers Ref (Km)'!FR137&lt;&gt;0,AT137,)+15+(50/60)</f>
        <v>62.833333333333336</v>
      </c>
      <c r="FS137" s="13">
        <f>IF('[1]FC vers Ref (Km)'!FS137&lt;&gt;0,AU137,)+15+(50/60)</f>
        <v>62.833333333333336</v>
      </c>
      <c r="FT137" s="13">
        <f>IF('[1]FC vers Ref (Km)'!FT137&lt;&gt;0,AV137,)+15+(50/60)+1+(7/60)</f>
        <v>224.95000000000002</v>
      </c>
      <c r="FU137" s="13">
        <f>IF('[1]FC vers Ref (Km)'!FU137&lt;&gt;0,AW137,)+15+(50/60)+8+(3/60)</f>
        <v>338.88333333333333</v>
      </c>
      <c r="FV137" s="12">
        <f>IF('[1]FC vers Ref (Km)'!FV137&lt;&gt;0,AX137,)+15+(50/60)+2*24+11</f>
        <v>389.83333333333331</v>
      </c>
      <c r="FW137" s="13">
        <f>IF('[1]FC vers Ref (Km)'!FW137&lt;&gt;0,AY137,)+15+(50/60)</f>
        <v>242.83333333333334</v>
      </c>
      <c r="FX137" s="14">
        <f>IF('[1]FC vers Ref (Km)'!FX137&lt;&gt;0,AZ137,)+15+(50/60)</f>
        <v>15.833333333333334</v>
      </c>
      <c r="FY137" s="14">
        <f>IF('[1]FC vers Ref (Km)'!FY137&lt;&gt;0,BA137,)+15+(50/60)+5+(41/60)</f>
        <v>121.51666666666667</v>
      </c>
      <c r="FZ137" s="13">
        <f>IF('[1]FC vers Ref (Km)'!FZ137&lt;&gt;0,BB137,)+15+(50/60)</f>
        <v>151.83333333333334</v>
      </c>
      <c r="GA137" s="14">
        <f>IF('[1]FC vers Ref (Km)'!GA137&lt;&gt;0,BC137,)+15+(50/60)</f>
        <v>319.83333333333331</v>
      </c>
      <c r="GB137" s="13">
        <f>IF('[1]FC vers Ref (Km)'!GB137&lt;&gt;0,BD137,)+15+(50/60)</f>
        <v>177.83333333333334</v>
      </c>
      <c r="GC137" s="13">
        <f>IF('[1]FC vers Ref (Km)'!GC137&lt;&gt;0,BE137,)+15+(50/60)+(30/60)</f>
        <v>233.33333333333334</v>
      </c>
      <c r="GD137" s="13">
        <f>IF('[1]FC vers Ref (Km)'!GD137&lt;&gt;0,BF137,)+15+(50/60)</f>
        <v>210.83333333333334</v>
      </c>
      <c r="GE137" s="14">
        <f>IF('[1]FC vers Ref (Km)'!GE137&lt;&gt;0,BG137,)+15+(50/60)+15+(1/60)</f>
        <v>213.85000000000002</v>
      </c>
      <c r="GF137" s="14">
        <f>IF('[1]FC vers Ref (Km)'!GF137&lt;&gt;0,BH137,)+15+(50/60)</f>
        <v>167.83333333333334</v>
      </c>
      <c r="GG137" s="14">
        <f>IF('[1]FC vers Ref (Km)'!GG137&lt;&gt;0,BI137,)+15+(50/60)</f>
        <v>559.83333333333337</v>
      </c>
      <c r="GH137" s="14">
        <f>IF('[1]FC vers Ref (Km)'!GH137&lt;&gt;0,BJ137,)+15+(50/60)</f>
        <v>502.83333333333331</v>
      </c>
      <c r="GI137" s="15">
        <f>IF('[1]FC vers Ref (Km)'!GI137&lt;&gt;0,BK137,)+15+(50/60)</f>
        <v>502.83333333333331</v>
      </c>
    </row>
    <row r="138" spans="1:191" x14ac:dyDescent="0.3">
      <c r="A138" s="10" t="s">
        <v>34</v>
      </c>
      <c r="B138" s="35" t="s">
        <v>73</v>
      </c>
      <c r="C138" s="16">
        <f>18*24+3</f>
        <v>435</v>
      </c>
      <c r="D138" s="14">
        <f>19*24+10</f>
        <v>466</v>
      </c>
      <c r="E138" s="14">
        <f>17*24+1</f>
        <v>409</v>
      </c>
      <c r="F138" s="14">
        <f>18*24+21</f>
        <v>453</v>
      </c>
      <c r="G138" s="14">
        <f>17*24+12</f>
        <v>420</v>
      </c>
      <c r="H138" s="14">
        <f>16*24+4</f>
        <v>388</v>
      </c>
      <c r="I138" s="14">
        <f>15*24+3</f>
        <v>363</v>
      </c>
      <c r="J138" s="14">
        <f>16*24+4</f>
        <v>388</v>
      </c>
      <c r="K138" s="14">
        <f>17*24</f>
        <v>408</v>
      </c>
      <c r="L138" s="14">
        <f>17*24</f>
        <v>408</v>
      </c>
      <c r="M138" s="14">
        <f>15*24+4</f>
        <v>364</v>
      </c>
      <c r="N138" s="14">
        <f>15*24+4</f>
        <v>364</v>
      </c>
      <c r="O138" s="14">
        <f>19*24+20</f>
        <v>476</v>
      </c>
      <c r="P138" s="14">
        <f>15*24+3</f>
        <v>363</v>
      </c>
      <c r="Q138" s="14">
        <f>15*24+6</f>
        <v>366</v>
      </c>
      <c r="R138" s="14">
        <f>14*24+7</f>
        <v>343</v>
      </c>
      <c r="S138" s="14">
        <f>13*24+16</f>
        <v>328</v>
      </c>
      <c r="T138" s="14">
        <f>13*24+18</f>
        <v>330</v>
      </c>
      <c r="U138" s="14">
        <f>13*24+11</f>
        <v>323</v>
      </c>
      <c r="V138" s="14">
        <f>10*24+18</f>
        <v>258</v>
      </c>
      <c r="W138" s="14">
        <f>10*24+9</f>
        <v>249</v>
      </c>
      <c r="X138" s="14">
        <f>14*24+6</f>
        <v>342</v>
      </c>
      <c r="Y138" s="14">
        <f>15*24+1</f>
        <v>361</v>
      </c>
      <c r="Z138" s="14">
        <f>13*24+20</f>
        <v>332</v>
      </c>
      <c r="AA138" s="14">
        <f>10*24+7</f>
        <v>247</v>
      </c>
      <c r="AB138" s="14">
        <f>10*24+15</f>
        <v>255</v>
      </c>
      <c r="AC138" s="14">
        <f>11*24+1</f>
        <v>265</v>
      </c>
      <c r="AD138" s="14">
        <f>10*24+22</f>
        <v>262</v>
      </c>
      <c r="AE138" s="14">
        <f>15*24+1</f>
        <v>361</v>
      </c>
      <c r="AF138" s="14">
        <f>10*24+9</f>
        <v>249</v>
      </c>
      <c r="AG138" s="14">
        <f>10*24+9</f>
        <v>249</v>
      </c>
      <c r="AH138" s="14">
        <f>10*24+9</f>
        <v>249</v>
      </c>
      <c r="AI138" s="13">
        <f>3*24+16</f>
        <v>88</v>
      </c>
      <c r="AJ138" s="12"/>
      <c r="AK138" s="13">
        <v>88</v>
      </c>
      <c r="AL138" s="13">
        <v>32</v>
      </c>
      <c r="AM138" s="13">
        <v>190</v>
      </c>
      <c r="AN138" s="13">
        <v>181</v>
      </c>
      <c r="AO138" s="13">
        <v>175</v>
      </c>
      <c r="AP138" s="14">
        <v>221</v>
      </c>
      <c r="AQ138" s="14">
        <v>240</v>
      </c>
      <c r="AR138" s="14">
        <v>154</v>
      </c>
      <c r="AS138" s="13">
        <v>129</v>
      </c>
      <c r="AT138" s="13">
        <v>129</v>
      </c>
      <c r="AU138" s="13">
        <v>129</v>
      </c>
      <c r="AV138" s="12">
        <f>7*24+7</f>
        <v>175</v>
      </c>
      <c r="AW138" s="13">
        <f>16*24</f>
        <v>384</v>
      </c>
      <c r="AX138" s="13">
        <f>16*24</f>
        <v>384</v>
      </c>
      <c r="AY138" s="12">
        <f>8*24+2</f>
        <v>194</v>
      </c>
      <c r="AZ138" s="14"/>
      <c r="BA138" s="14">
        <f>6*24+10</f>
        <v>154</v>
      </c>
      <c r="BB138" s="13">
        <f>4*24+7</f>
        <v>103</v>
      </c>
      <c r="BC138" s="14">
        <f>15*24+12</f>
        <v>372</v>
      </c>
      <c r="BD138" s="12">
        <f>5*24+10</f>
        <v>130</v>
      </c>
      <c r="BE138" s="12">
        <f>7*24+16</f>
        <v>184</v>
      </c>
      <c r="BF138" s="12">
        <f>6*24+18</f>
        <v>162</v>
      </c>
      <c r="BG138" s="14">
        <f>10*24+12</f>
        <v>252</v>
      </c>
      <c r="BH138" s="14">
        <f>9*24+4</f>
        <v>220</v>
      </c>
      <c r="BI138" s="14">
        <f>21*24+7</f>
        <v>511</v>
      </c>
      <c r="BJ138" s="14">
        <f>19*24+20</f>
        <v>476</v>
      </c>
      <c r="BK138" s="15">
        <f>19*24+20</f>
        <v>476</v>
      </c>
      <c r="BM138" s="10" t="s">
        <v>34</v>
      </c>
      <c r="BN138" s="35" t="s">
        <v>73</v>
      </c>
      <c r="BO138" s="16">
        <f>IF('[1]FC vers Ref (Km)'!BO138&lt;&gt;0,'Délai intermédiaire'!C138,)</f>
        <v>0</v>
      </c>
      <c r="BP138" s="14">
        <f>IF('[1]FC vers Ref (Km)'!BP138&lt;&gt;0,'Délai intermédiaire'!D138,)</f>
        <v>0</v>
      </c>
      <c r="BQ138" s="14">
        <f>IF('[1]FC vers Ref (Km)'!BQ138&lt;&gt;0,'Délai intermédiaire'!E138,)+19+(49/60)</f>
        <v>428.81666666666666</v>
      </c>
      <c r="BR138" s="14">
        <f>IF('[1]FC vers Ref (Km)'!BR138&lt;&gt;0,'Délai intermédiaire'!F138,)</f>
        <v>0</v>
      </c>
      <c r="BS138" s="14">
        <f>IF('[1]FC vers Ref (Km)'!BS138&lt;&gt;0,'Délai intermédiaire'!G138,)+(48/60)</f>
        <v>420.8</v>
      </c>
      <c r="BT138" s="14">
        <f>IF('[1]FC vers Ref (Km)'!BT138&lt;&gt;0,'Délai intermédiaire'!H138,)+15+(47/60)</f>
        <v>403.78333333333336</v>
      </c>
      <c r="BU138" s="14">
        <f>IF('[1]FC vers Ref (Km)'!BU138&lt;&gt;0,'Délai intermédiaire'!I138,)</f>
        <v>0</v>
      </c>
      <c r="BV138" s="14">
        <f>IF('[1]FC vers Ref (Km)'!BV138&lt;&gt;0,'Délai intermédiaire'!J138,)</f>
        <v>0</v>
      </c>
      <c r="BW138" s="14">
        <f>IF('[1]FC vers Ref (Km)'!BW138&lt;&gt;0,'Délai intermédiaire'!K138,)+6+(13/60)</f>
        <v>414.21666666666664</v>
      </c>
      <c r="BX138" s="14">
        <f>IF('[1]FC vers Ref (Km)'!BX138&lt;&gt;0,'Délai intermédiaire'!L138,)</f>
        <v>0</v>
      </c>
      <c r="BY138" s="14">
        <f>IF('[1]FC vers Ref (Km)'!BY138&lt;&gt;0,'Délai intermédiaire'!M138,)+11+(1/60)</f>
        <v>375.01666666666665</v>
      </c>
      <c r="BZ138" s="14">
        <f>IF('[1]FC vers Ref (Km)'!BZ138&lt;&gt;0,'Délai intermédiaire'!N138,)</f>
        <v>0</v>
      </c>
      <c r="CA138" s="14">
        <f>IF('[1]FC vers Ref (Km)'!CA138&lt;&gt;0,'Délai intermédiaire'!O138,)+4+(51/60)</f>
        <v>480.85</v>
      </c>
      <c r="CB138" s="14">
        <f>IF('[1]FC vers Ref (Km)'!CB138&lt;&gt;0,'Délai intermédiaire'!P138,)+5+(3/60)</f>
        <v>368.05</v>
      </c>
      <c r="CC138" s="14">
        <f>IF('[1]FC vers Ref (Km)'!CC138&lt;&gt;0,'Délai intermédiaire'!Q138,)+(40/60)</f>
        <v>366.66666666666669</v>
      </c>
      <c r="CD138" s="14">
        <f>IF('[1]FC vers Ref (Km)'!CD138&lt;&gt;0,'Délai intermédiaire'!R138,)</f>
        <v>0</v>
      </c>
      <c r="CE138" s="14">
        <f>IF('[1]FC vers Ref (Km)'!CE138&lt;&gt;0,'Délai intermédiaire'!S138,)</f>
        <v>0</v>
      </c>
      <c r="CF138" s="14">
        <f>IF('[1]FC vers Ref (Km)'!CF138&lt;&gt;0,'Délai intermédiaire'!T138,)</f>
        <v>0</v>
      </c>
      <c r="CG138" s="14">
        <f>IF('[1]FC vers Ref (Km)'!CG138&lt;&gt;0,'Délai intermédiaire'!U138,)+1+(53/60)</f>
        <v>324.88333333333333</v>
      </c>
      <c r="CH138" s="14">
        <f>IF('[1]FC vers Ref (Km)'!CH138&lt;&gt;0,'Délai intermédiaire'!V138,)+2+(57/60)</f>
        <v>260.95</v>
      </c>
      <c r="CI138" s="14">
        <f>IF('[1]FC vers Ref (Km)'!CI138&lt;&gt;0,'Délai intermédiaire'!W138,)+4+(47/60)</f>
        <v>253.78333333333333</v>
      </c>
      <c r="CJ138" s="14">
        <f>IF('[1]FC vers Ref (Km)'!CJ138&lt;&gt;0,'Délai intermédiaire'!X138,)</f>
        <v>0</v>
      </c>
      <c r="CK138" s="14">
        <f>IF('[1]FC vers Ref (Km)'!CK138&lt;&gt;0,'Délai intermédiaire'!Y138,)+1+(33/60)</f>
        <v>362.55</v>
      </c>
      <c r="CL138" s="14">
        <f>IF('[1]FC vers Ref (Km)'!CL138&lt;&gt;0,'Délai intermédiaire'!Z138,)+2+(30/60)</f>
        <v>334.5</v>
      </c>
      <c r="CM138" s="14">
        <f>IF('[1]FC vers Ref (Km)'!CM138&lt;&gt;0,'Délai intermédiaire'!AA138,)+(56/60)</f>
        <v>247.93333333333334</v>
      </c>
      <c r="CN138" s="14">
        <f>IF('[1]FC vers Ref (Km)'!CN138&lt;&gt;0,'Délai intermédiaire'!AB138,)+1+(39/60)</f>
        <v>256.64999999999998</v>
      </c>
      <c r="CO138" s="14">
        <f>IF('[1]FC vers Ref (Km)'!CO138&lt;&gt;0,'Délai intermédiaire'!AC138,)+3+(25/60)</f>
        <v>268.41666666666669</v>
      </c>
      <c r="CP138" s="14">
        <f>IF('[1]FC vers Ref (Km)'!CP138&lt;&gt;0,'Délai intermédiaire'!AD138,)</f>
        <v>0</v>
      </c>
      <c r="CQ138" s="14">
        <f>IF('[1]FC vers Ref (Km)'!CQ138&lt;&gt;0,'Délai intermédiaire'!AE138,)</f>
        <v>0</v>
      </c>
      <c r="CR138" s="14">
        <f>IF('[1]FC vers Ref (Km)'!CR138&lt;&gt;0,'Délai intermédiaire'!AF138,)+9+(1/60)</f>
        <v>258.01666666666665</v>
      </c>
      <c r="CS138" s="14">
        <f>IF('[1]FC vers Ref (Km)'!CS138&lt;&gt;0,'Délai intermédiaire'!AG138,)+7+(48/60)</f>
        <v>256.8</v>
      </c>
      <c r="CT138" s="14">
        <f>IF('[1]FC vers Ref (Km)'!CT138&lt;&gt;0,'Délai intermédiaire'!AH138,)+5+(5/60)</f>
        <v>254.08333333333334</v>
      </c>
      <c r="CU138" s="13">
        <f>IF('[1]FC vers Ref (Km)'!CU138&lt;&gt;0,'Délai intermédiaire'!AI138,)+19+(46/60)</f>
        <v>107.76666666666667</v>
      </c>
      <c r="CV138" s="12"/>
      <c r="CW138" s="13">
        <f>IF('[1]FC vers Ref (Km)'!CW138&lt;&gt;0,'Délai intermédiaire'!AK138,)+12+(26/60)</f>
        <v>100.43333333333334</v>
      </c>
      <c r="CX138" s="13">
        <f>IF('[1]FC vers Ref (Km)'!CX138&lt;&gt;0,'Délai intermédiaire'!AL138,)</f>
        <v>0</v>
      </c>
      <c r="CY138" s="13">
        <f>IF('[1]FC vers Ref (Km)'!CY138&lt;&gt;0,'Délai intermédiaire'!AM138,)</f>
        <v>0</v>
      </c>
      <c r="CZ138" s="13">
        <f>IF('[1]FC vers Ref (Km)'!CZ138&lt;&gt;0,'Délai intermédiaire'!AN138,)</f>
        <v>0</v>
      </c>
      <c r="DA138" s="13">
        <f>IF('[1]FC vers Ref (Km)'!DA138&lt;&gt;0,'Délai intermédiaire'!AO138,)+1+(56/60)</f>
        <v>176.93333333333334</v>
      </c>
      <c r="DB138" s="14">
        <f>IF('[1]FC vers Ref (Km)'!DB138&lt;&gt;0,'Délai intermédiaire'!AP138,)</f>
        <v>0</v>
      </c>
      <c r="DC138" s="14">
        <f>IF('[1]FC vers Ref (Km)'!DC138&lt;&gt;0,'Délai intermédiaire'!AQ138,)</f>
        <v>0</v>
      </c>
      <c r="DD138" s="14">
        <f>IF('[1]FC vers Ref (Km)'!DD138&lt;&gt;0,'Délai intermédiaire'!AR138,)</f>
        <v>0</v>
      </c>
      <c r="DE138" s="13">
        <f>IF('[1]FC vers Ref (Km)'!DE138&lt;&gt;0,'Délai intermédiaire'!AS138,)</f>
        <v>0</v>
      </c>
      <c r="DF138" s="13">
        <f>IF('[1]FC vers Ref (Km)'!DF138&lt;&gt;0,'Délai intermédiaire'!AT138,)+20+(5/60)</f>
        <v>149.08333333333334</v>
      </c>
      <c r="DG138" s="13">
        <f>IF('[1]FC vers Ref (Km)'!DG138&lt;&gt;0,'Délai intermédiaire'!AU138,)+11+(36/60)</f>
        <v>140.6</v>
      </c>
      <c r="DH138" s="12">
        <f>IF('[1]FC vers Ref (Km)'!DH138&lt;&gt;0,'Délai intermédiaire'!AV138,)+(28/60)</f>
        <v>175.46666666666667</v>
      </c>
      <c r="DI138" s="13">
        <f>IF('[1]FC vers Ref (Km)'!DI138&lt;&gt;0,'Délai intermédiaire'!AW138,)+7+(13/60)</f>
        <v>391.21666666666664</v>
      </c>
      <c r="DJ138" s="13">
        <f>IF('[1]FC vers Ref (Km)'!DJ138&lt;&gt;0,'Délai intermédiaire'!AX138,)+2*24+15</f>
        <v>447</v>
      </c>
      <c r="DK138" s="12">
        <f>IF('[1]FC vers Ref (Km)'!DK138&lt;&gt;0,'Délai intermédiaire'!AY138,)</f>
        <v>0</v>
      </c>
      <c r="DL138" s="14">
        <f>IF('[1]FC vers Ref (Km)'!DL138&lt;&gt;0,'Délai intermédiaire'!AZ138,)</f>
        <v>0</v>
      </c>
      <c r="DM138" s="14">
        <f>IF('[1]FC vers Ref (Km)'!DM138&lt;&gt;0,'Délai intermédiaire'!BA138,)+7+(17/60)</f>
        <v>161.28333333333333</v>
      </c>
      <c r="DN138" s="13">
        <f>IF('[1]FC vers Ref (Km)'!DN138&lt;&gt;0,'Délai intermédiaire'!BB138,)</f>
        <v>0</v>
      </c>
      <c r="DO138" s="14">
        <f>IF('[1]FC vers Ref (Km)'!DO138&lt;&gt;0,'Délai intermédiaire'!BC138,)</f>
        <v>0</v>
      </c>
      <c r="DP138" s="12">
        <f>IF('[1]FC vers Ref (Km)'!DP138&lt;&gt;0,'Délai intermédiaire'!BD138,)</f>
        <v>0</v>
      </c>
      <c r="DQ138" s="12">
        <f>IF('[1]FC vers Ref (Km)'!DQ138&lt;&gt;0,'Délai intermédiaire'!BE138,)+1+(22/60)</f>
        <v>185.36666666666667</v>
      </c>
      <c r="DR138" s="12">
        <f>IF('[1]FC vers Ref (Km)'!DR138&lt;&gt;0,'Délai intermédiaire'!BF138,)</f>
        <v>0</v>
      </c>
      <c r="DS138" s="14">
        <f>IF('[1]FC vers Ref (Km)'!DS138&lt;&gt;0,'Délai intermédiaire'!BG138,)+10+(43/60)</f>
        <v>262.71666666666664</v>
      </c>
      <c r="DT138" s="14">
        <f>IF('[1]FC vers Ref (Km)'!DT138&lt;&gt;0,'Délai intermédiaire'!BH138,)+(12/60)</f>
        <v>220.2</v>
      </c>
      <c r="DU138" s="14">
        <f>IF('[1]FC vers Ref (Km)'!DU138&lt;&gt;0,'Délai intermédiaire'!BI138,)+7+(45/60)</f>
        <v>518.75</v>
      </c>
      <c r="DV138" s="14">
        <f>IF('[1]FC vers Ref (Km)'!DV138&lt;&gt;0,'Délai intermédiaire'!BJ138,)+1+(10/60)</f>
        <v>477.16666666666669</v>
      </c>
      <c r="DW138" s="15">
        <f>IF('[1]FC vers Ref (Km)'!DW138&lt;&gt;0,'Délai intermédiaire'!BK138,)+12+(41/60)</f>
        <v>488.68333333333334</v>
      </c>
      <c r="DX138" s="27"/>
      <c r="DY138" s="10" t="s">
        <v>34</v>
      </c>
      <c r="DZ138" s="35" t="s">
        <v>73</v>
      </c>
      <c r="EA138" s="16">
        <f>IF('[1]FC vers Ref (Km)'!EA138&lt;&gt;0,C138,)</f>
        <v>0</v>
      </c>
      <c r="EB138" s="14">
        <f>IF('[1]FC vers Ref (Km)'!EB138&lt;&gt;0,D138,)</f>
        <v>0</v>
      </c>
      <c r="EC138" s="14">
        <f>IF('[1]FC vers Ref (Km)'!EC138&lt;&gt;0,E138,)+7+(55/60)+19+(53/60)</f>
        <v>436.8</v>
      </c>
      <c r="ED138" s="14">
        <f>IF('[1]FC vers Ref (Km)'!ED138&lt;&gt;0,F138,)</f>
        <v>0</v>
      </c>
      <c r="EE138" s="14">
        <f>IF('[1]FC vers Ref (Km)'!EE138&lt;&gt;0,G138,)+(32/60)</f>
        <v>420.53333333333336</v>
      </c>
      <c r="EF138" s="14">
        <f>IF('[1]FC vers Ref (Km)'!EF138&lt;&gt;0,H138,)+14+(25/60)+31+(8/60)</f>
        <v>433.55</v>
      </c>
      <c r="EG138" s="14">
        <f>IF('[1]FC vers Ref (Km)'!EG138&lt;&gt;0,I138,)</f>
        <v>0</v>
      </c>
      <c r="EH138" s="14">
        <f>IF('[1]FC vers Ref (Km)'!EH138&lt;&gt;0,J138,)</f>
        <v>0</v>
      </c>
      <c r="EI138" s="14">
        <f>IF('[1]FC vers Ref (Km)'!EI138&lt;&gt;0,K138,)+5+(11/60)</f>
        <v>413.18333333333334</v>
      </c>
      <c r="EJ138" s="14">
        <f>IF('[1]FC vers Ref (Km)'!EJ138&lt;&gt;0,L138,)</f>
        <v>0</v>
      </c>
      <c r="EK138" s="14">
        <f>IF('[1]FC vers Ref (Km)'!EK138&lt;&gt;0,M138,)</f>
        <v>0</v>
      </c>
      <c r="EL138" s="14">
        <f>IF('[1]FC vers Ref (Km)'!EL138&lt;&gt;0,N138,)</f>
        <v>0</v>
      </c>
      <c r="EM138" s="14">
        <f>IF('[1]FC vers Ref (Km)'!EM138&lt;&gt;0,O138,)</f>
        <v>0</v>
      </c>
      <c r="EN138" s="14">
        <f>IF('[1]FC vers Ref (Km)'!EN138&lt;&gt;0,P138,)</f>
        <v>0</v>
      </c>
      <c r="EO138" s="14">
        <f>IF('[1]FC vers Ref (Km)'!EO138&lt;&gt;0,Q138,)</f>
        <v>0</v>
      </c>
      <c r="EP138" s="14">
        <f>IF('[1]FC vers Ref (Km)'!EP138&lt;&gt;0,R138,)</f>
        <v>0</v>
      </c>
      <c r="EQ138" s="14">
        <f>IF('[1]FC vers Ref (Km)'!EQ138&lt;&gt;0,S138,)</f>
        <v>0</v>
      </c>
      <c r="ER138" s="14">
        <f>IF('[1]FC vers Ref (Km)'!ER138&lt;&gt;0,T138,)</f>
        <v>0</v>
      </c>
      <c r="ES138" s="14">
        <f>IF('[1]FC vers Ref (Km)'!ES138&lt;&gt;0,U138,)+2+(21/60)</f>
        <v>325.35000000000002</v>
      </c>
      <c r="ET138" s="14">
        <f>IF('[1]FC vers Ref (Km)'!ET138&lt;&gt;0,V138,)+1+(44/60)</f>
        <v>259.73333333333335</v>
      </c>
      <c r="EU138" s="14">
        <f>IF('[1]FC vers Ref (Km)'!EU138&lt;&gt;0,W138,)+1+(47/60)+2+(31/60)+2+(54/60)</f>
        <v>256.2</v>
      </c>
      <c r="EV138" s="14">
        <f>IF('[1]FC vers Ref (Km)'!EV138&lt;&gt;0,X138,)</f>
        <v>0</v>
      </c>
      <c r="EW138" s="14">
        <f>IF('[1]FC vers Ref (Km)'!EW138&lt;&gt;0,Y138,)+(56/60)+(59/60)</f>
        <v>362.91666666666669</v>
      </c>
      <c r="EX138" s="14">
        <f>IF('[1]FC vers Ref (Km)'!EX138&lt;&gt;0,Z138,)+1+(35/60)+(37/60)</f>
        <v>334.2</v>
      </c>
      <c r="EY138" s="14">
        <f>IF('[1]FC vers Ref (Km)'!EY138&lt;&gt;0,AA138,)+1+(18/60)</f>
        <v>248.3</v>
      </c>
      <c r="EZ138" s="14">
        <f>IF('[1]FC vers Ref (Km)'!EZ138&lt;&gt;0,AB138,)+1+(39/60)</f>
        <v>256.64999999999998</v>
      </c>
      <c r="FA138" s="14">
        <f>IF('[1]FC vers Ref (Km)'!FA138&lt;&gt;0,AC138,)+1+(47/60)</f>
        <v>266.78333333333336</v>
      </c>
      <c r="FB138" s="14">
        <f>IF('[1]FC vers Ref (Km)'!FB138&lt;&gt;0,AD138,)</f>
        <v>0</v>
      </c>
      <c r="FC138" s="14">
        <f>IF('[1]FC vers Ref (Km)'!FC138&lt;&gt;0,AE138,)</f>
        <v>0</v>
      </c>
      <c r="FD138" s="14">
        <f>IF('[1]FC vers Ref (Km)'!FD138&lt;&gt;0,AF138,)+5+(31/60)+5+(51/60)+1+(8/60)</f>
        <v>261.5</v>
      </c>
      <c r="FE138" s="14">
        <f>IF('[1]FC vers Ref (Km)'!FE138&lt;&gt;0,AG138,)+4+(2/60)+5+(51/60)+1+(8/60)</f>
        <v>260.01666666666665</v>
      </c>
      <c r="FF138" s="14">
        <f>IF('[1]FC vers Ref (Km)'!FF138&lt;&gt;0,AH138,)+1+(7/60)+5+(51/60)+1+(8/60)</f>
        <v>257.10000000000002</v>
      </c>
      <c r="FG138" s="13">
        <f>IF('[1]FC vers Ref (Km)'!FG138&lt;&gt;0,AI138,)+15+(50/60)</f>
        <v>103.83333333333333</v>
      </c>
      <c r="FH138" s="12">
        <f>IF('[1]FC vers Ref (Km)'!FH138&lt;&gt;0,AJ138,)</f>
        <v>0</v>
      </c>
      <c r="FI138" s="13">
        <f>IF('[1]FC vers Ref (Km)'!FI138&lt;&gt;0,AK138,)+4+(40/60)+11+(32/60)</f>
        <v>104.2</v>
      </c>
      <c r="FJ138" s="13">
        <f>IF('[1]FC vers Ref (Km)'!FJ138&lt;&gt;0,AL138,)</f>
        <v>0</v>
      </c>
      <c r="FK138" s="13">
        <f>IF('[1]FC vers Ref (Km)'!FK138&lt;&gt;0,AM138,)</f>
        <v>0</v>
      </c>
      <c r="FL138" s="13">
        <f>IF('[1]FC vers Ref (Km)'!FL138&lt;&gt;0,AN138,)</f>
        <v>0</v>
      </c>
      <c r="FM138" s="13">
        <f>IF('[1]FC vers Ref (Km)'!FM138&lt;&gt;0,AO138,)+(55/60)</f>
        <v>175.91666666666666</v>
      </c>
      <c r="FN138" s="14">
        <f>IF('[1]FC vers Ref (Km)'!FN138&lt;&gt;0,AP138,)</f>
        <v>0</v>
      </c>
      <c r="FO138" s="14">
        <f>IF('[1]FC vers Ref (Km)'!FO138&lt;&gt;0,AQ138,)</f>
        <v>0</v>
      </c>
      <c r="FP138" s="14">
        <f>IF('[1]FC vers Ref (Km)'!FP138&lt;&gt;0,AR138,)</f>
        <v>0</v>
      </c>
      <c r="FQ138" s="13">
        <f>IF('[1]FC vers Ref (Km)'!FQ138&lt;&gt;0,AS138,)</f>
        <v>0</v>
      </c>
      <c r="FR138" s="13">
        <f>IF('[1]FC vers Ref (Km)'!FR138&lt;&gt;0,AT138,)</f>
        <v>0</v>
      </c>
      <c r="FS138" s="13">
        <f>IF('[1]FC vers Ref (Km)'!FS138&lt;&gt;0,AU138,)</f>
        <v>0</v>
      </c>
      <c r="FT138" s="12">
        <f>IF('[1]FC vers Ref (Km)'!FT138&lt;&gt;0,AV138,)+1+(7/60)</f>
        <v>176.11666666666667</v>
      </c>
      <c r="FU138" s="13">
        <f>IF('[1]FC vers Ref (Km)'!FU138&lt;&gt;0,AW138,)+8+(3/60)</f>
        <v>392.05</v>
      </c>
      <c r="FV138" s="13">
        <f>IF('[1]FC vers Ref (Km)'!FV138&lt;&gt;0,AX138,)+2*24+11</f>
        <v>443</v>
      </c>
      <c r="FW138" s="12">
        <f>IF('[1]FC vers Ref (Km)'!FW138&lt;&gt;0,AY138,)</f>
        <v>0</v>
      </c>
      <c r="FX138" s="14">
        <f>IF('[1]FC vers Ref (Km)'!FX138&lt;&gt;0,AZ138,)</f>
        <v>0</v>
      </c>
      <c r="FY138" s="14">
        <f>IF('[1]FC vers Ref (Km)'!FY138&lt;&gt;0,BA138,)+5+(41/60)</f>
        <v>159.68333333333334</v>
      </c>
      <c r="FZ138" s="13">
        <f>IF('[1]FC vers Ref (Km)'!FZ138&lt;&gt;0,BB138,)</f>
        <v>0</v>
      </c>
      <c r="GA138" s="14">
        <f>IF('[1]FC vers Ref (Km)'!GA138&lt;&gt;0,BC138,)</f>
        <v>0</v>
      </c>
      <c r="GB138" s="12">
        <f>IF('[1]FC vers Ref (Km)'!GB138&lt;&gt;0,BD138,)</f>
        <v>0</v>
      </c>
      <c r="GC138" s="12">
        <f>IF('[1]FC vers Ref (Km)'!GC138&lt;&gt;0,BE138,)+(30/60)</f>
        <v>184.5</v>
      </c>
      <c r="GD138" s="12">
        <f>IF('[1]FC vers Ref (Km)'!GD138&lt;&gt;0,BF138,)</f>
        <v>0</v>
      </c>
      <c r="GE138" s="14">
        <f>IF('[1]FC vers Ref (Km)'!GE138&lt;&gt;0,BG138,)+15+(1/60)</f>
        <v>267.01666666666665</v>
      </c>
      <c r="GF138" s="14">
        <f>IF('[1]FC vers Ref (Km)'!GF138&lt;&gt;0,BH138,)</f>
        <v>0</v>
      </c>
      <c r="GG138" s="14">
        <f>IF('[1]FC vers Ref (Km)'!GG138&lt;&gt;0,BI138,)</f>
        <v>0</v>
      </c>
      <c r="GH138" s="14">
        <f>IF('[1]FC vers Ref (Km)'!GH138&lt;&gt;0,BJ138,)</f>
        <v>0</v>
      </c>
      <c r="GI138" s="15">
        <f>IF('[1]FC vers Ref (Km)'!GI138&lt;&gt;0,BK138,)</f>
        <v>0</v>
      </c>
    </row>
    <row r="139" spans="1:191" x14ac:dyDescent="0.3">
      <c r="A139" s="10" t="s">
        <v>35</v>
      </c>
      <c r="B139" s="35" t="s">
        <v>101</v>
      </c>
      <c r="C139" s="16">
        <f>15*24+6</f>
        <v>366</v>
      </c>
      <c r="D139" s="14">
        <f>16*24+13</f>
        <v>397</v>
      </c>
      <c r="E139" s="14">
        <f>14*24+4</f>
        <v>340</v>
      </c>
      <c r="F139" s="14">
        <f>16*24</f>
        <v>384</v>
      </c>
      <c r="G139" s="14">
        <f>14*24+16</f>
        <v>352</v>
      </c>
      <c r="H139" s="14">
        <f>17*24+13</f>
        <v>421</v>
      </c>
      <c r="I139" s="14">
        <f>16*24+12</f>
        <v>396</v>
      </c>
      <c r="J139" s="14">
        <f>17*24+13</f>
        <v>421</v>
      </c>
      <c r="K139" s="14">
        <f>14*24+3</f>
        <v>339</v>
      </c>
      <c r="L139" s="14">
        <f>14*24+3</f>
        <v>339</v>
      </c>
      <c r="M139" s="14">
        <f>16*24+12</f>
        <v>396</v>
      </c>
      <c r="N139" s="14">
        <f>16*24+12</f>
        <v>396</v>
      </c>
      <c r="O139" s="14">
        <f>16*24+23</f>
        <v>407</v>
      </c>
      <c r="P139" s="14">
        <f>13*24+14</f>
        <v>326</v>
      </c>
      <c r="Q139" s="14">
        <f>13*24+17</f>
        <v>329</v>
      </c>
      <c r="R139" s="14">
        <f>11*24+10</f>
        <v>274</v>
      </c>
      <c r="S139" s="14">
        <f>10*24+19</f>
        <v>259</v>
      </c>
      <c r="T139" s="14">
        <f>10*24+22</f>
        <v>262</v>
      </c>
      <c r="U139" s="14">
        <f>10*24+15</f>
        <v>255</v>
      </c>
      <c r="V139" s="14">
        <f>7*24+22</f>
        <v>190</v>
      </c>
      <c r="W139" s="14">
        <f>7*24+13</f>
        <v>181</v>
      </c>
      <c r="X139" s="14">
        <f>11*24+10</f>
        <v>274</v>
      </c>
      <c r="Y139" s="14">
        <f>12*24+5</f>
        <v>293</v>
      </c>
      <c r="Z139" s="14">
        <f>10*24+23</f>
        <v>263</v>
      </c>
      <c r="AA139" s="14">
        <f>7*24+10</f>
        <v>178</v>
      </c>
      <c r="AB139" s="14">
        <f>7*24+18</f>
        <v>186</v>
      </c>
      <c r="AC139" s="14">
        <f>8*24+4</f>
        <v>196</v>
      </c>
      <c r="AD139" s="14">
        <f>8*24+1</f>
        <v>193</v>
      </c>
      <c r="AE139" s="14">
        <f>12*24+5</f>
        <v>293</v>
      </c>
      <c r="AF139" s="14">
        <f>7*24+13</f>
        <v>181</v>
      </c>
      <c r="AG139" s="14">
        <f>7*24+13</f>
        <v>181</v>
      </c>
      <c r="AH139" s="14">
        <f>7*24+13</f>
        <v>181</v>
      </c>
      <c r="AI139" s="13">
        <v>0</v>
      </c>
      <c r="AJ139" s="13">
        <f>3*24+16</f>
        <v>88</v>
      </c>
      <c r="AK139" s="12"/>
      <c r="AL139" s="13">
        <v>61</v>
      </c>
      <c r="AM139" s="13">
        <v>222</v>
      </c>
      <c r="AN139" s="13">
        <v>214</v>
      </c>
      <c r="AO139" s="13">
        <v>207</v>
      </c>
      <c r="AP139" s="14">
        <v>232</v>
      </c>
      <c r="AQ139" s="14">
        <v>251</v>
      </c>
      <c r="AR139" s="14">
        <v>166</v>
      </c>
      <c r="AS139" s="13">
        <v>47</v>
      </c>
      <c r="AT139" s="13">
        <v>47</v>
      </c>
      <c r="AU139" s="13">
        <v>47</v>
      </c>
      <c r="AV139" s="13">
        <f>8*24+16</f>
        <v>208</v>
      </c>
      <c r="AW139" s="13">
        <f>13*24+3</f>
        <v>315</v>
      </c>
      <c r="AX139" s="12">
        <f>13*24+3</f>
        <v>315</v>
      </c>
      <c r="AY139" s="13">
        <f>9*24+11</f>
        <v>227</v>
      </c>
      <c r="AZ139" s="14"/>
      <c r="BA139" s="14">
        <f>4*24+4</f>
        <v>100</v>
      </c>
      <c r="BB139" s="13">
        <f>5*24+16</f>
        <v>136</v>
      </c>
      <c r="BC139" s="14">
        <f>12*24+16</f>
        <v>304</v>
      </c>
      <c r="BD139" s="13">
        <f>6*24+18</f>
        <v>162</v>
      </c>
      <c r="BE139" s="13">
        <f>9*24+1</f>
        <v>217</v>
      </c>
      <c r="BF139" s="13">
        <f>8*24+3</f>
        <v>195</v>
      </c>
      <c r="BG139" s="14">
        <f>7*24+15</f>
        <v>183</v>
      </c>
      <c r="BH139" s="14">
        <f>6*24+8</f>
        <v>152</v>
      </c>
      <c r="BI139" s="14">
        <f>22*24+16</f>
        <v>544</v>
      </c>
      <c r="BJ139" s="14">
        <f>20*24+7</f>
        <v>487</v>
      </c>
      <c r="BK139" s="15">
        <f>20*24+7</f>
        <v>487</v>
      </c>
      <c r="BM139" s="10" t="s">
        <v>35</v>
      </c>
      <c r="BN139" s="35" t="s">
        <v>101</v>
      </c>
      <c r="BO139" s="16">
        <f>IF('[1]FC vers Ref (Km)'!BO139&lt;&gt;0,'Délai intermédiaire'!C139,)+12+(26/60)</f>
        <v>378.43333333333334</v>
      </c>
      <c r="BP139" s="14">
        <f>IF('[1]FC vers Ref (Km)'!BP139&lt;&gt;0,'Délai intermédiaire'!D139,)+12+(26/60)</f>
        <v>409.43333333333334</v>
      </c>
      <c r="BQ139" s="14">
        <f>IF('[1]FC vers Ref (Km)'!BQ139&lt;&gt;0,'Délai intermédiaire'!E139,)+12+(26/60)+19+(49/60)</f>
        <v>372.25</v>
      </c>
      <c r="BR139" s="14">
        <f>IF('[1]FC vers Ref (Km)'!BR139&lt;&gt;0,'Délai intermédiaire'!F139,)+12+(26/60)</f>
        <v>396.43333333333334</v>
      </c>
      <c r="BS139" s="14">
        <f>IF('[1]FC vers Ref (Km)'!BS139&lt;&gt;0,'Délai intermédiaire'!G139,)+12+(26/60)+(48/60)</f>
        <v>365.23333333333335</v>
      </c>
      <c r="BT139" s="14">
        <f>IF('[1]FC vers Ref (Km)'!BT139&lt;&gt;0,'Délai intermédiaire'!H139,)+12+(26/60)+15+(47/60)</f>
        <v>449.2166666666667</v>
      </c>
      <c r="BU139" s="14">
        <f>IF('[1]FC vers Ref (Km)'!BU139&lt;&gt;0,'Délai intermédiaire'!I139,)+12+(26/60)</f>
        <v>408.43333333333334</v>
      </c>
      <c r="BV139" s="14">
        <f>IF('[1]FC vers Ref (Km)'!BV139&lt;&gt;0,'Délai intermédiaire'!J139,)+12+(26/60)</f>
        <v>433.43333333333334</v>
      </c>
      <c r="BW139" s="14">
        <f>IF('[1]FC vers Ref (Km)'!BW139&lt;&gt;0,'Délai intermédiaire'!K139,)+12+(26/60)+6+(13/60)</f>
        <v>357.65</v>
      </c>
      <c r="BX139" s="14">
        <f>IF('[1]FC vers Ref (Km)'!BX139&lt;&gt;0,'Délai intermédiaire'!L139,)+12+(26/60)</f>
        <v>351.43333333333334</v>
      </c>
      <c r="BY139" s="14">
        <f>IF('[1]FC vers Ref (Km)'!BY139&lt;&gt;0,'Délai intermédiaire'!M139,)+12+(26/60)+11+(1/60)</f>
        <v>419.45</v>
      </c>
      <c r="BZ139" s="14">
        <f>IF('[1]FC vers Ref (Km)'!BZ139&lt;&gt;0,'Délai intermédiaire'!N139,)+12+(26/60)</f>
        <v>408.43333333333334</v>
      </c>
      <c r="CA139" s="14">
        <f>IF('[1]FC vers Ref (Km)'!CA139&lt;&gt;0,'Délai intermédiaire'!O139,)+12+(26/60)+4+(51/60)</f>
        <v>424.28333333333336</v>
      </c>
      <c r="CB139" s="14">
        <f>IF('[1]FC vers Ref (Km)'!CB139&lt;&gt;0,'Délai intermédiaire'!P139,)+12+(26/60)+5+(3/60)</f>
        <v>343.48333333333335</v>
      </c>
      <c r="CC139" s="14">
        <f>IF('[1]FC vers Ref (Km)'!CC139&lt;&gt;0,'Délai intermédiaire'!Q139,)+12+(26/60)+(40/60)</f>
        <v>342.1</v>
      </c>
      <c r="CD139" s="14">
        <f>IF('[1]FC vers Ref (Km)'!CD139&lt;&gt;0,'Délai intermédiaire'!R139,)+12+(26/60)</f>
        <v>286.43333333333334</v>
      </c>
      <c r="CE139" s="14">
        <f>IF('[1]FC vers Ref (Km)'!CE139&lt;&gt;0,'Délai intermédiaire'!S139,)+12+(26/60)</f>
        <v>271.43333333333334</v>
      </c>
      <c r="CF139" s="14">
        <f>IF('[1]FC vers Ref (Km)'!CF139&lt;&gt;0,'Délai intermédiaire'!T139,)+12+(26/60)</f>
        <v>274.43333333333334</v>
      </c>
      <c r="CG139" s="14">
        <f>IF('[1]FC vers Ref (Km)'!CG139&lt;&gt;0,'Délai intermédiaire'!U139,)+12+(26/60)+1+(53/60)</f>
        <v>269.31666666666666</v>
      </c>
      <c r="CH139" s="14">
        <f>IF('[1]FC vers Ref (Km)'!CH139&lt;&gt;0,'Délai intermédiaire'!V139,)+12+(26/60)+2+(57/60)</f>
        <v>205.38333333333333</v>
      </c>
      <c r="CI139" s="14">
        <f>IF('[1]FC vers Ref (Km)'!CI139&lt;&gt;0,'Délai intermédiaire'!W139,)+12+(26/60)+4+(47/60)</f>
        <v>198.21666666666667</v>
      </c>
      <c r="CJ139" s="14">
        <f>IF('[1]FC vers Ref (Km)'!CJ139&lt;&gt;0,'Délai intermédiaire'!X139,)+12+(26/60)</f>
        <v>286.43333333333334</v>
      </c>
      <c r="CK139" s="14">
        <f>IF('[1]FC vers Ref (Km)'!CK139&lt;&gt;0,'Délai intermédiaire'!Y139,)+12+(26/60)+1+(33/60)</f>
        <v>306.98333333333335</v>
      </c>
      <c r="CL139" s="14">
        <f>IF('[1]FC vers Ref (Km)'!CL139&lt;&gt;0,'Délai intermédiaire'!Z139,)+12+(26/60)+2+(30/60)</f>
        <v>277.93333333333334</v>
      </c>
      <c r="CM139" s="14">
        <f>IF('[1]FC vers Ref (Km)'!CM139&lt;&gt;0,'Délai intermédiaire'!AA139,)+12+(26/60)+(56/60)</f>
        <v>191.36666666666667</v>
      </c>
      <c r="CN139" s="14">
        <f>IF('[1]FC vers Ref (Km)'!CN139&lt;&gt;0,'Délai intermédiaire'!AB139,)+12+(26/60)+1+(39/60)</f>
        <v>200.08333333333334</v>
      </c>
      <c r="CO139" s="14">
        <f>IF('[1]FC vers Ref (Km)'!CO139&lt;&gt;0,'Délai intermédiaire'!AC139,)+12+(26/60)+3+(25/60)</f>
        <v>211.85</v>
      </c>
      <c r="CP139" s="14">
        <f>IF('[1]FC vers Ref (Km)'!CP139&lt;&gt;0,'Délai intermédiaire'!AD139,)+12+(26/60)</f>
        <v>205.43333333333334</v>
      </c>
      <c r="CQ139" s="14">
        <f>IF('[1]FC vers Ref (Km)'!CQ139&lt;&gt;0,'Délai intermédiaire'!AE139,)+12+(26/60)</f>
        <v>305.43333333333334</v>
      </c>
      <c r="CR139" s="14">
        <f>IF('[1]FC vers Ref (Km)'!CR139&lt;&gt;0,'Délai intermédiaire'!AF139,)+12+(26/60)+9+(1/60)</f>
        <v>202.45000000000002</v>
      </c>
      <c r="CS139" s="14">
        <f>IF('[1]FC vers Ref (Km)'!CS139&lt;&gt;0,'Délai intermédiaire'!AG139,)+12+(26/60)+7+(48/60)</f>
        <v>201.23333333333335</v>
      </c>
      <c r="CT139" s="14">
        <f>IF('[1]FC vers Ref (Km)'!CT139&lt;&gt;0,'Délai intermédiaire'!AH139,)+12+(26/60)+5+(5/60)</f>
        <v>198.51666666666668</v>
      </c>
      <c r="CU139" s="13">
        <f>IF('[1]FC vers Ref (Km)'!CU139&lt;&gt;0,'Délai intermédiaire'!AI139,)+12+(26/60)+19+(46/60)</f>
        <v>32.200000000000003</v>
      </c>
      <c r="CV139" s="13">
        <f>IF('[1]FC vers Ref (Km)'!CV139&lt;&gt;0,'Délai intermédiaire'!AJ139,)+12+(26/60)</f>
        <v>100.43333333333334</v>
      </c>
      <c r="CW139" s="12"/>
      <c r="CX139" s="13">
        <f>IF('[1]FC vers Ref (Km)'!CX139&lt;&gt;0,'Délai intermédiaire'!AL139,)+12+(26/60)</f>
        <v>73.433333333333337</v>
      </c>
      <c r="CY139" s="13">
        <f>IF('[1]FC vers Ref (Km)'!CY139&lt;&gt;0,'Délai intermédiaire'!AM139,)+12+(26/60)</f>
        <v>234.43333333333334</v>
      </c>
      <c r="CZ139" s="13">
        <f>IF('[1]FC vers Ref (Km)'!CZ139&lt;&gt;0,'Délai intermédiaire'!AN139,)+12+(26/60)</f>
        <v>226.43333333333334</v>
      </c>
      <c r="DA139" s="13">
        <f>IF('[1]FC vers Ref (Km)'!DA139&lt;&gt;0,'Délai intermédiaire'!AO139,)+12+(26/60)+1+(56/60)</f>
        <v>221.36666666666667</v>
      </c>
      <c r="DB139" s="14">
        <f>IF('[1]FC vers Ref (Km)'!DB139&lt;&gt;0,'Délai intermédiaire'!AP139,)+12+(26/60)</f>
        <v>244.43333333333334</v>
      </c>
      <c r="DC139" s="14">
        <f>IF('[1]FC vers Ref (Km)'!DC139&lt;&gt;0,'Délai intermédiaire'!AQ139,)+12+(26/60)</f>
        <v>263.43333333333334</v>
      </c>
      <c r="DD139" s="14">
        <f>IF('[1]FC vers Ref (Km)'!DD139&lt;&gt;0,'Délai intermédiaire'!AR139,)+12+(26/60)</f>
        <v>178.43333333333334</v>
      </c>
      <c r="DE139" s="13">
        <f>IF('[1]FC vers Ref (Km)'!DE139&lt;&gt;0,'Délai intermédiaire'!AS139,)+12+(26/60)</f>
        <v>59.43333333333333</v>
      </c>
      <c r="DF139" s="13">
        <f>IF('[1]FC vers Ref (Km)'!DF139&lt;&gt;0,'Délai intermédiaire'!AT139,)+12+(26/60)+20+(5/60)</f>
        <v>79.516666666666666</v>
      </c>
      <c r="DG139" s="13">
        <f>IF('[1]FC vers Ref (Km)'!DG139&lt;&gt;0,'Délai intermédiaire'!AU139,)+12+(26/60)+11+(36/60)</f>
        <v>71.033333333333331</v>
      </c>
      <c r="DH139" s="13">
        <f>IF('[1]FC vers Ref (Km)'!DH139&lt;&gt;0,'Délai intermédiaire'!AV139,)+12+(26/60)+(28/60)</f>
        <v>220.9</v>
      </c>
      <c r="DI139" s="13">
        <f>IF('[1]FC vers Ref (Km)'!DI139&lt;&gt;0,'Délai intermédiaire'!AW139,)+12+(26/60)+7+(13/60)</f>
        <v>334.65</v>
      </c>
      <c r="DJ139" s="13">
        <f>IF('[1]FC vers Ref (Km)'!DJ139&lt;&gt;0,'Délai intermédiaire'!AX139,)+12+(26/60)+2*24+15</f>
        <v>390.43333333333334</v>
      </c>
      <c r="DK139" s="13">
        <f>IF('[1]FC vers Ref (Km)'!DK139&lt;&gt;0,'Délai intermédiaire'!AY139,)+12+(26/60)</f>
        <v>239.43333333333334</v>
      </c>
      <c r="DL139" s="14">
        <f>IF('[1]FC vers Ref (Km)'!DL139&lt;&gt;0,'Délai intermédiaire'!AZ139,)+12+(26/60)</f>
        <v>12.433333333333334</v>
      </c>
      <c r="DM139" s="14">
        <f>IF('[1]FC vers Ref (Km)'!DM139&lt;&gt;0,'Délai intermédiaire'!BA139,)+12+(26/60)+7+(17/60)</f>
        <v>119.71666666666667</v>
      </c>
      <c r="DN139" s="13">
        <f>IF('[1]FC vers Ref (Km)'!DN139&lt;&gt;0,'Délai intermédiaire'!BB139,)+12+(26/60)</f>
        <v>148.43333333333334</v>
      </c>
      <c r="DO139" s="14">
        <f>IF('[1]FC vers Ref (Km)'!DO139&lt;&gt;0,'Délai intermédiaire'!BC139,)+12+(26/60)</f>
        <v>316.43333333333334</v>
      </c>
      <c r="DP139" s="13">
        <f>IF('[1]FC vers Ref (Km)'!DP139&lt;&gt;0,'Délai intermédiaire'!BD139,)+12+(26/60)</f>
        <v>174.43333333333334</v>
      </c>
      <c r="DQ139" s="13">
        <f>IF('[1]FC vers Ref (Km)'!DQ139&lt;&gt;0,'Délai intermédiaire'!BE139,)+12+(26/60)+1+(22/60)</f>
        <v>230.8</v>
      </c>
      <c r="DR139" s="13">
        <f>IF('[1]FC vers Ref (Km)'!DR139&lt;&gt;0,'Délai intermédiaire'!BF139,)+12+(26/60)</f>
        <v>207.43333333333334</v>
      </c>
      <c r="DS139" s="14">
        <f>IF('[1]FC vers Ref (Km)'!DS139&lt;&gt;0,'Délai intermédiaire'!BG139,)+12+(26/60)+10+(43/60)</f>
        <v>206.15</v>
      </c>
      <c r="DT139" s="14">
        <f>IF('[1]FC vers Ref (Km)'!DT139&lt;&gt;0,'Délai intermédiaire'!BH139,)+12+(26/60)+(12/60)</f>
        <v>164.63333333333333</v>
      </c>
      <c r="DU139" s="14">
        <f>IF('[1]FC vers Ref (Km)'!DU139&lt;&gt;0,'Délai intermédiaire'!BI139,)+12+(26/60)+7+(45/60)</f>
        <v>564.18333333333328</v>
      </c>
      <c r="DV139" s="14">
        <f>IF('[1]FC vers Ref (Km)'!DV139&lt;&gt;0,'Délai intermédiaire'!BJ139,)+12+(26/60)+1+(10/60)</f>
        <v>500.6</v>
      </c>
      <c r="DW139" s="15">
        <f>IF('[1]FC vers Ref (Km)'!DW139&lt;&gt;0,'Délai intermédiaire'!BK139,)+12+(26/60)+12+(41/60)</f>
        <v>512.11666666666667</v>
      </c>
      <c r="DX139" s="27"/>
      <c r="DY139" s="10" t="s">
        <v>35</v>
      </c>
      <c r="DZ139" s="35" t="s">
        <v>101</v>
      </c>
      <c r="EA139" s="16">
        <f>IF('[1]FC vers Ref (Km)'!EA139&lt;&gt;0,C139,)+4+(40/60)+11+(32/60)</f>
        <v>382.20000000000005</v>
      </c>
      <c r="EB139" s="14">
        <f>IF('[1]FC vers Ref (Km)'!EB139&lt;&gt;0,D139,)+4+(40/60)+11+(32/60)</f>
        <v>413.20000000000005</v>
      </c>
      <c r="EC139" s="14">
        <f>IF('[1]FC vers Ref (Km)'!EC139&lt;&gt;0,E139,)+4+(40/60)+11+(32/60)+7+(55/60)+19+(53/60)</f>
        <v>384.00000000000006</v>
      </c>
      <c r="ED139" s="14">
        <f>IF('[1]FC vers Ref (Km)'!ED139&lt;&gt;0,F139,)+4+(40/60)+11+(32/60)</f>
        <v>400.20000000000005</v>
      </c>
      <c r="EE139" s="14">
        <f>IF('[1]FC vers Ref (Km)'!EE139&lt;&gt;0,G139,)+4+(40/60)+11+(32/60)+(32/60)</f>
        <v>368.73333333333341</v>
      </c>
      <c r="EF139" s="14">
        <f>IF('[1]FC vers Ref (Km)'!EF139&lt;&gt;0,H139,)+4+(40/60)+11+(32/60)+14+(25/60)+31+(8/60)</f>
        <v>482.75000000000006</v>
      </c>
      <c r="EG139" s="14">
        <f>IF('[1]FC vers Ref (Km)'!EG139&lt;&gt;0,I139,)+4+(40/60)+11+(32/60)</f>
        <v>412.20000000000005</v>
      </c>
      <c r="EH139" s="14">
        <f>IF('[1]FC vers Ref (Km)'!EH139&lt;&gt;0,J139,)+4+(40/60)+11+(32/60)</f>
        <v>437.20000000000005</v>
      </c>
      <c r="EI139" s="14">
        <f>IF('[1]FC vers Ref (Km)'!EI139&lt;&gt;0,K139,)+4+(40/60)+11+(32/60)+5+(11/60)</f>
        <v>360.38333333333338</v>
      </c>
      <c r="EJ139" s="14">
        <f>IF('[1]FC vers Ref (Km)'!EJ139&lt;&gt;0,L139,)+4+(40/60)+11+(32/60)</f>
        <v>355.20000000000005</v>
      </c>
      <c r="EK139" s="14">
        <f>IF('[1]FC vers Ref (Km)'!EK139&lt;&gt;0,M139,)+4+(40/60)+11+(32/60)</f>
        <v>412.20000000000005</v>
      </c>
      <c r="EL139" s="14">
        <f>IF('[1]FC vers Ref (Km)'!EL139&lt;&gt;0,N139,)+4+(40/60)+11+(32/60)</f>
        <v>412.20000000000005</v>
      </c>
      <c r="EM139" s="14">
        <f>IF('[1]FC vers Ref (Km)'!EM139&lt;&gt;0,O139,)+4+(40/60)+11+(32/60)</f>
        <v>423.20000000000005</v>
      </c>
      <c r="EN139" s="14">
        <f>IF('[1]FC vers Ref (Km)'!EN139&lt;&gt;0,P139,)+4+(40/60)+11+(32/60)</f>
        <v>342.20000000000005</v>
      </c>
      <c r="EO139" s="14">
        <f>IF('[1]FC vers Ref (Km)'!EO139&lt;&gt;0,Q139,)+4+(40/60)+11+(32/60)</f>
        <v>345.20000000000005</v>
      </c>
      <c r="EP139" s="14">
        <f>IF('[1]FC vers Ref (Km)'!EP139&lt;&gt;0,R139,)+4+(40/60)+11+(32/60)</f>
        <v>290.20000000000005</v>
      </c>
      <c r="EQ139" s="14">
        <f>IF('[1]FC vers Ref (Km)'!EQ139&lt;&gt;0,S139,)+4+(40/60)+11+(32/60)</f>
        <v>275.20000000000005</v>
      </c>
      <c r="ER139" s="14">
        <f>IF('[1]FC vers Ref (Km)'!ER139&lt;&gt;0,T139,)+4+(40/60)+11+(32/60)</f>
        <v>278.20000000000005</v>
      </c>
      <c r="ES139" s="14">
        <f>IF('[1]FC vers Ref (Km)'!ES139&lt;&gt;0,U139,)+4+(40/60)+11+(32/60)+2+(21/60)</f>
        <v>273.55000000000007</v>
      </c>
      <c r="ET139" s="14">
        <f>IF('[1]FC vers Ref (Km)'!ET139&lt;&gt;0,V139,)+4+(40/60)+11+(32/60)+1+(44/60)</f>
        <v>207.93333333333331</v>
      </c>
      <c r="EU139" s="14">
        <f>IF('[1]FC vers Ref (Km)'!EU139&lt;&gt;0,W139,)+4+(40/60)+11+(32/60)+1+(47/60)+2+(31/60)+2+(54/60)</f>
        <v>204.4</v>
      </c>
      <c r="EV139" s="14">
        <f>IF('[1]FC vers Ref (Km)'!EV139&lt;&gt;0,X139,)+4+(40/60)+11+(32/60)</f>
        <v>290.20000000000005</v>
      </c>
      <c r="EW139" s="14">
        <f>IF('[1]FC vers Ref (Km)'!EW139&lt;&gt;0,Y139,)+4+(40/60)+11+(32/60)+(56/60)+(59/60)</f>
        <v>311.11666666666673</v>
      </c>
      <c r="EX139" s="14">
        <f>IF('[1]FC vers Ref (Km)'!EX139&lt;&gt;0,Z139,)+4+(40/60)+11+(32/60)+1+(35/60)+(37/60)</f>
        <v>281.40000000000003</v>
      </c>
      <c r="EY139" s="14">
        <f>IF('[1]FC vers Ref (Km)'!EY139&lt;&gt;0,AA139,)+4+(40/60)+11+(32/60)+1+(18/60)</f>
        <v>195.5</v>
      </c>
      <c r="EZ139" s="14">
        <f>IF('[1]FC vers Ref (Km)'!EZ139&lt;&gt;0,AB139,)+4+(40/60)+11+(32/60)+1+(39/60)</f>
        <v>203.85</v>
      </c>
      <c r="FA139" s="14">
        <f>IF('[1]FC vers Ref (Km)'!FA139&lt;&gt;0,AC139,)+4+(40/60)+11+(32/60)+1+(47/60)</f>
        <v>213.98333333333332</v>
      </c>
      <c r="FB139" s="14">
        <f>IF('[1]FC vers Ref (Km)'!FB139&lt;&gt;0,AD139,)+4+(40/60)+11+(32/60)</f>
        <v>209.2</v>
      </c>
      <c r="FC139" s="14">
        <f>IF('[1]FC vers Ref (Km)'!FC139&lt;&gt;0,AE139,)+4+(40/60)+11+(32/60)</f>
        <v>309.20000000000005</v>
      </c>
      <c r="FD139" s="14">
        <f>IF('[1]FC vers Ref (Km)'!FD139&lt;&gt;0,AF139,)+4+(40/60)+11+(32/60)+5+(31/60)+5+(51/60)+1+(8/60)</f>
        <v>209.7</v>
      </c>
      <c r="FE139" s="14">
        <f>IF('[1]FC vers Ref (Km)'!FE139&lt;&gt;0,AG139,)+4+(40/60)+11+(32/60)+4+(2/60)+5+(51/60)+1+(8/60)</f>
        <v>208.21666666666664</v>
      </c>
      <c r="FF139" s="14">
        <f>IF('[1]FC vers Ref (Km)'!FF139&lt;&gt;0,AH139,)+4+(40/60)+11+(32/60)+1+(7/60)+5+(51/60)+1+(8/60)</f>
        <v>205.29999999999998</v>
      </c>
      <c r="FG139" s="13">
        <f>IF('[1]FC vers Ref (Km)'!FG139&lt;&gt;0,AI139,)+4+(40/60)+11+(32/60)+15+(50/60)</f>
        <v>32.033333333333339</v>
      </c>
      <c r="FH139" s="13">
        <f>IF('[1]FC vers Ref (Km)'!FH139&lt;&gt;0,AJ139,)+4+(40/60)+11+(32/60)</f>
        <v>104.2</v>
      </c>
      <c r="FI139" s="12">
        <f>IF('[1]FC vers Ref (Km)'!FI139&lt;&gt;0,AK139,)+4+(40/60)+11+(32/60)+4+(40/60)+11+(32/60)</f>
        <v>32.400000000000006</v>
      </c>
      <c r="FJ139" s="13">
        <f>IF('[1]FC vers Ref (Km)'!FJ139&lt;&gt;0,AL139,)+4+(40/60)+11+(32/60)</f>
        <v>77.2</v>
      </c>
      <c r="FK139" s="13">
        <f>IF('[1]FC vers Ref (Km)'!FK139&lt;&gt;0,AM139,)+4+(40/60)+11+(32/60)</f>
        <v>238.2</v>
      </c>
      <c r="FL139" s="13">
        <f>IF('[1]FC vers Ref (Km)'!FL139&lt;&gt;0,AN139,)+4+(40/60)+11+(32/60)</f>
        <v>230.2</v>
      </c>
      <c r="FM139" s="13">
        <f>IF('[1]FC vers Ref (Km)'!FM139&lt;&gt;0,AO139,)+4+(40/60)+11+(32/60)+(55/60)</f>
        <v>224.11666666666665</v>
      </c>
      <c r="FN139" s="14">
        <f>IF('[1]FC vers Ref (Km)'!FN139&lt;&gt;0,AP139,)+4+(40/60)+11+(32/60)</f>
        <v>248.2</v>
      </c>
      <c r="FO139" s="14">
        <f>IF('[1]FC vers Ref (Km)'!FO139&lt;&gt;0,AQ139,)+4+(40/60)+11+(32/60)</f>
        <v>267.2</v>
      </c>
      <c r="FP139" s="14">
        <f>IF('[1]FC vers Ref (Km)'!FP139&lt;&gt;0,AR139,)+4+(40/60)+11+(32/60)</f>
        <v>182.2</v>
      </c>
      <c r="FQ139" s="13">
        <f>IF('[1]FC vers Ref (Km)'!FQ139&lt;&gt;0,AS139,)+4+(40/60)+11+(32/60)</f>
        <v>63.199999999999996</v>
      </c>
      <c r="FR139" s="13">
        <f>IF('[1]FC vers Ref (Km)'!FR139&lt;&gt;0,AT139,)+4+(40/60)+11+(32/60)</f>
        <v>63.199999999999996</v>
      </c>
      <c r="FS139" s="13">
        <f>IF('[1]FC vers Ref (Km)'!FS139&lt;&gt;0,AU139,)+4+(40/60)+11+(32/60)</f>
        <v>63.199999999999996</v>
      </c>
      <c r="FT139" s="13">
        <f>IF('[1]FC vers Ref (Km)'!FT139&lt;&gt;0,AV139,)+4+(40/60)+11+(32/60)+1+(7/60)</f>
        <v>225.31666666666666</v>
      </c>
      <c r="FU139" s="13">
        <f>IF('[1]FC vers Ref (Km)'!FU139&lt;&gt;0,AW139,)+4+(40/60)+11+(32/60)+8+(3/60)</f>
        <v>339.25000000000006</v>
      </c>
      <c r="FV139" s="13">
        <f>IF('[1]FC vers Ref (Km)'!FV139&lt;&gt;0,AX139,)+4+(40/60)+11+(32/60)+2*24+11</f>
        <v>390.20000000000005</v>
      </c>
      <c r="FW139" s="13">
        <f>IF('[1]FC vers Ref (Km)'!FW139&lt;&gt;0,AY139,)+4+(40/60)+11+(32/60)</f>
        <v>243.2</v>
      </c>
      <c r="FX139" s="14">
        <f>IF('[1]FC vers Ref (Km)'!FX139&lt;&gt;0,AZ139,)+4+(40/60)+11+(32/60)</f>
        <v>16.200000000000003</v>
      </c>
      <c r="FY139" s="14">
        <f>IF('[1]FC vers Ref (Km)'!FY139&lt;&gt;0,BA139,)+4+(40/60)+11+(32/60)+5+(41/60)</f>
        <v>121.88333333333334</v>
      </c>
      <c r="FZ139" s="13">
        <f>IF('[1]FC vers Ref (Km)'!FZ139&lt;&gt;0,BB139,)+4+(40/60)+11+(32/60)</f>
        <v>152.19999999999999</v>
      </c>
      <c r="GA139" s="14">
        <f>IF('[1]FC vers Ref (Km)'!GA139&lt;&gt;0,BC139,)+4+(40/60)+11+(32/60)</f>
        <v>320.20000000000005</v>
      </c>
      <c r="GB139" s="13">
        <f>IF('[1]FC vers Ref (Km)'!GB139&lt;&gt;0,BD139,)+4+(40/60)+11+(32/60)</f>
        <v>178.2</v>
      </c>
      <c r="GC139" s="13">
        <f>IF('[1]FC vers Ref (Km)'!GC139&lt;&gt;0,BE139,)+4+(40/60)+11+(32/60)+(30/60)</f>
        <v>233.7</v>
      </c>
      <c r="GD139" s="13">
        <f>IF('[1]FC vers Ref (Km)'!GD139&lt;&gt;0,BF139,)+4+(40/60)+11+(32/60)</f>
        <v>211.2</v>
      </c>
      <c r="GE139" s="14">
        <f>IF('[1]FC vers Ref (Km)'!GE139&lt;&gt;0,BG139,)+4+(40/60)+11+(32/60)+15+(1/60)</f>
        <v>214.21666666666667</v>
      </c>
      <c r="GF139" s="14">
        <f>IF('[1]FC vers Ref (Km)'!GF139&lt;&gt;0,BH139,)+4+(40/60)+11+(32/60)</f>
        <v>168.2</v>
      </c>
      <c r="GG139" s="14">
        <f>IF('[1]FC vers Ref (Km)'!GG139&lt;&gt;0,BI139,)+4+(40/60)+11+(32/60)</f>
        <v>560.19999999999993</v>
      </c>
      <c r="GH139" s="14">
        <f>IF('[1]FC vers Ref (Km)'!GH139&lt;&gt;0,BJ139,)+4+(40/60)+11+(32/60)</f>
        <v>503.20000000000005</v>
      </c>
      <c r="GI139" s="15">
        <f>IF('[1]FC vers Ref (Km)'!GI139&lt;&gt;0,BK139,)+4+(40/60)+11+(32/60)</f>
        <v>503.20000000000005</v>
      </c>
    </row>
    <row r="140" spans="1:191" x14ac:dyDescent="0.3">
      <c r="A140" s="10" t="s">
        <v>36</v>
      </c>
      <c r="B140" s="35" t="s">
        <v>73</v>
      </c>
      <c r="C140" s="16">
        <f>17*24</f>
        <v>408</v>
      </c>
      <c r="D140" s="14">
        <f>18*24+6</f>
        <v>438</v>
      </c>
      <c r="E140" s="14">
        <f>15*24+22</f>
        <v>382</v>
      </c>
      <c r="F140" s="14">
        <f>17*24+17</f>
        <v>425</v>
      </c>
      <c r="G140" s="14">
        <f>16*24+9</f>
        <v>393</v>
      </c>
      <c r="H140" s="14">
        <f>16*24+2</f>
        <v>386</v>
      </c>
      <c r="I140" s="14">
        <f>15*24</f>
        <v>360</v>
      </c>
      <c r="J140" s="14">
        <f>16*24+2</f>
        <v>386</v>
      </c>
      <c r="K140" s="14">
        <f>15*24+20</f>
        <v>380</v>
      </c>
      <c r="L140" s="14">
        <f>15*24+20</f>
        <v>380</v>
      </c>
      <c r="M140" s="14">
        <f>15*24+1</f>
        <v>361</v>
      </c>
      <c r="N140" s="14">
        <f>15*24+1</f>
        <v>361</v>
      </c>
      <c r="O140" s="14">
        <f>18*24+17</f>
        <v>449</v>
      </c>
      <c r="P140" s="14">
        <f>14*24</f>
        <v>336</v>
      </c>
      <c r="Q140" s="14">
        <f>14*24+2</f>
        <v>338</v>
      </c>
      <c r="R140" s="14">
        <f>13*24+3</f>
        <v>315</v>
      </c>
      <c r="S140" s="14">
        <f>12*24+13</f>
        <v>301</v>
      </c>
      <c r="T140" s="14">
        <f>12*24+15</f>
        <v>303</v>
      </c>
      <c r="U140" s="14">
        <f>12*24+8</f>
        <v>296</v>
      </c>
      <c r="V140" s="14">
        <f>9*24+15</f>
        <v>231</v>
      </c>
      <c r="W140" s="14">
        <f>9*24+6</f>
        <v>222</v>
      </c>
      <c r="X140" s="14">
        <f>13*24+3</f>
        <v>315</v>
      </c>
      <c r="Y140" s="14">
        <f>13*24+22</f>
        <v>334</v>
      </c>
      <c r="Z140" s="14">
        <f>12*24+17</f>
        <v>305</v>
      </c>
      <c r="AA140" s="14">
        <f>9*24+4</f>
        <v>220</v>
      </c>
      <c r="AB140" s="14">
        <f>9*24+11</f>
        <v>227</v>
      </c>
      <c r="AC140" s="14">
        <f>9*24+22</f>
        <v>238</v>
      </c>
      <c r="AD140" s="14">
        <f>9*24+18</f>
        <v>234</v>
      </c>
      <c r="AE140" s="14">
        <f>13*24+22</f>
        <v>334</v>
      </c>
      <c r="AF140" s="14">
        <f>9*24+6</f>
        <v>222</v>
      </c>
      <c r="AG140" s="14">
        <f>9*24+6</f>
        <v>222</v>
      </c>
      <c r="AH140" s="14">
        <f>9*24+6</f>
        <v>222</v>
      </c>
      <c r="AI140" s="13">
        <f>2*24+13</f>
        <v>61</v>
      </c>
      <c r="AJ140" s="13">
        <f>24+8</f>
        <v>32</v>
      </c>
      <c r="AK140" s="13">
        <f>2*24+13</f>
        <v>61</v>
      </c>
      <c r="AL140" s="12"/>
      <c r="AM140" s="13">
        <v>187</v>
      </c>
      <c r="AN140" s="13">
        <v>178</v>
      </c>
      <c r="AO140" s="13">
        <v>172</v>
      </c>
      <c r="AP140" s="14">
        <v>208</v>
      </c>
      <c r="AQ140" s="14">
        <v>227</v>
      </c>
      <c r="AR140" s="14">
        <v>141</v>
      </c>
      <c r="AS140" s="13">
        <v>102</v>
      </c>
      <c r="AT140" s="13">
        <v>102</v>
      </c>
      <c r="AU140" s="13">
        <v>102</v>
      </c>
      <c r="AV140" s="13">
        <f>7*24+4</f>
        <v>172</v>
      </c>
      <c r="AW140" s="13">
        <f>14*24+20</f>
        <v>356</v>
      </c>
      <c r="AX140" s="13">
        <f>14*24+20</f>
        <v>356</v>
      </c>
      <c r="AY140" s="13">
        <f>7*24+23</f>
        <v>191</v>
      </c>
      <c r="AZ140" s="14"/>
      <c r="BA140" s="14">
        <f>5*24+7</f>
        <v>127</v>
      </c>
      <c r="BB140" s="13">
        <f>4*24+5</f>
        <v>101</v>
      </c>
      <c r="BC140" s="14">
        <f>14*24+9</f>
        <v>345</v>
      </c>
      <c r="BD140" s="13">
        <f>5*24+7</f>
        <v>127</v>
      </c>
      <c r="BE140" s="13">
        <f>7*24+13</f>
        <v>181</v>
      </c>
      <c r="BF140" s="13">
        <f>6*24+15</f>
        <v>159</v>
      </c>
      <c r="BG140" s="14">
        <f>9*24+8</f>
        <v>224</v>
      </c>
      <c r="BH140" s="14">
        <f>8*24+1</f>
        <v>193</v>
      </c>
      <c r="BI140" s="14">
        <f>21*24+5</f>
        <v>509</v>
      </c>
      <c r="BJ140" s="14">
        <f>19*24+6</f>
        <v>462</v>
      </c>
      <c r="BK140" s="15">
        <f>19*24+6</f>
        <v>462</v>
      </c>
      <c r="BM140" s="10" t="s">
        <v>36</v>
      </c>
      <c r="BN140" s="35" t="s">
        <v>73</v>
      </c>
      <c r="BO140" s="16">
        <f>IF('[1]FC vers Ref (Km)'!BO140&lt;&gt;0,'Délai intermédiaire'!C140,)</f>
        <v>0</v>
      </c>
      <c r="BP140" s="14">
        <f>IF('[1]FC vers Ref (Km)'!BP140&lt;&gt;0,'Délai intermédiaire'!D140,)</f>
        <v>0</v>
      </c>
      <c r="BQ140" s="14">
        <f>IF('[1]FC vers Ref (Km)'!BQ140&lt;&gt;0,'Délai intermédiaire'!E140,)+19+(49/60)</f>
        <v>401.81666666666666</v>
      </c>
      <c r="BR140" s="14">
        <f>IF('[1]FC vers Ref (Km)'!BR140&lt;&gt;0,'Délai intermédiaire'!F140,)</f>
        <v>0</v>
      </c>
      <c r="BS140" s="14">
        <f>IF('[1]FC vers Ref (Km)'!BS140&lt;&gt;0,'Délai intermédiaire'!G140,)+(48/60)</f>
        <v>393.8</v>
      </c>
      <c r="BT140" s="14">
        <f>IF('[1]FC vers Ref (Km)'!BT140&lt;&gt;0,'Délai intermédiaire'!H140,)+15+(47/60)</f>
        <v>401.78333333333336</v>
      </c>
      <c r="BU140" s="14">
        <f>IF('[1]FC vers Ref (Km)'!BU140&lt;&gt;0,'Délai intermédiaire'!I140,)</f>
        <v>0</v>
      </c>
      <c r="BV140" s="14">
        <f>IF('[1]FC vers Ref (Km)'!BV140&lt;&gt;0,'Délai intermédiaire'!J140,)</f>
        <v>0</v>
      </c>
      <c r="BW140" s="14">
        <f>IF('[1]FC vers Ref (Km)'!BW140&lt;&gt;0,'Délai intermédiaire'!K140,)+6+(13/60)</f>
        <v>386.21666666666664</v>
      </c>
      <c r="BX140" s="14">
        <f>IF('[1]FC vers Ref (Km)'!BX140&lt;&gt;0,'Délai intermédiaire'!L140,)</f>
        <v>0</v>
      </c>
      <c r="BY140" s="14">
        <f>IF('[1]FC vers Ref (Km)'!BY140&lt;&gt;0,'Délai intermédiaire'!M140,)+11+(1/60)</f>
        <v>372.01666666666665</v>
      </c>
      <c r="BZ140" s="14">
        <f>IF('[1]FC vers Ref (Km)'!BZ140&lt;&gt;0,'Délai intermédiaire'!N140,)</f>
        <v>0</v>
      </c>
      <c r="CA140" s="14">
        <f>IF('[1]FC vers Ref (Km)'!CA140&lt;&gt;0,'Délai intermédiaire'!O140,)+4+(51/60)</f>
        <v>453.85</v>
      </c>
      <c r="CB140" s="14">
        <f>IF('[1]FC vers Ref (Km)'!CB140&lt;&gt;0,'Délai intermédiaire'!P140,)+5+(3/60)</f>
        <v>341.05</v>
      </c>
      <c r="CC140" s="14">
        <f>IF('[1]FC vers Ref (Km)'!CC140&lt;&gt;0,'Délai intermédiaire'!Q140,)+(40/60)</f>
        <v>338.66666666666669</v>
      </c>
      <c r="CD140" s="14">
        <f>IF('[1]FC vers Ref (Km)'!CD140&lt;&gt;0,'Délai intermédiaire'!R140,)</f>
        <v>0</v>
      </c>
      <c r="CE140" s="14">
        <f>IF('[1]FC vers Ref (Km)'!CE140&lt;&gt;0,'Délai intermédiaire'!S140,)</f>
        <v>0</v>
      </c>
      <c r="CF140" s="14">
        <f>IF('[1]FC vers Ref (Km)'!CF140&lt;&gt;0,'Délai intermédiaire'!T140,)</f>
        <v>0</v>
      </c>
      <c r="CG140" s="14">
        <f>IF('[1]FC vers Ref (Km)'!CG140&lt;&gt;0,'Délai intermédiaire'!U140,)+1+(53/60)</f>
        <v>297.88333333333333</v>
      </c>
      <c r="CH140" s="14">
        <f>IF('[1]FC vers Ref (Km)'!CH140&lt;&gt;0,'Délai intermédiaire'!V140,)+2+(57/60)</f>
        <v>233.95</v>
      </c>
      <c r="CI140" s="14">
        <f>IF('[1]FC vers Ref (Km)'!CI140&lt;&gt;0,'Délai intermédiaire'!W140,)+4+(47/60)</f>
        <v>226.78333333333333</v>
      </c>
      <c r="CJ140" s="14">
        <f>IF('[1]FC vers Ref (Km)'!CJ140&lt;&gt;0,'Délai intermédiaire'!X140,)</f>
        <v>0</v>
      </c>
      <c r="CK140" s="14">
        <f>IF('[1]FC vers Ref (Km)'!CK140&lt;&gt;0,'Délai intermédiaire'!Y140,)+1+(33/60)</f>
        <v>335.55</v>
      </c>
      <c r="CL140" s="14">
        <f>IF('[1]FC vers Ref (Km)'!CL140&lt;&gt;0,'Délai intermédiaire'!Z140,)+2+(30/60)</f>
        <v>307.5</v>
      </c>
      <c r="CM140" s="14">
        <f>IF('[1]FC vers Ref (Km)'!CM140&lt;&gt;0,'Délai intermédiaire'!AA140,)+(56/60)</f>
        <v>220.93333333333334</v>
      </c>
      <c r="CN140" s="14">
        <f>IF('[1]FC vers Ref (Km)'!CN140&lt;&gt;0,'Délai intermédiaire'!AB140,)+1+(39/60)</f>
        <v>228.65</v>
      </c>
      <c r="CO140" s="14">
        <f>IF('[1]FC vers Ref (Km)'!CO140&lt;&gt;0,'Délai intermédiaire'!AC140,)+3+(25/60)</f>
        <v>241.41666666666666</v>
      </c>
      <c r="CP140" s="14">
        <f>IF('[1]FC vers Ref (Km)'!CP140&lt;&gt;0,'Délai intermédiaire'!AD140,)</f>
        <v>0</v>
      </c>
      <c r="CQ140" s="14">
        <f>IF('[1]FC vers Ref (Km)'!CQ140&lt;&gt;0,'Délai intermédiaire'!AE140,)</f>
        <v>0</v>
      </c>
      <c r="CR140" s="14">
        <f>IF('[1]FC vers Ref (Km)'!CR140&lt;&gt;0,'Délai intermédiaire'!AF140,)+9+(1/60)</f>
        <v>231.01666666666668</v>
      </c>
      <c r="CS140" s="14">
        <f>IF('[1]FC vers Ref (Km)'!CS140&lt;&gt;0,'Délai intermédiaire'!AG140,)+7+(48/60)</f>
        <v>229.8</v>
      </c>
      <c r="CT140" s="14">
        <f>IF('[1]FC vers Ref (Km)'!CT140&lt;&gt;0,'Délai intermédiaire'!AH140,)+5+(5/60)</f>
        <v>227.08333333333334</v>
      </c>
      <c r="CU140" s="13">
        <f>IF('[1]FC vers Ref (Km)'!CU140&lt;&gt;0,'Délai intermédiaire'!AI140,)+19+(46/60)</f>
        <v>80.766666666666666</v>
      </c>
      <c r="CV140" s="13">
        <f>IF('[1]FC vers Ref (Km)'!CV140&lt;&gt;0,'Délai intermédiaire'!AJ140,)</f>
        <v>0</v>
      </c>
      <c r="CW140" s="13">
        <f>IF('[1]FC vers Ref (Km)'!CW140&lt;&gt;0,'Délai intermédiaire'!AK140,)+12+(26/60)</f>
        <v>73.433333333333337</v>
      </c>
      <c r="CX140" s="12"/>
      <c r="CY140" s="13">
        <f>IF('[1]FC vers Ref (Km)'!CY140&lt;&gt;0,'Délai intermédiaire'!AM140,)</f>
        <v>0</v>
      </c>
      <c r="CZ140" s="13">
        <f>IF('[1]FC vers Ref (Km)'!CZ140&lt;&gt;0,'Délai intermédiaire'!AN140,)</f>
        <v>0</v>
      </c>
      <c r="DA140" s="13">
        <f>IF('[1]FC vers Ref (Km)'!DA140&lt;&gt;0,'Délai intermédiaire'!AO140,)+1+(56/60)</f>
        <v>173.93333333333334</v>
      </c>
      <c r="DB140" s="14">
        <f>IF('[1]FC vers Ref (Km)'!DB140&lt;&gt;0,'Délai intermédiaire'!AP140,)</f>
        <v>0</v>
      </c>
      <c r="DC140" s="14">
        <f>IF('[1]FC vers Ref (Km)'!DC140&lt;&gt;0,'Délai intermédiaire'!AQ140,)</f>
        <v>0</v>
      </c>
      <c r="DD140" s="14">
        <f>IF('[1]FC vers Ref (Km)'!DD140&lt;&gt;0,'Délai intermédiaire'!AR140,)</f>
        <v>0</v>
      </c>
      <c r="DE140" s="13">
        <f>IF('[1]FC vers Ref (Km)'!DE140&lt;&gt;0,'Délai intermédiaire'!AS140,)</f>
        <v>0</v>
      </c>
      <c r="DF140" s="13">
        <f>IF('[1]FC vers Ref (Km)'!DF140&lt;&gt;0,'Délai intermédiaire'!AT140,)+20+(5/60)</f>
        <v>122.08333333333333</v>
      </c>
      <c r="DG140" s="13">
        <f>IF('[1]FC vers Ref (Km)'!DG140&lt;&gt;0,'Délai intermédiaire'!AU140,)+11+(36/60)</f>
        <v>113.6</v>
      </c>
      <c r="DH140" s="13">
        <f>IF('[1]FC vers Ref (Km)'!DH140&lt;&gt;0,'Délai intermédiaire'!AV140,)+(28/60)</f>
        <v>172.46666666666667</v>
      </c>
      <c r="DI140" s="13">
        <f>IF('[1]FC vers Ref (Km)'!DI140&lt;&gt;0,'Délai intermédiaire'!AW140,)+7+(13/60)</f>
        <v>363.21666666666664</v>
      </c>
      <c r="DJ140" s="13">
        <f>IF('[1]FC vers Ref (Km)'!DJ140&lt;&gt;0,'Délai intermédiaire'!AX140,)+2*24+15</f>
        <v>419</v>
      </c>
      <c r="DK140" s="13">
        <f>IF('[1]FC vers Ref (Km)'!DK140&lt;&gt;0,'Délai intermédiaire'!AY140,)</f>
        <v>0</v>
      </c>
      <c r="DL140" s="14">
        <f>IF('[1]FC vers Ref (Km)'!DL140&lt;&gt;0,'Délai intermédiaire'!AZ140,)</f>
        <v>0</v>
      </c>
      <c r="DM140" s="14">
        <f>IF('[1]FC vers Ref (Km)'!DM140&lt;&gt;0,'Délai intermédiaire'!BA140,)+7+(17/60)</f>
        <v>134.28333333333333</v>
      </c>
      <c r="DN140" s="13">
        <f>IF('[1]FC vers Ref (Km)'!DN140&lt;&gt;0,'Délai intermédiaire'!BB140,)</f>
        <v>0</v>
      </c>
      <c r="DO140" s="14">
        <f>IF('[1]FC vers Ref (Km)'!DO140&lt;&gt;0,'Délai intermédiaire'!BC140,)</f>
        <v>0</v>
      </c>
      <c r="DP140" s="13">
        <f>IF('[1]FC vers Ref (Km)'!DP140&lt;&gt;0,'Délai intermédiaire'!BD140,)</f>
        <v>0</v>
      </c>
      <c r="DQ140" s="13">
        <f>IF('[1]FC vers Ref (Km)'!DQ140&lt;&gt;0,'Délai intermédiaire'!BE140,)+1+(22/60)</f>
        <v>182.36666666666667</v>
      </c>
      <c r="DR140" s="13">
        <f>IF('[1]FC vers Ref (Km)'!DR140&lt;&gt;0,'Délai intermédiaire'!BF140,)</f>
        <v>0</v>
      </c>
      <c r="DS140" s="14">
        <f>IF('[1]FC vers Ref (Km)'!DS140&lt;&gt;0,'Délai intermédiaire'!BG140,)+10+(43/60)</f>
        <v>234.71666666666667</v>
      </c>
      <c r="DT140" s="14">
        <f>IF('[1]FC vers Ref (Km)'!DT140&lt;&gt;0,'Délai intermédiaire'!BH140,)+(12/60)</f>
        <v>193.2</v>
      </c>
      <c r="DU140" s="14">
        <f>IF('[1]FC vers Ref (Km)'!DU140&lt;&gt;0,'Délai intermédiaire'!BI140,)+7+(45/60)</f>
        <v>516.75</v>
      </c>
      <c r="DV140" s="14">
        <f>IF('[1]FC vers Ref (Km)'!DV140&lt;&gt;0,'Délai intermédiaire'!BJ140,)+1+(10/60)</f>
        <v>463.16666666666669</v>
      </c>
      <c r="DW140" s="15">
        <f>IF('[1]FC vers Ref (Km)'!DW140&lt;&gt;0,'Délai intermédiaire'!BK140,)+12+(41/60)</f>
        <v>474.68333333333334</v>
      </c>
      <c r="DX140" s="27"/>
      <c r="DY140" s="10" t="s">
        <v>36</v>
      </c>
      <c r="DZ140" s="35" t="s">
        <v>73</v>
      </c>
      <c r="EA140" s="16">
        <f>IF('[1]FC vers Ref (Km)'!EA140&lt;&gt;0,C140,)</f>
        <v>0</v>
      </c>
      <c r="EB140" s="14">
        <f>IF('[1]FC vers Ref (Km)'!EB140&lt;&gt;0,D140,)</f>
        <v>0</v>
      </c>
      <c r="EC140" s="14">
        <f>IF('[1]FC vers Ref (Km)'!EC140&lt;&gt;0,E140,)+7+(55/60)+19+(53/60)</f>
        <v>409.8</v>
      </c>
      <c r="ED140" s="14">
        <f>IF('[1]FC vers Ref (Km)'!ED140&lt;&gt;0,F140,)</f>
        <v>0</v>
      </c>
      <c r="EE140" s="14">
        <f>IF('[1]FC vers Ref (Km)'!EE140&lt;&gt;0,G140,)+(32/60)</f>
        <v>393.53333333333336</v>
      </c>
      <c r="EF140" s="14">
        <f>IF('[1]FC vers Ref (Km)'!EF140&lt;&gt;0,H140,)+14+(25/60)+31+(8/60)</f>
        <v>431.55</v>
      </c>
      <c r="EG140" s="14">
        <f>IF('[1]FC vers Ref (Km)'!EG140&lt;&gt;0,I140,)</f>
        <v>0</v>
      </c>
      <c r="EH140" s="14">
        <f>IF('[1]FC vers Ref (Km)'!EH140&lt;&gt;0,J140,)</f>
        <v>0</v>
      </c>
      <c r="EI140" s="14">
        <f>IF('[1]FC vers Ref (Km)'!EI140&lt;&gt;0,K140,)+5+(11/60)</f>
        <v>385.18333333333334</v>
      </c>
      <c r="EJ140" s="14">
        <f>IF('[1]FC vers Ref (Km)'!EJ140&lt;&gt;0,L140,)</f>
        <v>0</v>
      </c>
      <c r="EK140" s="14">
        <f>IF('[1]FC vers Ref (Km)'!EK140&lt;&gt;0,M140,)</f>
        <v>0</v>
      </c>
      <c r="EL140" s="14">
        <f>IF('[1]FC vers Ref (Km)'!EL140&lt;&gt;0,N140,)</f>
        <v>0</v>
      </c>
      <c r="EM140" s="14">
        <f>IF('[1]FC vers Ref (Km)'!EM140&lt;&gt;0,O140,)</f>
        <v>0</v>
      </c>
      <c r="EN140" s="14">
        <f>IF('[1]FC vers Ref (Km)'!EN140&lt;&gt;0,P140,)</f>
        <v>0</v>
      </c>
      <c r="EO140" s="14">
        <f>IF('[1]FC vers Ref (Km)'!EO140&lt;&gt;0,Q140,)</f>
        <v>0</v>
      </c>
      <c r="EP140" s="14">
        <f>IF('[1]FC vers Ref (Km)'!EP140&lt;&gt;0,R140,)</f>
        <v>0</v>
      </c>
      <c r="EQ140" s="14">
        <f>IF('[1]FC vers Ref (Km)'!EQ140&lt;&gt;0,S140,)</f>
        <v>0</v>
      </c>
      <c r="ER140" s="14">
        <f>IF('[1]FC vers Ref (Km)'!ER140&lt;&gt;0,T140,)</f>
        <v>0</v>
      </c>
      <c r="ES140" s="14">
        <f>IF('[1]FC vers Ref (Km)'!ES140&lt;&gt;0,U140,)+2+(21/60)</f>
        <v>298.35000000000002</v>
      </c>
      <c r="ET140" s="14">
        <f>IF('[1]FC vers Ref (Km)'!ET140&lt;&gt;0,V140,)+1+(44/60)</f>
        <v>232.73333333333332</v>
      </c>
      <c r="EU140" s="14">
        <f>IF('[1]FC vers Ref (Km)'!EU140&lt;&gt;0,W140,)+1+(47/60)+2+(31/60)+2+(54/60)</f>
        <v>229.20000000000002</v>
      </c>
      <c r="EV140" s="14">
        <f>IF('[1]FC vers Ref (Km)'!EV140&lt;&gt;0,X140,)</f>
        <v>0</v>
      </c>
      <c r="EW140" s="14">
        <f>IF('[1]FC vers Ref (Km)'!EW140&lt;&gt;0,Y140,)+(56/60)+(59/60)</f>
        <v>335.91666666666669</v>
      </c>
      <c r="EX140" s="14">
        <f>IF('[1]FC vers Ref (Km)'!EX140&lt;&gt;0,Z140,)+1+(35/60)+(37/60)</f>
        <v>307.2</v>
      </c>
      <c r="EY140" s="14">
        <f>IF('[1]FC vers Ref (Km)'!EY140&lt;&gt;0,AA140,)+1+(18/60)</f>
        <v>221.3</v>
      </c>
      <c r="EZ140" s="14">
        <f>IF('[1]FC vers Ref (Km)'!EZ140&lt;&gt;0,AB140,)+1+(39/60)</f>
        <v>228.65</v>
      </c>
      <c r="FA140" s="14">
        <f>IF('[1]FC vers Ref (Km)'!FA140&lt;&gt;0,AC140,)+1+(47/60)</f>
        <v>239.78333333333333</v>
      </c>
      <c r="FB140" s="14">
        <f>IF('[1]FC vers Ref (Km)'!FB140&lt;&gt;0,AD140,)</f>
        <v>0</v>
      </c>
      <c r="FC140" s="14">
        <f>IF('[1]FC vers Ref (Km)'!FC140&lt;&gt;0,AE140,)</f>
        <v>0</v>
      </c>
      <c r="FD140" s="14">
        <f>IF('[1]FC vers Ref (Km)'!FD140&lt;&gt;0,AF140,)+5+(31/60)+5+(51/60)+1+(8/60)</f>
        <v>234.5</v>
      </c>
      <c r="FE140" s="14">
        <f>IF('[1]FC vers Ref (Km)'!FE140&lt;&gt;0,AG140,)+4+(2/60)+5+(51/60)+1+(8/60)</f>
        <v>233.01666666666665</v>
      </c>
      <c r="FF140" s="14">
        <f>IF('[1]FC vers Ref (Km)'!FF140&lt;&gt;0,AH140,)+1+(7/60)+5+(51/60)+1+(8/60)</f>
        <v>230.1</v>
      </c>
      <c r="FG140" s="13">
        <f>IF('[1]FC vers Ref (Km)'!FG140&lt;&gt;0,AI140,)+15+(50/60)</f>
        <v>76.833333333333329</v>
      </c>
      <c r="FH140" s="13">
        <f>IF('[1]FC vers Ref (Km)'!FH140&lt;&gt;0,AJ140,)</f>
        <v>0</v>
      </c>
      <c r="FI140" s="13">
        <f>IF('[1]FC vers Ref (Km)'!FI140&lt;&gt;0,AK140,)+4+(40/60)+11+(32/60)</f>
        <v>77.2</v>
      </c>
      <c r="FJ140" s="12">
        <f>IF('[1]FC vers Ref (Km)'!FJ140&lt;&gt;0,AL140,)</f>
        <v>0</v>
      </c>
      <c r="FK140" s="13">
        <f>IF('[1]FC vers Ref (Km)'!FK140&lt;&gt;0,AM140,)</f>
        <v>0</v>
      </c>
      <c r="FL140" s="13">
        <f>IF('[1]FC vers Ref (Km)'!FL140&lt;&gt;0,AN140,)</f>
        <v>0</v>
      </c>
      <c r="FM140" s="13">
        <f>IF('[1]FC vers Ref (Km)'!FM140&lt;&gt;0,AO140,)+(55/60)</f>
        <v>172.91666666666666</v>
      </c>
      <c r="FN140" s="14">
        <f>IF('[1]FC vers Ref (Km)'!FN140&lt;&gt;0,AP140,)</f>
        <v>0</v>
      </c>
      <c r="FO140" s="14">
        <f>IF('[1]FC vers Ref (Km)'!FO140&lt;&gt;0,AQ140,)</f>
        <v>0</v>
      </c>
      <c r="FP140" s="14">
        <f>IF('[1]FC vers Ref (Km)'!FP140&lt;&gt;0,AR140,)</f>
        <v>0</v>
      </c>
      <c r="FQ140" s="13">
        <f>IF('[1]FC vers Ref (Km)'!FQ140&lt;&gt;0,AS140,)</f>
        <v>0</v>
      </c>
      <c r="FR140" s="13">
        <f>IF('[1]FC vers Ref (Km)'!FR140&lt;&gt;0,AT140,)</f>
        <v>0</v>
      </c>
      <c r="FS140" s="13">
        <f>IF('[1]FC vers Ref (Km)'!FS140&lt;&gt;0,AU140,)</f>
        <v>0</v>
      </c>
      <c r="FT140" s="13">
        <f>IF('[1]FC vers Ref (Km)'!FT140&lt;&gt;0,AV140,)+1+(7/60)</f>
        <v>173.11666666666667</v>
      </c>
      <c r="FU140" s="13">
        <f>IF('[1]FC vers Ref (Km)'!FU140&lt;&gt;0,AW140,)+8+(3/60)</f>
        <v>364.05</v>
      </c>
      <c r="FV140" s="13">
        <f>IF('[1]FC vers Ref (Km)'!FV140&lt;&gt;0,AX140,)+2*24+11</f>
        <v>415</v>
      </c>
      <c r="FW140" s="13">
        <f>IF('[1]FC vers Ref (Km)'!FW140&lt;&gt;0,AY140,)</f>
        <v>0</v>
      </c>
      <c r="FX140" s="14">
        <f>IF('[1]FC vers Ref (Km)'!FX140&lt;&gt;0,AZ140,)</f>
        <v>0</v>
      </c>
      <c r="FY140" s="14">
        <f>IF('[1]FC vers Ref (Km)'!FY140&lt;&gt;0,BA140,)+5+(41/60)</f>
        <v>132.68333333333334</v>
      </c>
      <c r="FZ140" s="13">
        <f>IF('[1]FC vers Ref (Km)'!FZ140&lt;&gt;0,BB140,)</f>
        <v>0</v>
      </c>
      <c r="GA140" s="14">
        <f>IF('[1]FC vers Ref (Km)'!GA140&lt;&gt;0,BC140,)</f>
        <v>0</v>
      </c>
      <c r="GB140" s="13">
        <f>IF('[1]FC vers Ref (Km)'!GB140&lt;&gt;0,BD140,)</f>
        <v>0</v>
      </c>
      <c r="GC140" s="13">
        <f>IF('[1]FC vers Ref (Km)'!GC140&lt;&gt;0,BE140,)+(30/60)</f>
        <v>181.5</v>
      </c>
      <c r="GD140" s="13">
        <f>IF('[1]FC vers Ref (Km)'!GD140&lt;&gt;0,BF140,)</f>
        <v>0</v>
      </c>
      <c r="GE140" s="14">
        <f>IF('[1]FC vers Ref (Km)'!GE140&lt;&gt;0,BG140,)+15+(1/60)</f>
        <v>239.01666666666668</v>
      </c>
      <c r="GF140" s="14">
        <f>IF('[1]FC vers Ref (Km)'!GF140&lt;&gt;0,BH140,)</f>
        <v>0</v>
      </c>
      <c r="GG140" s="14">
        <f>IF('[1]FC vers Ref (Km)'!GG140&lt;&gt;0,BI140,)</f>
        <v>0</v>
      </c>
      <c r="GH140" s="14">
        <f>IF('[1]FC vers Ref (Km)'!GH140&lt;&gt;0,BJ140,)</f>
        <v>0</v>
      </c>
      <c r="GI140" s="15">
        <f>IF('[1]FC vers Ref (Km)'!GI140&lt;&gt;0,BK140,)</f>
        <v>0</v>
      </c>
    </row>
    <row r="141" spans="1:191" x14ac:dyDescent="0.3">
      <c r="A141" s="10" t="s">
        <v>37</v>
      </c>
      <c r="B141" s="35" t="s">
        <v>73</v>
      </c>
      <c r="C141" s="16">
        <f>15*24+12</f>
        <v>372</v>
      </c>
      <c r="D141" s="14">
        <f>15*24+21</f>
        <v>381</v>
      </c>
      <c r="E141" s="14">
        <f>16*24+21</f>
        <v>405</v>
      </c>
      <c r="F141" s="14">
        <f>20*24+20</f>
        <v>500</v>
      </c>
      <c r="G141" s="14">
        <f>16*24+18</f>
        <v>402</v>
      </c>
      <c r="H141" s="14">
        <f>8*24+10</f>
        <v>202</v>
      </c>
      <c r="I141" s="14">
        <f>7*24+9</f>
        <v>177</v>
      </c>
      <c r="J141" s="14">
        <f>8*24+10</f>
        <v>202</v>
      </c>
      <c r="K141" s="14">
        <f>18*24+23</f>
        <v>455</v>
      </c>
      <c r="L141" s="14">
        <f>18*24+23</f>
        <v>455</v>
      </c>
      <c r="M141" s="14">
        <f>7*24+10</f>
        <v>178</v>
      </c>
      <c r="N141" s="14">
        <f>7*24+10</f>
        <v>178</v>
      </c>
      <c r="O141" s="14">
        <f>15*24+21</f>
        <v>381</v>
      </c>
      <c r="P141" s="14">
        <f>20*24</f>
        <v>480</v>
      </c>
      <c r="Q141" s="14">
        <f>18*24+23</f>
        <v>455</v>
      </c>
      <c r="R141" s="14">
        <f>19*24+21</f>
        <v>477</v>
      </c>
      <c r="S141" s="14">
        <f>19*24+6</f>
        <v>462</v>
      </c>
      <c r="T141" s="14">
        <f>19*24+9</f>
        <v>465</v>
      </c>
      <c r="U141" s="14">
        <f>19*24+2</f>
        <v>458</v>
      </c>
      <c r="V141" s="14">
        <f>16*24+9</f>
        <v>393</v>
      </c>
      <c r="W141" s="14">
        <f>16*24</f>
        <v>384</v>
      </c>
      <c r="X141" s="14">
        <f>19*24+21</f>
        <v>477</v>
      </c>
      <c r="Y141" s="14">
        <f>20*24+16</f>
        <v>496</v>
      </c>
      <c r="Z141" s="14">
        <f>19*24+10</f>
        <v>466</v>
      </c>
      <c r="AA141" s="14">
        <f>15*24+21</f>
        <v>381</v>
      </c>
      <c r="AB141" s="14">
        <f>16*24+5</f>
        <v>389</v>
      </c>
      <c r="AC141" s="14">
        <f>16*24+15</f>
        <v>399</v>
      </c>
      <c r="AD141" s="14">
        <f>16*24+12</f>
        <v>396</v>
      </c>
      <c r="AE141" s="14">
        <f>20*24+16</f>
        <v>496</v>
      </c>
      <c r="AF141" s="14">
        <f>16*24</f>
        <v>384</v>
      </c>
      <c r="AG141" s="14">
        <f>16*24</f>
        <v>384</v>
      </c>
      <c r="AH141" s="14">
        <f>16*24</f>
        <v>384</v>
      </c>
      <c r="AI141" s="13">
        <f>9*24+6</f>
        <v>222</v>
      </c>
      <c r="AJ141" s="13">
        <f>7*24+22</f>
        <v>190</v>
      </c>
      <c r="AK141" s="13">
        <f>9*24+6</f>
        <v>222</v>
      </c>
      <c r="AL141" s="13">
        <f>7*24+19</f>
        <v>187</v>
      </c>
      <c r="AM141" s="12"/>
      <c r="AN141" s="13">
        <v>16</v>
      </c>
      <c r="AO141" s="13">
        <v>23</v>
      </c>
      <c r="AP141" s="14">
        <v>205</v>
      </c>
      <c r="AQ141" s="14">
        <v>181</v>
      </c>
      <c r="AR141" s="14">
        <v>188</v>
      </c>
      <c r="AS141" s="13">
        <v>264</v>
      </c>
      <c r="AT141" s="13">
        <v>264</v>
      </c>
      <c r="AU141" s="13">
        <v>264</v>
      </c>
      <c r="AV141" s="13">
        <f>24+18</f>
        <v>42</v>
      </c>
      <c r="AW141" s="13">
        <f>21*24+14</f>
        <v>518</v>
      </c>
      <c r="AX141" s="13">
        <f>21*24+14</f>
        <v>518</v>
      </c>
      <c r="AY141" s="13">
        <f>24+16</f>
        <v>40</v>
      </c>
      <c r="AZ141" s="14"/>
      <c r="BA141" s="14">
        <f>11*24+23</f>
        <v>287</v>
      </c>
      <c r="BB141" s="13">
        <f>5*24+5</f>
        <v>125</v>
      </c>
      <c r="BC141" s="14">
        <f>21*24+3</f>
        <v>507</v>
      </c>
      <c r="BD141" s="13">
        <f>2*24+19</f>
        <v>67</v>
      </c>
      <c r="BE141" s="13">
        <f>2*24+7</f>
        <v>55</v>
      </c>
      <c r="BF141" s="13">
        <f>24+20</f>
        <v>44</v>
      </c>
      <c r="BG141" s="14">
        <f>16*24+2</f>
        <v>386</v>
      </c>
      <c r="BH141" s="14">
        <f>14*24+19</f>
        <v>355</v>
      </c>
      <c r="BI141" s="14">
        <f>13*24+14</f>
        <v>326</v>
      </c>
      <c r="BJ141" s="14">
        <f>16*24+4</f>
        <v>388</v>
      </c>
      <c r="BK141" s="15">
        <f>16*24+4</f>
        <v>388</v>
      </c>
      <c r="BM141" s="10" t="s">
        <v>37</v>
      </c>
      <c r="BN141" s="35" t="s">
        <v>73</v>
      </c>
      <c r="BO141" s="16">
        <f>IF('[1]FC vers Ref (Km)'!BO141&lt;&gt;0,'Délai intermédiaire'!C141,)</f>
        <v>0</v>
      </c>
      <c r="BP141" s="14">
        <f>IF('[1]FC vers Ref (Km)'!BP141&lt;&gt;0,'Délai intermédiaire'!D141,)</f>
        <v>0</v>
      </c>
      <c r="BQ141" s="14">
        <f>IF('[1]FC vers Ref (Km)'!BQ141&lt;&gt;0,'Délai intermédiaire'!E141,)+19+(49/60)</f>
        <v>424.81666666666666</v>
      </c>
      <c r="BR141" s="14">
        <f>IF('[1]FC vers Ref (Km)'!BR141&lt;&gt;0,'Délai intermédiaire'!F141,)</f>
        <v>0</v>
      </c>
      <c r="BS141" s="14">
        <f>IF('[1]FC vers Ref (Km)'!BS141&lt;&gt;0,'Délai intermédiaire'!G141,)+(48/60)</f>
        <v>402.8</v>
      </c>
      <c r="BT141" s="14">
        <f>IF('[1]FC vers Ref (Km)'!BT141&lt;&gt;0,'Délai intermédiaire'!H141,)+15+(47/60)</f>
        <v>217.78333333333333</v>
      </c>
      <c r="BU141" s="14">
        <f>IF('[1]FC vers Ref (Km)'!BU141&lt;&gt;0,'Délai intermédiaire'!I141,)</f>
        <v>0</v>
      </c>
      <c r="BV141" s="14">
        <f>IF('[1]FC vers Ref (Km)'!BV141&lt;&gt;0,'Délai intermédiaire'!J141,)</f>
        <v>0</v>
      </c>
      <c r="BW141" s="14">
        <f>IF('[1]FC vers Ref (Km)'!BW141&lt;&gt;0,'Délai intermédiaire'!K141,)+6+(13/60)</f>
        <v>461.21666666666664</v>
      </c>
      <c r="BX141" s="14">
        <f>IF('[1]FC vers Ref (Km)'!BX141&lt;&gt;0,'Délai intermédiaire'!L141,)</f>
        <v>0</v>
      </c>
      <c r="BY141" s="14">
        <f>IF('[1]FC vers Ref (Km)'!BY141&lt;&gt;0,'Délai intermédiaire'!M141,)+11+(1/60)</f>
        <v>189.01666666666668</v>
      </c>
      <c r="BZ141" s="14">
        <f>IF('[1]FC vers Ref (Km)'!BZ141&lt;&gt;0,'Délai intermédiaire'!N141,)</f>
        <v>0</v>
      </c>
      <c r="CA141" s="14">
        <f>IF('[1]FC vers Ref (Km)'!CA141&lt;&gt;0,'Délai intermédiaire'!O141,)+4+(51/60)</f>
        <v>385.85</v>
      </c>
      <c r="CB141" s="14">
        <f>IF('[1]FC vers Ref (Km)'!CB141&lt;&gt;0,'Délai intermédiaire'!P141,)+5+(3/60)</f>
        <v>485.05</v>
      </c>
      <c r="CC141" s="14">
        <f>IF('[1]FC vers Ref (Km)'!CC141&lt;&gt;0,'Délai intermédiaire'!Q141,)+(40/60)</f>
        <v>455.66666666666669</v>
      </c>
      <c r="CD141" s="14">
        <f>IF('[1]FC vers Ref (Km)'!CD141&lt;&gt;0,'Délai intermédiaire'!R141,)</f>
        <v>0</v>
      </c>
      <c r="CE141" s="14">
        <f>IF('[1]FC vers Ref (Km)'!CE141&lt;&gt;0,'Délai intermédiaire'!S141,)</f>
        <v>0</v>
      </c>
      <c r="CF141" s="14">
        <f>IF('[1]FC vers Ref (Km)'!CF141&lt;&gt;0,'Délai intermédiaire'!T141,)</f>
        <v>0</v>
      </c>
      <c r="CG141" s="14">
        <f>IF('[1]FC vers Ref (Km)'!CG141&lt;&gt;0,'Délai intermédiaire'!U141,)+1+(53/60)</f>
        <v>459.88333333333333</v>
      </c>
      <c r="CH141" s="14">
        <f>IF('[1]FC vers Ref (Km)'!CH141&lt;&gt;0,'Délai intermédiaire'!V141,)+2+(57/60)</f>
        <v>395.95</v>
      </c>
      <c r="CI141" s="14">
        <f>IF('[1]FC vers Ref (Km)'!CI141&lt;&gt;0,'Délai intermédiaire'!W141,)+4+(47/60)</f>
        <v>388.78333333333336</v>
      </c>
      <c r="CJ141" s="14">
        <f>IF('[1]FC vers Ref (Km)'!CJ141&lt;&gt;0,'Délai intermédiaire'!X141,)</f>
        <v>0</v>
      </c>
      <c r="CK141" s="14">
        <f>IF('[1]FC vers Ref (Km)'!CK141&lt;&gt;0,'Délai intermédiaire'!Y141,)+1+(33/60)</f>
        <v>497.55</v>
      </c>
      <c r="CL141" s="14">
        <f>IF('[1]FC vers Ref (Km)'!CL141&lt;&gt;0,'Délai intermédiaire'!Z141,)+2+(30/60)</f>
        <v>468.5</v>
      </c>
      <c r="CM141" s="14">
        <f>IF('[1]FC vers Ref (Km)'!CM141&lt;&gt;0,'Délai intermédiaire'!AA141,)+(56/60)</f>
        <v>381.93333333333334</v>
      </c>
      <c r="CN141" s="14">
        <f>IF('[1]FC vers Ref (Km)'!CN141&lt;&gt;0,'Délai intermédiaire'!AB141,)+1+(39/60)</f>
        <v>390.65</v>
      </c>
      <c r="CO141" s="14">
        <f>3+(25/60)</f>
        <v>3.4166666666666665</v>
      </c>
      <c r="CP141" s="14">
        <f>IF('[1]FC vers Ref (Km)'!CP141&lt;&gt;0,'Délai intermédiaire'!AD141,)</f>
        <v>0</v>
      </c>
      <c r="CQ141" s="14">
        <f>IF('[1]FC vers Ref (Km)'!CQ141&lt;&gt;0,'Délai intermédiaire'!AE141,)</f>
        <v>0</v>
      </c>
      <c r="CR141" s="14">
        <f>IF('[1]FC vers Ref (Km)'!CR141&lt;&gt;0,'Délai intermédiaire'!AF141,)+9+(1/60)</f>
        <v>393.01666666666665</v>
      </c>
      <c r="CS141" s="14">
        <f>IF('[1]FC vers Ref (Km)'!CS141&lt;&gt;0,'Délai intermédiaire'!AG141,)+7+(48/60)</f>
        <v>391.8</v>
      </c>
      <c r="CT141" s="14">
        <f>IF('[1]FC vers Ref (Km)'!CT141&lt;&gt;0,'Délai intermédiaire'!AH141,)+5+(5/60)</f>
        <v>389.08333333333331</v>
      </c>
      <c r="CU141" s="13">
        <f>IF('[1]FC vers Ref (Km)'!CU141&lt;&gt;0,'Délai intermédiaire'!AI141,)+19+(46/60)</f>
        <v>241.76666666666668</v>
      </c>
      <c r="CV141" s="13">
        <f>IF('[1]FC vers Ref (Km)'!CV141&lt;&gt;0,'Délai intermédiaire'!AJ141,)</f>
        <v>0</v>
      </c>
      <c r="CW141" s="13">
        <f>IF('[1]FC vers Ref (Km)'!CW141&lt;&gt;0,'Délai intermédiaire'!AK141,)+12+(26/60)</f>
        <v>234.43333333333334</v>
      </c>
      <c r="CX141" s="13">
        <f>IF('[1]FC vers Ref (Km)'!CX141&lt;&gt;0,'Délai intermédiaire'!AL141,)</f>
        <v>0</v>
      </c>
      <c r="CY141" s="12"/>
      <c r="CZ141" s="13">
        <f>IF('[1]FC vers Ref (Km)'!CZ141&lt;&gt;0,'Délai intermédiaire'!AN141,)</f>
        <v>0</v>
      </c>
      <c r="DA141" s="13">
        <f>IF('[1]FC vers Ref (Km)'!DA141&lt;&gt;0,'Délai intermédiaire'!AO141,)+1+(56/60)</f>
        <v>24.933333333333334</v>
      </c>
      <c r="DB141" s="14">
        <f>IF('[1]FC vers Ref (Km)'!DB141&lt;&gt;0,'Délai intermédiaire'!AP141,)</f>
        <v>0</v>
      </c>
      <c r="DC141" s="14">
        <f>IF('[1]FC vers Ref (Km)'!DC141&lt;&gt;0,'Délai intermédiaire'!AQ141,)</f>
        <v>0</v>
      </c>
      <c r="DD141" s="14">
        <f>IF('[1]FC vers Ref (Km)'!DD141&lt;&gt;0,'Délai intermédiaire'!AR141,)</f>
        <v>0</v>
      </c>
      <c r="DE141" s="13">
        <f>IF('[1]FC vers Ref (Km)'!DE141&lt;&gt;0,'Délai intermédiaire'!AS141,)</f>
        <v>0</v>
      </c>
      <c r="DF141" s="13">
        <f>IF('[1]FC vers Ref (Km)'!DF141&lt;&gt;0,'Délai intermédiaire'!AT141,)+20+(5/60)</f>
        <v>284.08333333333331</v>
      </c>
      <c r="DG141" s="13">
        <f>IF('[1]FC vers Ref (Km)'!DG141&lt;&gt;0,'Délai intermédiaire'!AU141,)+11+(36/60)</f>
        <v>275.60000000000002</v>
      </c>
      <c r="DH141" s="13">
        <f>IF('[1]FC vers Ref (Km)'!DH141&lt;&gt;0,'Délai intermédiaire'!AV141,)+(28/60)</f>
        <v>42.466666666666669</v>
      </c>
      <c r="DI141" s="13">
        <f>IF('[1]FC vers Ref (Km)'!DI141&lt;&gt;0,'Délai intermédiaire'!AW141,)+7+(13/60)</f>
        <v>525.2166666666667</v>
      </c>
      <c r="DJ141" s="13">
        <f>IF('[1]FC vers Ref (Km)'!DJ141&lt;&gt;0,'Délai intermédiaire'!AX141,)+2*24+15</f>
        <v>581</v>
      </c>
      <c r="DK141" s="13">
        <f>IF('[1]FC vers Ref (Km)'!DK141&lt;&gt;0,'Délai intermédiaire'!AY141,)</f>
        <v>0</v>
      </c>
      <c r="DL141" s="14">
        <f>IF('[1]FC vers Ref (Km)'!DL141&lt;&gt;0,'Délai intermédiaire'!AZ141,)</f>
        <v>0</v>
      </c>
      <c r="DM141" s="14">
        <f>IF('[1]FC vers Ref (Km)'!DM141&lt;&gt;0,'Délai intermédiaire'!BA141,)+7+(17/60)</f>
        <v>294.28333333333336</v>
      </c>
      <c r="DN141" s="13">
        <f>IF('[1]FC vers Ref (Km)'!DN141&lt;&gt;0,'Délai intermédiaire'!BB141,)</f>
        <v>0</v>
      </c>
      <c r="DO141" s="14">
        <f>IF('[1]FC vers Ref (Km)'!DO141&lt;&gt;0,'Délai intermédiaire'!BC141,)</f>
        <v>0</v>
      </c>
      <c r="DP141" s="13">
        <f>IF('[1]FC vers Ref (Km)'!DP141&lt;&gt;0,'Délai intermédiaire'!BD141,)</f>
        <v>0</v>
      </c>
      <c r="DQ141" s="13">
        <f>IF('[1]FC vers Ref (Km)'!DQ141&lt;&gt;0,'Délai intermédiaire'!BE141,)+1+(22/60)</f>
        <v>56.366666666666667</v>
      </c>
      <c r="DR141" s="13">
        <f>IF('[1]FC vers Ref (Km)'!DR141&lt;&gt;0,'Délai intermédiaire'!BF141,)</f>
        <v>0</v>
      </c>
      <c r="DS141" s="14">
        <f>IF('[1]FC vers Ref (Km)'!DS141&lt;&gt;0,'Délai intermédiaire'!BG141,)+10+(43/60)</f>
        <v>396.71666666666664</v>
      </c>
      <c r="DT141" s="14">
        <f>IF('[1]FC vers Ref (Km)'!DT141&lt;&gt;0,'Délai intermédiaire'!BH141,)+(12/60)</f>
        <v>355.2</v>
      </c>
      <c r="DU141" s="14">
        <f>IF('[1]FC vers Ref (Km)'!DU141&lt;&gt;0,'Délai intermédiaire'!BI141,)+7+(45/60)</f>
        <v>333.75</v>
      </c>
      <c r="DV141" s="14">
        <f>IF('[1]FC vers Ref (Km)'!DV141&lt;&gt;0,'Délai intermédiaire'!BJ141,)+1+(10/60)</f>
        <v>389.16666666666669</v>
      </c>
      <c r="DW141" s="15">
        <f>IF('[1]FC vers Ref (Km)'!DW141&lt;&gt;0,'Délai intermédiaire'!BK141,)+12+(41/60)</f>
        <v>400.68333333333334</v>
      </c>
      <c r="DX141" s="27"/>
      <c r="DY141" s="10" t="s">
        <v>37</v>
      </c>
      <c r="DZ141" s="35" t="s">
        <v>73</v>
      </c>
      <c r="EA141" s="16">
        <f>IF('[1]FC vers Ref (Km)'!EA141&lt;&gt;0,C141,)</f>
        <v>0</v>
      </c>
      <c r="EB141" s="14">
        <f>IF('[1]FC vers Ref (Km)'!EB141&lt;&gt;0,D141,)</f>
        <v>0</v>
      </c>
      <c r="EC141" s="14">
        <f>IF('[1]FC vers Ref (Km)'!EC141&lt;&gt;0,E141,)+7+(55/60)+19+(53/60)</f>
        <v>432.8</v>
      </c>
      <c r="ED141" s="14">
        <f>IF('[1]FC vers Ref (Km)'!ED141&lt;&gt;0,F141,)</f>
        <v>0</v>
      </c>
      <c r="EE141" s="14">
        <f>IF('[1]FC vers Ref (Km)'!EE141&lt;&gt;0,G141,)+(32/60)</f>
        <v>402.53333333333336</v>
      </c>
      <c r="EF141" s="14">
        <f>IF('[1]FC vers Ref (Km)'!EF141&lt;&gt;0,H141,)+14+(25/60)+31+(8/60)</f>
        <v>247.54999999999998</v>
      </c>
      <c r="EG141" s="14">
        <f>IF('[1]FC vers Ref (Km)'!EG141&lt;&gt;0,I141,)</f>
        <v>0</v>
      </c>
      <c r="EH141" s="14">
        <f>IF('[1]FC vers Ref (Km)'!EH141&lt;&gt;0,J141,)</f>
        <v>0</v>
      </c>
      <c r="EI141" s="14">
        <f>IF('[1]FC vers Ref (Km)'!EI141&lt;&gt;0,K141,)+5+(11/60)</f>
        <v>460.18333333333334</v>
      </c>
      <c r="EJ141" s="14">
        <f>IF('[1]FC vers Ref (Km)'!EJ141&lt;&gt;0,L141,)</f>
        <v>0</v>
      </c>
      <c r="EK141" s="14">
        <f>IF('[1]FC vers Ref (Km)'!EK141&lt;&gt;0,M141,)</f>
        <v>0</v>
      </c>
      <c r="EL141" s="14">
        <f>IF('[1]FC vers Ref (Km)'!EL141&lt;&gt;0,N141,)</f>
        <v>0</v>
      </c>
      <c r="EM141" s="14">
        <f>IF('[1]FC vers Ref (Km)'!EM141&lt;&gt;0,O141,)</f>
        <v>0</v>
      </c>
      <c r="EN141" s="14">
        <f>IF('[1]FC vers Ref (Km)'!EN141&lt;&gt;0,P141,)</f>
        <v>0</v>
      </c>
      <c r="EO141" s="14">
        <f>IF('[1]FC vers Ref (Km)'!EO141&lt;&gt;0,Q141,)</f>
        <v>0</v>
      </c>
      <c r="EP141" s="14">
        <f>IF('[1]FC vers Ref (Km)'!EP141&lt;&gt;0,R141,)</f>
        <v>0</v>
      </c>
      <c r="EQ141" s="14">
        <f>IF('[1]FC vers Ref (Km)'!EQ141&lt;&gt;0,S141,)</f>
        <v>0</v>
      </c>
      <c r="ER141" s="14">
        <f>IF('[1]FC vers Ref (Km)'!ER141&lt;&gt;0,T141,)</f>
        <v>0</v>
      </c>
      <c r="ES141" s="14">
        <f>IF('[1]FC vers Ref (Km)'!ES141&lt;&gt;0,U141,)+2+(21/60)</f>
        <v>460.35</v>
      </c>
      <c r="ET141" s="14">
        <f>IF('[1]FC vers Ref (Km)'!ET141&lt;&gt;0,V141,)+1+(44/60)</f>
        <v>394.73333333333335</v>
      </c>
      <c r="EU141" s="14">
        <f>IF('[1]FC vers Ref (Km)'!EU141&lt;&gt;0,W141,)+1+(47/60)+2+(31/60)+2+(54/60)</f>
        <v>391.2</v>
      </c>
      <c r="EV141" s="14">
        <f>IF('[1]FC vers Ref (Km)'!EV141&lt;&gt;0,X141,)</f>
        <v>0</v>
      </c>
      <c r="EW141" s="14">
        <f>IF('[1]FC vers Ref (Km)'!EW141&lt;&gt;0,Y141,)+(56/60)+(59/60)</f>
        <v>497.91666666666669</v>
      </c>
      <c r="EX141" s="14">
        <f>IF('[1]FC vers Ref (Km)'!EX141&lt;&gt;0,Z141,)+1+(35/60)+(37/60)</f>
        <v>468.2</v>
      </c>
      <c r="EY141" s="14">
        <f>IF('[1]FC vers Ref (Km)'!EY141&lt;&gt;0,AA141,)+1+(18/60)</f>
        <v>382.3</v>
      </c>
      <c r="EZ141" s="14">
        <f>IF('[1]FC vers Ref (Km)'!EZ141&lt;&gt;0,AB141,)+1+(39/60)</f>
        <v>390.65</v>
      </c>
      <c r="FA141" s="14">
        <f>IF('[1]FC vers Ref (Km)'!FA141&lt;&gt;0,AC141,)+1+(47/60)</f>
        <v>400.78333333333336</v>
      </c>
      <c r="FB141" s="14">
        <f>IF('[1]FC vers Ref (Km)'!FB141&lt;&gt;0,AD141,)</f>
        <v>0</v>
      </c>
      <c r="FC141" s="14">
        <f>IF('[1]FC vers Ref (Km)'!FC141&lt;&gt;0,AE141,)</f>
        <v>0</v>
      </c>
      <c r="FD141" s="14">
        <f>IF('[1]FC vers Ref (Km)'!FD141&lt;&gt;0,AF141,)+5+(31/60)+5+(51/60)+1+(8/60)</f>
        <v>396.5</v>
      </c>
      <c r="FE141" s="14">
        <f>IF('[1]FC vers Ref (Km)'!FE141&lt;&gt;0,AG141,)+4+(2/60)+5+(51/60)+1+(8/60)</f>
        <v>395.01666666666671</v>
      </c>
      <c r="FF141" s="14">
        <f>IF('[1]FC vers Ref (Km)'!FF141&lt;&gt;0,AH141,)+1+(7/60)+5+(51/60)+1+(8/60)</f>
        <v>392.1</v>
      </c>
      <c r="FG141" s="13">
        <f>IF('[1]FC vers Ref (Km)'!FG141&lt;&gt;0,AI141,)+15+(50/60)</f>
        <v>237.83333333333334</v>
      </c>
      <c r="FH141" s="13">
        <f>IF('[1]FC vers Ref (Km)'!FH141&lt;&gt;0,AJ141,)</f>
        <v>0</v>
      </c>
      <c r="FI141" s="13">
        <f>IF('[1]FC vers Ref (Km)'!FI141&lt;&gt;0,AK141,)+4+(40/60)+11+(32/60)</f>
        <v>238.2</v>
      </c>
      <c r="FJ141" s="13">
        <f>IF('[1]FC vers Ref (Km)'!FJ141&lt;&gt;0,AL141,)</f>
        <v>0</v>
      </c>
      <c r="FK141" s="12">
        <f>IF('[1]FC vers Ref (Km)'!FK141&lt;&gt;0,AM141,)</f>
        <v>0</v>
      </c>
      <c r="FL141" s="13">
        <f>IF('[1]FC vers Ref (Km)'!FL141&lt;&gt;0,AN141,)</f>
        <v>0</v>
      </c>
      <c r="FM141" s="13">
        <f>IF('[1]FC vers Ref (Km)'!FM141&lt;&gt;0,AO141,)+(55/60)</f>
        <v>23.916666666666668</v>
      </c>
      <c r="FN141" s="14">
        <f>IF('[1]FC vers Ref (Km)'!FN141&lt;&gt;0,AP141,)</f>
        <v>0</v>
      </c>
      <c r="FO141" s="14">
        <f>IF('[1]FC vers Ref (Km)'!FO141&lt;&gt;0,AQ141,)</f>
        <v>0</v>
      </c>
      <c r="FP141" s="14">
        <f>IF('[1]FC vers Ref (Km)'!FP141&lt;&gt;0,AR141,)</f>
        <v>0</v>
      </c>
      <c r="FQ141" s="13">
        <f>IF('[1]FC vers Ref (Km)'!FQ141&lt;&gt;0,AS141,)</f>
        <v>0</v>
      </c>
      <c r="FR141" s="13">
        <f>IF('[1]FC vers Ref (Km)'!FR141&lt;&gt;0,AT141,)</f>
        <v>0</v>
      </c>
      <c r="FS141" s="13">
        <f>IF('[1]FC vers Ref (Km)'!FS141&lt;&gt;0,AU141,)</f>
        <v>0</v>
      </c>
      <c r="FT141" s="13">
        <f>IF('[1]FC vers Ref (Km)'!FT141&lt;&gt;0,AV141,)+1+(7/60)</f>
        <v>43.116666666666667</v>
      </c>
      <c r="FU141" s="13">
        <f>IF('[1]FC vers Ref (Km)'!FU141&lt;&gt;0,AW141,)+8+(3/60)</f>
        <v>526.04999999999995</v>
      </c>
      <c r="FV141" s="13">
        <f>IF('[1]FC vers Ref (Km)'!FV141&lt;&gt;0,AX141,)+2*24+11</f>
        <v>577</v>
      </c>
      <c r="FW141" s="13">
        <f>IF('[1]FC vers Ref (Km)'!FW141&lt;&gt;0,AY141,)</f>
        <v>0</v>
      </c>
      <c r="FX141" s="14">
        <f>IF('[1]FC vers Ref (Km)'!FX141&lt;&gt;0,AZ141,)</f>
        <v>0</v>
      </c>
      <c r="FY141" s="14">
        <f>IF('[1]FC vers Ref (Km)'!FY141&lt;&gt;0,BA141,)+5+(41/60)</f>
        <v>292.68333333333334</v>
      </c>
      <c r="FZ141" s="13">
        <f>IF('[1]FC vers Ref (Km)'!FZ141&lt;&gt;0,BB141,)</f>
        <v>0</v>
      </c>
      <c r="GA141" s="14">
        <f>IF('[1]FC vers Ref (Km)'!GA141&lt;&gt;0,BC141,)</f>
        <v>0</v>
      </c>
      <c r="GB141" s="13">
        <f>IF('[1]FC vers Ref (Km)'!GB141&lt;&gt;0,BD141,)</f>
        <v>0</v>
      </c>
      <c r="GC141" s="13">
        <f>IF('[1]FC vers Ref (Km)'!GC141&lt;&gt;0,BE141,)+(30/60)</f>
        <v>55.5</v>
      </c>
      <c r="GD141" s="13">
        <f>IF('[1]FC vers Ref (Km)'!GD141&lt;&gt;0,BF141,)</f>
        <v>0</v>
      </c>
      <c r="GE141" s="14">
        <f>IF('[1]FC vers Ref (Km)'!GE141&lt;&gt;0,BG141,)+15+(1/60)</f>
        <v>401.01666666666665</v>
      </c>
      <c r="GF141" s="14">
        <f>IF('[1]FC vers Ref (Km)'!GF141&lt;&gt;0,BH141,)</f>
        <v>0</v>
      </c>
      <c r="GG141" s="14">
        <f>IF('[1]FC vers Ref (Km)'!GG141&lt;&gt;0,BI141,)</f>
        <v>0</v>
      </c>
      <c r="GH141" s="14">
        <f>IF('[1]FC vers Ref (Km)'!GH141&lt;&gt;0,BJ141,)</f>
        <v>0</v>
      </c>
      <c r="GI141" s="15">
        <f>IF('[1]FC vers Ref (Km)'!GI141&lt;&gt;0,BK141,)</f>
        <v>0</v>
      </c>
    </row>
    <row r="142" spans="1:191" x14ac:dyDescent="0.3">
      <c r="A142" s="10" t="s">
        <v>38</v>
      </c>
      <c r="B142" s="35" t="s">
        <v>73</v>
      </c>
      <c r="C142" s="16">
        <f>16*24</f>
        <v>384</v>
      </c>
      <c r="D142" s="14">
        <f>16*24+8</f>
        <v>392</v>
      </c>
      <c r="E142" s="14">
        <f>17*24+8</f>
        <v>416</v>
      </c>
      <c r="F142" s="14">
        <f>21*24+8</f>
        <v>512</v>
      </c>
      <c r="G142" s="14">
        <f>17*24+5</f>
        <v>413</v>
      </c>
      <c r="H142" s="14">
        <f>8*24+22</f>
        <v>214</v>
      </c>
      <c r="I142" s="14">
        <f>7*24+21</f>
        <v>189</v>
      </c>
      <c r="J142" s="14">
        <f>8*24+22</f>
        <v>214</v>
      </c>
      <c r="K142" s="14">
        <f>19*24+11</f>
        <v>467</v>
      </c>
      <c r="L142" s="14">
        <f>19*24+11</f>
        <v>467</v>
      </c>
      <c r="M142" s="14">
        <f>7*24+22</f>
        <v>190</v>
      </c>
      <c r="N142" s="14">
        <f>7*24+22</f>
        <v>190</v>
      </c>
      <c r="O142" s="14">
        <f>16*24+9</f>
        <v>393</v>
      </c>
      <c r="P142" s="14">
        <f>19*24+18</f>
        <v>474</v>
      </c>
      <c r="Q142" s="14">
        <f>19*24+10</f>
        <v>466</v>
      </c>
      <c r="R142" s="14">
        <f>19*24+12</f>
        <v>468</v>
      </c>
      <c r="S142" s="14">
        <f>18*24+22</f>
        <v>454</v>
      </c>
      <c r="T142" s="14">
        <f>19*24</f>
        <v>456</v>
      </c>
      <c r="U142" s="14">
        <f>18*24+17</f>
        <v>449</v>
      </c>
      <c r="V142" s="14">
        <f>16*24</f>
        <v>384</v>
      </c>
      <c r="W142" s="14">
        <f>15*24+15</f>
        <v>375</v>
      </c>
      <c r="X142" s="14">
        <f>19*24+12</f>
        <v>468</v>
      </c>
      <c r="Y142" s="14">
        <f>20*24+7</f>
        <v>487</v>
      </c>
      <c r="Z142" s="14">
        <f>19*24+2</f>
        <v>458</v>
      </c>
      <c r="AA142" s="14">
        <f>15*24+13</f>
        <v>373</v>
      </c>
      <c r="AB142" s="14">
        <f>15*24+20</f>
        <v>380</v>
      </c>
      <c r="AC142" s="14">
        <f>16*24+7</f>
        <v>391</v>
      </c>
      <c r="AD142" s="14">
        <f>16*24+3</f>
        <v>387</v>
      </c>
      <c r="AE142" s="14">
        <f>20*24+7</f>
        <v>487</v>
      </c>
      <c r="AF142" s="14">
        <f>15*24+15</f>
        <v>375</v>
      </c>
      <c r="AG142" s="14">
        <f>15*24+15</f>
        <v>375</v>
      </c>
      <c r="AH142" s="14">
        <f>15*24+15</f>
        <v>375</v>
      </c>
      <c r="AI142" s="13">
        <f>8*24+22</f>
        <v>214</v>
      </c>
      <c r="AJ142" s="13">
        <f>7*24+13</f>
        <v>181</v>
      </c>
      <c r="AK142" s="13">
        <f>8*24+22</f>
        <v>214</v>
      </c>
      <c r="AL142" s="13">
        <f>7*24+10</f>
        <v>178</v>
      </c>
      <c r="AM142" s="13">
        <v>16</v>
      </c>
      <c r="AN142" s="12"/>
      <c r="AO142" s="13">
        <v>11</v>
      </c>
      <c r="AP142" s="14">
        <v>207</v>
      </c>
      <c r="AQ142" s="14">
        <v>184</v>
      </c>
      <c r="AR142" s="14">
        <v>182</v>
      </c>
      <c r="AS142" s="13">
        <v>255</v>
      </c>
      <c r="AT142" s="13">
        <v>255</v>
      </c>
      <c r="AU142" s="13">
        <v>255</v>
      </c>
      <c r="AV142" s="13">
        <f>24+6</f>
        <v>30</v>
      </c>
      <c r="AW142" s="13">
        <f>21*24+5</f>
        <v>509</v>
      </c>
      <c r="AX142" s="13">
        <f>21*24+5</f>
        <v>509</v>
      </c>
      <c r="AY142" s="13">
        <f>24+10</f>
        <v>34</v>
      </c>
      <c r="AZ142" s="14"/>
      <c r="BA142" s="14">
        <f>11*24+14</f>
        <v>278</v>
      </c>
      <c r="BB142" s="13">
        <f>4*24+20</f>
        <v>116</v>
      </c>
      <c r="BC142" s="14">
        <f>20*24+18</f>
        <v>498</v>
      </c>
      <c r="BD142" s="13">
        <f>2*24+9</f>
        <v>57</v>
      </c>
      <c r="BE142" s="13">
        <f>24+18</f>
        <v>42</v>
      </c>
      <c r="BF142" s="13">
        <f>24+9</f>
        <v>33</v>
      </c>
      <c r="BG142" s="14">
        <f>15*24+17</f>
        <v>377</v>
      </c>
      <c r="BH142" s="14">
        <f>14*24+10</f>
        <v>346</v>
      </c>
      <c r="BI142" s="14">
        <f>14*24+2</f>
        <v>338</v>
      </c>
      <c r="BJ142" s="14">
        <f>16*24+14</f>
        <v>398</v>
      </c>
      <c r="BK142" s="15">
        <f>16*24+14</f>
        <v>398</v>
      </c>
      <c r="BM142" s="10" t="s">
        <v>38</v>
      </c>
      <c r="BN142" s="35" t="s">
        <v>73</v>
      </c>
      <c r="BO142" s="16">
        <f>IF('[1]FC vers Ref (Km)'!BO142&lt;&gt;0,'Délai intermédiaire'!C142,)</f>
        <v>0</v>
      </c>
      <c r="BP142" s="14">
        <f>IF('[1]FC vers Ref (Km)'!BP142&lt;&gt;0,'Délai intermédiaire'!D142,)</f>
        <v>0</v>
      </c>
      <c r="BQ142" s="14">
        <f>IF('[1]FC vers Ref (Km)'!BQ142&lt;&gt;0,'Délai intermédiaire'!E142,)+19+(49/60)</f>
        <v>435.81666666666666</v>
      </c>
      <c r="BR142" s="14">
        <f>IF('[1]FC vers Ref (Km)'!BR142&lt;&gt;0,'Délai intermédiaire'!F142,)</f>
        <v>0</v>
      </c>
      <c r="BS142" s="14">
        <f>IF('[1]FC vers Ref (Km)'!BS142&lt;&gt;0,'Délai intermédiaire'!G142,)+(48/60)</f>
        <v>413.8</v>
      </c>
      <c r="BT142" s="14">
        <f>IF('[1]FC vers Ref (Km)'!BT142&lt;&gt;0,'Délai intermédiaire'!H142,)+15+(47/60)</f>
        <v>229.78333333333333</v>
      </c>
      <c r="BU142" s="14">
        <f>IF('[1]FC vers Ref (Km)'!BU142&lt;&gt;0,'Délai intermédiaire'!I142,)</f>
        <v>0</v>
      </c>
      <c r="BV142" s="14">
        <f>IF('[1]FC vers Ref (Km)'!BV142&lt;&gt;0,'Délai intermédiaire'!J142,)</f>
        <v>0</v>
      </c>
      <c r="BW142" s="14">
        <f>IF('[1]FC vers Ref (Km)'!BW142&lt;&gt;0,'Délai intermédiaire'!K142,)+6+(13/60)</f>
        <v>473.21666666666664</v>
      </c>
      <c r="BX142" s="14">
        <f>IF('[1]FC vers Ref (Km)'!BX142&lt;&gt;0,'Délai intermédiaire'!L142,)</f>
        <v>0</v>
      </c>
      <c r="BY142" s="14">
        <f>IF('[1]FC vers Ref (Km)'!BY142&lt;&gt;0,'Délai intermédiaire'!M142,)+11+(1/60)</f>
        <v>201.01666666666668</v>
      </c>
      <c r="BZ142" s="14">
        <f>IF('[1]FC vers Ref (Km)'!BZ142&lt;&gt;0,'Délai intermédiaire'!N142,)</f>
        <v>0</v>
      </c>
      <c r="CA142" s="14">
        <f>IF('[1]FC vers Ref (Km)'!CA142&lt;&gt;0,'Délai intermédiaire'!O142,)+4+(51/60)</f>
        <v>397.85</v>
      </c>
      <c r="CB142" s="14">
        <f>IF('[1]FC vers Ref (Km)'!CB142&lt;&gt;0,'Délai intermédiaire'!P142,)+5+(3/60)</f>
        <v>479.05</v>
      </c>
      <c r="CC142" s="14">
        <f>IF('[1]FC vers Ref (Km)'!CC142&lt;&gt;0,'Délai intermédiaire'!Q142,)+(40/60)</f>
        <v>466.66666666666669</v>
      </c>
      <c r="CD142" s="14">
        <f>IF('[1]FC vers Ref (Km)'!CD142&lt;&gt;0,'Délai intermédiaire'!R142,)</f>
        <v>0</v>
      </c>
      <c r="CE142" s="14">
        <f>IF('[1]FC vers Ref (Km)'!CE142&lt;&gt;0,'Délai intermédiaire'!S142,)</f>
        <v>0</v>
      </c>
      <c r="CF142" s="14">
        <f>IF('[1]FC vers Ref (Km)'!CF142&lt;&gt;0,'Délai intermédiaire'!T142,)</f>
        <v>0</v>
      </c>
      <c r="CG142" s="14">
        <f>IF('[1]FC vers Ref (Km)'!CG142&lt;&gt;0,'Délai intermédiaire'!U142,)+1+(53/60)</f>
        <v>450.88333333333333</v>
      </c>
      <c r="CH142" s="14">
        <f>IF('[1]FC vers Ref (Km)'!CH142&lt;&gt;0,'Délai intermédiaire'!V142,)+2+(57/60)</f>
        <v>386.95</v>
      </c>
      <c r="CI142" s="14">
        <f>IF('[1]FC vers Ref (Km)'!CI142&lt;&gt;0,'Délai intermédiaire'!W142,)+4+(47/60)</f>
        <v>379.78333333333336</v>
      </c>
      <c r="CJ142" s="14">
        <f>IF('[1]FC vers Ref (Km)'!CJ142&lt;&gt;0,'Délai intermédiaire'!X142,)</f>
        <v>0</v>
      </c>
      <c r="CK142" s="14">
        <f>IF('[1]FC vers Ref (Km)'!CK142&lt;&gt;0,'Délai intermédiaire'!Y142,)+1+(33/60)</f>
        <v>488.55</v>
      </c>
      <c r="CL142" s="14">
        <f>IF('[1]FC vers Ref (Km)'!CL142&lt;&gt;0,'Délai intermédiaire'!Z142,)+2+(30/60)</f>
        <v>460.5</v>
      </c>
      <c r="CM142" s="14">
        <f>IF('[1]FC vers Ref (Km)'!CM142&lt;&gt;0,'Délai intermédiaire'!AA142,)+(56/60)</f>
        <v>373.93333333333334</v>
      </c>
      <c r="CN142" s="14">
        <f>IF('[1]FC vers Ref (Km)'!CN142&lt;&gt;0,'Délai intermédiaire'!AB142,)+1+(39/60)</f>
        <v>381.65</v>
      </c>
      <c r="CO142" s="14">
        <f>IF('[1]FC vers Ref (Km)'!CO142&lt;&gt;0,'Délai intermédiaire'!AC142,)+3+(25/60)</f>
        <v>394.41666666666669</v>
      </c>
      <c r="CP142" s="14">
        <f>IF('[1]FC vers Ref (Km)'!CP142&lt;&gt;0,'Délai intermédiaire'!AD142,)</f>
        <v>0</v>
      </c>
      <c r="CQ142" s="14">
        <f>IF('[1]FC vers Ref (Km)'!CQ142&lt;&gt;0,'Délai intermédiaire'!AE142,)</f>
        <v>0</v>
      </c>
      <c r="CR142" s="14">
        <f>IF('[1]FC vers Ref (Km)'!CR142&lt;&gt;0,'Délai intermédiaire'!AF142,)+9+(1/60)</f>
        <v>384.01666666666665</v>
      </c>
      <c r="CS142" s="14">
        <f>IF('[1]FC vers Ref (Km)'!CS142&lt;&gt;0,'Délai intermédiaire'!AG142,)+7+(48/60)</f>
        <v>382.8</v>
      </c>
      <c r="CT142" s="14">
        <f>IF('[1]FC vers Ref (Km)'!CT142&lt;&gt;0,'Délai intermédiaire'!AH142,)+5+(5/60)</f>
        <v>380.08333333333331</v>
      </c>
      <c r="CU142" s="13">
        <f>IF('[1]FC vers Ref (Km)'!CU142&lt;&gt;0,'Délai intermédiaire'!AI142,)+19+(46/60)</f>
        <v>233.76666666666668</v>
      </c>
      <c r="CV142" s="13">
        <f>IF('[1]FC vers Ref (Km)'!CV142&lt;&gt;0,'Délai intermédiaire'!AJ142,)</f>
        <v>0</v>
      </c>
      <c r="CW142" s="13">
        <f>IF('[1]FC vers Ref (Km)'!CW142&lt;&gt;0,'Délai intermédiaire'!AK142,)+12+(26/60)</f>
        <v>226.43333333333334</v>
      </c>
      <c r="CX142" s="13">
        <f>IF('[1]FC vers Ref (Km)'!CX142&lt;&gt;0,'Délai intermédiaire'!AL142,)</f>
        <v>0</v>
      </c>
      <c r="CY142" s="13">
        <f>IF('[1]FC vers Ref (Km)'!CY142&lt;&gt;0,'Délai intermédiaire'!AM142,)</f>
        <v>0</v>
      </c>
      <c r="CZ142" s="12"/>
      <c r="DA142" s="13">
        <f>IF('[1]FC vers Ref (Km)'!DA142&lt;&gt;0,'Délai intermédiaire'!AO142,)+1+(56/60)</f>
        <v>12.933333333333334</v>
      </c>
      <c r="DB142" s="14">
        <f>IF('[1]FC vers Ref (Km)'!DB142&lt;&gt;0,'Délai intermédiaire'!AP142,)</f>
        <v>0</v>
      </c>
      <c r="DC142" s="14">
        <f>IF('[1]FC vers Ref (Km)'!DC142&lt;&gt;0,'Délai intermédiaire'!AQ142,)</f>
        <v>0</v>
      </c>
      <c r="DD142" s="14">
        <f>IF('[1]FC vers Ref (Km)'!DD142&lt;&gt;0,'Délai intermédiaire'!AR142,)</f>
        <v>0</v>
      </c>
      <c r="DE142" s="13">
        <f>IF('[1]FC vers Ref (Km)'!DE142&lt;&gt;0,'Délai intermédiaire'!AS142,)</f>
        <v>0</v>
      </c>
      <c r="DF142" s="13">
        <f>IF('[1]FC vers Ref (Km)'!DF142&lt;&gt;0,'Délai intermédiaire'!AT142,)+20+(5/60)</f>
        <v>275.08333333333331</v>
      </c>
      <c r="DG142" s="13">
        <f>IF('[1]FC vers Ref (Km)'!DG142&lt;&gt;0,'Délai intermédiaire'!AU142,)+11+(36/60)</f>
        <v>266.60000000000002</v>
      </c>
      <c r="DH142" s="13">
        <f>IF('[1]FC vers Ref (Km)'!DH142&lt;&gt;0,'Délai intermédiaire'!AV142,)+(28/60)</f>
        <v>30.466666666666665</v>
      </c>
      <c r="DI142" s="13">
        <f>IF('[1]FC vers Ref (Km)'!DI142&lt;&gt;0,'Délai intermédiaire'!AW142,)+7+(13/60)</f>
        <v>516.2166666666667</v>
      </c>
      <c r="DJ142" s="13">
        <f>IF('[1]FC vers Ref (Km)'!DJ142&lt;&gt;0,'Délai intermédiaire'!AX142,)+2*24+15</f>
        <v>572</v>
      </c>
      <c r="DK142" s="13">
        <f>IF('[1]FC vers Ref (Km)'!DK142&lt;&gt;0,'Délai intermédiaire'!AY142,)</f>
        <v>0</v>
      </c>
      <c r="DL142" s="14">
        <f>IF('[1]FC vers Ref (Km)'!DL142&lt;&gt;0,'Délai intermédiaire'!AZ142,)</f>
        <v>0</v>
      </c>
      <c r="DM142" s="14">
        <f>IF('[1]FC vers Ref (Km)'!DM142&lt;&gt;0,'Délai intermédiaire'!BA142,)+7+(17/60)</f>
        <v>285.28333333333336</v>
      </c>
      <c r="DN142" s="13">
        <f>IF('[1]FC vers Ref (Km)'!DN142&lt;&gt;0,'Délai intermédiaire'!BB142,)</f>
        <v>0</v>
      </c>
      <c r="DO142" s="14">
        <f>IF('[1]FC vers Ref (Km)'!DO142&lt;&gt;0,'Délai intermédiaire'!BC142,)</f>
        <v>0</v>
      </c>
      <c r="DP142" s="13">
        <f>IF('[1]FC vers Ref (Km)'!DP142&lt;&gt;0,'Délai intermédiaire'!BD142,)</f>
        <v>0</v>
      </c>
      <c r="DQ142" s="13">
        <f>IF('[1]FC vers Ref (Km)'!DQ142&lt;&gt;0,'Délai intermédiaire'!BE142,)+1+(22/60)</f>
        <v>43.366666666666667</v>
      </c>
      <c r="DR142" s="13">
        <f>IF('[1]FC vers Ref (Km)'!DR142&lt;&gt;0,'Délai intermédiaire'!BF142,)</f>
        <v>0</v>
      </c>
      <c r="DS142" s="14">
        <f>IF('[1]FC vers Ref (Km)'!DS142&lt;&gt;0,'Délai intermédiaire'!BG142,)+10+(43/60)</f>
        <v>387.71666666666664</v>
      </c>
      <c r="DT142" s="14">
        <f>IF('[1]FC vers Ref (Km)'!DT142&lt;&gt;0,'Délai intermédiaire'!BH142,)+(12/60)</f>
        <v>346.2</v>
      </c>
      <c r="DU142" s="14">
        <f>IF('[1]FC vers Ref (Km)'!DU142&lt;&gt;0,'Délai intermédiaire'!BI142,)+7+(45/60)</f>
        <v>345.75</v>
      </c>
      <c r="DV142" s="14">
        <f>IF('[1]FC vers Ref (Km)'!DV142&lt;&gt;0,'Délai intermédiaire'!BJ142,)+1+(10/60)</f>
        <v>399.16666666666669</v>
      </c>
      <c r="DW142" s="15">
        <f>IF('[1]FC vers Ref (Km)'!DW142&lt;&gt;0,'Délai intermédiaire'!BK142,)+12+(41/60)</f>
        <v>410.68333333333334</v>
      </c>
      <c r="DX142" s="27"/>
      <c r="DY142" s="10" t="s">
        <v>38</v>
      </c>
      <c r="DZ142" s="35" t="s">
        <v>73</v>
      </c>
      <c r="EA142" s="16">
        <f>IF('[1]FC vers Ref (Km)'!EA142&lt;&gt;0,C142,)</f>
        <v>0</v>
      </c>
      <c r="EB142" s="14">
        <f>IF('[1]FC vers Ref (Km)'!EB142&lt;&gt;0,D142,)</f>
        <v>0</v>
      </c>
      <c r="EC142" s="14">
        <f>IF('[1]FC vers Ref (Km)'!EC142&lt;&gt;0,E142,)+7+(55/60)+19+(53/60)</f>
        <v>443.8</v>
      </c>
      <c r="ED142" s="14">
        <f>IF('[1]FC vers Ref (Km)'!ED142&lt;&gt;0,F142,)</f>
        <v>0</v>
      </c>
      <c r="EE142" s="14">
        <f>IF('[1]FC vers Ref (Km)'!EE142&lt;&gt;0,G142,)+(32/60)</f>
        <v>413.53333333333336</v>
      </c>
      <c r="EF142" s="14">
        <f>IF('[1]FC vers Ref (Km)'!EF142&lt;&gt;0,H142,)+14+(25/60)+31+(8/60)</f>
        <v>259.54999999999995</v>
      </c>
      <c r="EG142" s="14">
        <f>IF('[1]FC vers Ref (Km)'!EG142&lt;&gt;0,I142,)</f>
        <v>0</v>
      </c>
      <c r="EH142" s="14">
        <f>IF('[1]FC vers Ref (Km)'!EH142&lt;&gt;0,J142,)</f>
        <v>0</v>
      </c>
      <c r="EI142" s="14">
        <f>IF('[1]FC vers Ref (Km)'!EI142&lt;&gt;0,K142,)+5+(11/60)</f>
        <v>472.18333333333334</v>
      </c>
      <c r="EJ142" s="14">
        <f>IF('[1]FC vers Ref (Km)'!EJ142&lt;&gt;0,L142,)</f>
        <v>0</v>
      </c>
      <c r="EK142" s="14">
        <f>IF('[1]FC vers Ref (Km)'!EK142&lt;&gt;0,M142,)</f>
        <v>0</v>
      </c>
      <c r="EL142" s="14">
        <f>IF('[1]FC vers Ref (Km)'!EL142&lt;&gt;0,N142,)</f>
        <v>0</v>
      </c>
      <c r="EM142" s="14">
        <f>IF('[1]FC vers Ref (Km)'!EM142&lt;&gt;0,O142,)</f>
        <v>0</v>
      </c>
      <c r="EN142" s="14">
        <f>IF('[1]FC vers Ref (Km)'!EN142&lt;&gt;0,P142,)</f>
        <v>0</v>
      </c>
      <c r="EO142" s="14">
        <f>IF('[1]FC vers Ref (Km)'!EO142&lt;&gt;0,Q142,)</f>
        <v>0</v>
      </c>
      <c r="EP142" s="14">
        <f>IF('[1]FC vers Ref (Km)'!EP142&lt;&gt;0,R142,)</f>
        <v>0</v>
      </c>
      <c r="EQ142" s="14">
        <f>IF('[1]FC vers Ref (Km)'!EQ142&lt;&gt;0,S142,)</f>
        <v>0</v>
      </c>
      <c r="ER142" s="14">
        <f>IF('[1]FC vers Ref (Km)'!ER142&lt;&gt;0,T142,)</f>
        <v>0</v>
      </c>
      <c r="ES142" s="14">
        <f>IF('[1]FC vers Ref (Km)'!ES142&lt;&gt;0,U142,)+2+(21/60)</f>
        <v>451.35</v>
      </c>
      <c r="ET142" s="14">
        <f>IF('[1]FC vers Ref (Km)'!ET142&lt;&gt;0,V142,)+1+(44/60)</f>
        <v>385.73333333333335</v>
      </c>
      <c r="EU142" s="14">
        <f>IF('[1]FC vers Ref (Km)'!EU142&lt;&gt;0,W142,)+1+(47/60)+2+(31/60)+2+(54/60)</f>
        <v>382.2</v>
      </c>
      <c r="EV142" s="14">
        <f>IF('[1]FC vers Ref (Km)'!EV142&lt;&gt;0,X142,)</f>
        <v>0</v>
      </c>
      <c r="EW142" s="14">
        <f>IF('[1]FC vers Ref (Km)'!EW142&lt;&gt;0,Y142,)+(56/60)+(59/60)</f>
        <v>488.91666666666669</v>
      </c>
      <c r="EX142" s="14">
        <f>IF('[1]FC vers Ref (Km)'!EX142&lt;&gt;0,Z142,)+1+(35/60)+(37/60)</f>
        <v>460.2</v>
      </c>
      <c r="EY142" s="14">
        <f>IF('[1]FC vers Ref (Km)'!EY142&lt;&gt;0,AA142,)+1+(18/60)</f>
        <v>374.3</v>
      </c>
      <c r="EZ142" s="14">
        <f>IF('[1]FC vers Ref (Km)'!EZ142&lt;&gt;0,AB142,)+1+(39/60)</f>
        <v>381.65</v>
      </c>
      <c r="FA142" s="14">
        <f>IF('[1]FC vers Ref (Km)'!FA142&lt;&gt;0,AC142,)+1+(47/60)</f>
        <v>392.78333333333336</v>
      </c>
      <c r="FB142" s="14">
        <f>IF('[1]FC vers Ref (Km)'!FB142&lt;&gt;0,AD142,)</f>
        <v>0</v>
      </c>
      <c r="FC142" s="14">
        <f>IF('[1]FC vers Ref (Km)'!FC142&lt;&gt;0,AE142,)</f>
        <v>0</v>
      </c>
      <c r="FD142" s="14">
        <f>IF('[1]FC vers Ref (Km)'!FD142&lt;&gt;0,AF142,)+5+(31/60)+5+(51/60)+1+(8/60)</f>
        <v>387.5</v>
      </c>
      <c r="FE142" s="14">
        <f>IF('[1]FC vers Ref (Km)'!FE142&lt;&gt;0,AG142,)+4+(2/60)+5+(51/60)+1+(8/60)</f>
        <v>386.01666666666671</v>
      </c>
      <c r="FF142" s="14">
        <f>IF('[1]FC vers Ref (Km)'!FF142&lt;&gt;0,AH142,)+1+(7/60)+5+(51/60)+1+(8/60)</f>
        <v>383.1</v>
      </c>
      <c r="FG142" s="13">
        <f>IF('[1]FC vers Ref (Km)'!FG142&lt;&gt;0,AI142,)+15+(50/60)</f>
        <v>229.83333333333334</v>
      </c>
      <c r="FH142" s="13">
        <f>IF('[1]FC vers Ref (Km)'!FH142&lt;&gt;0,AJ142,)</f>
        <v>0</v>
      </c>
      <c r="FI142" s="13">
        <f>IF('[1]FC vers Ref (Km)'!FI142&lt;&gt;0,AK142,)+4+(40/60)+11+(32/60)</f>
        <v>230.2</v>
      </c>
      <c r="FJ142" s="13">
        <f>IF('[1]FC vers Ref (Km)'!FJ142&lt;&gt;0,AL142,)</f>
        <v>0</v>
      </c>
      <c r="FK142" s="13">
        <f>IF('[1]FC vers Ref (Km)'!FK142&lt;&gt;0,AM142,)</f>
        <v>0</v>
      </c>
      <c r="FL142" s="12">
        <f>IF('[1]FC vers Ref (Km)'!FL142&lt;&gt;0,AN142,)</f>
        <v>0</v>
      </c>
      <c r="FM142" s="13">
        <f>IF('[1]FC vers Ref (Km)'!FM142&lt;&gt;0,AO142,)+(55/60)</f>
        <v>11.916666666666666</v>
      </c>
      <c r="FN142" s="14">
        <f>IF('[1]FC vers Ref (Km)'!FN142&lt;&gt;0,AP142,)</f>
        <v>0</v>
      </c>
      <c r="FO142" s="14">
        <f>IF('[1]FC vers Ref (Km)'!FO142&lt;&gt;0,AQ142,)</f>
        <v>0</v>
      </c>
      <c r="FP142" s="14">
        <f>IF('[1]FC vers Ref (Km)'!FP142&lt;&gt;0,AR142,)</f>
        <v>0</v>
      </c>
      <c r="FQ142" s="13">
        <f>IF('[1]FC vers Ref (Km)'!FQ142&lt;&gt;0,AS142,)</f>
        <v>0</v>
      </c>
      <c r="FR142" s="13">
        <f>IF('[1]FC vers Ref (Km)'!FR142&lt;&gt;0,AT142,)</f>
        <v>0</v>
      </c>
      <c r="FS142" s="13">
        <f>IF('[1]FC vers Ref (Km)'!FS142&lt;&gt;0,AU142,)</f>
        <v>0</v>
      </c>
      <c r="FT142" s="13">
        <f>IF('[1]FC vers Ref (Km)'!FT142&lt;&gt;0,AV142,)+1+(7/60)</f>
        <v>31.116666666666667</v>
      </c>
      <c r="FU142" s="13">
        <f>IF('[1]FC vers Ref (Km)'!FU142&lt;&gt;0,AW142,)+8+(3/60)</f>
        <v>517.04999999999995</v>
      </c>
      <c r="FV142" s="13">
        <f>IF('[1]FC vers Ref (Km)'!FV142&lt;&gt;0,AX142,)+2*24+11</f>
        <v>568</v>
      </c>
      <c r="FW142" s="13">
        <f>IF('[1]FC vers Ref (Km)'!FW142&lt;&gt;0,AY142,)</f>
        <v>0</v>
      </c>
      <c r="FX142" s="14">
        <f>IF('[1]FC vers Ref (Km)'!FX142&lt;&gt;0,AZ142,)</f>
        <v>0</v>
      </c>
      <c r="FY142" s="14">
        <f>IF('[1]FC vers Ref (Km)'!FY142&lt;&gt;0,BA142,)+5+(41/60)</f>
        <v>283.68333333333334</v>
      </c>
      <c r="FZ142" s="13">
        <f>IF('[1]FC vers Ref (Km)'!FZ142&lt;&gt;0,BB142,)</f>
        <v>0</v>
      </c>
      <c r="GA142" s="14">
        <f>IF('[1]FC vers Ref (Km)'!GA142&lt;&gt;0,BC142,)</f>
        <v>0</v>
      </c>
      <c r="GB142" s="13">
        <f>IF('[1]FC vers Ref (Km)'!GB142&lt;&gt;0,BD142,)</f>
        <v>0</v>
      </c>
      <c r="GC142" s="13">
        <f>IF('[1]FC vers Ref (Km)'!GC142&lt;&gt;0,BE142,)+(30/60)</f>
        <v>42.5</v>
      </c>
      <c r="GD142" s="13">
        <f>IF('[1]FC vers Ref (Km)'!GD142&lt;&gt;0,BF142,)</f>
        <v>0</v>
      </c>
      <c r="GE142" s="14">
        <f>IF('[1]FC vers Ref (Km)'!GE142&lt;&gt;0,BG142,)+15+(1/60)</f>
        <v>392.01666666666665</v>
      </c>
      <c r="GF142" s="14">
        <f>IF('[1]FC vers Ref (Km)'!GF142&lt;&gt;0,BH142,)</f>
        <v>0</v>
      </c>
      <c r="GG142" s="14">
        <f>IF('[1]FC vers Ref (Km)'!GG142&lt;&gt;0,BI142,)</f>
        <v>0</v>
      </c>
      <c r="GH142" s="14">
        <f>IF('[1]FC vers Ref (Km)'!GH142&lt;&gt;0,BJ142,)</f>
        <v>0</v>
      </c>
      <c r="GI142" s="15">
        <f>IF('[1]FC vers Ref (Km)'!GI142&lt;&gt;0,BK142,)</f>
        <v>0</v>
      </c>
    </row>
    <row r="143" spans="1:191" x14ac:dyDescent="0.3">
      <c r="A143" s="10" t="s">
        <v>39</v>
      </c>
      <c r="B143" s="35" t="s">
        <v>102</v>
      </c>
      <c r="C143" s="16">
        <f>16*24+5</f>
        <v>389</v>
      </c>
      <c r="D143" s="14">
        <f>16*24+13</f>
        <v>397</v>
      </c>
      <c r="E143" s="14">
        <f>17*24+13</f>
        <v>421</v>
      </c>
      <c r="F143" s="14">
        <f>21*24+12</f>
        <v>516</v>
      </c>
      <c r="G143" s="14">
        <f>17*24+10</f>
        <v>418</v>
      </c>
      <c r="H143" s="14">
        <f>9*24+2</f>
        <v>218</v>
      </c>
      <c r="I143" s="14">
        <f>8*24</f>
        <v>192</v>
      </c>
      <c r="J143" s="14">
        <f>9*24+2</f>
        <v>218</v>
      </c>
      <c r="K143" s="14">
        <f>19*24+16</f>
        <v>472</v>
      </c>
      <c r="L143" s="14">
        <f>19*24+16</f>
        <v>472</v>
      </c>
      <c r="M143" s="14">
        <f>8*24</f>
        <v>192</v>
      </c>
      <c r="N143" s="14">
        <f>8*24</f>
        <v>192</v>
      </c>
      <c r="O143" s="14">
        <f>16*24+13</f>
        <v>397</v>
      </c>
      <c r="P143" s="14">
        <f>19*24+12</f>
        <v>468</v>
      </c>
      <c r="Q143" s="14">
        <f>19*24+14</f>
        <v>470</v>
      </c>
      <c r="R143" s="14">
        <f>19*24+6</f>
        <v>462</v>
      </c>
      <c r="S143" s="14">
        <f>18*24+15</f>
        <v>447</v>
      </c>
      <c r="T143" s="14">
        <f>18*24+17</f>
        <v>449</v>
      </c>
      <c r="U143" s="14">
        <f>18*24+11</f>
        <v>443</v>
      </c>
      <c r="V143" s="14">
        <f>15*24+18</f>
        <v>378</v>
      </c>
      <c r="W143" s="14">
        <f>15*24+9</f>
        <v>369</v>
      </c>
      <c r="X143" s="14">
        <f>19*24+6</f>
        <v>462</v>
      </c>
      <c r="Y143" s="14">
        <f>20*24+1</f>
        <v>481</v>
      </c>
      <c r="Z143" s="14">
        <f>18*24+19</f>
        <v>451</v>
      </c>
      <c r="AA143" s="14">
        <f>15*24+6</f>
        <v>366</v>
      </c>
      <c r="AB143" s="14">
        <f>15*24+14</f>
        <v>374</v>
      </c>
      <c r="AC143" s="14">
        <f>16*24</f>
        <v>384</v>
      </c>
      <c r="AD143" s="14">
        <f>15*24+21</f>
        <v>381</v>
      </c>
      <c r="AE143" s="14">
        <f>20*24+1</f>
        <v>481</v>
      </c>
      <c r="AF143" s="14">
        <f>15*24+9</f>
        <v>369</v>
      </c>
      <c r="AG143" s="14">
        <f>15*24+9</f>
        <v>369</v>
      </c>
      <c r="AH143" s="14">
        <f>15*24+9</f>
        <v>369</v>
      </c>
      <c r="AI143" s="13">
        <f>8*24+15</f>
        <v>207</v>
      </c>
      <c r="AJ143" s="13">
        <f>7*24+7</f>
        <v>175</v>
      </c>
      <c r="AK143" s="13">
        <f>8*24+15</f>
        <v>207</v>
      </c>
      <c r="AL143" s="13">
        <f>7*24+4</f>
        <v>172</v>
      </c>
      <c r="AM143" s="13">
        <v>23</v>
      </c>
      <c r="AN143" s="13">
        <v>11</v>
      </c>
      <c r="AO143" s="12"/>
      <c r="AP143" s="14">
        <v>210</v>
      </c>
      <c r="AQ143" s="14">
        <v>186</v>
      </c>
      <c r="AR143" s="14">
        <v>180</v>
      </c>
      <c r="AS143" s="13">
        <v>249</v>
      </c>
      <c r="AT143" s="13">
        <v>249</v>
      </c>
      <c r="AU143" s="13">
        <v>249</v>
      </c>
      <c r="AV143" s="13">
        <v>19</v>
      </c>
      <c r="AW143" s="13">
        <f>20*24+23</f>
        <v>503</v>
      </c>
      <c r="AX143" s="13">
        <f>20*24+23</f>
        <v>503</v>
      </c>
      <c r="AY143" s="13">
        <f>24</f>
        <v>24</v>
      </c>
      <c r="AZ143" s="14"/>
      <c r="BA143" s="14">
        <f>11*24+8</f>
        <v>272</v>
      </c>
      <c r="BB143" s="13">
        <f>4*24+12</f>
        <v>108</v>
      </c>
      <c r="BC143" s="14">
        <f>20*24+12</f>
        <v>492</v>
      </c>
      <c r="BD143" s="13">
        <f>2*24+1</f>
        <v>49</v>
      </c>
      <c r="BE143" s="13">
        <f>24+8</f>
        <v>32</v>
      </c>
      <c r="BF143" s="13">
        <f>23</f>
        <v>23</v>
      </c>
      <c r="BG143" s="14">
        <f>15*24+11</f>
        <v>371</v>
      </c>
      <c r="BH143" s="14">
        <f>14*24+3</f>
        <v>339</v>
      </c>
      <c r="BI143" s="14">
        <f>14*24+6</f>
        <v>342</v>
      </c>
      <c r="BJ143" s="14">
        <f>16*24+22</f>
        <v>406</v>
      </c>
      <c r="BK143" s="15">
        <f>16*24+22</f>
        <v>406</v>
      </c>
      <c r="BM143" s="10" t="s">
        <v>39</v>
      </c>
      <c r="BN143" s="35" t="s">
        <v>102</v>
      </c>
      <c r="BO143" s="16">
        <f>IF('[1]FC vers Ref (Km)'!BO143&lt;&gt;0,'Délai intermédiaire'!C143,)+1+(56/60)</f>
        <v>390.93333333333334</v>
      </c>
      <c r="BP143" s="14">
        <f>IF('[1]FC vers Ref (Km)'!BP143&lt;&gt;0,'Délai intermédiaire'!D143,)+1+(56/60)</f>
        <v>398.93333333333334</v>
      </c>
      <c r="BQ143" s="14">
        <f>IF('[1]FC vers Ref (Km)'!BQ143&lt;&gt;0,'Délai intermédiaire'!E143,)+1+(56/60)+19+(49/60)</f>
        <v>442.75</v>
      </c>
      <c r="BR143" s="14">
        <f>IF('[1]FC vers Ref (Km)'!BR143&lt;&gt;0,'Délai intermédiaire'!F143,)+1+(56/60)</f>
        <v>517.93333333333328</v>
      </c>
      <c r="BS143" s="14">
        <f>IF('[1]FC vers Ref (Km)'!BS143&lt;&gt;0,'Délai intermédiaire'!G143,)+1+(56/60)+(48/60)</f>
        <v>420.73333333333335</v>
      </c>
      <c r="BT143" s="14">
        <f>IF('[1]FC vers Ref (Km)'!BT143&lt;&gt;0,'Délai intermédiaire'!H143,)+1+(56/60)+15+(47/60)</f>
        <v>235.71666666666667</v>
      </c>
      <c r="BU143" s="14">
        <f>IF('[1]FC vers Ref (Km)'!BU143&lt;&gt;0,'Délai intermédiaire'!I143,)+1+(56/60)</f>
        <v>193.93333333333334</v>
      </c>
      <c r="BV143" s="14">
        <f>IF('[1]FC vers Ref (Km)'!BV143&lt;&gt;0,'Délai intermédiaire'!J143,)+1+(56/60)</f>
        <v>219.93333333333334</v>
      </c>
      <c r="BW143" s="14">
        <f>IF('[1]FC vers Ref (Km)'!BW143&lt;&gt;0,'Délai intermédiaire'!K143,)+1+(56/60)+6+(13/60)</f>
        <v>480.15</v>
      </c>
      <c r="BX143" s="14">
        <f>IF('[1]FC vers Ref (Km)'!BX143&lt;&gt;0,'Délai intermédiaire'!L143,)+1+(56/60)</f>
        <v>473.93333333333334</v>
      </c>
      <c r="BY143" s="14">
        <f>IF('[1]FC vers Ref (Km)'!BY143&lt;&gt;0,'Délai intermédiaire'!M143,)+1+(56/60)+11+(1/60)</f>
        <v>204.95000000000002</v>
      </c>
      <c r="BZ143" s="14">
        <f>IF('[1]FC vers Ref (Km)'!BZ143&lt;&gt;0,'Délai intermédiaire'!N143,)+1+(56/60)</f>
        <v>193.93333333333334</v>
      </c>
      <c r="CA143" s="14">
        <f>IF('[1]FC vers Ref (Km)'!CA143&lt;&gt;0,'Délai intermédiaire'!O143,)+1+(56/60)+4+(51/60)</f>
        <v>403.78333333333336</v>
      </c>
      <c r="CB143" s="14">
        <f>IF('[1]FC vers Ref (Km)'!CB143&lt;&gt;0,'Délai intermédiaire'!P143,)+1+(56/60)+5+(3/60)</f>
        <v>474.98333333333335</v>
      </c>
      <c r="CC143" s="14">
        <f>IF('[1]FC vers Ref (Km)'!CC143&lt;&gt;0,'Délai intermédiaire'!Q143,)+1+(56/60)+(40/60)</f>
        <v>472.6</v>
      </c>
      <c r="CD143" s="14">
        <f>IF('[1]FC vers Ref (Km)'!CD143&lt;&gt;0,'Délai intermédiaire'!R143,)+1+(56/60)</f>
        <v>463.93333333333334</v>
      </c>
      <c r="CE143" s="14">
        <f>IF('[1]FC vers Ref (Km)'!CE143&lt;&gt;0,'Délai intermédiaire'!S143,)+1+(56/60)</f>
        <v>448.93333333333334</v>
      </c>
      <c r="CF143" s="14">
        <f>IF('[1]FC vers Ref (Km)'!CF143&lt;&gt;0,'Délai intermédiaire'!T143,)+1+(56/60)</f>
        <v>450.93333333333334</v>
      </c>
      <c r="CG143" s="14">
        <f>IF('[1]FC vers Ref (Km)'!CG143&lt;&gt;0,'Délai intermédiaire'!U143,)+1+(56/60)+1+(53/60)</f>
        <v>446.81666666666666</v>
      </c>
      <c r="CH143" s="14">
        <f>IF('[1]FC vers Ref (Km)'!CH143&lt;&gt;0,'Délai intermédiaire'!V143,)+1+(56/60)+2+(57/60)</f>
        <v>382.88333333333333</v>
      </c>
      <c r="CI143" s="14">
        <f>IF('[1]FC vers Ref (Km)'!CI143&lt;&gt;0,'Délai intermédiaire'!W143,)+1+(56/60)+4+(47/60)</f>
        <v>375.7166666666667</v>
      </c>
      <c r="CJ143" s="14">
        <f>IF('[1]FC vers Ref (Km)'!CJ143&lt;&gt;0,'Délai intermédiaire'!X143,)+1+(56/60)</f>
        <v>463.93333333333334</v>
      </c>
      <c r="CK143" s="14">
        <f>IF('[1]FC vers Ref (Km)'!CK143&lt;&gt;0,'Délai intermédiaire'!Y143,)+1+(56/60)+1+(33/60)</f>
        <v>484.48333333333335</v>
      </c>
      <c r="CL143" s="14">
        <f>IF('[1]FC vers Ref (Km)'!CL143&lt;&gt;0,'Délai intermédiaire'!Z143,)+1+(56/60)+2+(30/60)</f>
        <v>455.43333333333334</v>
      </c>
      <c r="CM143" s="14">
        <f>IF('[1]FC vers Ref (Km)'!CM143&lt;&gt;0,'Délai intermédiaire'!AA143,)+1+(56/60)+(56/60)</f>
        <v>368.86666666666667</v>
      </c>
      <c r="CN143" s="14">
        <f>IF('[1]FC vers Ref (Km)'!CN143&lt;&gt;0,'Délai intermédiaire'!AB143,)+1+(56/60)+1+(39/60)</f>
        <v>377.58333333333331</v>
      </c>
      <c r="CO143" s="14">
        <f>IF('[1]FC vers Ref (Km)'!CO143&lt;&gt;0,'Délai intermédiaire'!AC143,)+1+(56/60)+3+(25/60)</f>
        <v>389.35</v>
      </c>
      <c r="CP143" s="14">
        <f>IF('[1]FC vers Ref (Km)'!CP143&lt;&gt;0,'Délai intermédiaire'!AD143,)+1+(56/60)</f>
        <v>382.93333333333334</v>
      </c>
      <c r="CQ143" s="14">
        <f>IF('[1]FC vers Ref (Km)'!CQ143&lt;&gt;0,'Délai intermédiaire'!AE143,)+1+(56/60)</f>
        <v>482.93333333333334</v>
      </c>
      <c r="CR143" s="14">
        <f>IF('[1]FC vers Ref (Km)'!CR143&lt;&gt;0,'Délai intermédiaire'!AF143,)+1+(56/60)+9+(1/60)</f>
        <v>379.95</v>
      </c>
      <c r="CS143" s="14">
        <f>IF('[1]FC vers Ref (Km)'!CS143&lt;&gt;0,'Délai intermédiaire'!AG143,)+1+(56/60)+7+(48/60)</f>
        <v>378.73333333333335</v>
      </c>
      <c r="CT143" s="14">
        <f>IF('[1]FC vers Ref (Km)'!CT143&lt;&gt;0,'Délai intermédiaire'!AH143,)+1+(56/60)+5+(5/60)</f>
        <v>376.01666666666665</v>
      </c>
      <c r="CU143" s="13">
        <f>IF('[1]FC vers Ref (Km)'!CU143&lt;&gt;0,'Délai intermédiaire'!AI143,)+1+(56/60)+19+(46/60)</f>
        <v>228.70000000000002</v>
      </c>
      <c r="CV143" s="13">
        <f>IF('[1]FC vers Ref (Km)'!CV143&lt;&gt;0,'Délai intermédiaire'!AJ143,)+1+(56/60)</f>
        <v>176.93333333333334</v>
      </c>
      <c r="CW143" s="13">
        <f>IF('[1]FC vers Ref (Km)'!CW143&lt;&gt;0,'Délai intermédiaire'!AK143,)+1+(56/60)+12+(26/60)</f>
        <v>221.36666666666667</v>
      </c>
      <c r="CX143" s="13">
        <f>IF('[1]FC vers Ref (Km)'!CX143&lt;&gt;0,'Délai intermédiaire'!AL143,)+1+(56/60)</f>
        <v>173.93333333333334</v>
      </c>
      <c r="CY143" s="13">
        <f>IF('[1]FC vers Ref (Km)'!CY143&lt;&gt;0,'Délai intermédiaire'!AM143,)+1+(56/60)</f>
        <v>24.933333333333334</v>
      </c>
      <c r="CZ143" s="13">
        <f>IF('[1]FC vers Ref (Km)'!CZ143&lt;&gt;0,'Délai intermédiaire'!AN143,)+1+(56/60)</f>
        <v>12.933333333333334</v>
      </c>
      <c r="DA143" s="12"/>
      <c r="DB143" s="14">
        <f>IF('[1]FC vers Ref (Km)'!DB143&lt;&gt;0,'Délai intermédiaire'!AP143,)+1+(56/60)</f>
        <v>211.93333333333334</v>
      </c>
      <c r="DC143" s="14">
        <f>IF('[1]FC vers Ref (Km)'!DC143&lt;&gt;0,'Délai intermédiaire'!AQ143,)+1+(56/60)</f>
        <v>187.93333333333334</v>
      </c>
      <c r="DD143" s="14">
        <f>IF('[1]FC vers Ref (Km)'!DD143&lt;&gt;0,'Délai intermédiaire'!AR143,)+1+(56/60)</f>
        <v>181.93333333333334</v>
      </c>
      <c r="DE143" s="13">
        <f>IF('[1]FC vers Ref (Km)'!DE143&lt;&gt;0,'Délai intermédiaire'!AS143,)+1+(56/60)</f>
        <v>250.93333333333334</v>
      </c>
      <c r="DF143" s="13">
        <f>IF('[1]FC vers Ref (Km)'!DF143&lt;&gt;0,'Délai intermédiaire'!AT143,)+1+(56/60)+20+(5/60)</f>
        <v>271.01666666666665</v>
      </c>
      <c r="DG143" s="13">
        <f>IF('[1]FC vers Ref (Km)'!DG143&lt;&gt;0,'Délai intermédiaire'!AU143,)+1+(56/60)+11+(36/60)</f>
        <v>262.53333333333336</v>
      </c>
      <c r="DH143" s="13">
        <f>IF('[1]FC vers Ref (Km)'!DH143&lt;&gt;0,'Délai intermédiaire'!AV143,)+1+(56/60)+(28/60)</f>
        <v>21.4</v>
      </c>
      <c r="DI143" s="13">
        <f>IF('[1]FC vers Ref (Km)'!DI143&lt;&gt;0,'Délai intermédiaire'!AW143,)+1+(56/60)+7+(13/60)</f>
        <v>512.15</v>
      </c>
      <c r="DJ143" s="13">
        <f>IF('[1]FC vers Ref (Km)'!DJ143&lt;&gt;0,'Délai intermédiaire'!AX143,)+1+(56/60)+2*24+15</f>
        <v>567.93333333333339</v>
      </c>
      <c r="DK143" s="13">
        <f>IF('[1]FC vers Ref (Km)'!DK143&lt;&gt;0,'Délai intermédiaire'!AY143,)+1+(56/60)</f>
        <v>25.933333333333334</v>
      </c>
      <c r="DL143" s="14">
        <f>IF('[1]FC vers Ref (Km)'!DL143&lt;&gt;0,'Délai intermédiaire'!AZ143,)+1+(56/60)</f>
        <v>1.9333333333333333</v>
      </c>
      <c r="DM143" s="14">
        <f>IF('[1]FC vers Ref (Km)'!DM143&lt;&gt;0,'Délai intermédiaire'!BA143,)+1+(56/60)+7+(17/60)</f>
        <v>281.2166666666667</v>
      </c>
      <c r="DN143" s="13">
        <f>IF('[1]FC vers Ref (Km)'!DN143&lt;&gt;0,'Délai intermédiaire'!BB143,)+1+(56/60)</f>
        <v>109.93333333333334</v>
      </c>
      <c r="DO143" s="14">
        <f>IF('[1]FC vers Ref (Km)'!DO143&lt;&gt;0,'Délai intermédiaire'!BC143,)+1+(56/60)</f>
        <v>493.93333333333334</v>
      </c>
      <c r="DP143" s="13">
        <f>IF('[1]FC vers Ref (Km)'!DP143&lt;&gt;0,'Délai intermédiaire'!BD143,)+1+(56/60)</f>
        <v>50.93333333333333</v>
      </c>
      <c r="DQ143" s="13">
        <f>IF('[1]FC vers Ref (Km)'!DQ143&lt;&gt;0,'Délai intermédiaire'!BE143,)+1+(56/60)+1+(22/60)</f>
        <v>35.299999999999997</v>
      </c>
      <c r="DR143" s="13">
        <f>IF('[1]FC vers Ref (Km)'!DR143&lt;&gt;0,'Délai intermédiaire'!BF143,)+1+(56/60)</f>
        <v>24.933333333333334</v>
      </c>
      <c r="DS143" s="14">
        <f>IF('[1]FC vers Ref (Km)'!DS143&lt;&gt;0,'Délai intermédiaire'!BG143,)+1+(56/60)+10+(43/60)</f>
        <v>383.65</v>
      </c>
      <c r="DT143" s="14">
        <f>IF('[1]FC vers Ref (Km)'!DT143&lt;&gt;0,'Délai intermédiaire'!BH143,)+1+(56/60)+(12/60)</f>
        <v>341.13333333333333</v>
      </c>
      <c r="DU143" s="14">
        <f>IF('[1]FC vers Ref (Km)'!DU143&lt;&gt;0,'Délai intermédiaire'!BI143,)+1+(56/60)+7+(45/60)</f>
        <v>351.68333333333334</v>
      </c>
      <c r="DV143" s="14">
        <f>IF('[1]FC vers Ref (Km)'!DV143&lt;&gt;0,'Délai intermédiaire'!BJ143,)+1+(56/60)+1+(10/60)</f>
        <v>409.1</v>
      </c>
      <c r="DW143" s="15">
        <f>IF('[1]FC vers Ref (Km)'!DW143&lt;&gt;0,'Délai intermédiaire'!BK143,)+1+(56/60)+12+(41/60)</f>
        <v>420.61666666666667</v>
      </c>
      <c r="DX143" s="27"/>
      <c r="DY143" s="10" t="s">
        <v>39</v>
      </c>
      <c r="DZ143" s="35" t="s">
        <v>102</v>
      </c>
      <c r="EA143" s="16">
        <f>IF('[1]FC vers Ref (Km)'!EA143&lt;&gt;0,C143,)+(55/60)</f>
        <v>389.91666666666669</v>
      </c>
      <c r="EB143" s="14">
        <f>IF('[1]FC vers Ref (Km)'!EB143&lt;&gt;0,D143,)+(55/60)</f>
        <v>397.91666666666669</v>
      </c>
      <c r="EC143" s="14">
        <f>IF('[1]FC vers Ref (Km)'!EC143&lt;&gt;0,E143,)+(55/60)+7+(55/60)+19+(53/60)</f>
        <v>449.7166666666667</v>
      </c>
      <c r="ED143" s="14">
        <f>IF('[1]FC vers Ref (Km)'!ED143&lt;&gt;0,F143,)+(55/60)</f>
        <v>516.91666666666663</v>
      </c>
      <c r="EE143" s="14">
        <f>IF('[1]FC vers Ref (Km)'!EE143&lt;&gt;0,G143,)+(55/60)+(32/60)</f>
        <v>419.45000000000005</v>
      </c>
      <c r="EF143" s="14">
        <f>IF('[1]FC vers Ref (Km)'!EF143&lt;&gt;0,H143,)+(55/60)+14+(25/60)+31+(8/60)</f>
        <v>264.46666666666664</v>
      </c>
      <c r="EG143" s="14">
        <f>IF('[1]FC vers Ref (Km)'!EG143&lt;&gt;0,I143,)+(55/60)</f>
        <v>192.91666666666666</v>
      </c>
      <c r="EH143" s="14">
        <f>IF('[1]FC vers Ref (Km)'!EH143&lt;&gt;0,J143,)+(55/60)</f>
        <v>218.91666666666666</v>
      </c>
      <c r="EI143" s="14">
        <f>IF('[1]FC vers Ref (Km)'!EI143&lt;&gt;0,K143,)+(55/60)+5+(11/60)</f>
        <v>478.1</v>
      </c>
      <c r="EJ143" s="14">
        <f>IF('[1]FC vers Ref (Km)'!EJ143&lt;&gt;0,L143,)+(55/60)</f>
        <v>472.91666666666669</v>
      </c>
      <c r="EK143" s="14">
        <f>IF('[1]FC vers Ref (Km)'!EK143&lt;&gt;0,M143,)+(55/60)</f>
        <v>192.91666666666666</v>
      </c>
      <c r="EL143" s="14">
        <f>IF('[1]FC vers Ref (Km)'!EL143&lt;&gt;0,N143,)+(55/60)</f>
        <v>192.91666666666666</v>
      </c>
      <c r="EM143" s="14">
        <f>IF('[1]FC vers Ref (Km)'!EM143&lt;&gt;0,O143,)+(55/60)</f>
        <v>397.91666666666669</v>
      </c>
      <c r="EN143" s="14">
        <f>IF('[1]FC vers Ref (Km)'!EN143&lt;&gt;0,P143,)+(55/60)</f>
        <v>468.91666666666669</v>
      </c>
      <c r="EO143" s="14">
        <f>IF('[1]FC vers Ref (Km)'!EO143&lt;&gt;0,Q143,)+(55/60)</f>
        <v>470.91666666666669</v>
      </c>
      <c r="EP143" s="14">
        <f>IF('[1]FC vers Ref (Km)'!EP143&lt;&gt;0,R143,)+(55/60)</f>
        <v>462.91666666666669</v>
      </c>
      <c r="EQ143" s="14">
        <f>IF('[1]FC vers Ref (Km)'!EQ143&lt;&gt;0,S143,)+(55/60)</f>
        <v>447.91666666666669</v>
      </c>
      <c r="ER143" s="14">
        <f>IF('[1]FC vers Ref (Km)'!ER143&lt;&gt;0,T143,)+(55/60)</f>
        <v>449.91666666666669</v>
      </c>
      <c r="ES143" s="14">
        <f>IF('[1]FC vers Ref (Km)'!ES143&lt;&gt;0,U143,)+(55/60)+2+(21/60)</f>
        <v>446.26666666666671</v>
      </c>
      <c r="ET143" s="14">
        <f>IF('[1]FC vers Ref (Km)'!ET143&lt;&gt;0,V143,)+(55/60)+1+(44/60)</f>
        <v>380.65000000000003</v>
      </c>
      <c r="EU143" s="14">
        <f>IF('[1]FC vers Ref (Km)'!EU143&lt;&gt;0,W143,)+(55/60)+1+(47/60)+2+(31/60)+2+(54/60)</f>
        <v>377.11666666666667</v>
      </c>
      <c r="EV143" s="14">
        <f>IF('[1]FC vers Ref (Km)'!EV143&lt;&gt;0,X143,)+(55/60)</f>
        <v>462.91666666666669</v>
      </c>
      <c r="EW143" s="14">
        <f>IF('[1]FC vers Ref (Km)'!EW143&lt;&gt;0,Y143,)+(55/60)+(56/60)+(59/60)</f>
        <v>483.83333333333337</v>
      </c>
      <c r="EX143" s="14">
        <f>IF('[1]FC vers Ref (Km)'!EX143&lt;&gt;0,Z143,)+(55/60)+1+(35/60)+(37/60)</f>
        <v>454.11666666666667</v>
      </c>
      <c r="EY143" s="14">
        <f>IF('[1]FC vers Ref (Km)'!EY143&lt;&gt;0,AA143,)+(55/60)+1+(18/60)</f>
        <v>368.2166666666667</v>
      </c>
      <c r="EZ143" s="14">
        <f>IF('[1]FC vers Ref (Km)'!EZ143&lt;&gt;0,AB143,)+(55/60)+1+(39/60)</f>
        <v>376.56666666666666</v>
      </c>
      <c r="FA143" s="14">
        <f>IF('[1]FC vers Ref (Km)'!FA143&lt;&gt;0,AC143,)+(55/60)+1+(47/60)</f>
        <v>386.70000000000005</v>
      </c>
      <c r="FB143" s="14">
        <f>IF('[1]FC vers Ref (Km)'!FB143&lt;&gt;0,AD143,)+(55/60)</f>
        <v>381.91666666666669</v>
      </c>
      <c r="FC143" s="14">
        <f>IF('[1]FC vers Ref (Km)'!FC143&lt;&gt;0,AE143,)+(55/60)</f>
        <v>481.91666666666669</v>
      </c>
      <c r="FD143" s="14">
        <f>IF('[1]FC vers Ref (Km)'!FD143&lt;&gt;0,AF143,)+(55/60)+5+(31/60)+5+(51/60)+1+(8/60)</f>
        <v>382.41666666666669</v>
      </c>
      <c r="FE143" s="14">
        <f>IF('[1]FC vers Ref (Km)'!FE143&lt;&gt;0,AG143,)+(55/60)+4+(2/60)+5+(51/60)+1+(8/60)</f>
        <v>380.93333333333339</v>
      </c>
      <c r="FF143" s="14">
        <f>IF('[1]FC vers Ref (Km)'!FF143&lt;&gt;0,AH143,)+(55/60)+1+(7/60)+5+(51/60)+1+(8/60)</f>
        <v>378.01666666666671</v>
      </c>
      <c r="FG143" s="13">
        <f>IF('[1]FC vers Ref (Km)'!FG143&lt;&gt;0,AI143,)+(55/60)+15+(50/60)</f>
        <v>223.75</v>
      </c>
      <c r="FH143" s="13">
        <f>IF('[1]FC vers Ref (Km)'!FH143&lt;&gt;0,AJ143,)+(55/60)</f>
        <v>175.91666666666666</v>
      </c>
      <c r="FI143" s="13">
        <f>IF('[1]FC vers Ref (Km)'!FI143&lt;&gt;0,AK143,)+(55/60)+4+(40/60)+11+(32/60)</f>
        <v>224.11666666666665</v>
      </c>
      <c r="FJ143" s="13">
        <f>IF('[1]FC vers Ref (Km)'!FJ143&lt;&gt;0,AL143,)+(55/60)</f>
        <v>172.91666666666666</v>
      </c>
      <c r="FK143" s="13">
        <f>IF('[1]FC vers Ref (Km)'!FK143&lt;&gt;0,AM143,)+(55/60)</f>
        <v>23.916666666666668</v>
      </c>
      <c r="FL143" s="13">
        <f>IF('[1]FC vers Ref (Km)'!FL143&lt;&gt;0,AN143,)+(55/60)</f>
        <v>11.916666666666666</v>
      </c>
      <c r="FM143" s="12"/>
      <c r="FN143" s="14">
        <f>IF('[1]FC vers Ref (Km)'!FN143&lt;&gt;0,AP143,)+(55/60)</f>
        <v>210.91666666666666</v>
      </c>
      <c r="FO143" s="14">
        <f>IF('[1]FC vers Ref (Km)'!FO143&lt;&gt;0,AQ143,)+(55/60)</f>
        <v>186.91666666666666</v>
      </c>
      <c r="FP143" s="14">
        <f>IF('[1]FC vers Ref (Km)'!FP143&lt;&gt;0,AR143,)+(55/60)</f>
        <v>180.91666666666666</v>
      </c>
      <c r="FQ143" s="13">
        <f>IF('[1]FC vers Ref (Km)'!FQ143&lt;&gt;0,AS143,)+(55/60)</f>
        <v>249.91666666666666</v>
      </c>
      <c r="FR143" s="13">
        <f>IF('[1]FC vers Ref (Km)'!FR143&lt;&gt;0,AT143,)+(55/60)</f>
        <v>249.91666666666666</v>
      </c>
      <c r="FS143" s="13">
        <f>IF('[1]FC vers Ref (Km)'!FS143&lt;&gt;0,AU143,)+(55/60)</f>
        <v>249.91666666666666</v>
      </c>
      <c r="FT143" s="13">
        <f>IF('[1]FC vers Ref (Km)'!FT143&lt;&gt;0,AV143,)+(55/60)+1+(7/60)</f>
        <v>21.033333333333335</v>
      </c>
      <c r="FU143" s="13">
        <f>IF('[1]FC vers Ref (Km)'!FU143&lt;&gt;0,AW143,)+(55/60)+8+(3/60)</f>
        <v>511.9666666666667</v>
      </c>
      <c r="FV143" s="13">
        <f>IF('[1]FC vers Ref (Km)'!FV143&lt;&gt;0,AX143,)+(55/60)+2*24+11</f>
        <v>562.91666666666674</v>
      </c>
      <c r="FW143" s="13">
        <f>IF('[1]FC vers Ref (Km)'!FW143&lt;&gt;0,AY143,)+(55/60)</f>
        <v>24.916666666666668</v>
      </c>
      <c r="FX143" s="14">
        <f>IF('[1]FC vers Ref (Km)'!FX143&lt;&gt;0,AZ143,)+(55/60)</f>
        <v>0.91666666666666663</v>
      </c>
      <c r="FY143" s="14">
        <f>IF('[1]FC vers Ref (Km)'!FY143&lt;&gt;0,BA143,)+(55/60)+5+(41/60)</f>
        <v>278.60000000000002</v>
      </c>
      <c r="FZ143" s="13">
        <f>IF('[1]FC vers Ref (Km)'!FZ143&lt;&gt;0,BB143,)+(55/60)</f>
        <v>108.91666666666667</v>
      </c>
      <c r="GA143" s="14">
        <f>IF('[1]FC vers Ref (Km)'!GA143&lt;&gt;0,BC143,)+(55/60)</f>
        <v>492.91666666666669</v>
      </c>
      <c r="GB143" s="13">
        <f>IF('[1]FC vers Ref (Km)'!GB143&lt;&gt;0,BD143,)+(55/60)</f>
        <v>49.916666666666664</v>
      </c>
      <c r="GC143" s="13">
        <f>IF('[1]FC vers Ref (Km)'!GC143&lt;&gt;0,BE143,)+(55/60)+(30/60)</f>
        <v>33.416666666666664</v>
      </c>
      <c r="GD143" s="13">
        <f>IF('[1]FC vers Ref (Km)'!GD143&lt;&gt;0,BF143,)+(55/60)</f>
        <v>23.916666666666668</v>
      </c>
      <c r="GE143" s="14">
        <f>IF('[1]FC vers Ref (Km)'!GE143&lt;&gt;0,BG143,)+(55/60)+15+(1/60)</f>
        <v>386.93333333333334</v>
      </c>
      <c r="GF143" s="14">
        <f>IF('[1]FC vers Ref (Km)'!GF143&lt;&gt;0,BH143,)+(55/60)</f>
        <v>339.91666666666669</v>
      </c>
      <c r="GG143" s="14">
        <f>IF('[1]FC vers Ref (Km)'!GG143&lt;&gt;0,BI143,)+(55/60)</f>
        <v>342.91666666666669</v>
      </c>
      <c r="GH143" s="14">
        <f>IF('[1]FC vers Ref (Km)'!GH143&lt;&gt;0,BJ143,)+(55/60)</f>
        <v>406.91666666666669</v>
      </c>
      <c r="GI143" s="15">
        <f>IF('[1]FC vers Ref (Km)'!GI143&lt;&gt;0,BK143,)+(55/60)</f>
        <v>406.91666666666669</v>
      </c>
    </row>
    <row r="144" spans="1:191" x14ac:dyDescent="0.3">
      <c r="A144" s="10" t="s">
        <v>40</v>
      </c>
      <c r="B144" s="35" t="s">
        <v>73</v>
      </c>
      <c r="C144" s="16">
        <f>15*24+21</f>
        <v>381</v>
      </c>
      <c r="D144" s="14">
        <f>16*24+6</f>
        <v>390</v>
      </c>
      <c r="E144" s="14">
        <f>17*24+6</f>
        <v>414</v>
      </c>
      <c r="F144" s="14">
        <f>21*24+5</f>
        <v>509</v>
      </c>
      <c r="G144" s="14">
        <f>17*24+3</f>
        <v>411</v>
      </c>
      <c r="H144" s="14">
        <f>12*24+4</f>
        <v>292</v>
      </c>
      <c r="I144" s="14">
        <f>12*24+17</f>
        <v>305</v>
      </c>
      <c r="J144" s="14">
        <f>12*24+4</f>
        <v>292</v>
      </c>
      <c r="K144" s="14">
        <f>19*24+8</f>
        <v>464</v>
      </c>
      <c r="L144" s="14">
        <f>19*24+8</f>
        <v>464</v>
      </c>
      <c r="M144" s="14">
        <f>12*24+18</f>
        <v>306</v>
      </c>
      <c r="N144" s="14">
        <f>12*24+18</f>
        <v>306</v>
      </c>
      <c r="O144" s="14">
        <f>16*24+6</f>
        <v>390</v>
      </c>
      <c r="P144" s="14">
        <f>14*24+2</f>
        <v>338</v>
      </c>
      <c r="Q144" s="14">
        <f>15*24+20</f>
        <v>380</v>
      </c>
      <c r="R144" s="14">
        <f>19*24+18</f>
        <v>474</v>
      </c>
      <c r="S144" s="14">
        <f>19*24+3</f>
        <v>459</v>
      </c>
      <c r="T144" s="14">
        <f>19*24+5</f>
        <v>461</v>
      </c>
      <c r="U144" s="14">
        <f>18*24+22</f>
        <v>454</v>
      </c>
      <c r="V144" s="14">
        <f>16*24+6</f>
        <v>390</v>
      </c>
      <c r="W144" s="14">
        <f>15*24+20</f>
        <v>380</v>
      </c>
      <c r="X144" s="14">
        <f>19*24+18</f>
        <v>474</v>
      </c>
      <c r="Y144" s="14">
        <f>20*24+13</f>
        <v>493</v>
      </c>
      <c r="Z144" s="14">
        <f>19*24+7</f>
        <v>463</v>
      </c>
      <c r="AA144" s="14">
        <f>15*24+18</f>
        <v>378</v>
      </c>
      <c r="AB144" s="14">
        <f>16*24+2</f>
        <v>386</v>
      </c>
      <c r="AC144" s="14">
        <f>16*24+12</f>
        <v>396</v>
      </c>
      <c r="AD144" s="14">
        <f>16*24+9</f>
        <v>393</v>
      </c>
      <c r="AE144" s="14">
        <f>20*24+13</f>
        <v>493</v>
      </c>
      <c r="AF144" s="14">
        <f>15*24+20</f>
        <v>380</v>
      </c>
      <c r="AG144" s="14">
        <f>15*24+20</f>
        <v>380</v>
      </c>
      <c r="AH144" s="14">
        <f>15*24+20</f>
        <v>380</v>
      </c>
      <c r="AI144" s="14">
        <f>9*24+16</f>
        <v>232</v>
      </c>
      <c r="AJ144" s="14">
        <f>9*24+5</f>
        <v>221</v>
      </c>
      <c r="AK144" s="14">
        <f>9*24+16</f>
        <v>232</v>
      </c>
      <c r="AL144" s="14">
        <f>8*24+16</f>
        <v>208</v>
      </c>
      <c r="AM144" s="14">
        <f>8*24+13</f>
        <v>205</v>
      </c>
      <c r="AN144" s="14">
        <f>8*24+15</f>
        <v>207</v>
      </c>
      <c r="AO144" s="14">
        <f>8*24+18</f>
        <v>210</v>
      </c>
      <c r="AP144" s="12"/>
      <c r="AQ144" s="19">
        <v>24</v>
      </c>
      <c r="AR144" s="19">
        <v>70</v>
      </c>
      <c r="AS144" s="14">
        <v>273</v>
      </c>
      <c r="AT144" s="14">
        <v>273</v>
      </c>
      <c r="AU144" s="14">
        <v>273</v>
      </c>
      <c r="AV144" s="14">
        <f>9*24+8</f>
        <v>224</v>
      </c>
      <c r="AW144" s="14">
        <f>21*24+11</f>
        <v>515</v>
      </c>
      <c r="AX144" s="14">
        <f>21*24+11</f>
        <v>515</v>
      </c>
      <c r="AY144" s="14">
        <f>9*24+21</f>
        <v>237</v>
      </c>
      <c r="AZ144" s="14"/>
      <c r="BA144" s="14">
        <f>10*24+12</f>
        <v>252</v>
      </c>
      <c r="BB144" s="14">
        <f>8*24+1</f>
        <v>193</v>
      </c>
      <c r="BC144" s="14">
        <f>21*24</f>
        <v>504</v>
      </c>
      <c r="BD144" s="14">
        <f>8*24+20</f>
        <v>212</v>
      </c>
      <c r="BE144" s="14">
        <f>9*24+20</f>
        <v>236</v>
      </c>
      <c r="BF144" s="14">
        <f>9*24</f>
        <v>216</v>
      </c>
      <c r="BG144" s="14">
        <f>15*24+23</f>
        <v>383</v>
      </c>
      <c r="BH144" s="14">
        <f>14*24+15</f>
        <v>351</v>
      </c>
      <c r="BI144" s="14">
        <f>13*24+12</f>
        <v>324</v>
      </c>
      <c r="BJ144" s="14">
        <f>11*24+1</f>
        <v>265</v>
      </c>
      <c r="BK144" s="15">
        <f>11*24+1</f>
        <v>265</v>
      </c>
      <c r="BM144" s="10" t="s">
        <v>40</v>
      </c>
      <c r="BN144" s="35" t="s">
        <v>73</v>
      </c>
      <c r="BO144" s="16">
        <f>IF('[1]FC vers Ref (Km)'!BO144&lt;&gt;0,'Délai intermédiaire'!C144,)</f>
        <v>0</v>
      </c>
      <c r="BP144" s="14">
        <f>IF('[1]FC vers Ref (Km)'!BP144&lt;&gt;0,'Délai intermédiaire'!D144,)</f>
        <v>0</v>
      </c>
      <c r="BQ144" s="14">
        <f>IF('[1]FC vers Ref (Km)'!BQ144&lt;&gt;0,'Délai intermédiaire'!E144,)+19+(49/60)</f>
        <v>433.81666666666666</v>
      </c>
      <c r="BR144" s="14">
        <f>IF('[1]FC vers Ref (Km)'!BR144&lt;&gt;0,'Délai intermédiaire'!F144,)</f>
        <v>0</v>
      </c>
      <c r="BS144" s="14">
        <f>IF('[1]FC vers Ref (Km)'!BS144&lt;&gt;0,'Délai intermédiaire'!G144,)+(48/60)</f>
        <v>411.8</v>
      </c>
      <c r="BT144" s="14">
        <f>IF('[1]FC vers Ref (Km)'!BT144&lt;&gt;0,'Délai intermédiaire'!H144,)+15+(47/60)</f>
        <v>307.78333333333336</v>
      </c>
      <c r="BU144" s="14">
        <f>IF('[1]FC vers Ref (Km)'!BU144&lt;&gt;0,'Délai intermédiaire'!I144,)</f>
        <v>0</v>
      </c>
      <c r="BV144" s="14">
        <f>IF('[1]FC vers Ref (Km)'!BV144&lt;&gt;0,'Délai intermédiaire'!J144,)</f>
        <v>0</v>
      </c>
      <c r="BW144" s="14">
        <f>IF('[1]FC vers Ref (Km)'!BW144&lt;&gt;0,'Délai intermédiaire'!K144,)+6+(13/60)</f>
        <v>470.21666666666664</v>
      </c>
      <c r="BX144" s="14">
        <f>IF('[1]FC vers Ref (Km)'!BX144&lt;&gt;0,'Délai intermédiaire'!L144,)</f>
        <v>0</v>
      </c>
      <c r="BY144" s="14">
        <f>IF('[1]FC vers Ref (Km)'!BY144&lt;&gt;0,'Délai intermédiaire'!M144,)+11+(1/60)</f>
        <v>317.01666666666665</v>
      </c>
      <c r="BZ144" s="14">
        <f>IF('[1]FC vers Ref (Km)'!BZ144&lt;&gt;0,'Délai intermédiaire'!N144,)</f>
        <v>0</v>
      </c>
      <c r="CA144" s="14">
        <f>IF('[1]FC vers Ref (Km)'!CA144&lt;&gt;0,'Délai intermédiaire'!O144,)+4+(51/60)</f>
        <v>394.85</v>
      </c>
      <c r="CB144" s="14">
        <f>IF('[1]FC vers Ref (Km)'!CB144&lt;&gt;0,'Délai intermédiaire'!P144,)+5+(3/60)</f>
        <v>343.05</v>
      </c>
      <c r="CC144" s="14">
        <f>IF('[1]FC vers Ref (Km)'!CC144&lt;&gt;0,'Délai intermédiaire'!Q144,)+(40/60)</f>
        <v>380.66666666666669</v>
      </c>
      <c r="CD144" s="14">
        <f>IF('[1]FC vers Ref (Km)'!CD144&lt;&gt;0,'Délai intermédiaire'!R144,)</f>
        <v>0</v>
      </c>
      <c r="CE144" s="14">
        <f>IF('[1]FC vers Ref (Km)'!CE144&lt;&gt;0,'Délai intermédiaire'!S144,)</f>
        <v>0</v>
      </c>
      <c r="CF144" s="14">
        <f>IF('[1]FC vers Ref (Km)'!CF144&lt;&gt;0,'Délai intermédiaire'!T144,)</f>
        <v>0</v>
      </c>
      <c r="CG144" s="14">
        <f>IF('[1]FC vers Ref (Km)'!CG144&lt;&gt;0,'Délai intermédiaire'!U144,)+1+(53/60)</f>
        <v>455.88333333333333</v>
      </c>
      <c r="CH144" s="14">
        <f>IF('[1]FC vers Ref (Km)'!CH144&lt;&gt;0,'Délai intermédiaire'!V144,)+2+(57/60)</f>
        <v>392.95</v>
      </c>
      <c r="CI144" s="14">
        <f>IF('[1]FC vers Ref (Km)'!CI144&lt;&gt;0,'Délai intermédiaire'!W144,)+4+(47/60)</f>
        <v>384.78333333333336</v>
      </c>
      <c r="CJ144" s="14">
        <f>IF('[1]FC vers Ref (Km)'!CJ144&lt;&gt;0,'Délai intermédiaire'!X144,)</f>
        <v>0</v>
      </c>
      <c r="CK144" s="14">
        <f>IF('[1]FC vers Ref (Km)'!CK144&lt;&gt;0,'Délai intermédiaire'!Y144,)+1+(33/60)</f>
        <v>494.55</v>
      </c>
      <c r="CL144" s="14">
        <f>IF('[1]FC vers Ref (Km)'!CL144&lt;&gt;0,'Délai intermédiaire'!Z144,)+2+(30/60)</f>
        <v>465.5</v>
      </c>
      <c r="CM144" s="14">
        <f>IF('[1]FC vers Ref (Km)'!CM144&lt;&gt;0,'Délai intermédiaire'!AA144,)+(56/60)</f>
        <v>378.93333333333334</v>
      </c>
      <c r="CN144" s="14">
        <f>IF('[1]FC vers Ref (Km)'!CN144&lt;&gt;0,'Délai intermédiaire'!AB144,)+1+(39/60)</f>
        <v>387.65</v>
      </c>
      <c r="CO144" s="14">
        <f>IF('[1]FC vers Ref (Km)'!CO144&lt;&gt;0,'Délai intermédiaire'!AC144,)+3+(25/60)</f>
        <v>399.41666666666669</v>
      </c>
      <c r="CP144" s="14">
        <f>IF('[1]FC vers Ref (Km)'!CP144&lt;&gt;0,'Délai intermédiaire'!AD144,)</f>
        <v>0</v>
      </c>
      <c r="CQ144" s="14">
        <f>IF('[1]FC vers Ref (Km)'!CQ144&lt;&gt;0,'Délai intermédiaire'!AE144,)</f>
        <v>0</v>
      </c>
      <c r="CR144" s="14">
        <f>IF('[1]FC vers Ref (Km)'!CR144&lt;&gt;0,'Délai intermédiaire'!AF144,)+9+(1/60)</f>
        <v>389.01666666666665</v>
      </c>
      <c r="CS144" s="14">
        <f>IF('[1]FC vers Ref (Km)'!CS144&lt;&gt;0,'Délai intermédiaire'!AG144,)+7+(48/60)</f>
        <v>387.8</v>
      </c>
      <c r="CT144" s="14">
        <f>IF('[1]FC vers Ref (Km)'!CT144&lt;&gt;0,'Délai intermédiaire'!AH144,)+5+(5/60)</f>
        <v>385.08333333333331</v>
      </c>
      <c r="CU144" s="14">
        <f>IF('[1]FC vers Ref (Km)'!CU144&lt;&gt;0,'Délai intermédiaire'!AI144,)+19+(46/60)</f>
        <v>251.76666666666668</v>
      </c>
      <c r="CV144" s="14">
        <f>IF('[1]FC vers Ref (Km)'!CV144&lt;&gt;0,'Délai intermédiaire'!AJ144,)</f>
        <v>0</v>
      </c>
      <c r="CW144" s="14">
        <f>IF('[1]FC vers Ref (Km)'!CW144&lt;&gt;0,'Délai intermédiaire'!AK144,)+12+(26/60)</f>
        <v>244.43333333333334</v>
      </c>
      <c r="CX144" s="14">
        <f>IF('[1]FC vers Ref (Km)'!CX144&lt;&gt;0,'Délai intermédiaire'!AL144,)</f>
        <v>0</v>
      </c>
      <c r="CY144" s="14">
        <f>IF('[1]FC vers Ref (Km)'!CY144&lt;&gt;0,'Délai intermédiaire'!AM144,)</f>
        <v>0</v>
      </c>
      <c r="CZ144" s="14">
        <f>IF('[1]FC vers Ref (Km)'!CZ144&lt;&gt;0,'Délai intermédiaire'!AN144,)</f>
        <v>0</v>
      </c>
      <c r="DA144" s="14">
        <f>IF('[1]FC vers Ref (Km)'!DA144&lt;&gt;0,'Délai intermédiaire'!AO144,)+1+(56/60)</f>
        <v>211.93333333333334</v>
      </c>
      <c r="DB144" s="12"/>
      <c r="DC144" s="19">
        <f>IF('[1]FC vers Ref (Km)'!DC144&lt;&gt;0,'Délai intermédiaire'!AQ144,)</f>
        <v>0</v>
      </c>
      <c r="DD144" s="19">
        <f>IF('[1]FC vers Ref (Km)'!DD144&lt;&gt;0,'Délai intermédiaire'!AR144,)</f>
        <v>0</v>
      </c>
      <c r="DE144" s="14">
        <f>IF('[1]FC vers Ref (Km)'!DE144&lt;&gt;0,'Délai intermédiaire'!AS144,)</f>
        <v>0</v>
      </c>
      <c r="DF144" s="14">
        <f>IF('[1]FC vers Ref (Km)'!DF144&lt;&gt;0,'Délai intermédiaire'!AT144,)+20+(5/60)</f>
        <v>293.08333333333331</v>
      </c>
      <c r="DG144" s="14">
        <f>IF('[1]FC vers Ref (Km)'!DG144&lt;&gt;0,'Délai intermédiaire'!AU144,)+11+(36/60)</f>
        <v>284.60000000000002</v>
      </c>
      <c r="DH144" s="14">
        <f>IF('[1]FC vers Ref (Km)'!DH144&lt;&gt;0,'Délai intermédiaire'!AV144,)+(28/60)</f>
        <v>224.46666666666667</v>
      </c>
      <c r="DI144" s="14">
        <f>IF('[1]FC vers Ref (Km)'!DI144&lt;&gt;0,'Délai intermédiaire'!AW144,)+7+(13/60)</f>
        <v>522.2166666666667</v>
      </c>
      <c r="DJ144" s="14">
        <f>IF('[1]FC vers Ref (Km)'!DJ144&lt;&gt;0,'Délai intermédiaire'!AX144,)+2*24+15</f>
        <v>578</v>
      </c>
      <c r="DK144" s="14">
        <f>IF('[1]FC vers Ref (Km)'!DK144&lt;&gt;0,'Délai intermédiaire'!AY144,)</f>
        <v>0</v>
      </c>
      <c r="DL144" s="14">
        <f>IF('[1]FC vers Ref (Km)'!DL144&lt;&gt;0,'Délai intermédiaire'!AZ144,)</f>
        <v>0</v>
      </c>
      <c r="DM144" s="14">
        <f>IF('[1]FC vers Ref (Km)'!DM144&lt;&gt;0,'Délai intermédiaire'!BA144,)+7+(17/60)</f>
        <v>259.28333333333336</v>
      </c>
      <c r="DN144" s="14">
        <f>IF('[1]FC vers Ref (Km)'!DN144&lt;&gt;0,'Délai intermédiaire'!BB144,)</f>
        <v>0</v>
      </c>
      <c r="DO144" s="14">
        <f>IF('[1]FC vers Ref (Km)'!DO144&lt;&gt;0,'Délai intermédiaire'!BC144,)</f>
        <v>0</v>
      </c>
      <c r="DP144" s="14">
        <f>IF('[1]FC vers Ref (Km)'!DP144&lt;&gt;0,'Délai intermédiaire'!BD144,)</f>
        <v>0</v>
      </c>
      <c r="DQ144" s="14">
        <f>IF('[1]FC vers Ref (Km)'!DQ144&lt;&gt;0,'Délai intermédiaire'!BE144,)+1+(22/60)</f>
        <v>237.36666666666667</v>
      </c>
      <c r="DR144" s="14">
        <f>IF('[1]FC vers Ref (Km)'!DR144&lt;&gt;0,'Délai intermédiaire'!BF144,)</f>
        <v>0</v>
      </c>
      <c r="DS144" s="14">
        <f>IF('[1]FC vers Ref (Km)'!DS144&lt;&gt;0,'Délai intermédiaire'!BG144,)+10+(43/60)</f>
        <v>393.71666666666664</v>
      </c>
      <c r="DT144" s="14">
        <f>IF('[1]FC vers Ref (Km)'!DT144&lt;&gt;0,'Délai intermédiaire'!BH144,)+(12/60)</f>
        <v>351.2</v>
      </c>
      <c r="DU144" s="14">
        <f>IF('[1]FC vers Ref (Km)'!DU144&lt;&gt;0,'Délai intermédiaire'!BI144,)+7+(45/60)</f>
        <v>331.75</v>
      </c>
      <c r="DV144" s="14">
        <f>IF('[1]FC vers Ref (Km)'!DV144&lt;&gt;0,'Délai intermédiaire'!BJ144,)+1+(10/60)</f>
        <v>266.16666666666669</v>
      </c>
      <c r="DW144" s="15">
        <f>IF('[1]FC vers Ref (Km)'!DW144&lt;&gt;0,'Délai intermédiaire'!BK144,)+12+(41/60)</f>
        <v>277.68333333333334</v>
      </c>
      <c r="DX144" s="27"/>
      <c r="DY144" s="10" t="s">
        <v>40</v>
      </c>
      <c r="DZ144" s="35" t="s">
        <v>73</v>
      </c>
      <c r="EA144" s="16">
        <f>IF('[1]FC vers Ref (Km)'!EA144&lt;&gt;0,C144,)</f>
        <v>0</v>
      </c>
      <c r="EB144" s="14">
        <f>IF('[1]FC vers Ref (Km)'!EB144&lt;&gt;0,D144,)</f>
        <v>0</v>
      </c>
      <c r="EC144" s="14">
        <f>IF('[1]FC vers Ref (Km)'!EC144&lt;&gt;0,E144,)+7+(55/60)+19+(53/60)</f>
        <v>441.8</v>
      </c>
      <c r="ED144" s="14">
        <f>IF('[1]FC vers Ref (Km)'!ED144&lt;&gt;0,F144,)</f>
        <v>0</v>
      </c>
      <c r="EE144" s="14">
        <f>IF('[1]FC vers Ref (Km)'!EE144&lt;&gt;0,G144,)+(32/60)</f>
        <v>411.53333333333336</v>
      </c>
      <c r="EF144" s="14">
        <f>IF('[1]FC vers Ref (Km)'!EF144&lt;&gt;0,H144,)+14+(25/60)+31+(8/60)</f>
        <v>337.55</v>
      </c>
      <c r="EG144" s="14">
        <f>IF('[1]FC vers Ref (Km)'!EG144&lt;&gt;0,I144,)</f>
        <v>0</v>
      </c>
      <c r="EH144" s="14">
        <f>IF('[1]FC vers Ref (Km)'!EH144&lt;&gt;0,J144,)</f>
        <v>0</v>
      </c>
      <c r="EI144" s="14">
        <f>IF('[1]FC vers Ref (Km)'!EI144&lt;&gt;0,K144,)+5+(11/60)</f>
        <v>469.18333333333334</v>
      </c>
      <c r="EJ144" s="14">
        <f>IF('[1]FC vers Ref (Km)'!EJ144&lt;&gt;0,L144,)</f>
        <v>0</v>
      </c>
      <c r="EK144" s="14">
        <f>IF('[1]FC vers Ref (Km)'!EK144&lt;&gt;0,M144,)</f>
        <v>0</v>
      </c>
      <c r="EL144" s="14">
        <f>IF('[1]FC vers Ref (Km)'!EL144&lt;&gt;0,N144,)</f>
        <v>0</v>
      </c>
      <c r="EM144" s="14">
        <f>IF('[1]FC vers Ref (Km)'!EM144&lt;&gt;0,O144,)</f>
        <v>0</v>
      </c>
      <c r="EN144" s="14">
        <f>IF('[1]FC vers Ref (Km)'!EN144&lt;&gt;0,P144,)</f>
        <v>0</v>
      </c>
      <c r="EO144" s="14">
        <f>IF('[1]FC vers Ref (Km)'!EO144&lt;&gt;0,Q144,)</f>
        <v>0</v>
      </c>
      <c r="EP144" s="14">
        <f>IF('[1]FC vers Ref (Km)'!EP144&lt;&gt;0,R144,)</f>
        <v>0</v>
      </c>
      <c r="EQ144" s="14">
        <f>IF('[1]FC vers Ref (Km)'!EQ144&lt;&gt;0,S144,)</f>
        <v>0</v>
      </c>
      <c r="ER144" s="14">
        <f>IF('[1]FC vers Ref (Km)'!ER144&lt;&gt;0,T144,)</f>
        <v>0</v>
      </c>
      <c r="ES144" s="14">
        <f>IF('[1]FC vers Ref (Km)'!ES144&lt;&gt;0,U144,)+2+(21/60)</f>
        <v>456.35</v>
      </c>
      <c r="ET144" s="14">
        <f>IF('[1]FC vers Ref (Km)'!ET144&lt;&gt;0,V144,)+1+(44/60)</f>
        <v>391.73333333333335</v>
      </c>
      <c r="EU144" s="14">
        <f>IF('[1]FC vers Ref (Km)'!EU144&lt;&gt;0,W144,)+1+(47/60)+2+(31/60)+2+(54/60)</f>
        <v>387.2</v>
      </c>
      <c r="EV144" s="14">
        <f>IF('[1]FC vers Ref (Km)'!EV144&lt;&gt;0,X144,)</f>
        <v>0</v>
      </c>
      <c r="EW144" s="14">
        <f>IF('[1]FC vers Ref (Km)'!EW144&lt;&gt;0,Y144,)+(56/60)+(59/60)</f>
        <v>494.91666666666669</v>
      </c>
      <c r="EX144" s="14">
        <f>IF('[1]FC vers Ref (Km)'!EX144&lt;&gt;0,Z144,)+1+(35/60)+(37/60)</f>
        <v>465.2</v>
      </c>
      <c r="EY144" s="14">
        <f>IF('[1]FC vers Ref (Km)'!EY144&lt;&gt;0,AA144,)+1+(18/60)</f>
        <v>379.3</v>
      </c>
      <c r="EZ144" s="14">
        <f>IF('[1]FC vers Ref (Km)'!EZ144&lt;&gt;0,AB144,)+1+(39/60)</f>
        <v>387.65</v>
      </c>
      <c r="FA144" s="14">
        <f>IF('[1]FC vers Ref (Km)'!FA144&lt;&gt;0,AC144,)+1+(47/60)</f>
        <v>397.78333333333336</v>
      </c>
      <c r="FB144" s="14">
        <f>IF('[1]FC vers Ref (Km)'!FB144&lt;&gt;0,AD144,)</f>
        <v>0</v>
      </c>
      <c r="FC144" s="14">
        <f>IF('[1]FC vers Ref (Km)'!FC144&lt;&gt;0,AE144,)</f>
        <v>0</v>
      </c>
      <c r="FD144" s="14">
        <f>IF('[1]FC vers Ref (Km)'!FD144&lt;&gt;0,AF144,)+5+(31/60)+5+(51/60)+1+(8/60)</f>
        <v>392.5</v>
      </c>
      <c r="FE144" s="14">
        <f>IF('[1]FC vers Ref (Km)'!FE144&lt;&gt;0,AG144,)+4+(2/60)+5+(51/60)+1+(8/60)</f>
        <v>391.01666666666671</v>
      </c>
      <c r="FF144" s="14">
        <f>IF('[1]FC vers Ref (Km)'!FF144&lt;&gt;0,AH144,)+1+(7/60)+5+(51/60)+1+(8/60)</f>
        <v>388.1</v>
      </c>
      <c r="FG144" s="14">
        <f>IF('[1]FC vers Ref (Km)'!FG144&lt;&gt;0,AI144,)+15+(50/60)</f>
        <v>247.83333333333334</v>
      </c>
      <c r="FH144" s="14">
        <f>IF('[1]FC vers Ref (Km)'!FH144&lt;&gt;0,AJ144,)</f>
        <v>0</v>
      </c>
      <c r="FI144" s="14">
        <f>IF('[1]FC vers Ref (Km)'!FI144&lt;&gt;0,AK144,)+4+(40/60)+11+(32/60)</f>
        <v>248.2</v>
      </c>
      <c r="FJ144" s="14">
        <f>IF('[1]FC vers Ref (Km)'!FJ144&lt;&gt;0,AL144,)</f>
        <v>0</v>
      </c>
      <c r="FK144" s="14">
        <f>IF('[1]FC vers Ref (Km)'!FK144&lt;&gt;0,AM144,)</f>
        <v>0</v>
      </c>
      <c r="FL144" s="14">
        <f>IF('[1]FC vers Ref (Km)'!FL144&lt;&gt;0,AN144,)</f>
        <v>0</v>
      </c>
      <c r="FM144" s="14">
        <f>IF('[1]FC vers Ref (Km)'!FM144&lt;&gt;0,AO144,)+(55/60)</f>
        <v>210.91666666666666</v>
      </c>
      <c r="FN144" s="12">
        <f>IF('[1]FC vers Ref (Km)'!FN144&lt;&gt;0,AP144,)</f>
        <v>0</v>
      </c>
      <c r="FO144" s="19">
        <f>IF('[1]FC vers Ref (Km)'!FO144&lt;&gt;0,AQ144,)</f>
        <v>0</v>
      </c>
      <c r="FP144" s="19">
        <f>IF('[1]FC vers Ref (Km)'!FP144&lt;&gt;0,AR144,)</f>
        <v>0</v>
      </c>
      <c r="FQ144" s="14">
        <f>IF('[1]FC vers Ref (Km)'!FQ144&lt;&gt;0,AS144,)</f>
        <v>0</v>
      </c>
      <c r="FR144" s="14">
        <f>IF('[1]FC vers Ref (Km)'!FR144&lt;&gt;0,AT144,)</f>
        <v>0</v>
      </c>
      <c r="FS144" s="14">
        <f>IF('[1]FC vers Ref (Km)'!FS144&lt;&gt;0,AU144,)</f>
        <v>0</v>
      </c>
      <c r="FT144" s="14">
        <f>IF('[1]FC vers Ref (Km)'!FT144&lt;&gt;0,AV144,)+1+(7/60)</f>
        <v>225.11666666666667</v>
      </c>
      <c r="FU144" s="14">
        <f>IF('[1]FC vers Ref (Km)'!FU144&lt;&gt;0,AW144,)+8+(3/60)</f>
        <v>523.04999999999995</v>
      </c>
      <c r="FV144" s="14">
        <f>IF('[1]FC vers Ref (Km)'!FV144&lt;&gt;0,AX144,)+2*24+11</f>
        <v>574</v>
      </c>
      <c r="FW144" s="14">
        <f>IF('[1]FC vers Ref (Km)'!FW144&lt;&gt;0,AY144,)</f>
        <v>0</v>
      </c>
      <c r="FX144" s="14">
        <f>IF('[1]FC vers Ref (Km)'!FX144&lt;&gt;0,AZ144,)</f>
        <v>0</v>
      </c>
      <c r="FY144" s="14">
        <f>IF('[1]FC vers Ref (Km)'!FY144&lt;&gt;0,BA144,)+5+(41/60)</f>
        <v>257.68333333333334</v>
      </c>
      <c r="FZ144" s="14">
        <f>IF('[1]FC vers Ref (Km)'!FZ144&lt;&gt;0,BB144,)</f>
        <v>0</v>
      </c>
      <c r="GA144" s="14">
        <f>IF('[1]FC vers Ref (Km)'!GA144&lt;&gt;0,BC144,)</f>
        <v>0</v>
      </c>
      <c r="GB144" s="14">
        <f>IF('[1]FC vers Ref (Km)'!GB144&lt;&gt;0,BD144,)</f>
        <v>0</v>
      </c>
      <c r="GC144" s="14">
        <f>IF('[1]FC vers Ref (Km)'!GC144&lt;&gt;0,BE144,)+(30/60)</f>
        <v>236.5</v>
      </c>
      <c r="GD144" s="14">
        <f>IF('[1]FC vers Ref (Km)'!GD144&lt;&gt;0,BF144,)</f>
        <v>0</v>
      </c>
      <c r="GE144" s="14">
        <f>IF('[1]FC vers Ref (Km)'!GE144&lt;&gt;0,BG144,)+15+(1/60)</f>
        <v>398.01666666666665</v>
      </c>
      <c r="GF144" s="14">
        <f>IF('[1]FC vers Ref (Km)'!GF144&lt;&gt;0,BH144,)</f>
        <v>0</v>
      </c>
      <c r="GG144" s="14">
        <f>IF('[1]FC vers Ref (Km)'!GG144&lt;&gt;0,BI144,)</f>
        <v>0</v>
      </c>
      <c r="GH144" s="14">
        <f>IF('[1]FC vers Ref (Km)'!GH144&lt;&gt;0,BJ144,)</f>
        <v>0</v>
      </c>
      <c r="GI144" s="15">
        <f>IF('[1]FC vers Ref (Km)'!GI144&lt;&gt;0,BK144,)</f>
        <v>0</v>
      </c>
    </row>
    <row r="145" spans="1:191" x14ac:dyDescent="0.3">
      <c r="A145" s="10" t="s">
        <v>41</v>
      </c>
      <c r="B145" s="35" t="s">
        <v>73</v>
      </c>
      <c r="C145" s="16">
        <f>15*24+11</f>
        <v>371</v>
      </c>
      <c r="D145" s="14">
        <f>15*24+20</f>
        <v>380</v>
      </c>
      <c r="E145" s="14">
        <f>16*24+20</f>
        <v>404</v>
      </c>
      <c r="F145" s="14">
        <f>20*24+19</f>
        <v>499</v>
      </c>
      <c r="G145" s="14">
        <f>16*24+17</f>
        <v>401</v>
      </c>
      <c r="H145" s="14">
        <f>11*24+7</f>
        <v>271</v>
      </c>
      <c r="I145" s="14">
        <f>11*24+19</f>
        <v>283</v>
      </c>
      <c r="J145" s="14">
        <f>11*24+7</f>
        <v>271</v>
      </c>
      <c r="K145" s="14">
        <f>18*24+22</f>
        <v>454</v>
      </c>
      <c r="L145" s="14">
        <f>18*24+22</f>
        <v>454</v>
      </c>
      <c r="M145" s="14">
        <f>11*24+20</f>
        <v>284</v>
      </c>
      <c r="N145" s="14">
        <f>11*24+20</f>
        <v>284</v>
      </c>
      <c r="O145" s="14">
        <f>15*24+20</f>
        <v>380</v>
      </c>
      <c r="P145" s="14">
        <f>13*24+22</f>
        <v>334</v>
      </c>
      <c r="Q145" s="14">
        <f>15*24+16</f>
        <v>376</v>
      </c>
      <c r="R145" s="14">
        <f>20*24+13</f>
        <v>493</v>
      </c>
      <c r="S145" s="14">
        <f>19*24+22</f>
        <v>478</v>
      </c>
      <c r="T145" s="14">
        <f>20*24</f>
        <v>480</v>
      </c>
      <c r="U145" s="14">
        <f>19*24+18</f>
        <v>474</v>
      </c>
      <c r="V145" s="14">
        <f>17*24+1</f>
        <v>409</v>
      </c>
      <c r="W145" s="14">
        <f>16*24+16</f>
        <v>400</v>
      </c>
      <c r="X145" s="14">
        <f>20*24+13</f>
        <v>493</v>
      </c>
      <c r="Y145" s="14">
        <f>21*24+8</f>
        <v>512</v>
      </c>
      <c r="Z145" s="14">
        <f>20*24+2</f>
        <v>482</v>
      </c>
      <c r="AA145" s="14">
        <f>16*24+13</f>
        <v>397</v>
      </c>
      <c r="AB145" s="14">
        <f>16*24+21</f>
        <v>405</v>
      </c>
      <c r="AC145" s="14">
        <f>17*24+7</f>
        <v>415</v>
      </c>
      <c r="AD145" s="14">
        <f>17*24+4</f>
        <v>412</v>
      </c>
      <c r="AE145" s="14">
        <f>21*24+8</f>
        <v>512</v>
      </c>
      <c r="AF145" s="14">
        <f>16*24+16</f>
        <v>400</v>
      </c>
      <c r="AG145" s="14">
        <f>16*24+16</f>
        <v>400</v>
      </c>
      <c r="AH145" s="14">
        <f>16*24+16</f>
        <v>400</v>
      </c>
      <c r="AI145" s="14">
        <f>10*24+11</f>
        <v>251</v>
      </c>
      <c r="AJ145" s="14">
        <f>10*24</f>
        <v>240</v>
      </c>
      <c r="AK145" s="14">
        <f>10*24+11</f>
        <v>251</v>
      </c>
      <c r="AL145" s="14">
        <f>9*24+11</f>
        <v>227</v>
      </c>
      <c r="AM145" s="14">
        <f>7*24+13</f>
        <v>181</v>
      </c>
      <c r="AN145" s="14">
        <f>7*24+16</f>
        <v>184</v>
      </c>
      <c r="AO145" s="14">
        <f>7*24+18</f>
        <v>186</v>
      </c>
      <c r="AP145" s="13">
        <f>24</f>
        <v>24</v>
      </c>
      <c r="AQ145" s="12"/>
      <c r="AR145" s="13">
        <v>89</v>
      </c>
      <c r="AS145" s="14">
        <v>292</v>
      </c>
      <c r="AT145" s="14">
        <v>292</v>
      </c>
      <c r="AU145" s="14">
        <v>292</v>
      </c>
      <c r="AV145" s="14">
        <f>8*24+8</f>
        <v>200</v>
      </c>
      <c r="AW145" s="14">
        <f>22*24+6</f>
        <v>534</v>
      </c>
      <c r="AX145" s="14">
        <f>22*24+6</f>
        <v>534</v>
      </c>
      <c r="AY145" s="14">
        <f>8*24+20</f>
        <v>212</v>
      </c>
      <c r="AZ145" s="14"/>
      <c r="BA145" s="14">
        <f>11*24+7</f>
        <v>271</v>
      </c>
      <c r="BB145" s="14">
        <f>8*24+16</f>
        <v>208</v>
      </c>
      <c r="BC145" s="14">
        <f>21*24+19</f>
        <v>523</v>
      </c>
      <c r="BD145" s="14">
        <f>7*24+20</f>
        <v>188</v>
      </c>
      <c r="BE145" s="14">
        <f>8*24+20</f>
        <v>212</v>
      </c>
      <c r="BF145" s="14">
        <f>8*24+1</f>
        <v>193</v>
      </c>
      <c r="BG145" s="14">
        <f>16*24+18</f>
        <v>402</v>
      </c>
      <c r="BH145" s="14">
        <f>15*24+10</f>
        <v>370</v>
      </c>
      <c r="BI145" s="14">
        <f>13*24+5</f>
        <v>317</v>
      </c>
      <c r="BJ145" s="14">
        <f>10*24+21</f>
        <v>261</v>
      </c>
      <c r="BK145" s="15">
        <f>10*24+21</f>
        <v>261</v>
      </c>
      <c r="BM145" s="10" t="s">
        <v>41</v>
      </c>
      <c r="BN145" s="35" t="s">
        <v>73</v>
      </c>
      <c r="BO145" s="16">
        <f>IF('[1]FC vers Ref (Km)'!BO145&lt;&gt;0,'Délai intermédiaire'!C145,)</f>
        <v>0</v>
      </c>
      <c r="BP145" s="14">
        <f>IF('[1]FC vers Ref (Km)'!BP145&lt;&gt;0,'Délai intermédiaire'!D145,)</f>
        <v>0</v>
      </c>
      <c r="BQ145" s="14">
        <f>IF('[1]FC vers Ref (Km)'!BQ145&lt;&gt;0,'Délai intermédiaire'!E145,)+19+(49/60)</f>
        <v>423.81666666666666</v>
      </c>
      <c r="BR145" s="14">
        <f>IF('[1]FC vers Ref (Km)'!BR145&lt;&gt;0,'Délai intermédiaire'!F145,)</f>
        <v>0</v>
      </c>
      <c r="BS145" s="14">
        <f>IF('[1]FC vers Ref (Km)'!BS145&lt;&gt;0,'Délai intermédiaire'!G145,)+(48/60)</f>
        <v>401.8</v>
      </c>
      <c r="BT145" s="14">
        <f>IF('[1]FC vers Ref (Km)'!BT145&lt;&gt;0,'Délai intermédiaire'!H145,)+15+(47/60)</f>
        <v>286.78333333333336</v>
      </c>
      <c r="BU145" s="14">
        <f>IF('[1]FC vers Ref (Km)'!BU145&lt;&gt;0,'Délai intermédiaire'!I145,)</f>
        <v>0</v>
      </c>
      <c r="BV145" s="14">
        <f>IF('[1]FC vers Ref (Km)'!BV145&lt;&gt;0,'Délai intermédiaire'!J145,)</f>
        <v>0</v>
      </c>
      <c r="BW145" s="14">
        <f>IF('[1]FC vers Ref (Km)'!BW145&lt;&gt;0,'Délai intermédiaire'!K145,)+6+(13/60)</f>
        <v>460.21666666666664</v>
      </c>
      <c r="BX145" s="14">
        <f>IF('[1]FC vers Ref (Km)'!BX145&lt;&gt;0,'Délai intermédiaire'!L145,)</f>
        <v>0</v>
      </c>
      <c r="BY145" s="14">
        <f>IF('[1]FC vers Ref (Km)'!BY145&lt;&gt;0,'Délai intermédiaire'!M145,)+11+(1/60)</f>
        <v>295.01666666666665</v>
      </c>
      <c r="BZ145" s="14">
        <f>IF('[1]FC vers Ref (Km)'!BZ145&lt;&gt;0,'Délai intermédiaire'!N145,)</f>
        <v>0</v>
      </c>
      <c r="CA145" s="14">
        <f>IF('[1]FC vers Ref (Km)'!CA145&lt;&gt;0,'Délai intermédiaire'!O145,)+4+(51/60)</f>
        <v>384.85</v>
      </c>
      <c r="CB145" s="14">
        <f>IF('[1]FC vers Ref (Km)'!CB145&lt;&gt;0,'Délai intermédiaire'!P145,)+5+(3/60)</f>
        <v>339.05</v>
      </c>
      <c r="CC145" s="14">
        <f>IF('[1]FC vers Ref (Km)'!CC145&lt;&gt;0,'Délai intermédiaire'!Q145,)+(40/60)</f>
        <v>376.66666666666669</v>
      </c>
      <c r="CD145" s="14">
        <f>IF('[1]FC vers Ref (Km)'!CD145&lt;&gt;0,'Délai intermédiaire'!R145,)</f>
        <v>0</v>
      </c>
      <c r="CE145" s="14">
        <f>IF('[1]FC vers Ref (Km)'!CE145&lt;&gt;0,'Délai intermédiaire'!S145,)</f>
        <v>0</v>
      </c>
      <c r="CF145" s="14">
        <f>IF('[1]FC vers Ref (Km)'!CF145&lt;&gt;0,'Délai intermédiaire'!T145,)</f>
        <v>0</v>
      </c>
      <c r="CG145" s="14">
        <f>IF('[1]FC vers Ref (Km)'!CG145&lt;&gt;0,'Délai intermédiaire'!U145,)+1+(53/60)</f>
        <v>475.88333333333333</v>
      </c>
      <c r="CH145" s="14">
        <f>IF('[1]FC vers Ref (Km)'!CH145&lt;&gt;0,'Délai intermédiaire'!V145,)+2+(57/60)</f>
        <v>411.95</v>
      </c>
      <c r="CI145" s="14">
        <f>IF('[1]FC vers Ref (Km)'!CI145&lt;&gt;0,'Délai intermédiaire'!W145,)+4+(47/60)</f>
        <v>404.78333333333336</v>
      </c>
      <c r="CJ145" s="14">
        <f>IF('[1]FC vers Ref (Km)'!CJ145&lt;&gt;0,'Délai intermédiaire'!X145,)</f>
        <v>0</v>
      </c>
      <c r="CK145" s="14">
        <f>IF('[1]FC vers Ref (Km)'!CK145&lt;&gt;0,'Délai intermédiaire'!Y145,)+1+(33/60)</f>
        <v>513.54999999999995</v>
      </c>
      <c r="CL145" s="14">
        <f>IF('[1]FC vers Ref (Km)'!CL145&lt;&gt;0,'Délai intermédiaire'!Z145,)+2+(30/60)</f>
        <v>484.5</v>
      </c>
      <c r="CM145" s="14">
        <f>IF('[1]FC vers Ref (Km)'!CM145&lt;&gt;0,'Délai intermédiaire'!AA145,)+(56/60)</f>
        <v>397.93333333333334</v>
      </c>
      <c r="CN145" s="14">
        <f>IF('[1]FC vers Ref (Km)'!CN145&lt;&gt;0,'Délai intermédiaire'!AB145,)+1+(39/60)</f>
        <v>406.65</v>
      </c>
      <c r="CO145" s="14">
        <f>IF('[1]FC vers Ref (Km)'!CO145&lt;&gt;0,'Délai intermédiaire'!AC145,)+3+(25/60)</f>
        <v>418.41666666666669</v>
      </c>
      <c r="CP145" s="14">
        <f>IF('[1]FC vers Ref (Km)'!CP145&lt;&gt;0,'Délai intermédiaire'!AD145,)</f>
        <v>0</v>
      </c>
      <c r="CQ145" s="14">
        <f>IF('[1]FC vers Ref (Km)'!CQ145&lt;&gt;0,'Délai intermédiaire'!AE145,)</f>
        <v>0</v>
      </c>
      <c r="CR145" s="14">
        <f>IF('[1]FC vers Ref (Km)'!CR145&lt;&gt;0,'Délai intermédiaire'!AF145,)+9+(1/60)</f>
        <v>409.01666666666665</v>
      </c>
      <c r="CS145" s="14">
        <f>IF('[1]FC vers Ref (Km)'!CS145&lt;&gt;0,'Délai intermédiaire'!AG145,)+7+(48/60)</f>
        <v>407.8</v>
      </c>
      <c r="CT145" s="14">
        <f>IF('[1]FC vers Ref (Km)'!CT145&lt;&gt;0,'Délai intermédiaire'!AH145,)+5+(5/60)</f>
        <v>405.08333333333331</v>
      </c>
      <c r="CU145" s="14">
        <f>IF('[1]FC vers Ref (Km)'!CU145&lt;&gt;0,'Délai intermédiaire'!AI145,)+19+(46/60)</f>
        <v>270.76666666666665</v>
      </c>
      <c r="CV145" s="14">
        <f>IF('[1]FC vers Ref (Km)'!CV145&lt;&gt;0,'Délai intermédiaire'!AJ145,)</f>
        <v>0</v>
      </c>
      <c r="CW145" s="14">
        <f>IF('[1]FC vers Ref (Km)'!CW145&lt;&gt;0,'Délai intermédiaire'!AK145,)+12+(26/60)</f>
        <v>263.43333333333334</v>
      </c>
      <c r="CX145" s="14">
        <f>IF('[1]FC vers Ref (Km)'!CX145&lt;&gt;0,'Délai intermédiaire'!AL145,)</f>
        <v>0</v>
      </c>
      <c r="CY145" s="14">
        <f>IF('[1]FC vers Ref (Km)'!CY145&lt;&gt;0,'Délai intermédiaire'!AM145,)</f>
        <v>0</v>
      </c>
      <c r="CZ145" s="14">
        <f>IF('[1]FC vers Ref (Km)'!CZ145&lt;&gt;0,'Délai intermédiaire'!AN145,)</f>
        <v>0</v>
      </c>
      <c r="DA145" s="14">
        <f>IF('[1]FC vers Ref (Km)'!DA145&lt;&gt;0,'Délai intermédiaire'!AO145,)+1+(56/60)</f>
        <v>187.93333333333334</v>
      </c>
      <c r="DB145" s="13">
        <f>IF('[1]FC vers Ref (Km)'!DB145&lt;&gt;0,'Délai intermédiaire'!AP145,)</f>
        <v>0</v>
      </c>
      <c r="DC145" s="12"/>
      <c r="DD145" s="13">
        <f>IF('[1]FC vers Ref (Km)'!DD145&lt;&gt;0,'Délai intermédiaire'!AR145,)</f>
        <v>0</v>
      </c>
      <c r="DE145" s="14">
        <f>IF('[1]FC vers Ref (Km)'!DE145&lt;&gt;0,'Délai intermédiaire'!AS145,)</f>
        <v>0</v>
      </c>
      <c r="DF145" s="14">
        <f>IF('[1]FC vers Ref (Km)'!DF145&lt;&gt;0,'Délai intermédiaire'!AT145,)+20+(5/60)</f>
        <v>312.08333333333331</v>
      </c>
      <c r="DG145" s="14">
        <f>IF('[1]FC vers Ref (Km)'!DG145&lt;&gt;0,'Délai intermédiaire'!AU145,)+11+(36/60)</f>
        <v>303.60000000000002</v>
      </c>
      <c r="DH145" s="14">
        <f>IF('[1]FC vers Ref (Km)'!DH145&lt;&gt;0,'Délai intermédiaire'!AV145,)+(28/60)</f>
        <v>200.46666666666667</v>
      </c>
      <c r="DI145" s="14">
        <f>IF('[1]FC vers Ref (Km)'!DI145&lt;&gt;0,'Délai intermédiaire'!AW145,)+7+(13/60)</f>
        <v>541.2166666666667</v>
      </c>
      <c r="DJ145" s="14">
        <f>IF('[1]FC vers Ref (Km)'!DJ145&lt;&gt;0,'Délai intermédiaire'!AX145,)+2*24+15</f>
        <v>597</v>
      </c>
      <c r="DK145" s="14">
        <f>IF('[1]FC vers Ref (Km)'!DK145&lt;&gt;0,'Délai intermédiaire'!AY145,)</f>
        <v>0</v>
      </c>
      <c r="DL145" s="14">
        <f>IF('[1]FC vers Ref (Km)'!DL145&lt;&gt;0,'Délai intermédiaire'!AZ145,)</f>
        <v>0</v>
      </c>
      <c r="DM145" s="14">
        <f>IF('[1]FC vers Ref (Km)'!DM145&lt;&gt;0,'Délai intermédiaire'!BA145,)+7+(17/60)</f>
        <v>278.28333333333336</v>
      </c>
      <c r="DN145" s="14">
        <f>IF('[1]FC vers Ref (Km)'!DN145&lt;&gt;0,'Délai intermédiaire'!BB145,)</f>
        <v>0</v>
      </c>
      <c r="DO145" s="14">
        <f>IF('[1]FC vers Ref (Km)'!DO145&lt;&gt;0,'Délai intermédiaire'!BC145,)</f>
        <v>0</v>
      </c>
      <c r="DP145" s="14">
        <f>IF('[1]FC vers Ref (Km)'!DP145&lt;&gt;0,'Délai intermédiaire'!BD145,)</f>
        <v>0</v>
      </c>
      <c r="DQ145" s="14">
        <f>IF('[1]FC vers Ref (Km)'!DQ145&lt;&gt;0,'Délai intermédiaire'!BE145,)+1+(22/60)</f>
        <v>213.36666666666667</v>
      </c>
      <c r="DR145" s="14">
        <f>IF('[1]FC vers Ref (Km)'!DR145&lt;&gt;0,'Délai intermédiaire'!BF145,)</f>
        <v>0</v>
      </c>
      <c r="DS145" s="14">
        <f>IF('[1]FC vers Ref (Km)'!DS145&lt;&gt;0,'Délai intermédiaire'!BG145,)+10+(43/60)</f>
        <v>412.71666666666664</v>
      </c>
      <c r="DT145" s="14">
        <f>IF('[1]FC vers Ref (Km)'!DT145&lt;&gt;0,'Délai intermédiaire'!BH145,)+(12/60)</f>
        <v>370.2</v>
      </c>
      <c r="DU145" s="14">
        <f>IF('[1]FC vers Ref (Km)'!DU145&lt;&gt;0,'Délai intermédiaire'!BI145,)+7+(45/60)</f>
        <v>324.75</v>
      </c>
      <c r="DV145" s="14">
        <f>IF('[1]FC vers Ref (Km)'!DV145&lt;&gt;0,'Délai intermédiaire'!BJ145,)+1+(10/60)</f>
        <v>262.16666666666669</v>
      </c>
      <c r="DW145" s="15">
        <f>IF('[1]FC vers Ref (Km)'!DW145&lt;&gt;0,'Délai intermédiaire'!BK145,)+12+(41/60)</f>
        <v>273.68333333333334</v>
      </c>
      <c r="DX145" s="27"/>
      <c r="DY145" s="10" t="s">
        <v>41</v>
      </c>
      <c r="DZ145" s="35" t="s">
        <v>73</v>
      </c>
      <c r="EA145" s="16">
        <f>IF('[1]FC vers Ref (Km)'!EA145&lt;&gt;0,C145,)</f>
        <v>0</v>
      </c>
      <c r="EB145" s="14">
        <f>IF('[1]FC vers Ref (Km)'!EB145&lt;&gt;0,D145,)</f>
        <v>0</v>
      </c>
      <c r="EC145" s="14">
        <f>IF('[1]FC vers Ref (Km)'!EC145&lt;&gt;0,E145,)+7+(55/60)+19+(53/60)</f>
        <v>431.8</v>
      </c>
      <c r="ED145" s="14">
        <f>IF('[1]FC vers Ref (Km)'!ED145&lt;&gt;0,F145,)</f>
        <v>0</v>
      </c>
      <c r="EE145" s="14">
        <f>IF('[1]FC vers Ref (Km)'!EE145&lt;&gt;0,G145,)+(32/60)</f>
        <v>401.53333333333336</v>
      </c>
      <c r="EF145" s="14">
        <f>IF('[1]FC vers Ref (Km)'!EF145&lt;&gt;0,H145,)+14+(25/60)+31+(8/60)</f>
        <v>316.55</v>
      </c>
      <c r="EG145" s="14">
        <f>IF('[1]FC vers Ref (Km)'!EG145&lt;&gt;0,I145,)</f>
        <v>0</v>
      </c>
      <c r="EH145" s="14">
        <f>IF('[1]FC vers Ref (Km)'!EH145&lt;&gt;0,J145,)</f>
        <v>0</v>
      </c>
      <c r="EI145" s="14">
        <f>IF('[1]FC vers Ref (Km)'!EI145&lt;&gt;0,K145,)+5+(11/60)</f>
        <v>459.18333333333334</v>
      </c>
      <c r="EJ145" s="14">
        <f>IF('[1]FC vers Ref (Km)'!EJ145&lt;&gt;0,L145,)</f>
        <v>0</v>
      </c>
      <c r="EK145" s="14">
        <f>IF('[1]FC vers Ref (Km)'!EK145&lt;&gt;0,M145,)</f>
        <v>0</v>
      </c>
      <c r="EL145" s="14">
        <f>IF('[1]FC vers Ref (Km)'!EL145&lt;&gt;0,N145,)</f>
        <v>0</v>
      </c>
      <c r="EM145" s="14">
        <f>IF('[1]FC vers Ref (Km)'!EM145&lt;&gt;0,O145,)</f>
        <v>0</v>
      </c>
      <c r="EN145" s="14">
        <f>IF('[1]FC vers Ref (Km)'!EN145&lt;&gt;0,P145,)</f>
        <v>0</v>
      </c>
      <c r="EO145" s="14">
        <f>IF('[1]FC vers Ref (Km)'!EO145&lt;&gt;0,Q145,)</f>
        <v>0</v>
      </c>
      <c r="EP145" s="14">
        <f>IF('[1]FC vers Ref (Km)'!EP145&lt;&gt;0,R145,)</f>
        <v>0</v>
      </c>
      <c r="EQ145" s="14">
        <f>IF('[1]FC vers Ref (Km)'!EQ145&lt;&gt;0,S145,)</f>
        <v>0</v>
      </c>
      <c r="ER145" s="14">
        <f>IF('[1]FC vers Ref (Km)'!ER145&lt;&gt;0,T145,)</f>
        <v>0</v>
      </c>
      <c r="ES145" s="14">
        <f>IF('[1]FC vers Ref (Km)'!ES145&lt;&gt;0,U145,)+2+(21/60)</f>
        <v>476.35</v>
      </c>
      <c r="ET145" s="14">
        <f>IF('[1]FC vers Ref (Km)'!ET145&lt;&gt;0,V145,)+1+(44/60)</f>
        <v>410.73333333333335</v>
      </c>
      <c r="EU145" s="14">
        <f>IF('[1]FC vers Ref (Km)'!EU145&lt;&gt;0,W145,)+1+(47/60)+2+(31/60)+2+(54/60)</f>
        <v>407.2</v>
      </c>
      <c r="EV145" s="14">
        <f>IF('[1]FC vers Ref (Km)'!EV145&lt;&gt;0,X145,)</f>
        <v>0</v>
      </c>
      <c r="EW145" s="14">
        <f>IF('[1]FC vers Ref (Km)'!EW145&lt;&gt;0,Y145,)+(56/60)+(59/60)</f>
        <v>513.91666666666663</v>
      </c>
      <c r="EX145" s="14">
        <f>IF('[1]FC vers Ref (Km)'!EX145&lt;&gt;0,Z145,)+1+(35/60)+(37/60)</f>
        <v>484.2</v>
      </c>
      <c r="EY145" s="14">
        <f>IF('[1]FC vers Ref (Km)'!EY145&lt;&gt;0,AA145,)+1+(18/60)</f>
        <v>398.3</v>
      </c>
      <c r="EZ145" s="14">
        <f>IF('[1]FC vers Ref (Km)'!EZ145&lt;&gt;0,AB145,)+1+(39/60)</f>
        <v>406.65</v>
      </c>
      <c r="FA145" s="14">
        <f>IF('[1]FC vers Ref (Km)'!FA145&lt;&gt;0,AC145,)+1+(47/60)</f>
        <v>416.78333333333336</v>
      </c>
      <c r="FB145" s="14">
        <f>IF('[1]FC vers Ref (Km)'!FB145&lt;&gt;0,AD145,)</f>
        <v>0</v>
      </c>
      <c r="FC145" s="14">
        <f>IF('[1]FC vers Ref (Km)'!FC145&lt;&gt;0,AE145,)</f>
        <v>0</v>
      </c>
      <c r="FD145" s="14">
        <f>IF('[1]FC vers Ref (Km)'!FD145&lt;&gt;0,AF145,)+5+(31/60)+5+(51/60)+1+(8/60)</f>
        <v>412.5</v>
      </c>
      <c r="FE145" s="14">
        <f>IF('[1]FC vers Ref (Km)'!FE145&lt;&gt;0,AG145,)+4+(2/60)+5+(51/60)+1+(8/60)</f>
        <v>411.01666666666671</v>
      </c>
      <c r="FF145" s="14">
        <f>IF('[1]FC vers Ref (Km)'!FF145&lt;&gt;0,AH145,)+1+(7/60)+5+(51/60)+1+(8/60)</f>
        <v>408.1</v>
      </c>
      <c r="FG145" s="14">
        <f>IF('[1]FC vers Ref (Km)'!FG145&lt;&gt;0,AI145,)+15+(50/60)</f>
        <v>266.83333333333331</v>
      </c>
      <c r="FH145" s="14">
        <f>IF('[1]FC vers Ref (Km)'!FH145&lt;&gt;0,AJ145,)</f>
        <v>0</v>
      </c>
      <c r="FI145" s="14">
        <f>IF('[1]FC vers Ref (Km)'!FI145&lt;&gt;0,AK145,)+4+(40/60)+11+(32/60)</f>
        <v>267.2</v>
      </c>
      <c r="FJ145" s="14">
        <f>IF('[1]FC vers Ref (Km)'!FJ145&lt;&gt;0,AL145,)</f>
        <v>0</v>
      </c>
      <c r="FK145" s="14">
        <f>IF('[1]FC vers Ref (Km)'!FK145&lt;&gt;0,AM145,)</f>
        <v>0</v>
      </c>
      <c r="FL145" s="14">
        <f>IF('[1]FC vers Ref (Km)'!FL145&lt;&gt;0,AN145,)</f>
        <v>0</v>
      </c>
      <c r="FM145" s="14">
        <f>IF('[1]FC vers Ref (Km)'!FM145&lt;&gt;0,AO145,)+(55/60)</f>
        <v>186.91666666666666</v>
      </c>
      <c r="FN145" s="13">
        <f>IF('[1]FC vers Ref (Km)'!FN145&lt;&gt;0,AP145,)</f>
        <v>0</v>
      </c>
      <c r="FO145" s="12">
        <f>IF('[1]FC vers Ref (Km)'!FO145&lt;&gt;0,AQ145,)</f>
        <v>0</v>
      </c>
      <c r="FP145" s="13">
        <f>IF('[1]FC vers Ref (Km)'!FP145&lt;&gt;0,AR145,)</f>
        <v>0</v>
      </c>
      <c r="FQ145" s="14">
        <f>IF('[1]FC vers Ref (Km)'!FQ145&lt;&gt;0,AS145,)</f>
        <v>0</v>
      </c>
      <c r="FR145" s="14">
        <f>IF('[1]FC vers Ref (Km)'!FR145&lt;&gt;0,AT145,)</f>
        <v>0</v>
      </c>
      <c r="FS145" s="14">
        <f>IF('[1]FC vers Ref (Km)'!FS145&lt;&gt;0,AU145,)</f>
        <v>0</v>
      </c>
      <c r="FT145" s="14">
        <f>IF('[1]FC vers Ref (Km)'!FT145&lt;&gt;0,AV145,)+1+(7/60)</f>
        <v>201.11666666666667</v>
      </c>
      <c r="FU145" s="14">
        <f>IF('[1]FC vers Ref (Km)'!FU145&lt;&gt;0,AW145,)+8+(3/60)</f>
        <v>542.04999999999995</v>
      </c>
      <c r="FV145" s="14">
        <f>IF('[1]FC vers Ref (Km)'!FV145&lt;&gt;0,AX145,)+2*24+11</f>
        <v>593</v>
      </c>
      <c r="FW145" s="14">
        <f>IF('[1]FC vers Ref (Km)'!FW145&lt;&gt;0,AY145,)</f>
        <v>0</v>
      </c>
      <c r="FX145" s="14">
        <f>IF('[1]FC vers Ref (Km)'!FX145&lt;&gt;0,AZ145,)</f>
        <v>0</v>
      </c>
      <c r="FY145" s="14">
        <f>IF('[1]FC vers Ref (Km)'!FY145&lt;&gt;0,BA145,)+5+(41/60)</f>
        <v>276.68333333333334</v>
      </c>
      <c r="FZ145" s="14">
        <f>IF('[1]FC vers Ref (Km)'!FZ145&lt;&gt;0,BB145,)</f>
        <v>0</v>
      </c>
      <c r="GA145" s="14">
        <f>IF('[1]FC vers Ref (Km)'!GA145&lt;&gt;0,BC145,)</f>
        <v>0</v>
      </c>
      <c r="GB145" s="14">
        <f>IF('[1]FC vers Ref (Km)'!GB145&lt;&gt;0,BD145,)</f>
        <v>0</v>
      </c>
      <c r="GC145" s="14">
        <f>IF('[1]FC vers Ref (Km)'!GC145&lt;&gt;0,BE145,)+(30/60)</f>
        <v>212.5</v>
      </c>
      <c r="GD145" s="14">
        <f>IF('[1]FC vers Ref (Km)'!GD145&lt;&gt;0,BF145,)</f>
        <v>0</v>
      </c>
      <c r="GE145" s="14">
        <f>IF('[1]FC vers Ref (Km)'!GE145&lt;&gt;0,BG145,)+15+(1/60)</f>
        <v>417.01666666666665</v>
      </c>
      <c r="GF145" s="14">
        <f>IF('[1]FC vers Ref (Km)'!GF145&lt;&gt;0,BH145,)</f>
        <v>0</v>
      </c>
      <c r="GG145" s="14">
        <f>IF('[1]FC vers Ref (Km)'!GG145&lt;&gt;0,BI145,)</f>
        <v>0</v>
      </c>
      <c r="GH145" s="14">
        <f>IF('[1]FC vers Ref (Km)'!GH145&lt;&gt;0,BJ145,)</f>
        <v>0</v>
      </c>
      <c r="GI145" s="15">
        <f>IF('[1]FC vers Ref (Km)'!GI145&lt;&gt;0,BK145,)</f>
        <v>0</v>
      </c>
    </row>
    <row r="146" spans="1:191" x14ac:dyDescent="0.3">
      <c r="A146" s="10" t="s">
        <v>42</v>
      </c>
      <c r="B146" s="35" t="s">
        <v>73</v>
      </c>
      <c r="C146" s="16">
        <f>18*24+10</f>
        <v>442</v>
      </c>
      <c r="D146" s="14">
        <f>18*24+18</f>
        <v>450</v>
      </c>
      <c r="E146" s="14">
        <f>19*24+18</f>
        <v>474</v>
      </c>
      <c r="F146" s="14">
        <f>21*24+16</f>
        <v>520</v>
      </c>
      <c r="G146" s="14">
        <f>19*24+15</f>
        <v>471</v>
      </c>
      <c r="H146" s="14">
        <f>14*24+21</f>
        <v>357</v>
      </c>
      <c r="I146" s="14">
        <f>14*24+14</f>
        <v>350</v>
      </c>
      <c r="J146" s="14">
        <f>14*24+21</f>
        <v>357</v>
      </c>
      <c r="K146" s="14">
        <f>19*24+19</f>
        <v>475</v>
      </c>
      <c r="L146" s="14">
        <f>19*24+19</f>
        <v>475</v>
      </c>
      <c r="M146" s="14">
        <f>14*24+15</f>
        <v>351</v>
      </c>
      <c r="N146" s="14">
        <f>14*24+15</f>
        <v>351</v>
      </c>
      <c r="O146" s="14">
        <f>18*24+18</f>
        <v>450</v>
      </c>
      <c r="P146" s="14">
        <f>13*24+19</f>
        <v>331</v>
      </c>
      <c r="Q146" s="14">
        <f>13*24+21</f>
        <v>333</v>
      </c>
      <c r="R146" s="14">
        <f>17*24+2</f>
        <v>410</v>
      </c>
      <c r="S146" s="14">
        <f>16*24+11</f>
        <v>395</v>
      </c>
      <c r="T146" s="14">
        <f>16*24+13</f>
        <v>397</v>
      </c>
      <c r="U146" s="14">
        <f>16*24+6</f>
        <v>390</v>
      </c>
      <c r="V146" s="14">
        <f>13*24+14</f>
        <v>326</v>
      </c>
      <c r="W146" s="14">
        <f>13*24+4</f>
        <v>316</v>
      </c>
      <c r="X146" s="14">
        <f>17*24+2</f>
        <v>410</v>
      </c>
      <c r="Y146" s="14">
        <f>17*24+21</f>
        <v>429</v>
      </c>
      <c r="Z146" s="14">
        <f>16*24+15</f>
        <v>399</v>
      </c>
      <c r="AA146" s="14">
        <f>13*24+2</f>
        <v>314</v>
      </c>
      <c r="AB146" s="14">
        <f>13*24+10</f>
        <v>322</v>
      </c>
      <c r="AC146" s="14">
        <f>13*24+20</f>
        <v>332</v>
      </c>
      <c r="AD146" s="14">
        <f>13*24+17</f>
        <v>329</v>
      </c>
      <c r="AE146" s="14">
        <f>17*24+21</f>
        <v>429</v>
      </c>
      <c r="AF146" s="14">
        <f>13*24+4</f>
        <v>316</v>
      </c>
      <c r="AG146" s="14">
        <f>13*24+4</f>
        <v>316</v>
      </c>
      <c r="AH146" s="14">
        <f>13*24+4</f>
        <v>316</v>
      </c>
      <c r="AI146" s="14">
        <f>6*24+22</f>
        <v>166</v>
      </c>
      <c r="AJ146" s="14">
        <f>6*24+10</f>
        <v>154</v>
      </c>
      <c r="AK146" s="14">
        <f>6*24+22</f>
        <v>166</v>
      </c>
      <c r="AL146" s="14">
        <f>5*24+21</f>
        <v>141</v>
      </c>
      <c r="AM146" s="14">
        <f>7*24+20</f>
        <v>188</v>
      </c>
      <c r="AN146" s="14">
        <f>7*24+14</f>
        <v>182</v>
      </c>
      <c r="AO146" s="14">
        <f>7*24+12</f>
        <v>180</v>
      </c>
      <c r="AP146" s="13">
        <f>2*24+22</f>
        <v>70</v>
      </c>
      <c r="AQ146" s="13">
        <f>3*24+17</f>
        <v>89</v>
      </c>
      <c r="AR146" s="12"/>
      <c r="AS146" s="14">
        <v>207</v>
      </c>
      <c r="AT146" s="14">
        <v>207</v>
      </c>
      <c r="AU146" s="14">
        <v>207</v>
      </c>
      <c r="AV146" s="14">
        <f>7*24+14</f>
        <v>182</v>
      </c>
      <c r="AW146" s="14">
        <f>18*24+19</f>
        <v>451</v>
      </c>
      <c r="AX146" s="14">
        <f>18*24+19</f>
        <v>451</v>
      </c>
      <c r="AY146" s="14">
        <f>8*24+11</f>
        <v>203</v>
      </c>
      <c r="AZ146" s="14"/>
      <c r="BA146" s="14">
        <f>7*24+22</f>
        <v>190</v>
      </c>
      <c r="BB146" s="14">
        <f>5*24+5</f>
        <v>125</v>
      </c>
      <c r="BC146" s="14">
        <f>18*24+8</f>
        <v>440</v>
      </c>
      <c r="BD146" s="14">
        <f>6*24+2</f>
        <v>146</v>
      </c>
      <c r="BE146" s="14">
        <f>8*24</f>
        <v>192</v>
      </c>
      <c r="BF146" s="14">
        <f>7*24</f>
        <v>168</v>
      </c>
      <c r="BG146" s="14">
        <f>13*24+7</f>
        <v>319</v>
      </c>
      <c r="BH146" s="14">
        <f>11*24+23</f>
        <v>287</v>
      </c>
      <c r="BI146" s="14">
        <f>16*24</f>
        <v>384</v>
      </c>
      <c r="BJ146" s="14">
        <f>13*24+13</f>
        <v>325</v>
      </c>
      <c r="BK146" s="15">
        <f>13*24+13</f>
        <v>325</v>
      </c>
      <c r="BM146" s="10" t="s">
        <v>68</v>
      </c>
      <c r="BN146" s="35" t="s">
        <v>73</v>
      </c>
      <c r="BO146" s="16">
        <f>IF('[1]FC vers Ref (Km)'!BO146&lt;&gt;0,'Délai intermédiaire'!C146,)</f>
        <v>0</v>
      </c>
      <c r="BP146" s="14">
        <f>IF('[1]FC vers Ref (Km)'!BP146&lt;&gt;0,'Délai intermédiaire'!D146,)</f>
        <v>0</v>
      </c>
      <c r="BQ146" s="14">
        <f>IF('[1]FC vers Ref (Km)'!BQ146&lt;&gt;0,'Délai intermédiaire'!E146,)+19+(49/60)</f>
        <v>493.81666666666666</v>
      </c>
      <c r="BR146" s="14">
        <f>IF('[1]FC vers Ref (Km)'!BR146&lt;&gt;0,'Délai intermédiaire'!F146,)</f>
        <v>0</v>
      </c>
      <c r="BS146" s="14">
        <f>IF('[1]FC vers Ref (Km)'!BS146&lt;&gt;0,'Délai intermédiaire'!G146,)+(48/60)</f>
        <v>471.8</v>
      </c>
      <c r="BT146" s="14">
        <f>IF('[1]FC vers Ref (Km)'!BT146&lt;&gt;0,'Délai intermédiaire'!H146,)+15+(47/60)</f>
        <v>372.78333333333336</v>
      </c>
      <c r="BU146" s="14">
        <f>IF('[1]FC vers Ref (Km)'!BU146&lt;&gt;0,'Délai intermédiaire'!I146,)</f>
        <v>0</v>
      </c>
      <c r="BV146" s="14">
        <f>IF('[1]FC vers Ref (Km)'!BV146&lt;&gt;0,'Délai intermédiaire'!J146,)</f>
        <v>0</v>
      </c>
      <c r="BW146" s="14">
        <f>IF('[1]FC vers Ref (Km)'!BW146&lt;&gt;0,'Délai intermédiaire'!K146,)+6+(13/60)</f>
        <v>481.21666666666664</v>
      </c>
      <c r="BX146" s="14">
        <f>IF('[1]FC vers Ref (Km)'!BX146&lt;&gt;0,'Délai intermédiaire'!L146,)</f>
        <v>0</v>
      </c>
      <c r="BY146" s="14">
        <f>IF('[1]FC vers Ref (Km)'!BY146&lt;&gt;0,'Délai intermédiaire'!M146,)+11+(1/60)</f>
        <v>362.01666666666665</v>
      </c>
      <c r="BZ146" s="14">
        <f>IF('[1]FC vers Ref (Km)'!BZ146&lt;&gt;0,'Délai intermédiaire'!N146,)</f>
        <v>0</v>
      </c>
      <c r="CA146" s="14">
        <f>IF('[1]FC vers Ref (Km)'!CA146&lt;&gt;0,'Délai intermédiaire'!O146,)+4+(51/60)</f>
        <v>454.85</v>
      </c>
      <c r="CB146" s="14">
        <f>IF('[1]FC vers Ref (Km)'!CB146&lt;&gt;0,'Délai intermédiaire'!P146,)+5+(3/60)</f>
        <v>336.05</v>
      </c>
      <c r="CC146" s="14">
        <f>IF('[1]FC vers Ref (Km)'!CC146&lt;&gt;0,'Délai intermédiaire'!Q146,)+(40/60)</f>
        <v>333.66666666666669</v>
      </c>
      <c r="CD146" s="14">
        <f>IF('[1]FC vers Ref (Km)'!CD146&lt;&gt;0,'Délai intermédiaire'!R146,)</f>
        <v>0</v>
      </c>
      <c r="CE146" s="14">
        <f>IF('[1]FC vers Ref (Km)'!CE146&lt;&gt;0,'Délai intermédiaire'!S146,)</f>
        <v>0</v>
      </c>
      <c r="CF146" s="14">
        <f>IF('[1]FC vers Ref (Km)'!CF146&lt;&gt;0,'Délai intermédiaire'!T146,)</f>
        <v>0</v>
      </c>
      <c r="CG146" s="14">
        <f>IF('[1]FC vers Ref (Km)'!CG146&lt;&gt;0,'Délai intermédiaire'!U146,)+1+(53/60)</f>
        <v>391.88333333333333</v>
      </c>
      <c r="CH146" s="14">
        <f>IF('[1]FC vers Ref (Km)'!CH146&lt;&gt;0,'Délai intermédiaire'!V146,)+2+(57/60)</f>
        <v>328.95</v>
      </c>
      <c r="CI146" s="14">
        <f>IF('[1]FC vers Ref (Km)'!CI146&lt;&gt;0,'Délai intermédiaire'!W146,)+4+(47/60)</f>
        <v>320.78333333333336</v>
      </c>
      <c r="CJ146" s="14">
        <f>IF('[1]FC vers Ref (Km)'!CJ146&lt;&gt;0,'Délai intermédiaire'!X146,)</f>
        <v>0</v>
      </c>
      <c r="CK146" s="14">
        <f>IF('[1]FC vers Ref (Km)'!CK146&lt;&gt;0,'Délai intermédiaire'!Y146,)+1+(33/60)</f>
        <v>430.55</v>
      </c>
      <c r="CL146" s="14">
        <f>IF('[1]FC vers Ref (Km)'!CL146&lt;&gt;0,'Délai intermédiaire'!Z146,)+2+(30/60)</f>
        <v>401.5</v>
      </c>
      <c r="CM146" s="14">
        <f>IF('[1]FC vers Ref (Km)'!CM146&lt;&gt;0,'Délai intermédiaire'!AA146,)+(56/60)</f>
        <v>314.93333333333334</v>
      </c>
      <c r="CN146" s="14">
        <f>IF('[1]FC vers Ref (Km)'!CN146&lt;&gt;0,'Délai intermédiaire'!AB146,)+1+(39/60)</f>
        <v>323.64999999999998</v>
      </c>
      <c r="CO146" s="14">
        <f>IF('[1]FC vers Ref (Km)'!CO146&lt;&gt;0,'Délai intermédiaire'!AC146,)+3+(25/60)</f>
        <v>335.41666666666669</v>
      </c>
      <c r="CP146" s="14">
        <f>IF('[1]FC vers Ref (Km)'!CP146&lt;&gt;0,'Délai intermédiaire'!AD146,)</f>
        <v>0</v>
      </c>
      <c r="CQ146" s="14">
        <f>IF('[1]FC vers Ref (Km)'!CQ146&lt;&gt;0,'Délai intermédiaire'!AE146,)</f>
        <v>0</v>
      </c>
      <c r="CR146" s="14">
        <f>IF('[1]FC vers Ref (Km)'!CR146&lt;&gt;0,'Délai intermédiaire'!AF146,)+9+(1/60)</f>
        <v>325.01666666666665</v>
      </c>
      <c r="CS146" s="14">
        <f>IF('[1]FC vers Ref (Km)'!CS146&lt;&gt;0,'Délai intermédiaire'!AG146,)+7+(48/60)</f>
        <v>323.8</v>
      </c>
      <c r="CT146" s="14">
        <f>IF('[1]FC vers Ref (Km)'!CT146&lt;&gt;0,'Délai intermédiaire'!AH146,)+5+(5/60)</f>
        <v>321.08333333333331</v>
      </c>
      <c r="CU146" s="14">
        <f>IF('[1]FC vers Ref (Km)'!CU146&lt;&gt;0,'Délai intermédiaire'!AI146,)+19+(46/60)</f>
        <v>185.76666666666668</v>
      </c>
      <c r="CV146" s="14">
        <f>IF('[1]FC vers Ref (Km)'!CV146&lt;&gt;0,'Délai intermédiaire'!AJ146,)</f>
        <v>0</v>
      </c>
      <c r="CW146" s="14">
        <f>IF('[1]FC vers Ref (Km)'!CW146&lt;&gt;0,'Délai intermédiaire'!AK146,)+12+(26/60)</f>
        <v>178.43333333333334</v>
      </c>
      <c r="CX146" s="14">
        <f>IF('[1]FC vers Ref (Km)'!CX146&lt;&gt;0,'Délai intermédiaire'!AL146,)</f>
        <v>0</v>
      </c>
      <c r="CY146" s="14">
        <f>IF('[1]FC vers Ref (Km)'!CY146&lt;&gt;0,'Délai intermédiaire'!AM146,)</f>
        <v>0</v>
      </c>
      <c r="CZ146" s="14">
        <f>IF('[1]FC vers Ref (Km)'!CZ146&lt;&gt;0,'Délai intermédiaire'!AN146,)</f>
        <v>0</v>
      </c>
      <c r="DA146" s="14">
        <f>IF('[1]FC vers Ref (Km)'!DA146&lt;&gt;0,'Délai intermédiaire'!AO146,)+1+(56/60)</f>
        <v>181.93333333333334</v>
      </c>
      <c r="DB146" s="13">
        <f>IF('[1]FC vers Ref (Km)'!DB146&lt;&gt;0,'Délai intermédiaire'!AP146,)</f>
        <v>0</v>
      </c>
      <c r="DC146" s="13">
        <f>IF('[1]FC vers Ref (Km)'!DC146&lt;&gt;0,'Délai intermédiaire'!AQ146,)</f>
        <v>0</v>
      </c>
      <c r="DD146" s="12"/>
      <c r="DE146" s="14">
        <f>IF('[1]FC vers Ref (Km)'!DE146&lt;&gt;0,'Délai intermédiaire'!AS146,)</f>
        <v>0</v>
      </c>
      <c r="DF146" s="14">
        <f>IF('[1]FC vers Ref (Km)'!DF146&lt;&gt;0,'Délai intermédiaire'!AT146,)+20+(5/60)</f>
        <v>227.08333333333334</v>
      </c>
      <c r="DG146" s="14">
        <f>IF('[1]FC vers Ref (Km)'!DG146&lt;&gt;0,'Délai intermédiaire'!AU146,)+11+(36/60)</f>
        <v>218.6</v>
      </c>
      <c r="DH146" s="14">
        <f>IF('[1]FC vers Ref (Km)'!DH146&lt;&gt;0,'Délai intermédiaire'!AV146,)+(28/60)</f>
        <v>182.46666666666667</v>
      </c>
      <c r="DI146" s="14">
        <f>IF('[1]FC vers Ref (Km)'!DI146&lt;&gt;0,'Délai intermédiaire'!AW146,)+7+(13/60)</f>
        <v>458.21666666666664</v>
      </c>
      <c r="DJ146" s="14">
        <f>IF('[1]FC vers Ref (Km)'!DJ146&lt;&gt;0,'Délai intermédiaire'!AX146,)+2*24+15</f>
        <v>514</v>
      </c>
      <c r="DK146" s="14">
        <f>IF('[1]FC vers Ref (Km)'!DK146&lt;&gt;0,'Délai intermédiaire'!AY146,)</f>
        <v>0</v>
      </c>
      <c r="DL146" s="14">
        <f>IF('[1]FC vers Ref (Km)'!DL146&lt;&gt;0,'Délai intermédiaire'!AZ146,)</f>
        <v>0</v>
      </c>
      <c r="DM146" s="14">
        <f>IF('[1]FC vers Ref (Km)'!DM146&lt;&gt;0,'Délai intermédiaire'!BA146,)+7+(17/60)</f>
        <v>197.28333333333333</v>
      </c>
      <c r="DN146" s="14">
        <f>IF('[1]FC vers Ref (Km)'!DN146&lt;&gt;0,'Délai intermédiaire'!BB146,)</f>
        <v>0</v>
      </c>
      <c r="DO146" s="14">
        <f>IF('[1]FC vers Ref (Km)'!DO146&lt;&gt;0,'Délai intermédiaire'!BC146,)</f>
        <v>0</v>
      </c>
      <c r="DP146" s="14">
        <f>IF('[1]FC vers Ref (Km)'!DP146&lt;&gt;0,'Délai intermédiaire'!BD146,)</f>
        <v>0</v>
      </c>
      <c r="DQ146" s="14">
        <f>IF('[1]FC vers Ref (Km)'!DQ146&lt;&gt;0,'Délai intermédiaire'!BE146,)+1+(22/60)</f>
        <v>193.36666666666667</v>
      </c>
      <c r="DR146" s="14">
        <f>IF('[1]FC vers Ref (Km)'!DR146&lt;&gt;0,'Délai intermédiaire'!BF146,)</f>
        <v>0</v>
      </c>
      <c r="DS146" s="14">
        <f>IF('[1]FC vers Ref (Km)'!DS146&lt;&gt;0,'Délai intermédiaire'!BG146,)+10+(43/60)</f>
        <v>329.71666666666664</v>
      </c>
      <c r="DT146" s="14">
        <f>IF('[1]FC vers Ref (Km)'!DT146&lt;&gt;0,'Délai intermédiaire'!BH146,)+(12/60)</f>
        <v>287.2</v>
      </c>
      <c r="DU146" s="14">
        <f>IF('[1]FC vers Ref (Km)'!DU146&lt;&gt;0,'Délai intermédiaire'!BI146,)+7+(45/60)</f>
        <v>391.75</v>
      </c>
      <c r="DV146" s="14">
        <f>IF('[1]FC vers Ref (Km)'!DV146&lt;&gt;0,'Délai intermédiaire'!BJ146,)+1+(10/60)</f>
        <v>326.16666666666669</v>
      </c>
      <c r="DW146" s="15">
        <f>IF('[1]FC vers Ref (Km)'!DW146&lt;&gt;0,'Délai intermédiaire'!BK146,)+12+(41/60)</f>
        <v>337.68333333333334</v>
      </c>
      <c r="DX146" s="27"/>
      <c r="DY146" s="10" t="s">
        <v>68</v>
      </c>
      <c r="DZ146" s="35" t="s">
        <v>73</v>
      </c>
      <c r="EA146" s="16">
        <f>IF('[1]FC vers Ref (Km)'!EA146&lt;&gt;0,C146,)</f>
        <v>0</v>
      </c>
      <c r="EB146" s="14">
        <f>IF('[1]FC vers Ref (Km)'!EB146&lt;&gt;0,D146,)</f>
        <v>0</v>
      </c>
      <c r="EC146" s="14">
        <f>IF('[1]FC vers Ref (Km)'!EC146&lt;&gt;0,E146,)+7+(55/60)+19+(53/60)</f>
        <v>501.8</v>
      </c>
      <c r="ED146" s="14">
        <f>IF('[1]FC vers Ref (Km)'!ED146&lt;&gt;0,F146,)</f>
        <v>0</v>
      </c>
      <c r="EE146" s="14">
        <f>IF('[1]FC vers Ref (Km)'!EE146&lt;&gt;0,G146,)+(32/60)</f>
        <v>471.53333333333336</v>
      </c>
      <c r="EF146" s="14">
        <f>IF('[1]FC vers Ref (Km)'!EF146&lt;&gt;0,H146,)+14+(25/60)+31+(8/60)</f>
        <v>402.55</v>
      </c>
      <c r="EG146" s="14">
        <f>IF('[1]FC vers Ref (Km)'!EG146&lt;&gt;0,I146,)</f>
        <v>0</v>
      </c>
      <c r="EH146" s="14">
        <f>IF('[1]FC vers Ref (Km)'!EH146&lt;&gt;0,J146,)</f>
        <v>0</v>
      </c>
      <c r="EI146" s="14">
        <f>IF('[1]FC vers Ref (Km)'!EI146&lt;&gt;0,K146,)+5+(11/60)</f>
        <v>480.18333333333334</v>
      </c>
      <c r="EJ146" s="14">
        <f>IF('[1]FC vers Ref (Km)'!EJ146&lt;&gt;0,L146,)</f>
        <v>0</v>
      </c>
      <c r="EK146" s="14">
        <f>IF('[1]FC vers Ref (Km)'!EK146&lt;&gt;0,M146,)</f>
        <v>0</v>
      </c>
      <c r="EL146" s="14">
        <f>IF('[1]FC vers Ref (Km)'!EL146&lt;&gt;0,N146,)</f>
        <v>0</v>
      </c>
      <c r="EM146" s="14">
        <f>IF('[1]FC vers Ref (Km)'!EM146&lt;&gt;0,O146,)</f>
        <v>0</v>
      </c>
      <c r="EN146" s="14">
        <f>IF('[1]FC vers Ref (Km)'!EN146&lt;&gt;0,P146,)</f>
        <v>0</v>
      </c>
      <c r="EO146" s="14">
        <f>IF('[1]FC vers Ref (Km)'!EO146&lt;&gt;0,Q146,)</f>
        <v>0</v>
      </c>
      <c r="EP146" s="14">
        <f>IF('[1]FC vers Ref (Km)'!EP146&lt;&gt;0,R146,)</f>
        <v>0</v>
      </c>
      <c r="EQ146" s="14">
        <f>IF('[1]FC vers Ref (Km)'!EQ146&lt;&gt;0,S146,)</f>
        <v>0</v>
      </c>
      <c r="ER146" s="14">
        <f>IF('[1]FC vers Ref (Km)'!ER146&lt;&gt;0,T146,)</f>
        <v>0</v>
      </c>
      <c r="ES146" s="14">
        <f>IF('[1]FC vers Ref (Km)'!ES146&lt;&gt;0,U146,)+2+(21/60)</f>
        <v>392.35</v>
      </c>
      <c r="ET146" s="14">
        <f>IF('[1]FC vers Ref (Km)'!ET146&lt;&gt;0,V146,)+1+(44/60)</f>
        <v>327.73333333333335</v>
      </c>
      <c r="EU146" s="14">
        <f>IF('[1]FC vers Ref (Km)'!EU146&lt;&gt;0,W146,)+1+(47/60)+2+(31/60)+2+(54/60)</f>
        <v>323.2</v>
      </c>
      <c r="EV146" s="14">
        <f>IF('[1]FC vers Ref (Km)'!EV146&lt;&gt;0,X146,)</f>
        <v>0</v>
      </c>
      <c r="EW146" s="14">
        <f>IF('[1]FC vers Ref (Km)'!EW146&lt;&gt;0,Y146,)+(56/60)+(59/60)</f>
        <v>430.91666666666669</v>
      </c>
      <c r="EX146" s="14">
        <f>IF('[1]FC vers Ref (Km)'!EX146&lt;&gt;0,Z146,)+1+(35/60)+(37/60)</f>
        <v>401.2</v>
      </c>
      <c r="EY146" s="14">
        <f>IF('[1]FC vers Ref (Km)'!EY146&lt;&gt;0,AA146,)+1+(18/60)</f>
        <v>315.3</v>
      </c>
      <c r="EZ146" s="14">
        <f>IF('[1]FC vers Ref (Km)'!EZ146&lt;&gt;0,AB146,)+1+(39/60)</f>
        <v>323.64999999999998</v>
      </c>
      <c r="FA146" s="14">
        <f>IF('[1]FC vers Ref (Km)'!FA146&lt;&gt;0,AC146,)+1+(47/60)</f>
        <v>333.78333333333336</v>
      </c>
      <c r="FB146" s="14">
        <f>IF('[1]FC vers Ref (Km)'!FB146&lt;&gt;0,AD146,)</f>
        <v>0</v>
      </c>
      <c r="FC146" s="14">
        <f>IF('[1]FC vers Ref (Km)'!FC146&lt;&gt;0,AE146,)</f>
        <v>0</v>
      </c>
      <c r="FD146" s="14">
        <f>IF('[1]FC vers Ref (Km)'!FD146&lt;&gt;0,AF146,)+5+(31/60)+5+(51/60)+1+(8/60)</f>
        <v>328.5</v>
      </c>
      <c r="FE146" s="14">
        <f>IF('[1]FC vers Ref (Km)'!FE146&lt;&gt;0,AG146,)+4+(2/60)+5+(51/60)+1+(8/60)</f>
        <v>327.01666666666671</v>
      </c>
      <c r="FF146" s="14">
        <f>IF('[1]FC vers Ref (Km)'!FF146&lt;&gt;0,AH146,)+1+(7/60)+5+(51/60)+1+(8/60)</f>
        <v>324.10000000000002</v>
      </c>
      <c r="FG146" s="14">
        <f>IF('[1]FC vers Ref (Km)'!FG146&lt;&gt;0,AI146,)+15+(50/60)</f>
        <v>181.83333333333334</v>
      </c>
      <c r="FH146" s="14">
        <f>IF('[1]FC vers Ref (Km)'!FH146&lt;&gt;0,AJ146,)</f>
        <v>0</v>
      </c>
      <c r="FI146" s="14">
        <f>IF('[1]FC vers Ref (Km)'!FI146&lt;&gt;0,AK146,)+4+(40/60)+11+(32/60)</f>
        <v>182.2</v>
      </c>
      <c r="FJ146" s="14">
        <f>IF('[1]FC vers Ref (Km)'!FJ146&lt;&gt;0,AL146,)</f>
        <v>0</v>
      </c>
      <c r="FK146" s="14">
        <f>IF('[1]FC vers Ref (Km)'!FK146&lt;&gt;0,AM146,)</f>
        <v>0</v>
      </c>
      <c r="FL146" s="14">
        <f>IF('[1]FC vers Ref (Km)'!FL146&lt;&gt;0,AN146,)</f>
        <v>0</v>
      </c>
      <c r="FM146" s="14">
        <f>IF('[1]FC vers Ref (Km)'!FM146&lt;&gt;0,AO146,)+(55/60)</f>
        <v>180.91666666666666</v>
      </c>
      <c r="FN146" s="13">
        <f>IF('[1]FC vers Ref (Km)'!FN146&lt;&gt;0,AP146,)</f>
        <v>0</v>
      </c>
      <c r="FO146" s="13">
        <f>IF('[1]FC vers Ref (Km)'!FO146&lt;&gt;0,AQ146,)</f>
        <v>0</v>
      </c>
      <c r="FP146" s="12">
        <f>IF('[1]FC vers Ref (Km)'!FP146&lt;&gt;0,AR146,)</f>
        <v>0</v>
      </c>
      <c r="FQ146" s="14">
        <f>IF('[1]FC vers Ref (Km)'!FQ146&lt;&gt;0,AS146,)</f>
        <v>0</v>
      </c>
      <c r="FR146" s="14">
        <f>IF('[1]FC vers Ref (Km)'!FR146&lt;&gt;0,AT146,)</f>
        <v>0</v>
      </c>
      <c r="FS146" s="14">
        <f>IF('[1]FC vers Ref (Km)'!FS146&lt;&gt;0,AU146,)</f>
        <v>0</v>
      </c>
      <c r="FT146" s="14">
        <f>IF('[1]FC vers Ref (Km)'!FT146&lt;&gt;0,AV146,)+1+(7/60)</f>
        <v>183.11666666666667</v>
      </c>
      <c r="FU146" s="14">
        <f>IF('[1]FC vers Ref (Km)'!FU146&lt;&gt;0,AW146,)+8+(3/60)</f>
        <v>459.05</v>
      </c>
      <c r="FV146" s="14">
        <f>IF('[1]FC vers Ref (Km)'!FV146&lt;&gt;0,AX146,)+2*24+11</f>
        <v>510</v>
      </c>
      <c r="FW146" s="14">
        <f>IF('[1]FC vers Ref (Km)'!FW146&lt;&gt;0,AY146,)</f>
        <v>0</v>
      </c>
      <c r="FX146" s="14">
        <f>IF('[1]FC vers Ref (Km)'!FX146&lt;&gt;0,AZ146,)</f>
        <v>0</v>
      </c>
      <c r="FY146" s="14">
        <f>IF('[1]FC vers Ref (Km)'!FY146&lt;&gt;0,BA146,)+5+(41/60)</f>
        <v>195.68333333333334</v>
      </c>
      <c r="FZ146" s="14">
        <f>IF('[1]FC vers Ref (Km)'!FZ146&lt;&gt;0,BB146,)</f>
        <v>0</v>
      </c>
      <c r="GA146" s="14">
        <f>IF('[1]FC vers Ref (Km)'!GA146&lt;&gt;0,BC146,)</f>
        <v>0</v>
      </c>
      <c r="GB146" s="14">
        <f>IF('[1]FC vers Ref (Km)'!GB146&lt;&gt;0,BD146,)</f>
        <v>0</v>
      </c>
      <c r="GC146" s="14">
        <f>IF('[1]FC vers Ref (Km)'!GC146&lt;&gt;0,BE146,)+(30/60)</f>
        <v>192.5</v>
      </c>
      <c r="GD146" s="14">
        <f>IF('[1]FC vers Ref (Km)'!GD146&lt;&gt;0,BF146,)</f>
        <v>0</v>
      </c>
      <c r="GE146" s="14">
        <f>IF('[1]FC vers Ref (Km)'!GE146&lt;&gt;0,BG146,)+15+(1/60)</f>
        <v>334.01666666666665</v>
      </c>
      <c r="GF146" s="14">
        <f>IF('[1]FC vers Ref (Km)'!GF146&lt;&gt;0,BH146,)</f>
        <v>0</v>
      </c>
      <c r="GG146" s="14">
        <f>IF('[1]FC vers Ref (Km)'!GG146&lt;&gt;0,BI146,)</f>
        <v>0</v>
      </c>
      <c r="GH146" s="14">
        <f>IF('[1]FC vers Ref (Km)'!GH146&lt;&gt;0,BJ146,)</f>
        <v>0</v>
      </c>
      <c r="GI146" s="15">
        <f>IF('[1]FC vers Ref (Km)'!GI146&lt;&gt;0,BK146,)</f>
        <v>0</v>
      </c>
    </row>
    <row r="147" spans="1:191" x14ac:dyDescent="0.3">
      <c r="A147" s="10" t="s">
        <v>43</v>
      </c>
      <c r="B147" s="35" t="s">
        <v>73</v>
      </c>
      <c r="C147" s="16">
        <f>15*24</f>
        <v>360</v>
      </c>
      <c r="D147" s="14">
        <f>16*24+7</f>
        <v>391</v>
      </c>
      <c r="E147" s="14">
        <f>13*24+22</f>
        <v>334</v>
      </c>
      <c r="F147" s="14">
        <f>15*24+18</f>
        <v>378</v>
      </c>
      <c r="G147" s="14">
        <f>14*24+9</f>
        <v>345</v>
      </c>
      <c r="H147" s="14">
        <f>19*24+6</f>
        <v>462</v>
      </c>
      <c r="I147" s="14">
        <f>18*24+5</f>
        <v>437</v>
      </c>
      <c r="J147" s="14">
        <f>19*24+6</f>
        <v>462</v>
      </c>
      <c r="K147" s="14">
        <f t="shared" ref="K147:L149" si="4">13*24+21</f>
        <v>333</v>
      </c>
      <c r="L147" s="14">
        <f t="shared" si="4"/>
        <v>333</v>
      </c>
      <c r="M147" s="14">
        <f t="shared" ref="M147:N149" si="5">18*24+6</f>
        <v>438</v>
      </c>
      <c r="N147" s="14">
        <f t="shared" si="5"/>
        <v>438</v>
      </c>
      <c r="O147" s="14">
        <f>16*24+17</f>
        <v>401</v>
      </c>
      <c r="P147" s="14">
        <f>13*24+21</f>
        <v>333</v>
      </c>
      <c r="Q147" s="14">
        <f>13*24+19</f>
        <v>331</v>
      </c>
      <c r="R147" s="14">
        <f>11*24+4</f>
        <v>268</v>
      </c>
      <c r="S147" s="14">
        <f>10*24+13</f>
        <v>253</v>
      </c>
      <c r="T147" s="14">
        <f>10*24+15</f>
        <v>255</v>
      </c>
      <c r="U147" s="14">
        <f>10*24+8</f>
        <v>248</v>
      </c>
      <c r="V147" s="14">
        <f>7*24+15</f>
        <v>183</v>
      </c>
      <c r="W147" s="14">
        <f>7*24+6</f>
        <v>174</v>
      </c>
      <c r="X147" s="14">
        <f>11*24+3</f>
        <v>267</v>
      </c>
      <c r="Y147" s="14">
        <f>11*24+22</f>
        <v>286</v>
      </c>
      <c r="Z147" s="14">
        <f>10*24+17</f>
        <v>257</v>
      </c>
      <c r="AA147" s="14">
        <f>7*24+4</f>
        <v>172</v>
      </c>
      <c r="AB147" s="14">
        <f>7*24+12</f>
        <v>180</v>
      </c>
      <c r="AC147" s="14">
        <f>7*24+22</f>
        <v>190</v>
      </c>
      <c r="AD147" s="14">
        <f>7*24+19</f>
        <v>187</v>
      </c>
      <c r="AE147" s="14">
        <f>11*24+22</f>
        <v>286</v>
      </c>
      <c r="AF147" s="14">
        <f t="shared" ref="AF147:AH149" si="6">7*24+6</f>
        <v>174</v>
      </c>
      <c r="AG147" s="14">
        <f t="shared" si="6"/>
        <v>174</v>
      </c>
      <c r="AH147" s="14">
        <f t="shared" si="6"/>
        <v>174</v>
      </c>
      <c r="AI147" s="13">
        <f>24+23</f>
        <v>47</v>
      </c>
      <c r="AJ147" s="13">
        <f>5*24+9</f>
        <v>129</v>
      </c>
      <c r="AK147" s="13">
        <f>24+23</f>
        <v>47</v>
      </c>
      <c r="AL147" s="13">
        <f>4*24+6</f>
        <v>102</v>
      </c>
      <c r="AM147" s="13">
        <f>11*24</f>
        <v>264</v>
      </c>
      <c r="AN147" s="13">
        <f>10*24+15</f>
        <v>255</v>
      </c>
      <c r="AO147" s="13">
        <f>10*24+9</f>
        <v>249</v>
      </c>
      <c r="AP147" s="14">
        <f>11*24+9</f>
        <v>273</v>
      </c>
      <c r="AQ147" s="14">
        <f>12*24+4</f>
        <v>292</v>
      </c>
      <c r="AR147" s="14">
        <f>8*24+15</f>
        <v>207</v>
      </c>
      <c r="AS147" s="12"/>
      <c r="AT147" s="13">
        <v>0</v>
      </c>
      <c r="AU147" s="13">
        <v>0</v>
      </c>
      <c r="AV147" s="13">
        <f>10*24+9</f>
        <v>249</v>
      </c>
      <c r="AW147" s="13">
        <f t="shared" ref="AW147:AX149" si="7">12*24+21</f>
        <v>309</v>
      </c>
      <c r="AX147" s="13">
        <f t="shared" si="7"/>
        <v>309</v>
      </c>
      <c r="AY147" s="13">
        <f>11*24+4</f>
        <v>268</v>
      </c>
      <c r="AZ147" s="14"/>
      <c r="BA147" s="14">
        <f>4*24+5</f>
        <v>101</v>
      </c>
      <c r="BB147" s="13">
        <f>7*24+10</f>
        <v>178</v>
      </c>
      <c r="BC147" s="14">
        <f>12*24+9</f>
        <v>297</v>
      </c>
      <c r="BD147" s="13">
        <f>8*24+12</f>
        <v>204</v>
      </c>
      <c r="BE147" s="13">
        <f>10*24+18</f>
        <v>258</v>
      </c>
      <c r="BF147" s="13">
        <f>9*24+20</f>
        <v>236</v>
      </c>
      <c r="BG147" s="14">
        <f>7*24+9</f>
        <v>177</v>
      </c>
      <c r="BH147" s="14">
        <f>6*24+1</f>
        <v>145</v>
      </c>
      <c r="BI147" s="14">
        <f>24*24+10</f>
        <v>586</v>
      </c>
      <c r="BJ147" s="14">
        <f t="shared" ref="BJ147:BK149" si="8">22*24</f>
        <v>528</v>
      </c>
      <c r="BK147" s="15">
        <f t="shared" si="8"/>
        <v>528</v>
      </c>
      <c r="BM147" s="10" t="s">
        <v>69</v>
      </c>
      <c r="BN147" s="35" t="s">
        <v>73</v>
      </c>
      <c r="BO147" s="16">
        <f>IF('[1]FC vers Ref (Km)'!BO147&lt;&gt;0,'Délai intermédiaire'!C147,)</f>
        <v>0</v>
      </c>
      <c r="BP147" s="14">
        <f>IF('[1]FC vers Ref (Km)'!BP147&lt;&gt;0,'Délai intermédiaire'!D147,)</f>
        <v>0</v>
      </c>
      <c r="BQ147" s="14">
        <f>IF('[1]FC vers Ref (Km)'!BQ147&lt;&gt;0,'Délai intermédiaire'!E147,)+19+(49/60)</f>
        <v>353.81666666666666</v>
      </c>
      <c r="BR147" s="14">
        <f>IF('[1]FC vers Ref (Km)'!BR147&lt;&gt;0,'Délai intermédiaire'!F147,)</f>
        <v>0</v>
      </c>
      <c r="BS147" s="14">
        <f>IF('[1]FC vers Ref (Km)'!BS147&lt;&gt;0,'Délai intermédiaire'!G147,)+(48/60)</f>
        <v>345.8</v>
      </c>
      <c r="BT147" s="14">
        <f>IF('[1]FC vers Ref (Km)'!BT147&lt;&gt;0,'Délai intermédiaire'!H147,)+15+(47/60)</f>
        <v>477.78333333333336</v>
      </c>
      <c r="BU147" s="14">
        <f>IF('[1]FC vers Ref (Km)'!BU147&lt;&gt;0,'Délai intermédiaire'!I147,)</f>
        <v>0</v>
      </c>
      <c r="BV147" s="14">
        <f>IF('[1]FC vers Ref (Km)'!BV147&lt;&gt;0,'Délai intermédiaire'!J147,)</f>
        <v>0</v>
      </c>
      <c r="BW147" s="14">
        <f>IF('[1]FC vers Ref (Km)'!BW147&lt;&gt;0,'Délai intermédiaire'!K147,)+6+(13/60)</f>
        <v>339.21666666666664</v>
      </c>
      <c r="BX147" s="14">
        <f>IF('[1]FC vers Ref (Km)'!BX147&lt;&gt;0,'Délai intermédiaire'!L147,)</f>
        <v>0</v>
      </c>
      <c r="BY147" s="14">
        <f>IF('[1]FC vers Ref (Km)'!BY147&lt;&gt;0,'Délai intermédiaire'!M147,)+11+(1/60)</f>
        <v>449.01666666666665</v>
      </c>
      <c r="BZ147" s="14">
        <f>IF('[1]FC vers Ref (Km)'!BZ147&lt;&gt;0,'Délai intermédiaire'!N147,)</f>
        <v>0</v>
      </c>
      <c r="CA147" s="14">
        <f>IF('[1]FC vers Ref (Km)'!CA147&lt;&gt;0,'Délai intermédiaire'!O147,)+4+(51/60)</f>
        <v>405.85</v>
      </c>
      <c r="CB147" s="14">
        <f>IF('[1]FC vers Ref (Km)'!CB147&lt;&gt;0,'Délai intermédiaire'!P147,)+5+(3/60)</f>
        <v>338.05</v>
      </c>
      <c r="CC147" s="14">
        <f>IF('[1]FC vers Ref (Km)'!CC147&lt;&gt;0,'Délai intermédiaire'!Q147,)+(40/60)</f>
        <v>331.66666666666669</v>
      </c>
      <c r="CD147" s="14">
        <f>IF('[1]FC vers Ref (Km)'!CD147&lt;&gt;0,'Délai intermédiaire'!R147,)</f>
        <v>0</v>
      </c>
      <c r="CE147" s="14">
        <f>IF('[1]FC vers Ref (Km)'!CE147&lt;&gt;0,'Délai intermédiaire'!S147,)</f>
        <v>0</v>
      </c>
      <c r="CF147" s="14">
        <f>IF('[1]FC vers Ref (Km)'!CF147&lt;&gt;0,'Délai intermédiaire'!T147,)</f>
        <v>0</v>
      </c>
      <c r="CG147" s="14">
        <f>IF('[1]FC vers Ref (Km)'!CG147&lt;&gt;0,'Délai intermédiaire'!U147,)+1+(53/60)</f>
        <v>249.88333333333333</v>
      </c>
      <c r="CH147" s="14">
        <f>IF('[1]FC vers Ref (Km)'!CH147&lt;&gt;0,'Délai intermédiaire'!V147,)+2+(57/60)</f>
        <v>185.95</v>
      </c>
      <c r="CI147" s="14">
        <f>IF('[1]FC vers Ref (Km)'!CI147&lt;&gt;0,'Délai intermédiaire'!W147,)+4+(47/60)</f>
        <v>178.78333333333333</v>
      </c>
      <c r="CJ147" s="14">
        <f>IF('[1]FC vers Ref (Km)'!CJ147&lt;&gt;0,'Délai intermédiaire'!X147,)</f>
        <v>0</v>
      </c>
      <c r="CK147" s="14">
        <f>IF('[1]FC vers Ref (Km)'!CK147&lt;&gt;0,'Délai intermédiaire'!Y147,)+1+(33/60)</f>
        <v>287.55</v>
      </c>
      <c r="CL147" s="14">
        <f>IF('[1]FC vers Ref (Km)'!CL147&lt;&gt;0,'Délai intermédiaire'!Z147,)+2+(30/60)</f>
        <v>259.5</v>
      </c>
      <c r="CM147" s="14">
        <f>IF('[1]FC vers Ref (Km)'!CM147&lt;&gt;0,'Délai intermédiaire'!AA147,)+(56/60)</f>
        <v>172.93333333333334</v>
      </c>
      <c r="CN147" s="14">
        <f>IF('[1]FC vers Ref (Km)'!CN147&lt;&gt;0,'Délai intermédiaire'!AB147,)+1+(39/60)</f>
        <v>181.65</v>
      </c>
      <c r="CO147" s="14">
        <f>IF('[1]FC vers Ref (Km)'!CO147&lt;&gt;0,'Délai intermédiaire'!AC147,)+3+(25/60)</f>
        <v>193.41666666666666</v>
      </c>
      <c r="CP147" s="14">
        <f>IF('[1]FC vers Ref (Km)'!CP147&lt;&gt;0,'Délai intermédiaire'!AD147,)</f>
        <v>0</v>
      </c>
      <c r="CQ147" s="14">
        <f>IF('[1]FC vers Ref (Km)'!CQ147&lt;&gt;0,'Délai intermédiaire'!AE147,)</f>
        <v>0</v>
      </c>
      <c r="CR147" s="14">
        <f>IF('[1]FC vers Ref (Km)'!CR147&lt;&gt;0,'Délai intermédiaire'!AF147,)+9+(1/60)</f>
        <v>183.01666666666668</v>
      </c>
      <c r="CS147" s="14">
        <f>IF('[1]FC vers Ref (Km)'!CS147&lt;&gt;0,'Délai intermédiaire'!AG147,)+7+(48/60)</f>
        <v>181.8</v>
      </c>
      <c r="CT147" s="14">
        <f>IF('[1]FC vers Ref (Km)'!CT147&lt;&gt;0,'Délai intermédiaire'!AH147,)+5+(5/60)</f>
        <v>179.08333333333334</v>
      </c>
      <c r="CU147" s="13">
        <f>IF('[1]FC vers Ref (Km)'!CU147&lt;&gt;0,'Délai intermédiaire'!AI147,)+19+(46/60)</f>
        <v>66.766666666666666</v>
      </c>
      <c r="CV147" s="13">
        <f>IF('[1]FC vers Ref (Km)'!CV147&lt;&gt;0,'Délai intermédiaire'!AJ147,)</f>
        <v>0</v>
      </c>
      <c r="CW147" s="13">
        <f>IF('[1]FC vers Ref (Km)'!CW147&lt;&gt;0,'Délai intermédiaire'!AK147,)+12+(26/60)</f>
        <v>59.43333333333333</v>
      </c>
      <c r="CX147" s="13">
        <f>IF('[1]FC vers Ref (Km)'!CX147&lt;&gt;0,'Délai intermédiaire'!AL147,)</f>
        <v>0</v>
      </c>
      <c r="CY147" s="13">
        <f>IF('[1]FC vers Ref (Km)'!CY147&lt;&gt;0,'Délai intermédiaire'!AM147,)</f>
        <v>0</v>
      </c>
      <c r="CZ147" s="13">
        <f>IF('[1]FC vers Ref (Km)'!CZ147&lt;&gt;0,'Délai intermédiaire'!AN147,)</f>
        <v>0</v>
      </c>
      <c r="DA147" s="13">
        <f>IF('[1]FC vers Ref (Km)'!DA147&lt;&gt;0,'Délai intermédiaire'!AO147,)+1+(56/60)</f>
        <v>250.93333333333334</v>
      </c>
      <c r="DB147" s="14">
        <f>IF('[1]FC vers Ref (Km)'!DB147&lt;&gt;0,'Délai intermédiaire'!AP147,)</f>
        <v>0</v>
      </c>
      <c r="DC147" s="14">
        <f>IF('[1]FC vers Ref (Km)'!DC147&lt;&gt;0,'Délai intermédiaire'!AQ147,)</f>
        <v>0</v>
      </c>
      <c r="DD147" s="14">
        <f>IF('[1]FC vers Ref (Km)'!DD147&lt;&gt;0,'Délai intermédiaire'!AR147,)</f>
        <v>0</v>
      </c>
      <c r="DE147" s="12"/>
      <c r="DF147" s="13">
        <f>IF('[1]FC vers Ref (Km)'!DF147&lt;&gt;0,'Délai intermédiaire'!AT147,)+20+(5/60)</f>
        <v>20.083333333333332</v>
      </c>
      <c r="DG147" s="13">
        <f>IF('[1]FC vers Ref (Km)'!DG147&lt;&gt;0,'Délai intermédiaire'!AU147,)+11+(36/60)</f>
        <v>11.6</v>
      </c>
      <c r="DH147" s="13">
        <f>IF('[1]FC vers Ref (Km)'!DH147&lt;&gt;0,'Délai intermédiaire'!AV147,)+(28/60)</f>
        <v>249.46666666666667</v>
      </c>
      <c r="DI147" s="13">
        <f>IF('[1]FC vers Ref (Km)'!DI147&lt;&gt;0,'Délai intermédiaire'!AW147,)+7+(13/60)</f>
        <v>316.21666666666664</v>
      </c>
      <c r="DJ147" s="13">
        <f>IF('[1]FC vers Ref (Km)'!DJ147&lt;&gt;0,'Délai intermédiaire'!AX147,)+2*24+15</f>
        <v>372</v>
      </c>
      <c r="DK147" s="13">
        <f>IF('[1]FC vers Ref (Km)'!DK147&lt;&gt;0,'Délai intermédiaire'!AY147,)</f>
        <v>0</v>
      </c>
      <c r="DL147" s="14">
        <f>IF('[1]FC vers Ref (Km)'!DL147&lt;&gt;0,'Délai intermédiaire'!AZ147,)</f>
        <v>0</v>
      </c>
      <c r="DM147" s="14">
        <f>IF('[1]FC vers Ref (Km)'!DM147&lt;&gt;0,'Délai intermédiaire'!BA147,)+7+(17/60)</f>
        <v>108.28333333333333</v>
      </c>
      <c r="DN147" s="13">
        <f>IF('[1]FC vers Ref (Km)'!DN147&lt;&gt;0,'Délai intermédiaire'!BB147,)</f>
        <v>0</v>
      </c>
      <c r="DO147" s="14">
        <f>IF('[1]FC vers Ref (Km)'!DO147&lt;&gt;0,'Délai intermédiaire'!BC147,)</f>
        <v>0</v>
      </c>
      <c r="DP147" s="13">
        <f>IF('[1]FC vers Ref (Km)'!DP147&lt;&gt;0,'Délai intermédiaire'!BD147,)</f>
        <v>0</v>
      </c>
      <c r="DQ147" s="13">
        <f>IF('[1]FC vers Ref (Km)'!DQ147&lt;&gt;0,'Délai intermédiaire'!BE147,)+1+(22/60)</f>
        <v>259.36666666666667</v>
      </c>
      <c r="DR147" s="13">
        <f>IF('[1]FC vers Ref (Km)'!DR147&lt;&gt;0,'Délai intermédiaire'!BF147,)</f>
        <v>0</v>
      </c>
      <c r="DS147" s="14">
        <f>IF('[1]FC vers Ref (Km)'!DS147&lt;&gt;0,'Délai intermédiaire'!BG147,)+10+(43/60)</f>
        <v>187.71666666666667</v>
      </c>
      <c r="DT147" s="14">
        <f>IF('[1]FC vers Ref (Km)'!DT147&lt;&gt;0,'Délai intermédiaire'!BH147,)+(12/60)</f>
        <v>145.19999999999999</v>
      </c>
      <c r="DU147" s="14">
        <f>IF('[1]FC vers Ref (Km)'!DU147&lt;&gt;0,'Délai intermédiaire'!BI147,)+7+(45/60)</f>
        <v>593.75</v>
      </c>
      <c r="DV147" s="14">
        <f>IF('[1]FC vers Ref (Km)'!DV147&lt;&gt;0,'Délai intermédiaire'!BJ147,)+1+(10/60)</f>
        <v>529.16666666666663</v>
      </c>
      <c r="DW147" s="15">
        <f>IF('[1]FC vers Ref (Km)'!DW147&lt;&gt;0,'Délai intermédiaire'!BK147,)+12+(41/60)</f>
        <v>540.68333333333328</v>
      </c>
      <c r="DX147" s="27"/>
      <c r="DY147" s="10" t="s">
        <v>69</v>
      </c>
      <c r="DZ147" s="35" t="s">
        <v>73</v>
      </c>
      <c r="EA147" s="16">
        <f>IF('[1]FC vers Ref (Km)'!EA147&lt;&gt;0,C147,)</f>
        <v>0</v>
      </c>
      <c r="EB147" s="14">
        <f>IF('[1]FC vers Ref (Km)'!EB147&lt;&gt;0,D147,)</f>
        <v>0</v>
      </c>
      <c r="EC147" s="14">
        <f>IF('[1]FC vers Ref (Km)'!EC147&lt;&gt;0,E147,)+7+(55/60)+19+(53/60)</f>
        <v>361.8</v>
      </c>
      <c r="ED147" s="14">
        <f>IF('[1]FC vers Ref (Km)'!ED147&lt;&gt;0,F147,)</f>
        <v>0</v>
      </c>
      <c r="EE147" s="14">
        <f>IF('[1]FC vers Ref (Km)'!EE147&lt;&gt;0,G147,)+(32/60)</f>
        <v>345.53333333333336</v>
      </c>
      <c r="EF147" s="14">
        <f>IF('[1]FC vers Ref (Km)'!EF147&lt;&gt;0,H147,)+14+(25/60)+31+(8/60)</f>
        <v>507.55</v>
      </c>
      <c r="EG147" s="14">
        <f>IF('[1]FC vers Ref (Km)'!EG147&lt;&gt;0,I147,)</f>
        <v>0</v>
      </c>
      <c r="EH147" s="14">
        <f>IF('[1]FC vers Ref (Km)'!EH147&lt;&gt;0,J147,)</f>
        <v>0</v>
      </c>
      <c r="EI147" s="14">
        <f>IF('[1]FC vers Ref (Km)'!EI147&lt;&gt;0,K147,)+5+(11/60)</f>
        <v>338.18333333333334</v>
      </c>
      <c r="EJ147" s="14">
        <f>IF('[1]FC vers Ref (Km)'!EJ147&lt;&gt;0,L147,)</f>
        <v>0</v>
      </c>
      <c r="EK147" s="14">
        <f>IF('[1]FC vers Ref (Km)'!EK147&lt;&gt;0,M147,)</f>
        <v>0</v>
      </c>
      <c r="EL147" s="14">
        <f>IF('[1]FC vers Ref (Km)'!EL147&lt;&gt;0,N147,)</f>
        <v>0</v>
      </c>
      <c r="EM147" s="14">
        <f>IF('[1]FC vers Ref (Km)'!EM147&lt;&gt;0,O147,)</f>
        <v>0</v>
      </c>
      <c r="EN147" s="14">
        <f>IF('[1]FC vers Ref (Km)'!EN147&lt;&gt;0,P147,)</f>
        <v>0</v>
      </c>
      <c r="EO147" s="14">
        <f>IF('[1]FC vers Ref (Km)'!EO147&lt;&gt;0,Q147,)</f>
        <v>0</v>
      </c>
      <c r="EP147" s="14">
        <f>IF('[1]FC vers Ref (Km)'!EP147&lt;&gt;0,R147,)</f>
        <v>0</v>
      </c>
      <c r="EQ147" s="14">
        <f>IF('[1]FC vers Ref (Km)'!EQ147&lt;&gt;0,S147,)</f>
        <v>0</v>
      </c>
      <c r="ER147" s="14">
        <f>IF('[1]FC vers Ref (Km)'!ER147&lt;&gt;0,T147,)</f>
        <v>0</v>
      </c>
      <c r="ES147" s="14">
        <f>IF('[1]FC vers Ref (Km)'!ES147&lt;&gt;0,U147,)+2+(21/60)</f>
        <v>250.35</v>
      </c>
      <c r="ET147" s="14">
        <f>IF('[1]FC vers Ref (Km)'!ET147&lt;&gt;0,V147,)+1+(44/60)</f>
        <v>184.73333333333332</v>
      </c>
      <c r="EU147" s="14">
        <f>IF('[1]FC vers Ref (Km)'!EU147&lt;&gt;0,W147,)+1+(47/60)+2+(31/60)+2+(54/60)</f>
        <v>181.20000000000002</v>
      </c>
      <c r="EV147" s="14">
        <f>IF('[1]FC vers Ref (Km)'!EV147&lt;&gt;0,X147,)</f>
        <v>0</v>
      </c>
      <c r="EW147" s="14">
        <f>IF('[1]FC vers Ref (Km)'!EW147&lt;&gt;0,Y147,)+(56/60)+(59/60)</f>
        <v>287.91666666666669</v>
      </c>
      <c r="EX147" s="14">
        <f>IF('[1]FC vers Ref (Km)'!EX147&lt;&gt;0,Z147,)+1+(35/60)+(37/60)</f>
        <v>259.2</v>
      </c>
      <c r="EY147" s="14">
        <f>IF('[1]FC vers Ref (Km)'!EY147&lt;&gt;0,AA147,)+1+(18/60)</f>
        <v>173.3</v>
      </c>
      <c r="EZ147" s="14">
        <f>IF('[1]FC vers Ref (Km)'!EZ147&lt;&gt;0,AB147,)+1+(39/60)</f>
        <v>181.65</v>
      </c>
      <c r="FA147" s="14">
        <f>IF('[1]FC vers Ref (Km)'!FA147&lt;&gt;0,AC147,)+1+(47/60)</f>
        <v>191.78333333333333</v>
      </c>
      <c r="FB147" s="14">
        <f>IF('[1]FC vers Ref (Km)'!FB147&lt;&gt;0,AD147,)</f>
        <v>0</v>
      </c>
      <c r="FC147" s="14">
        <f>IF('[1]FC vers Ref (Km)'!FC147&lt;&gt;0,AE147,)</f>
        <v>0</v>
      </c>
      <c r="FD147" s="14">
        <f>IF('[1]FC vers Ref (Km)'!FD147&lt;&gt;0,AF147,)+5+(31/60)+5+(51/60)+1+(8/60)</f>
        <v>186.5</v>
      </c>
      <c r="FE147" s="14">
        <f>IF('[1]FC vers Ref (Km)'!FE147&lt;&gt;0,AG147,)+4+(2/60)+5+(51/60)+1+(8/60)</f>
        <v>185.01666666666665</v>
      </c>
      <c r="FF147" s="14">
        <f>IF('[1]FC vers Ref (Km)'!FF147&lt;&gt;0,AH147,)+1+(7/60)+5+(51/60)+1+(8/60)</f>
        <v>182.1</v>
      </c>
      <c r="FG147" s="13">
        <f>IF('[1]FC vers Ref (Km)'!FG147&lt;&gt;0,AI147,)+15+(50/60)</f>
        <v>62.833333333333336</v>
      </c>
      <c r="FH147" s="13">
        <f>IF('[1]FC vers Ref (Km)'!FH147&lt;&gt;0,AJ147,)</f>
        <v>0</v>
      </c>
      <c r="FI147" s="13">
        <f>IF('[1]FC vers Ref (Km)'!FI147&lt;&gt;0,AK147,)+4+(40/60)+11+(32/60)</f>
        <v>63.199999999999996</v>
      </c>
      <c r="FJ147" s="13">
        <f>IF('[1]FC vers Ref (Km)'!FJ147&lt;&gt;0,AL147,)</f>
        <v>0</v>
      </c>
      <c r="FK147" s="13">
        <f>IF('[1]FC vers Ref (Km)'!FK147&lt;&gt;0,AM147,)</f>
        <v>0</v>
      </c>
      <c r="FL147" s="13">
        <f>IF('[1]FC vers Ref (Km)'!FL147&lt;&gt;0,AN147,)</f>
        <v>0</v>
      </c>
      <c r="FM147" s="13">
        <f>IF('[1]FC vers Ref (Km)'!FM147&lt;&gt;0,AO147,)+(55/60)</f>
        <v>249.91666666666666</v>
      </c>
      <c r="FN147" s="14">
        <f>IF('[1]FC vers Ref (Km)'!FN147&lt;&gt;0,AP147,)</f>
        <v>0</v>
      </c>
      <c r="FO147" s="14">
        <f>IF('[1]FC vers Ref (Km)'!FO147&lt;&gt;0,AQ147,)</f>
        <v>0</v>
      </c>
      <c r="FP147" s="14">
        <f>IF('[1]FC vers Ref (Km)'!FP147&lt;&gt;0,AR147,)</f>
        <v>0</v>
      </c>
      <c r="FQ147" s="12">
        <f>IF('[1]FC vers Ref (Km)'!FQ147&lt;&gt;0,AS147,)</f>
        <v>0</v>
      </c>
      <c r="FR147" s="13">
        <f>IF('[1]FC vers Ref (Km)'!FR147&lt;&gt;0,AT147,)</f>
        <v>0</v>
      </c>
      <c r="FS147" s="13">
        <f>IF('[1]FC vers Ref (Km)'!FS147&lt;&gt;0,AU147,)</f>
        <v>0</v>
      </c>
      <c r="FT147" s="13">
        <f>IF('[1]FC vers Ref (Km)'!FT147&lt;&gt;0,AV147,)+1+(7/60)</f>
        <v>250.11666666666667</v>
      </c>
      <c r="FU147" s="13">
        <f>IF('[1]FC vers Ref (Km)'!FU147&lt;&gt;0,AW147,)+8+(3/60)</f>
        <v>317.05</v>
      </c>
      <c r="FV147" s="13">
        <f>IF('[1]FC vers Ref (Km)'!FV147&lt;&gt;0,AX147,)+2*24+11</f>
        <v>368</v>
      </c>
      <c r="FW147" s="13">
        <f>IF('[1]FC vers Ref (Km)'!FW147&lt;&gt;0,AY147,)</f>
        <v>0</v>
      </c>
      <c r="FX147" s="14">
        <f>IF('[1]FC vers Ref (Km)'!FX147&lt;&gt;0,AZ147,)</f>
        <v>0</v>
      </c>
      <c r="FY147" s="14">
        <f>IF('[1]FC vers Ref (Km)'!FY147&lt;&gt;0,BA147,)+5+(41/60)</f>
        <v>106.68333333333334</v>
      </c>
      <c r="FZ147" s="13">
        <f>IF('[1]FC vers Ref (Km)'!FZ147&lt;&gt;0,BB147,)</f>
        <v>0</v>
      </c>
      <c r="GA147" s="14">
        <f>IF('[1]FC vers Ref (Km)'!GA147&lt;&gt;0,BC147,)</f>
        <v>0</v>
      </c>
      <c r="GB147" s="13">
        <f>IF('[1]FC vers Ref (Km)'!GB147&lt;&gt;0,BD147,)</f>
        <v>0</v>
      </c>
      <c r="GC147" s="13">
        <f>IF('[1]FC vers Ref (Km)'!GC147&lt;&gt;0,BE147,)+(30/60)</f>
        <v>258.5</v>
      </c>
      <c r="GD147" s="13">
        <f>IF('[1]FC vers Ref (Km)'!GD147&lt;&gt;0,BF147,)</f>
        <v>0</v>
      </c>
      <c r="GE147" s="14">
        <f>IF('[1]FC vers Ref (Km)'!GE147&lt;&gt;0,BG147,)+15+(1/60)</f>
        <v>192.01666666666668</v>
      </c>
      <c r="GF147" s="14">
        <f>IF('[1]FC vers Ref (Km)'!GF147&lt;&gt;0,BH147,)</f>
        <v>0</v>
      </c>
      <c r="GG147" s="14">
        <f>IF('[1]FC vers Ref (Km)'!GG147&lt;&gt;0,BI147,)</f>
        <v>0</v>
      </c>
      <c r="GH147" s="14">
        <f>IF('[1]FC vers Ref (Km)'!GH147&lt;&gt;0,BJ147,)</f>
        <v>0</v>
      </c>
      <c r="GI147" s="15">
        <f>IF('[1]FC vers Ref (Km)'!GI147&lt;&gt;0,BK147,)</f>
        <v>0</v>
      </c>
    </row>
    <row r="148" spans="1:191" x14ac:dyDescent="0.3">
      <c r="A148" s="10" t="s">
        <v>44</v>
      </c>
      <c r="B148" s="35" t="s">
        <v>69</v>
      </c>
      <c r="C148" s="16">
        <f>15*24</f>
        <v>360</v>
      </c>
      <c r="D148" s="14">
        <f>16*24+7</f>
        <v>391</v>
      </c>
      <c r="E148" s="14">
        <f>13*24+22</f>
        <v>334</v>
      </c>
      <c r="F148" s="14">
        <f>15*24+18</f>
        <v>378</v>
      </c>
      <c r="G148" s="14">
        <f>14*24+9</f>
        <v>345</v>
      </c>
      <c r="H148" s="14">
        <f>19*24+6</f>
        <v>462</v>
      </c>
      <c r="I148" s="14">
        <f>18*24+5</f>
        <v>437</v>
      </c>
      <c r="J148" s="14">
        <f>19*24+6</f>
        <v>462</v>
      </c>
      <c r="K148" s="14">
        <f t="shared" si="4"/>
        <v>333</v>
      </c>
      <c r="L148" s="14">
        <f t="shared" si="4"/>
        <v>333</v>
      </c>
      <c r="M148" s="14">
        <f t="shared" si="5"/>
        <v>438</v>
      </c>
      <c r="N148" s="14">
        <f t="shared" si="5"/>
        <v>438</v>
      </c>
      <c r="O148" s="14">
        <f>16*24+17</f>
        <v>401</v>
      </c>
      <c r="P148" s="14">
        <f>13*24+21</f>
        <v>333</v>
      </c>
      <c r="Q148" s="14">
        <f>13*24+19</f>
        <v>331</v>
      </c>
      <c r="R148" s="14">
        <f>11*24+4</f>
        <v>268</v>
      </c>
      <c r="S148" s="14">
        <f>10*24+13</f>
        <v>253</v>
      </c>
      <c r="T148" s="14">
        <f>10*24+15</f>
        <v>255</v>
      </c>
      <c r="U148" s="14">
        <f>10*24+8</f>
        <v>248</v>
      </c>
      <c r="V148" s="14">
        <f>7*24+15</f>
        <v>183</v>
      </c>
      <c r="W148" s="14">
        <f>7*24+6</f>
        <v>174</v>
      </c>
      <c r="X148" s="14">
        <f>11*24+3</f>
        <v>267</v>
      </c>
      <c r="Y148" s="14">
        <f>11*24+22</f>
        <v>286</v>
      </c>
      <c r="Z148" s="14">
        <f>10*24+17</f>
        <v>257</v>
      </c>
      <c r="AA148" s="14">
        <f>7*24+4</f>
        <v>172</v>
      </c>
      <c r="AB148" s="14">
        <f>7*24+12</f>
        <v>180</v>
      </c>
      <c r="AC148" s="14">
        <f>7*24+22</f>
        <v>190</v>
      </c>
      <c r="AD148" s="14">
        <f>7*24+19</f>
        <v>187</v>
      </c>
      <c r="AE148" s="14">
        <f>11*24+22</f>
        <v>286</v>
      </c>
      <c r="AF148" s="14">
        <f t="shared" si="6"/>
        <v>174</v>
      </c>
      <c r="AG148" s="14">
        <f t="shared" si="6"/>
        <v>174</v>
      </c>
      <c r="AH148" s="14">
        <f t="shared" si="6"/>
        <v>174</v>
      </c>
      <c r="AI148" s="13">
        <f>24+23</f>
        <v>47</v>
      </c>
      <c r="AJ148" s="13">
        <f>5*24+9</f>
        <v>129</v>
      </c>
      <c r="AK148" s="13">
        <f>24+23</f>
        <v>47</v>
      </c>
      <c r="AL148" s="13">
        <f>4*24+6</f>
        <v>102</v>
      </c>
      <c r="AM148" s="13">
        <f>11*24</f>
        <v>264</v>
      </c>
      <c r="AN148" s="13">
        <f>10*24+15</f>
        <v>255</v>
      </c>
      <c r="AO148" s="13">
        <f>10*24+9</f>
        <v>249</v>
      </c>
      <c r="AP148" s="14">
        <f>11*24+9</f>
        <v>273</v>
      </c>
      <c r="AQ148" s="14">
        <f>12*24+4</f>
        <v>292</v>
      </c>
      <c r="AR148" s="14">
        <f>8*24+15</f>
        <v>207</v>
      </c>
      <c r="AS148" s="13">
        <v>0</v>
      </c>
      <c r="AT148" s="12"/>
      <c r="AU148" s="13">
        <v>0</v>
      </c>
      <c r="AV148" s="13">
        <f>10*24+9</f>
        <v>249</v>
      </c>
      <c r="AW148" s="13">
        <f t="shared" si="7"/>
        <v>309</v>
      </c>
      <c r="AX148" s="13">
        <f t="shared" si="7"/>
        <v>309</v>
      </c>
      <c r="AY148" s="13">
        <f>11*24+4</f>
        <v>268</v>
      </c>
      <c r="AZ148" s="12"/>
      <c r="BA148" s="12">
        <f>4*24+5</f>
        <v>101</v>
      </c>
      <c r="BB148" s="13">
        <f>7*24+10</f>
        <v>178</v>
      </c>
      <c r="BC148" s="14">
        <f>12*24+9</f>
        <v>297</v>
      </c>
      <c r="BD148" s="13">
        <f>8*24+12</f>
        <v>204</v>
      </c>
      <c r="BE148" s="13">
        <f>10*24+18</f>
        <v>258</v>
      </c>
      <c r="BF148" s="13">
        <f>9*24+20</f>
        <v>236</v>
      </c>
      <c r="BG148" s="14">
        <f>7*24+9</f>
        <v>177</v>
      </c>
      <c r="BH148" s="14">
        <f>6*24+1</f>
        <v>145</v>
      </c>
      <c r="BI148" s="14">
        <f>24*24+10</f>
        <v>586</v>
      </c>
      <c r="BJ148" s="14">
        <f t="shared" si="8"/>
        <v>528</v>
      </c>
      <c r="BK148" s="15">
        <f t="shared" si="8"/>
        <v>528</v>
      </c>
      <c r="BM148" s="10" t="s">
        <v>44</v>
      </c>
      <c r="BN148" s="35" t="s">
        <v>69</v>
      </c>
      <c r="BO148" s="16">
        <f>IF('[1]FC vers Ref (Km)'!BO148&lt;&gt;0,'Délai intermédiaire'!C148,)+20+(5/60)</f>
        <v>380.08333333333331</v>
      </c>
      <c r="BP148" s="14">
        <f>IF('[1]FC vers Ref (Km)'!BP148&lt;&gt;0,'Délai intermédiaire'!D148,)+20+(5/60)</f>
        <v>411.08333333333331</v>
      </c>
      <c r="BQ148" s="14">
        <f>IF('[1]FC vers Ref (Km)'!BQ148&lt;&gt;0,'Délai intermédiaire'!E148,)+20+(5/60)+19+(49/60)</f>
        <v>373.9</v>
      </c>
      <c r="BR148" s="14">
        <f>IF('[1]FC vers Ref (Km)'!BR148&lt;&gt;0,'Délai intermédiaire'!F148,)+20+(5/60)</f>
        <v>398.08333333333331</v>
      </c>
      <c r="BS148" s="14">
        <f>IF('[1]FC vers Ref (Km)'!BS148&lt;&gt;0,'Délai intermédiaire'!G148,)+20+(5/60)+(48/60)</f>
        <v>365.88333333333333</v>
      </c>
      <c r="BT148" s="14">
        <f>IF('[1]FC vers Ref (Km)'!BT148&lt;&gt;0,'Délai intermédiaire'!H148,)+20+(5/60)+15+(47/60)</f>
        <v>497.86666666666667</v>
      </c>
      <c r="BU148" s="14">
        <f>IF('[1]FC vers Ref (Km)'!BU148&lt;&gt;0,'Délai intermédiaire'!I148,)+20+(5/60)</f>
        <v>457.08333333333331</v>
      </c>
      <c r="BV148" s="14">
        <f>IF('[1]FC vers Ref (Km)'!BV148&lt;&gt;0,'Délai intermédiaire'!J148,)+20+(5/60)</f>
        <v>482.08333333333331</v>
      </c>
      <c r="BW148" s="14">
        <f>IF('[1]FC vers Ref (Km)'!BW148&lt;&gt;0,'Délai intermédiaire'!K148,)+20+(5/60)+6+(13/60)</f>
        <v>359.29999999999995</v>
      </c>
      <c r="BX148" s="14">
        <f>IF('[1]FC vers Ref (Km)'!BX148&lt;&gt;0,'Délai intermédiaire'!L148,)+20+(5/60)</f>
        <v>353.08333333333331</v>
      </c>
      <c r="BY148" s="14">
        <f>IF('[1]FC vers Ref (Km)'!BY148&lt;&gt;0,'Délai intermédiaire'!M148,)+20+(5/60)+11+(1/60)</f>
        <v>469.09999999999997</v>
      </c>
      <c r="BZ148" s="14">
        <f>IF('[1]FC vers Ref (Km)'!BZ148&lt;&gt;0,'Délai intermédiaire'!N148,)+20+(5/60)</f>
        <v>458.08333333333331</v>
      </c>
      <c r="CA148" s="14">
        <f>IF('[1]FC vers Ref (Km)'!CA148&lt;&gt;0,'Délai intermédiaire'!O148,)+20+(5/60)+4+(51/60)</f>
        <v>425.93333333333334</v>
      </c>
      <c r="CB148" s="14">
        <f>IF('[1]FC vers Ref (Km)'!CB148&lt;&gt;0,'Délai intermédiaire'!P148,)+20+(5/60)+5+(3/60)</f>
        <v>358.13333333333333</v>
      </c>
      <c r="CC148" s="14">
        <f>IF('[1]FC vers Ref (Km)'!CC148&lt;&gt;0,'Délai intermédiaire'!Q148,)+20+(5/60)+(40/60)</f>
        <v>351.75</v>
      </c>
      <c r="CD148" s="14">
        <f>IF('[1]FC vers Ref (Km)'!CD148&lt;&gt;0,'Délai intermédiaire'!R148,)+20+(5/60)</f>
        <v>288.08333333333331</v>
      </c>
      <c r="CE148" s="14">
        <f>IF('[1]FC vers Ref (Km)'!CE148&lt;&gt;0,'Délai intermédiaire'!S148,)+20+(5/60)</f>
        <v>273.08333333333331</v>
      </c>
      <c r="CF148" s="14">
        <f>IF('[1]FC vers Ref (Km)'!CF148&lt;&gt;0,'Délai intermédiaire'!T148,)+20+(5/60)</f>
        <v>275.08333333333331</v>
      </c>
      <c r="CG148" s="14">
        <f>IF('[1]FC vers Ref (Km)'!CG148&lt;&gt;0,'Délai intermédiaire'!U148,)+20+(5/60)+1+(53/60)</f>
        <v>269.96666666666664</v>
      </c>
      <c r="CH148" s="14">
        <f>IF('[1]FC vers Ref (Km)'!CH148&lt;&gt;0,'Délai intermédiaire'!V148,)+20+(5/60)+2+(57/60)</f>
        <v>206.03333333333333</v>
      </c>
      <c r="CI148" s="14">
        <f>IF('[1]FC vers Ref (Km)'!CI148&lt;&gt;0,'Délai intermédiaire'!W148,)+20+(5/60)+4+(47/60)</f>
        <v>198.86666666666667</v>
      </c>
      <c r="CJ148" s="14">
        <f>IF('[1]FC vers Ref (Km)'!CJ148&lt;&gt;0,'Délai intermédiaire'!X148,)+20+(5/60)</f>
        <v>287.08333333333331</v>
      </c>
      <c r="CK148" s="14">
        <f>IF('[1]FC vers Ref (Km)'!CK148&lt;&gt;0,'Délai intermédiaire'!Y148,)+20+(5/60)+1+(33/60)</f>
        <v>307.63333333333333</v>
      </c>
      <c r="CL148" s="14">
        <f>IF('[1]FC vers Ref (Km)'!CL148&lt;&gt;0,'Délai intermédiaire'!Z148,)+20+(5/60)+2+(30/60)</f>
        <v>279.58333333333331</v>
      </c>
      <c r="CM148" s="14">
        <f>IF('[1]FC vers Ref (Km)'!CM148&lt;&gt;0,'Délai intermédiaire'!AA148,)+20+(5/60)+(56/60)</f>
        <v>193.01666666666668</v>
      </c>
      <c r="CN148" s="14">
        <f>IF('[1]FC vers Ref (Km)'!CN148&lt;&gt;0,'Délai intermédiaire'!AB148,)+20+(5/60)+1+(39/60)</f>
        <v>201.73333333333335</v>
      </c>
      <c r="CO148" s="14">
        <f>IF('[1]FC vers Ref (Km)'!CO148&lt;&gt;0,'Délai intermédiaire'!AC148,)+20+(5/60)+3+(25/60)</f>
        <v>213.5</v>
      </c>
      <c r="CP148" s="14">
        <f>IF('[1]FC vers Ref (Km)'!CP148&lt;&gt;0,'Délai intermédiaire'!AD148,)+20+(5/60)</f>
        <v>207.08333333333334</v>
      </c>
      <c r="CQ148" s="14">
        <f>IF('[1]FC vers Ref (Km)'!CQ148&lt;&gt;0,'Délai intermédiaire'!AE148,)+20+(5/60)</f>
        <v>306.08333333333331</v>
      </c>
      <c r="CR148" s="14">
        <f>IF('[1]FC vers Ref (Km)'!CR148&lt;&gt;0,'Délai intermédiaire'!AF148,)+20+(5/60)+9+(1/60)</f>
        <v>203.10000000000002</v>
      </c>
      <c r="CS148" s="14">
        <f>IF('[1]FC vers Ref (Km)'!CS148&lt;&gt;0,'Délai intermédiaire'!AG148,)+20+(5/60)+7+(48/60)</f>
        <v>201.88333333333335</v>
      </c>
      <c r="CT148" s="14">
        <f>IF('[1]FC vers Ref (Km)'!CT148&lt;&gt;0,'Délai intermédiaire'!AH148,)+20+(5/60)+5+(5/60)</f>
        <v>199.16666666666669</v>
      </c>
      <c r="CU148" s="13">
        <f>IF('[1]FC vers Ref (Km)'!CU148&lt;&gt;0,'Délai intermédiaire'!AI148,)+20+(5/60)+19+(46/60)</f>
        <v>86.85</v>
      </c>
      <c r="CV148" s="13">
        <f>IF('[1]FC vers Ref (Km)'!CV148&lt;&gt;0,'Délai intermédiaire'!AJ148,)+20+(5/60)</f>
        <v>149.08333333333334</v>
      </c>
      <c r="CW148" s="13">
        <f>IF('[1]FC vers Ref (Km)'!CW148&lt;&gt;0,'Délai intermédiaire'!AK148,)+20+(5/60)+12+(26/60)</f>
        <v>79.516666666666666</v>
      </c>
      <c r="CX148" s="13">
        <f>IF('[1]FC vers Ref (Km)'!CX148&lt;&gt;0,'Délai intermédiaire'!AL148,)+20+(5/60)</f>
        <v>122.08333333333333</v>
      </c>
      <c r="CY148" s="13">
        <f>IF('[1]FC vers Ref (Km)'!CY148&lt;&gt;0,'Délai intermédiaire'!AM148,)+20+(5/60)</f>
        <v>284.08333333333331</v>
      </c>
      <c r="CZ148" s="13">
        <f>IF('[1]FC vers Ref (Km)'!CZ148&lt;&gt;0,'Délai intermédiaire'!AN148,)+20+(5/60)</f>
        <v>275.08333333333331</v>
      </c>
      <c r="DA148" s="13">
        <f>IF('[1]FC vers Ref (Km)'!DA148&lt;&gt;0,'Délai intermédiaire'!AO148,)+20+(5/60)+1+(56/60)</f>
        <v>271.01666666666665</v>
      </c>
      <c r="DB148" s="14">
        <f>IF('[1]FC vers Ref (Km)'!DB148&lt;&gt;0,'Délai intermédiaire'!AP148,)+20+(5/60)</f>
        <v>293.08333333333331</v>
      </c>
      <c r="DC148" s="14">
        <f>IF('[1]FC vers Ref (Km)'!DC148&lt;&gt;0,'Délai intermédiaire'!AQ148,)+20+(5/60)</f>
        <v>312.08333333333331</v>
      </c>
      <c r="DD148" s="14">
        <f>IF('[1]FC vers Ref (Km)'!DD148&lt;&gt;0,'Délai intermédiaire'!AR148,)+20+(5/60)</f>
        <v>227.08333333333334</v>
      </c>
      <c r="DE148" s="13">
        <f>IF('[1]FC vers Ref (Km)'!DE148&lt;&gt;0,'Délai intermédiaire'!AS148,)+20+(5/60)</f>
        <v>20.083333333333332</v>
      </c>
      <c r="DF148" s="12"/>
      <c r="DG148" s="13">
        <f>IF('[1]FC vers Ref (Km)'!DG148&lt;&gt;0,'Délai intermédiaire'!AU148,)+20+(5/60)+11+(36/60)</f>
        <v>31.683333333333334</v>
      </c>
      <c r="DH148" s="13">
        <f>IF('[1]FC vers Ref (Km)'!DH148&lt;&gt;0,'Délai intermédiaire'!AV148,)+20+(5/60)+(28/60)</f>
        <v>269.54999999999995</v>
      </c>
      <c r="DI148" s="13">
        <f>IF('[1]FC vers Ref (Km)'!DI148&lt;&gt;0,'Délai intermédiaire'!AW148,)+20+(5/60)+7+(13/60)</f>
        <v>336.29999999999995</v>
      </c>
      <c r="DJ148" s="13">
        <f>IF('[1]FC vers Ref (Km)'!DJ148&lt;&gt;0,'Délai intermédiaire'!AX148,)+20+(5/60)+2*24+15</f>
        <v>392.08333333333331</v>
      </c>
      <c r="DK148" s="13">
        <f>IF('[1]FC vers Ref (Km)'!DK148&lt;&gt;0,'Délai intermédiaire'!AY148,)+20+(5/60)</f>
        <v>288.08333333333331</v>
      </c>
      <c r="DL148" s="12">
        <f>IF('[1]FC vers Ref (Km)'!DL148&lt;&gt;0,'Délai intermédiaire'!AZ148,)+20+(5/60)</f>
        <v>20.083333333333332</v>
      </c>
      <c r="DM148" s="12">
        <f>IF('[1]FC vers Ref (Km)'!DM148&lt;&gt;0,'Délai intermédiaire'!BA148,)+20+(5/60)+7+(17/60)</f>
        <v>128.36666666666665</v>
      </c>
      <c r="DN148" s="13">
        <f>IF('[1]FC vers Ref (Km)'!DN148&lt;&gt;0,'Délai intermédiaire'!BB148,)+20+(5/60)</f>
        <v>198.08333333333334</v>
      </c>
      <c r="DO148" s="14">
        <f>IF('[1]FC vers Ref (Km)'!DO148&lt;&gt;0,'Délai intermédiaire'!BC148,)+20+(5/60)</f>
        <v>317.08333333333331</v>
      </c>
      <c r="DP148" s="13">
        <f>IF('[1]FC vers Ref (Km)'!DP148&lt;&gt;0,'Délai intermédiaire'!BD148,)+20+(5/60)</f>
        <v>224.08333333333334</v>
      </c>
      <c r="DQ148" s="13">
        <f>IF('[1]FC vers Ref (Km)'!DQ148&lt;&gt;0,'Délai intermédiaire'!BE148,)+20+(5/60)+1+(22/60)</f>
        <v>279.45</v>
      </c>
      <c r="DR148" s="13">
        <f>IF('[1]FC vers Ref (Km)'!DR148&lt;&gt;0,'Délai intermédiaire'!BF148,)+20+(5/60)</f>
        <v>256.08333333333331</v>
      </c>
      <c r="DS148" s="14">
        <f>IF('[1]FC vers Ref (Km)'!DS148&lt;&gt;0,'Délai intermédiaire'!BG148,)+20+(5/60)+10+(43/60)</f>
        <v>207.8</v>
      </c>
      <c r="DT148" s="14">
        <f>IF('[1]FC vers Ref (Km)'!DT148&lt;&gt;0,'Délai intermédiaire'!BH148,)+20+(5/60)+(12/60)</f>
        <v>165.28333333333333</v>
      </c>
      <c r="DU148" s="14">
        <f>IF('[1]FC vers Ref (Km)'!DU148&lt;&gt;0,'Délai intermédiaire'!BI148,)+20+(5/60)+7+(45/60)</f>
        <v>613.83333333333337</v>
      </c>
      <c r="DV148" s="14">
        <f>IF('[1]FC vers Ref (Km)'!DV148&lt;&gt;0,'Délai intermédiaire'!BJ148,)+20+(5/60)+1+(10/60)</f>
        <v>549.25</v>
      </c>
      <c r="DW148" s="15">
        <f>IF('[1]FC vers Ref (Km)'!DW148&lt;&gt;0,'Délai intermédiaire'!BK148,)+20+(5/60)+12+(41/60)</f>
        <v>560.76666666666665</v>
      </c>
      <c r="DX148" s="27"/>
      <c r="DY148" s="10" t="s">
        <v>44</v>
      </c>
      <c r="DZ148" s="35" t="s">
        <v>69</v>
      </c>
      <c r="EA148" s="16">
        <f>IF('[1]FC vers Ref (Km)'!EA148&lt;&gt;0,C148,)</f>
        <v>0</v>
      </c>
      <c r="EB148" s="14">
        <f>IF('[1]FC vers Ref (Km)'!EB148&lt;&gt;0,D148,)</f>
        <v>0</v>
      </c>
      <c r="EC148" s="14">
        <f>IF('[1]FC vers Ref (Km)'!EC148&lt;&gt;0,E148,)+7+(55/60)+19+(53/60)</f>
        <v>361.8</v>
      </c>
      <c r="ED148" s="14">
        <f>IF('[1]FC vers Ref (Km)'!ED148&lt;&gt;0,F148,)</f>
        <v>0</v>
      </c>
      <c r="EE148" s="14">
        <f>IF('[1]FC vers Ref (Km)'!EE148&lt;&gt;0,G148,)+(32/60)</f>
        <v>345.53333333333336</v>
      </c>
      <c r="EF148" s="14">
        <f>IF('[1]FC vers Ref (Km)'!EF148&lt;&gt;0,H148,)+14+(25/60)+31+(8/60)</f>
        <v>507.55</v>
      </c>
      <c r="EG148" s="14">
        <f>IF('[1]FC vers Ref (Km)'!EG148&lt;&gt;0,I148,)</f>
        <v>0</v>
      </c>
      <c r="EH148" s="14">
        <f>IF('[1]FC vers Ref (Km)'!EH148&lt;&gt;0,J148,)</f>
        <v>0</v>
      </c>
      <c r="EI148" s="14">
        <f>IF('[1]FC vers Ref (Km)'!EI148&lt;&gt;0,K148,)+5+(11/60)</f>
        <v>338.18333333333334</v>
      </c>
      <c r="EJ148" s="14">
        <f>IF('[1]FC vers Ref (Km)'!EJ148&lt;&gt;0,L148,)</f>
        <v>0</v>
      </c>
      <c r="EK148" s="14">
        <f>IF('[1]FC vers Ref (Km)'!EK148&lt;&gt;0,M148,)</f>
        <v>0</v>
      </c>
      <c r="EL148" s="14">
        <f>IF('[1]FC vers Ref (Km)'!EL148&lt;&gt;0,N148,)</f>
        <v>0</v>
      </c>
      <c r="EM148" s="14">
        <f>IF('[1]FC vers Ref (Km)'!EM148&lt;&gt;0,O148,)</f>
        <v>0</v>
      </c>
      <c r="EN148" s="14">
        <f>IF('[1]FC vers Ref (Km)'!EN148&lt;&gt;0,P148,)</f>
        <v>0</v>
      </c>
      <c r="EO148" s="14">
        <f>IF('[1]FC vers Ref (Km)'!EO148&lt;&gt;0,Q148,)</f>
        <v>0</v>
      </c>
      <c r="EP148" s="14">
        <f>IF('[1]FC vers Ref (Km)'!EP148&lt;&gt;0,R148,)</f>
        <v>0</v>
      </c>
      <c r="EQ148" s="14">
        <f>IF('[1]FC vers Ref (Km)'!EQ148&lt;&gt;0,S148,)</f>
        <v>0</v>
      </c>
      <c r="ER148" s="14">
        <f>IF('[1]FC vers Ref (Km)'!ER148&lt;&gt;0,T148,)</f>
        <v>0</v>
      </c>
      <c r="ES148" s="14">
        <f>IF('[1]FC vers Ref (Km)'!ES148&lt;&gt;0,U148,)+2+(21/60)</f>
        <v>250.35</v>
      </c>
      <c r="ET148" s="14">
        <f>IF('[1]FC vers Ref (Km)'!ET148&lt;&gt;0,V148,)+1+(44/60)</f>
        <v>184.73333333333332</v>
      </c>
      <c r="EU148" s="14">
        <f>IF('[1]FC vers Ref (Km)'!EU148&lt;&gt;0,W148,)+1+(47/60)+2+(31/60)+2+(54/60)</f>
        <v>181.20000000000002</v>
      </c>
      <c r="EV148" s="14">
        <f>IF('[1]FC vers Ref (Km)'!EV148&lt;&gt;0,X148,)</f>
        <v>0</v>
      </c>
      <c r="EW148" s="14">
        <f>IF('[1]FC vers Ref (Km)'!EW148&lt;&gt;0,Y148,)+(56/60)+(59/60)</f>
        <v>287.91666666666669</v>
      </c>
      <c r="EX148" s="14">
        <f>IF('[1]FC vers Ref (Km)'!EX148&lt;&gt;0,Z148,)+1+(35/60)+(37/60)</f>
        <v>259.2</v>
      </c>
      <c r="EY148" s="14">
        <f>IF('[1]FC vers Ref (Km)'!EY148&lt;&gt;0,AA148,)+1+(18/60)</f>
        <v>173.3</v>
      </c>
      <c r="EZ148" s="14">
        <f>IF('[1]FC vers Ref (Km)'!EZ148&lt;&gt;0,AB148,)+1+(39/60)</f>
        <v>181.65</v>
      </c>
      <c r="FA148" s="14">
        <f>IF('[1]FC vers Ref (Km)'!FA148&lt;&gt;0,AC148,)+1+(47/60)</f>
        <v>191.78333333333333</v>
      </c>
      <c r="FB148" s="14">
        <f>IF('[1]FC vers Ref (Km)'!FB148&lt;&gt;0,AD148,)</f>
        <v>0</v>
      </c>
      <c r="FC148" s="14">
        <f>IF('[1]FC vers Ref (Km)'!FC148&lt;&gt;0,AE148,)</f>
        <v>0</v>
      </c>
      <c r="FD148" s="14">
        <f>IF('[1]FC vers Ref (Km)'!FD148&lt;&gt;0,AF148,)+5+(31/60)+5+(51/60)+1+(8/60)</f>
        <v>186.5</v>
      </c>
      <c r="FE148" s="14">
        <f>IF('[1]FC vers Ref (Km)'!FE148&lt;&gt;0,AG148,)+4+(2/60)+5+(51/60)+1+(8/60)</f>
        <v>185.01666666666665</v>
      </c>
      <c r="FF148" s="14">
        <f>IF('[1]FC vers Ref (Km)'!FF148&lt;&gt;0,AH148,)+1+(7/60)+5+(51/60)+1+(8/60)</f>
        <v>182.1</v>
      </c>
      <c r="FG148" s="13">
        <f>IF('[1]FC vers Ref (Km)'!FG148&lt;&gt;0,AI148,)+15+(50/60)</f>
        <v>62.833333333333336</v>
      </c>
      <c r="FH148" s="13">
        <f>IF('[1]FC vers Ref (Km)'!FH148&lt;&gt;0,AJ148,)</f>
        <v>0</v>
      </c>
      <c r="FI148" s="13">
        <f>IF('[1]FC vers Ref (Km)'!FI148&lt;&gt;0,AK148,)+4+(40/60)+11+(32/60)</f>
        <v>63.199999999999996</v>
      </c>
      <c r="FJ148" s="13">
        <f>IF('[1]FC vers Ref (Km)'!FJ148&lt;&gt;0,AL148,)</f>
        <v>0</v>
      </c>
      <c r="FK148" s="13">
        <f>IF('[1]FC vers Ref (Km)'!FK148&lt;&gt;0,AM148,)</f>
        <v>0</v>
      </c>
      <c r="FL148" s="13">
        <f>IF('[1]FC vers Ref (Km)'!FL148&lt;&gt;0,AN148,)</f>
        <v>0</v>
      </c>
      <c r="FM148" s="13">
        <f>IF('[1]FC vers Ref (Km)'!FM148&lt;&gt;0,AO148,)+(55/60)</f>
        <v>249.91666666666666</v>
      </c>
      <c r="FN148" s="14">
        <f>IF('[1]FC vers Ref (Km)'!FN148&lt;&gt;0,AP148,)</f>
        <v>0</v>
      </c>
      <c r="FO148" s="14">
        <f>IF('[1]FC vers Ref (Km)'!FO148&lt;&gt;0,AQ148,)</f>
        <v>0</v>
      </c>
      <c r="FP148" s="14">
        <f>IF('[1]FC vers Ref (Km)'!FP148&lt;&gt;0,AR148,)</f>
        <v>0</v>
      </c>
      <c r="FQ148" s="13">
        <f>IF('[1]FC vers Ref (Km)'!FQ148&lt;&gt;0,AS148,)</f>
        <v>0</v>
      </c>
      <c r="FR148" s="12">
        <f>IF('[1]FC vers Ref (Km)'!FR148&lt;&gt;0,AT148,)</f>
        <v>0</v>
      </c>
      <c r="FS148" s="13">
        <f>IF('[1]FC vers Ref (Km)'!FS148&lt;&gt;0,AU148,)</f>
        <v>0</v>
      </c>
      <c r="FT148" s="13">
        <f>IF('[1]FC vers Ref (Km)'!FT148&lt;&gt;0,AV148,)+1+(7/60)</f>
        <v>250.11666666666667</v>
      </c>
      <c r="FU148" s="13">
        <f>IF('[1]FC vers Ref (Km)'!FU148&lt;&gt;0,AW148,)+8+(3/60)</f>
        <v>317.05</v>
      </c>
      <c r="FV148" s="13">
        <f>IF('[1]FC vers Ref (Km)'!FV148&lt;&gt;0,AX148,)+2*24+11</f>
        <v>368</v>
      </c>
      <c r="FW148" s="13">
        <f>IF('[1]FC vers Ref (Km)'!FW148&lt;&gt;0,AY148,)</f>
        <v>0</v>
      </c>
      <c r="FX148" s="12">
        <f>IF('[1]FC vers Ref (Km)'!FX148&lt;&gt;0,AZ148,)</f>
        <v>0</v>
      </c>
      <c r="FY148" s="12">
        <f>IF('[1]FC vers Ref (Km)'!FY148&lt;&gt;0,BA148,)+5+(41/60)</f>
        <v>106.68333333333334</v>
      </c>
      <c r="FZ148" s="13">
        <f>IF('[1]FC vers Ref (Km)'!FZ148&lt;&gt;0,BB148,)</f>
        <v>0</v>
      </c>
      <c r="GA148" s="14">
        <f>IF('[1]FC vers Ref (Km)'!GA148&lt;&gt;0,BC148,)</f>
        <v>0</v>
      </c>
      <c r="GB148" s="13">
        <f>IF('[1]FC vers Ref (Km)'!GB148&lt;&gt;0,BD148,)</f>
        <v>0</v>
      </c>
      <c r="GC148" s="13">
        <f>IF('[1]FC vers Ref (Km)'!GC148&lt;&gt;0,BE148,)+(30/60)</f>
        <v>258.5</v>
      </c>
      <c r="GD148" s="13">
        <f>IF('[1]FC vers Ref (Km)'!GD148&lt;&gt;0,BF148,)</f>
        <v>0</v>
      </c>
      <c r="GE148" s="14">
        <f>IF('[1]FC vers Ref (Km)'!GE148&lt;&gt;0,BG148,)+15+(1/60)</f>
        <v>192.01666666666668</v>
      </c>
      <c r="GF148" s="14">
        <f>IF('[1]FC vers Ref (Km)'!GF148&lt;&gt;0,BH148,)</f>
        <v>0</v>
      </c>
      <c r="GG148" s="14">
        <f>IF('[1]FC vers Ref (Km)'!GG148&lt;&gt;0,BI148,)</f>
        <v>0</v>
      </c>
      <c r="GH148" s="14">
        <f>IF('[1]FC vers Ref (Km)'!GH148&lt;&gt;0,BJ148,)</f>
        <v>0</v>
      </c>
      <c r="GI148" s="15">
        <f>IF('[1]FC vers Ref (Km)'!GI148&lt;&gt;0,BK148,)</f>
        <v>0</v>
      </c>
    </row>
    <row r="149" spans="1:191" x14ac:dyDescent="0.3">
      <c r="A149" s="20" t="s">
        <v>45</v>
      </c>
      <c r="B149" s="35" t="s">
        <v>69</v>
      </c>
      <c r="C149" s="21">
        <v>360</v>
      </c>
      <c r="D149" s="22">
        <f>16*24+7</f>
        <v>391</v>
      </c>
      <c r="E149" s="22">
        <f>13*24+22</f>
        <v>334</v>
      </c>
      <c r="F149" s="22">
        <f>15*24+18</f>
        <v>378</v>
      </c>
      <c r="G149" s="22">
        <f>14*24+9</f>
        <v>345</v>
      </c>
      <c r="H149" s="22">
        <f>19*24+6</f>
        <v>462</v>
      </c>
      <c r="I149" s="22">
        <f>18*24+5</f>
        <v>437</v>
      </c>
      <c r="J149" s="22">
        <f>19*24+6</f>
        <v>462</v>
      </c>
      <c r="K149" s="22">
        <f t="shared" si="4"/>
        <v>333</v>
      </c>
      <c r="L149" s="22">
        <f t="shared" si="4"/>
        <v>333</v>
      </c>
      <c r="M149" s="22">
        <f t="shared" si="5"/>
        <v>438</v>
      </c>
      <c r="N149" s="22">
        <f t="shared" si="5"/>
        <v>438</v>
      </c>
      <c r="O149" s="22">
        <f>16*24+17</f>
        <v>401</v>
      </c>
      <c r="P149" s="22">
        <f>13*24+21</f>
        <v>333</v>
      </c>
      <c r="Q149" s="22">
        <f>13*24+19</f>
        <v>331</v>
      </c>
      <c r="R149" s="22">
        <f>11*24+4</f>
        <v>268</v>
      </c>
      <c r="S149" s="22">
        <f>10*24+13</f>
        <v>253</v>
      </c>
      <c r="T149" s="22">
        <f>10*24+15</f>
        <v>255</v>
      </c>
      <c r="U149" s="22">
        <f>10*24+8</f>
        <v>248</v>
      </c>
      <c r="V149" s="22">
        <f>7*24+15</f>
        <v>183</v>
      </c>
      <c r="W149" s="22">
        <f>7*24+6</f>
        <v>174</v>
      </c>
      <c r="X149" s="22">
        <f>11*24+3</f>
        <v>267</v>
      </c>
      <c r="Y149" s="22">
        <f>11*24+22</f>
        <v>286</v>
      </c>
      <c r="Z149" s="22">
        <f>10*24+17</f>
        <v>257</v>
      </c>
      <c r="AA149" s="22">
        <f>7*24+4</f>
        <v>172</v>
      </c>
      <c r="AB149" s="22">
        <f>7*24+12</f>
        <v>180</v>
      </c>
      <c r="AC149" s="22">
        <f>7*24+22</f>
        <v>190</v>
      </c>
      <c r="AD149" s="22">
        <f>7*24+19</f>
        <v>187</v>
      </c>
      <c r="AE149" s="22">
        <f>11*24+22</f>
        <v>286</v>
      </c>
      <c r="AF149" s="22">
        <f t="shared" si="6"/>
        <v>174</v>
      </c>
      <c r="AG149" s="22">
        <f t="shared" si="6"/>
        <v>174</v>
      </c>
      <c r="AH149" s="22">
        <f t="shared" si="6"/>
        <v>174</v>
      </c>
      <c r="AI149" s="23">
        <f>24+23</f>
        <v>47</v>
      </c>
      <c r="AJ149" s="23">
        <f>5*24+9</f>
        <v>129</v>
      </c>
      <c r="AK149" s="23">
        <f>24+23</f>
        <v>47</v>
      </c>
      <c r="AL149" s="23">
        <f>4*24+6</f>
        <v>102</v>
      </c>
      <c r="AM149" s="23">
        <f>11*24</f>
        <v>264</v>
      </c>
      <c r="AN149" s="23">
        <f>10*24+15</f>
        <v>255</v>
      </c>
      <c r="AO149" s="23">
        <f>10*24+9</f>
        <v>249</v>
      </c>
      <c r="AP149" s="22">
        <f>11*24+9</f>
        <v>273</v>
      </c>
      <c r="AQ149" s="22">
        <f>12*24+4</f>
        <v>292</v>
      </c>
      <c r="AR149" s="22">
        <f>8*24+15</f>
        <v>207</v>
      </c>
      <c r="AS149" s="23">
        <v>0</v>
      </c>
      <c r="AT149" s="23">
        <v>0</v>
      </c>
      <c r="AU149" s="24"/>
      <c r="AV149" s="23">
        <f>10*24+9</f>
        <v>249</v>
      </c>
      <c r="AW149" s="23">
        <f t="shared" si="7"/>
        <v>309</v>
      </c>
      <c r="AX149" s="23">
        <f t="shared" si="7"/>
        <v>309</v>
      </c>
      <c r="AY149" s="23">
        <f>11*24+4</f>
        <v>268</v>
      </c>
      <c r="AZ149" s="22"/>
      <c r="BA149" s="22">
        <f>4*24+5</f>
        <v>101</v>
      </c>
      <c r="BB149" s="24">
        <f>7*24+10</f>
        <v>178</v>
      </c>
      <c r="BC149" s="22">
        <f>12*24+9</f>
        <v>297</v>
      </c>
      <c r="BD149" s="23">
        <f>8*24+12</f>
        <v>204</v>
      </c>
      <c r="BE149" s="23">
        <f>10*24+18</f>
        <v>258</v>
      </c>
      <c r="BF149" s="23">
        <f>9*24+20</f>
        <v>236</v>
      </c>
      <c r="BG149" s="22">
        <f>7*24+9</f>
        <v>177</v>
      </c>
      <c r="BH149" s="22">
        <f>6*24+1</f>
        <v>145</v>
      </c>
      <c r="BI149" s="22">
        <f>24*24+10</f>
        <v>586</v>
      </c>
      <c r="BJ149" s="22">
        <f t="shared" si="8"/>
        <v>528</v>
      </c>
      <c r="BK149" s="25">
        <f t="shared" si="8"/>
        <v>528</v>
      </c>
      <c r="BM149" s="20" t="s">
        <v>45</v>
      </c>
      <c r="BN149" s="35" t="s">
        <v>69</v>
      </c>
      <c r="BO149" s="21">
        <f>IF('[1]FC vers Ref (Km)'!BO149&lt;&gt;0,'Délai intermédiaire'!C149,)+11+(36/60)</f>
        <v>371.6</v>
      </c>
      <c r="BP149" s="22">
        <f>IF('[1]FC vers Ref (Km)'!BP149&lt;&gt;0,'Délai intermédiaire'!D149,)+11+(36/60)</f>
        <v>402.6</v>
      </c>
      <c r="BQ149" s="22">
        <f>IF('[1]FC vers Ref (Km)'!BQ149&lt;&gt;0,'Délai intermédiaire'!E149,)+11+(36/60)+19+(49/60)</f>
        <v>365.41666666666669</v>
      </c>
      <c r="BR149" s="22">
        <f>IF('[1]FC vers Ref (Km)'!BR149&lt;&gt;0,'Délai intermédiaire'!F149,)+11+(36/60)</f>
        <v>389.6</v>
      </c>
      <c r="BS149" s="22">
        <f>IF('[1]FC vers Ref (Km)'!BS149&lt;&gt;0,'Délai intermédiaire'!G149,)+11+(36/60)+(48/60)</f>
        <v>357.40000000000003</v>
      </c>
      <c r="BT149" s="22">
        <f>IF('[1]FC vers Ref (Km)'!BT149&lt;&gt;0,'Délai intermédiaire'!H149,)+11+(36/60)+15+(47/60)</f>
        <v>489.38333333333338</v>
      </c>
      <c r="BU149" s="22">
        <f>IF('[1]FC vers Ref (Km)'!BU149&lt;&gt;0,'Délai intermédiaire'!I149,)+11+(36/60)</f>
        <v>448.6</v>
      </c>
      <c r="BV149" s="22">
        <f>IF('[1]FC vers Ref (Km)'!BV149&lt;&gt;0,'Délai intermédiaire'!J149,)+11+(36/60)</f>
        <v>473.6</v>
      </c>
      <c r="BW149" s="22">
        <f>IF('[1]FC vers Ref (Km)'!BW149&lt;&gt;0,'Délai intermédiaire'!K149,)+11+(36/60)+6+(13/60)</f>
        <v>350.81666666666666</v>
      </c>
      <c r="BX149" s="22">
        <f>IF('[1]FC vers Ref (Km)'!BX149&lt;&gt;0,'Délai intermédiaire'!L149,)+11+(36/60)</f>
        <v>344.6</v>
      </c>
      <c r="BY149" s="22">
        <f>IF('[1]FC vers Ref (Km)'!BY149&lt;&gt;0,'Délai intermédiaire'!M149,)+11+(36/60)+11+(1/60)</f>
        <v>460.61666666666667</v>
      </c>
      <c r="BZ149" s="22">
        <f>IF('[1]FC vers Ref (Km)'!BZ149&lt;&gt;0,'Délai intermédiaire'!N149,)+11+(36/60)</f>
        <v>449.6</v>
      </c>
      <c r="CA149" s="22">
        <f>IF('[1]FC vers Ref (Km)'!CA149&lt;&gt;0,'Délai intermédiaire'!O149,)+11+(36/60)+4+(51/60)</f>
        <v>417.45000000000005</v>
      </c>
      <c r="CB149" s="22">
        <f>IF('[1]FC vers Ref (Km)'!CB149&lt;&gt;0,'Délai intermédiaire'!P149,)+11+(36/60)+5+(3/60)</f>
        <v>349.65000000000003</v>
      </c>
      <c r="CC149" s="22">
        <f>IF('[1]FC vers Ref (Km)'!CC149&lt;&gt;0,'Délai intermédiaire'!Q149,)+11+(36/60)+(40/60)</f>
        <v>343.26666666666671</v>
      </c>
      <c r="CD149" s="22">
        <f>IF('[1]FC vers Ref (Km)'!CD149&lt;&gt;0,'Délai intermédiaire'!R149,)+11+(36/60)</f>
        <v>279.60000000000002</v>
      </c>
      <c r="CE149" s="22">
        <f>IF('[1]FC vers Ref (Km)'!CE149&lt;&gt;0,'Délai intermédiaire'!S149,)+11+(36/60)</f>
        <v>264.60000000000002</v>
      </c>
      <c r="CF149" s="22">
        <f>IF('[1]FC vers Ref (Km)'!CF149&lt;&gt;0,'Délai intermédiaire'!T149,)+11+(36/60)</f>
        <v>266.60000000000002</v>
      </c>
      <c r="CG149" s="22">
        <f>IF('[1]FC vers Ref (Km)'!CG149&lt;&gt;0,'Délai intermédiaire'!U149,)+11+(36/60)+1+(53/60)</f>
        <v>261.48333333333335</v>
      </c>
      <c r="CH149" s="22">
        <f>IF('[1]FC vers Ref (Km)'!CH149&lt;&gt;0,'Délai intermédiaire'!V149,)+11+(36/60)+2+(57/60)</f>
        <v>197.54999999999998</v>
      </c>
      <c r="CI149" s="22">
        <f>IF('[1]FC vers Ref (Km)'!CI149&lt;&gt;0,'Délai intermédiaire'!W149,)+11+(36/60)+4+(47/60)</f>
        <v>190.38333333333333</v>
      </c>
      <c r="CJ149" s="22">
        <f>IF('[1]FC vers Ref (Km)'!CJ149&lt;&gt;0,'Délai intermédiaire'!X149,)+11+(36/60)</f>
        <v>278.60000000000002</v>
      </c>
      <c r="CK149" s="22">
        <f>IF('[1]FC vers Ref (Km)'!CK149&lt;&gt;0,'Délai intermédiaire'!Y149,)+11+(36/60)+1+(33/60)</f>
        <v>299.15000000000003</v>
      </c>
      <c r="CL149" s="22">
        <f>IF('[1]FC vers Ref (Km)'!CL149&lt;&gt;0,'Délai intermédiaire'!Z149,)+11+(36/60)+2+(30/60)</f>
        <v>271.10000000000002</v>
      </c>
      <c r="CM149" s="22">
        <f>IF('[1]FC vers Ref (Km)'!CM149&lt;&gt;0,'Délai intermédiaire'!AA149,)+11+(36/60)+(56/60)</f>
        <v>184.53333333333333</v>
      </c>
      <c r="CN149" s="22">
        <f>IF('[1]FC vers Ref (Km)'!CN149&lt;&gt;0,'Délai intermédiaire'!AB149,)+11+(36/60)+1+(39/60)</f>
        <v>193.25</v>
      </c>
      <c r="CO149" s="22">
        <f>IF('[1]FC vers Ref (Km)'!CO149&lt;&gt;0,'Délai intermédiaire'!AC149,)+11+(36/60)+3+(25/60)</f>
        <v>205.01666666666665</v>
      </c>
      <c r="CP149" s="22">
        <f>IF('[1]FC vers Ref (Km)'!CP149&lt;&gt;0,'Délai intermédiaire'!AD149,)+11+(36/60)</f>
        <v>198.6</v>
      </c>
      <c r="CQ149" s="22">
        <f>IF('[1]FC vers Ref (Km)'!CQ149&lt;&gt;0,'Délai intermédiaire'!AE149,)+11+(36/60)</f>
        <v>297.60000000000002</v>
      </c>
      <c r="CR149" s="22">
        <f>IF('[1]FC vers Ref (Km)'!CR149&lt;&gt;0,'Délai intermédiaire'!AF149,)+11+(36/60)+9+(1/60)</f>
        <v>194.61666666666667</v>
      </c>
      <c r="CS149" s="22">
        <f>IF('[1]FC vers Ref (Km)'!CS149&lt;&gt;0,'Délai intermédiaire'!AG149,)+11+(36/60)+7+(48/60)</f>
        <v>193.4</v>
      </c>
      <c r="CT149" s="22">
        <f>IF('[1]FC vers Ref (Km)'!CT149&lt;&gt;0,'Délai intermédiaire'!AH149,)+11+(36/60)+5+(5/60)</f>
        <v>190.68333333333334</v>
      </c>
      <c r="CU149" s="23">
        <f>IF('[1]FC vers Ref (Km)'!CU149&lt;&gt;0,'Délai intermédiaire'!AI149,)+11+(36/60)+19+(46/60)</f>
        <v>78.36666666666666</v>
      </c>
      <c r="CV149" s="23">
        <f>IF('[1]FC vers Ref (Km)'!CV149&lt;&gt;0,'Délai intermédiaire'!AJ149,)+11+(36/60)</f>
        <v>140.6</v>
      </c>
      <c r="CW149" s="23">
        <f>IF('[1]FC vers Ref (Km)'!CW149&lt;&gt;0,'Délai intermédiaire'!AK149,)+11+(36/60)+12+(26/60)</f>
        <v>71.033333333333331</v>
      </c>
      <c r="CX149" s="23">
        <f>IF('[1]FC vers Ref (Km)'!CX149&lt;&gt;0,'Délai intermédiaire'!AL149,)+11+(36/60)</f>
        <v>113.6</v>
      </c>
      <c r="CY149" s="23">
        <f>IF('[1]FC vers Ref (Km)'!CY149&lt;&gt;0,'Délai intermédiaire'!AM149,)+11+(36/60)</f>
        <v>275.60000000000002</v>
      </c>
      <c r="CZ149" s="23">
        <f>IF('[1]FC vers Ref (Km)'!CZ149&lt;&gt;0,'Délai intermédiaire'!AN149,)+11+(36/60)</f>
        <v>266.60000000000002</v>
      </c>
      <c r="DA149" s="23">
        <f>IF('[1]FC vers Ref (Km)'!DA149&lt;&gt;0,'Délai intermédiaire'!AO149,)+11+(36/60)+1+(56/60)</f>
        <v>262.53333333333336</v>
      </c>
      <c r="DB149" s="22">
        <f>IF('[1]FC vers Ref (Km)'!DB149&lt;&gt;0,'Délai intermédiaire'!AP149,)+11+(36/60)</f>
        <v>284.60000000000002</v>
      </c>
      <c r="DC149" s="22">
        <f>IF('[1]FC vers Ref (Km)'!DC149&lt;&gt;0,'Délai intermédiaire'!AQ149,)+11+(36/60)</f>
        <v>303.60000000000002</v>
      </c>
      <c r="DD149" s="22">
        <f>IF('[1]FC vers Ref (Km)'!DD149&lt;&gt;0,'Délai intermédiaire'!AR149,)+11+(36/60)</f>
        <v>218.6</v>
      </c>
      <c r="DE149" s="23">
        <f>IF('[1]FC vers Ref (Km)'!DE149&lt;&gt;0,'Délai intermédiaire'!AS149,)+11+(36/60)</f>
        <v>11.6</v>
      </c>
      <c r="DF149" s="23">
        <f>IF('[1]FC vers Ref (Km)'!DF149&lt;&gt;0,'Délai intermédiaire'!AT149,)+11+(36/60)+20+(5/60)</f>
        <v>31.683333333333334</v>
      </c>
      <c r="DG149" s="24"/>
      <c r="DH149" s="23">
        <f>IF('[1]FC vers Ref (Km)'!DH149&lt;&gt;0,'Délai intermédiaire'!AV149,)+11+(36/60)+(28/60)</f>
        <v>261.06666666666666</v>
      </c>
      <c r="DI149" s="23">
        <f>IF('[1]FC vers Ref (Km)'!DI149&lt;&gt;0,'Délai intermédiaire'!AW149,)+11+(36/60)+7+(13/60)</f>
        <v>327.81666666666666</v>
      </c>
      <c r="DJ149" s="23">
        <f>IF('[1]FC vers Ref (Km)'!DJ149&lt;&gt;0,'Délai intermédiaire'!AX149,)+11+(36/60)+2*24+15</f>
        <v>383.6</v>
      </c>
      <c r="DK149" s="23">
        <f>IF('[1]FC vers Ref (Km)'!DK149&lt;&gt;0,'Délai intermédiaire'!AY149,)+11+(36/60)</f>
        <v>279.60000000000002</v>
      </c>
      <c r="DL149" s="22">
        <f>IF('[1]FC vers Ref (Km)'!DL149&lt;&gt;0,'Délai intermédiaire'!AZ149,)+11+(36/60)</f>
        <v>11.6</v>
      </c>
      <c r="DM149" s="22">
        <f>IF('[1]FC vers Ref (Km)'!DM149&lt;&gt;0,'Délai intermédiaire'!BA149,)+11+(36/60)+7+(17/60)</f>
        <v>119.88333333333333</v>
      </c>
      <c r="DN149" s="24">
        <f>IF('[1]FC vers Ref (Km)'!DN149&lt;&gt;0,'Délai intermédiaire'!BB149,)+11+(36/60)</f>
        <v>189.6</v>
      </c>
      <c r="DO149" s="22">
        <f>IF('[1]FC vers Ref (Km)'!DO149&lt;&gt;0,'Délai intermédiaire'!BC149,)+11+(36/60)</f>
        <v>308.60000000000002</v>
      </c>
      <c r="DP149" s="23">
        <f>IF('[1]FC vers Ref (Km)'!DP149&lt;&gt;0,'Délai intermédiaire'!BD149,)+11+(36/60)</f>
        <v>215.6</v>
      </c>
      <c r="DQ149" s="23">
        <f>IF('[1]FC vers Ref (Km)'!DQ149&lt;&gt;0,'Délai intermédiaire'!BE149,)+11+(36/60)+1+(22/60)</f>
        <v>270.9666666666667</v>
      </c>
      <c r="DR149" s="23">
        <f>IF('[1]FC vers Ref (Km)'!DR149&lt;&gt;0,'Délai intermédiaire'!BF149,)+11+(36/60)</f>
        <v>247.6</v>
      </c>
      <c r="DS149" s="22">
        <f>IF('[1]FC vers Ref (Km)'!DS149&lt;&gt;0,'Délai intermédiaire'!BG149,)+11+(36/60)+10+(43/60)</f>
        <v>199.31666666666666</v>
      </c>
      <c r="DT149" s="22">
        <f>IF('[1]FC vers Ref (Km)'!DT149&lt;&gt;0,'Délai intermédiaire'!BH149,)+11+(36/60)+(12/60)</f>
        <v>156.79999999999998</v>
      </c>
      <c r="DU149" s="22">
        <f>IF('[1]FC vers Ref (Km)'!DU149&lt;&gt;0,'Délai intermédiaire'!BI149,)+11+(36/60)+7+(45/60)</f>
        <v>605.35</v>
      </c>
      <c r="DV149" s="22">
        <f>IF('[1]FC vers Ref (Km)'!DV149&lt;&gt;0,'Délai intermédiaire'!BJ149,)+11+(36/60)+1+(10/60)</f>
        <v>540.76666666666665</v>
      </c>
      <c r="DW149" s="25">
        <f>IF('[1]FC vers Ref (Km)'!DW149&lt;&gt;0,'Délai intermédiaire'!BK149,)+11+(36/60)+12+(41/60)</f>
        <v>552.2833333333333</v>
      </c>
      <c r="DX149" s="27"/>
      <c r="DY149" s="20" t="s">
        <v>45</v>
      </c>
      <c r="DZ149" s="35" t="s">
        <v>69</v>
      </c>
      <c r="EA149" s="21">
        <f>IF('[1]FC vers Ref (Km)'!EA149&lt;&gt;0,C149,)</f>
        <v>0</v>
      </c>
      <c r="EB149" s="22">
        <f>IF('[1]FC vers Ref (Km)'!EB149&lt;&gt;0,D149,)</f>
        <v>0</v>
      </c>
      <c r="EC149" s="22">
        <f>IF('[1]FC vers Ref (Km)'!EC149&lt;&gt;0,E149,)+7+(55/60)+19+(53/60)</f>
        <v>361.8</v>
      </c>
      <c r="ED149" s="22">
        <f>IF('[1]FC vers Ref (Km)'!ED149&lt;&gt;0,F149,)</f>
        <v>0</v>
      </c>
      <c r="EE149" s="22">
        <f>IF('[1]FC vers Ref (Km)'!EE149&lt;&gt;0,G149,)+(32/60)</f>
        <v>345.53333333333336</v>
      </c>
      <c r="EF149" s="22">
        <f>IF('[1]FC vers Ref (Km)'!EF149&lt;&gt;0,H149,)+14+(25/60)+31+(8/60)</f>
        <v>507.55</v>
      </c>
      <c r="EG149" s="22">
        <f>IF('[1]FC vers Ref (Km)'!EG149&lt;&gt;0,I149,)</f>
        <v>0</v>
      </c>
      <c r="EH149" s="22">
        <f>IF('[1]FC vers Ref (Km)'!EH149&lt;&gt;0,J149,)</f>
        <v>0</v>
      </c>
      <c r="EI149" s="22">
        <f>IF('[1]FC vers Ref (Km)'!EI149&lt;&gt;0,K149,)+5+(11/60)</f>
        <v>338.18333333333334</v>
      </c>
      <c r="EJ149" s="22">
        <f>IF('[1]FC vers Ref (Km)'!EJ149&lt;&gt;0,L149,)</f>
        <v>0</v>
      </c>
      <c r="EK149" s="22">
        <f>IF('[1]FC vers Ref (Km)'!EK149&lt;&gt;0,M149,)</f>
        <v>0</v>
      </c>
      <c r="EL149" s="22">
        <f>IF('[1]FC vers Ref (Km)'!EL149&lt;&gt;0,N149,)</f>
        <v>0</v>
      </c>
      <c r="EM149" s="22">
        <f>IF('[1]FC vers Ref (Km)'!EM149&lt;&gt;0,O149,)</f>
        <v>0</v>
      </c>
      <c r="EN149" s="22">
        <f>IF('[1]FC vers Ref (Km)'!EN149&lt;&gt;0,P149,)</f>
        <v>0</v>
      </c>
      <c r="EO149" s="22">
        <f>IF('[1]FC vers Ref (Km)'!EO149&lt;&gt;0,Q149,)</f>
        <v>0</v>
      </c>
      <c r="EP149" s="22">
        <f>IF('[1]FC vers Ref (Km)'!EP149&lt;&gt;0,R149,)</f>
        <v>0</v>
      </c>
      <c r="EQ149" s="22">
        <f>IF('[1]FC vers Ref (Km)'!EQ149&lt;&gt;0,S149,)</f>
        <v>0</v>
      </c>
      <c r="ER149" s="22">
        <f>IF('[1]FC vers Ref (Km)'!ER149&lt;&gt;0,T149,)</f>
        <v>0</v>
      </c>
      <c r="ES149" s="22">
        <f>IF('[1]FC vers Ref (Km)'!ES149&lt;&gt;0,U149,)+2+(21/60)</f>
        <v>250.35</v>
      </c>
      <c r="ET149" s="22">
        <f>IF('[1]FC vers Ref (Km)'!ET149&lt;&gt;0,V149,)+1+(44/60)</f>
        <v>184.73333333333332</v>
      </c>
      <c r="EU149" s="22">
        <f>IF('[1]FC vers Ref (Km)'!EU149&lt;&gt;0,W149,)+1+(47/60)+2+(31/60)+2+(54/60)</f>
        <v>181.20000000000002</v>
      </c>
      <c r="EV149" s="22">
        <f>IF('[1]FC vers Ref (Km)'!EV149&lt;&gt;0,X149,)</f>
        <v>0</v>
      </c>
      <c r="EW149" s="22">
        <f>IF('[1]FC vers Ref (Km)'!EW149&lt;&gt;0,Y149,)+(56/60)+(59/60)</f>
        <v>287.91666666666669</v>
      </c>
      <c r="EX149" s="22">
        <f>IF('[1]FC vers Ref (Km)'!EX149&lt;&gt;0,Z149,)+1+(35/60)+(37/60)</f>
        <v>259.2</v>
      </c>
      <c r="EY149" s="22">
        <f>IF('[1]FC vers Ref (Km)'!EY149&lt;&gt;0,AA149,)+1+(18/60)</f>
        <v>173.3</v>
      </c>
      <c r="EZ149" s="22">
        <f>IF('[1]FC vers Ref (Km)'!EZ149&lt;&gt;0,AB149,)+1+(39/60)</f>
        <v>181.65</v>
      </c>
      <c r="FA149" s="22">
        <f>IF('[1]FC vers Ref (Km)'!FA149&lt;&gt;0,AC149,)+1+(47/60)</f>
        <v>191.78333333333333</v>
      </c>
      <c r="FB149" s="22">
        <f>IF('[1]FC vers Ref (Km)'!FB149&lt;&gt;0,AD149,)</f>
        <v>0</v>
      </c>
      <c r="FC149" s="22">
        <f>IF('[1]FC vers Ref (Km)'!FC149&lt;&gt;0,AE149,)</f>
        <v>0</v>
      </c>
      <c r="FD149" s="22">
        <f>IF('[1]FC vers Ref (Km)'!FD149&lt;&gt;0,AF149,)+5+(31/60)+5+(51/60)+1+(8/60)</f>
        <v>186.5</v>
      </c>
      <c r="FE149" s="22">
        <f>IF('[1]FC vers Ref (Km)'!FE149&lt;&gt;0,AG149,)+4+(2/60)+5+(51/60)+1+(8/60)</f>
        <v>185.01666666666665</v>
      </c>
      <c r="FF149" s="22">
        <f>IF('[1]FC vers Ref (Km)'!FF149&lt;&gt;0,AH149,)+1+(7/60)+5+(51/60)+1+(8/60)</f>
        <v>182.1</v>
      </c>
      <c r="FG149" s="23">
        <f>IF('[1]FC vers Ref (Km)'!FG149&lt;&gt;0,AI149,)+15+(50/60)</f>
        <v>62.833333333333336</v>
      </c>
      <c r="FH149" s="23">
        <f>IF('[1]FC vers Ref (Km)'!FH149&lt;&gt;0,AJ149,)</f>
        <v>0</v>
      </c>
      <c r="FI149" s="23">
        <f>IF('[1]FC vers Ref (Km)'!FI149&lt;&gt;0,AK149,)+4+(40/60)+11+(32/60)</f>
        <v>63.199999999999996</v>
      </c>
      <c r="FJ149" s="23">
        <f>IF('[1]FC vers Ref (Km)'!FJ149&lt;&gt;0,AL149,)</f>
        <v>0</v>
      </c>
      <c r="FK149" s="23">
        <f>IF('[1]FC vers Ref (Km)'!FK149&lt;&gt;0,AM149,)</f>
        <v>0</v>
      </c>
      <c r="FL149" s="23">
        <f>IF('[1]FC vers Ref (Km)'!FL149&lt;&gt;0,AN149,)</f>
        <v>0</v>
      </c>
      <c r="FM149" s="23">
        <f>IF('[1]FC vers Ref (Km)'!FM149&lt;&gt;0,AO149,)+(55/60)</f>
        <v>249.91666666666666</v>
      </c>
      <c r="FN149" s="22">
        <f>IF('[1]FC vers Ref (Km)'!FN149&lt;&gt;0,AP149,)</f>
        <v>0</v>
      </c>
      <c r="FO149" s="22">
        <f>IF('[1]FC vers Ref (Km)'!FO149&lt;&gt;0,AQ149,)</f>
        <v>0</v>
      </c>
      <c r="FP149" s="22">
        <f>IF('[1]FC vers Ref (Km)'!FP149&lt;&gt;0,AR149,)</f>
        <v>0</v>
      </c>
      <c r="FQ149" s="23">
        <f>IF('[1]FC vers Ref (Km)'!FQ149&lt;&gt;0,AS149,)</f>
        <v>0</v>
      </c>
      <c r="FR149" s="23">
        <f>IF('[1]FC vers Ref (Km)'!FR149&lt;&gt;0,AT149,)</f>
        <v>0</v>
      </c>
      <c r="FS149" s="24">
        <f>IF('[1]FC vers Ref (Km)'!FS149&lt;&gt;0,AU149,)</f>
        <v>0</v>
      </c>
      <c r="FT149" s="23">
        <f>IF('[1]FC vers Ref (Km)'!FT149&lt;&gt;0,AV149,)+1+(7/60)</f>
        <v>250.11666666666667</v>
      </c>
      <c r="FU149" s="23">
        <f>IF('[1]FC vers Ref (Km)'!FU149&lt;&gt;0,AW149,)+8+(3/60)</f>
        <v>317.05</v>
      </c>
      <c r="FV149" s="23">
        <f>IF('[1]FC vers Ref (Km)'!FV149&lt;&gt;0,AX149,)+2*24+11</f>
        <v>368</v>
      </c>
      <c r="FW149" s="23">
        <f>IF('[1]FC vers Ref (Km)'!FW149&lt;&gt;0,AY149,)</f>
        <v>0</v>
      </c>
      <c r="FX149" s="22">
        <f>IF('[1]FC vers Ref (Km)'!FX149&lt;&gt;0,AZ149,)</f>
        <v>0</v>
      </c>
      <c r="FY149" s="22">
        <f>IF('[1]FC vers Ref (Km)'!FY149&lt;&gt;0,BA149,)+5+(41/60)</f>
        <v>106.68333333333334</v>
      </c>
      <c r="FZ149" s="24">
        <f>IF('[1]FC vers Ref (Km)'!FZ149&lt;&gt;0,BB149,)</f>
        <v>0</v>
      </c>
      <c r="GA149" s="22">
        <f>IF('[1]FC vers Ref (Km)'!GA149&lt;&gt;0,BC149,)</f>
        <v>0</v>
      </c>
      <c r="GB149" s="23">
        <f>IF('[1]FC vers Ref (Km)'!GB149&lt;&gt;0,BD149,)</f>
        <v>0</v>
      </c>
      <c r="GC149" s="23">
        <f>IF('[1]FC vers Ref (Km)'!GC149&lt;&gt;0,BE149,)+(30/60)</f>
        <v>258.5</v>
      </c>
      <c r="GD149" s="23">
        <f>IF('[1]FC vers Ref (Km)'!GD149&lt;&gt;0,BF149,)</f>
        <v>0</v>
      </c>
      <c r="GE149" s="22">
        <f>IF('[1]FC vers Ref (Km)'!GE149&lt;&gt;0,BG149,)+15+(1/60)</f>
        <v>192.01666666666668</v>
      </c>
      <c r="GF149" s="22">
        <f>IF('[1]FC vers Ref (Km)'!GF149&lt;&gt;0,BH149,)</f>
        <v>0</v>
      </c>
      <c r="GG149" s="22">
        <f>IF('[1]FC vers Ref (Km)'!GG149&lt;&gt;0,BI149,)</f>
        <v>0</v>
      </c>
      <c r="GH149" s="22">
        <f>IF('[1]FC vers Ref (Km)'!GH149&lt;&gt;0,BJ149,)</f>
        <v>0</v>
      </c>
      <c r="GI149" s="25">
        <f>IF('[1]FC vers Ref (Km)'!GI149&lt;&gt;0,BK149,)</f>
        <v>0</v>
      </c>
    </row>
    <row r="152" spans="1:191" ht="21" x14ac:dyDescent="0.3">
      <c r="A152" s="55" t="s">
        <v>142</v>
      </c>
      <c r="B152" s="56"/>
      <c r="BL152" s="58"/>
      <c r="BM152" s="58"/>
      <c r="DW152" s="58"/>
      <c r="DX152" s="58"/>
    </row>
    <row r="154" spans="1:191" x14ac:dyDescent="0.3">
      <c r="A154" s="1" t="s">
        <v>66</v>
      </c>
      <c r="B154" s="2" t="s">
        <v>1</v>
      </c>
      <c r="C154" s="3" t="s">
        <v>2</v>
      </c>
      <c r="D154" s="3" t="s">
        <v>3</v>
      </c>
      <c r="E154" s="3" t="s">
        <v>4</v>
      </c>
      <c r="F154" s="3" t="s">
        <v>5</v>
      </c>
      <c r="G154" s="3" t="s">
        <v>6</v>
      </c>
      <c r="H154" s="3" t="s">
        <v>7</v>
      </c>
      <c r="I154" s="3" t="s">
        <v>8</v>
      </c>
      <c r="J154" s="3" t="s">
        <v>9</v>
      </c>
      <c r="K154" s="3" t="s">
        <v>10</v>
      </c>
      <c r="L154" s="3" t="s">
        <v>11</v>
      </c>
      <c r="M154" s="3" t="s">
        <v>12</v>
      </c>
      <c r="N154" s="3" t="s">
        <v>13</v>
      </c>
      <c r="O154" s="3" t="s">
        <v>14</v>
      </c>
      <c r="P154" s="3" t="s">
        <v>15</v>
      </c>
      <c r="Q154" s="3" t="s">
        <v>16</v>
      </c>
      <c r="R154" s="3" t="s">
        <v>17</v>
      </c>
      <c r="S154" s="3" t="s">
        <v>18</v>
      </c>
      <c r="T154" s="3" t="s">
        <v>19</v>
      </c>
      <c r="U154" s="3" t="s">
        <v>20</v>
      </c>
      <c r="V154" s="3" t="s">
        <v>21</v>
      </c>
      <c r="W154" s="3" t="s">
        <v>22</v>
      </c>
      <c r="X154" s="3" t="s">
        <v>23</v>
      </c>
      <c r="Y154" s="3" t="s">
        <v>24</v>
      </c>
      <c r="Z154" s="3" t="s">
        <v>25</v>
      </c>
      <c r="AA154" s="3" t="s">
        <v>26</v>
      </c>
      <c r="AB154" s="3" t="s">
        <v>27</v>
      </c>
      <c r="AC154" s="3" t="s">
        <v>28</v>
      </c>
      <c r="AD154" s="3" t="s">
        <v>29</v>
      </c>
      <c r="AE154" s="3" t="s">
        <v>30</v>
      </c>
      <c r="AF154" s="3" t="s">
        <v>31</v>
      </c>
      <c r="AG154" s="3" t="s">
        <v>133</v>
      </c>
      <c r="AH154" s="3" t="s">
        <v>104</v>
      </c>
      <c r="AI154" s="3" t="s">
        <v>34</v>
      </c>
      <c r="AJ154" s="3" t="s">
        <v>35</v>
      </c>
      <c r="AK154" s="3" t="s">
        <v>36</v>
      </c>
      <c r="AL154" s="3" t="s">
        <v>37</v>
      </c>
      <c r="AM154" s="3" t="s">
        <v>38</v>
      </c>
      <c r="AN154" s="3" t="s">
        <v>39</v>
      </c>
      <c r="AO154" s="3" t="s">
        <v>40</v>
      </c>
      <c r="AP154" s="3" t="s">
        <v>41</v>
      </c>
      <c r="AQ154" s="3" t="s">
        <v>42</v>
      </c>
      <c r="AR154" s="3" t="s">
        <v>43</v>
      </c>
      <c r="AS154" s="3" t="s">
        <v>44</v>
      </c>
      <c r="AT154" s="3" t="s">
        <v>45</v>
      </c>
      <c r="AU154" s="3" t="s">
        <v>46</v>
      </c>
      <c r="AV154" s="3" t="s">
        <v>47</v>
      </c>
      <c r="AW154" s="3" t="s">
        <v>48</v>
      </c>
      <c r="AX154" s="3" t="s">
        <v>49</v>
      </c>
      <c r="AY154" s="3" t="s">
        <v>50</v>
      </c>
      <c r="AZ154" s="3" t="s">
        <v>51</v>
      </c>
      <c r="BA154" s="3" t="s">
        <v>52</v>
      </c>
      <c r="BB154" s="3" t="s">
        <v>53</v>
      </c>
      <c r="BC154" s="3" t="s">
        <v>54</v>
      </c>
      <c r="BD154" s="3" t="s">
        <v>55</v>
      </c>
      <c r="BE154" s="3" t="s">
        <v>56</v>
      </c>
      <c r="BF154" s="3" t="s">
        <v>57</v>
      </c>
      <c r="BG154" s="3" t="s">
        <v>58</v>
      </c>
      <c r="BH154" s="3" t="s">
        <v>59</v>
      </c>
      <c r="BI154" s="3" t="s">
        <v>60</v>
      </c>
      <c r="BJ154" s="4" t="s">
        <v>61</v>
      </c>
      <c r="BL154" s="51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W154" s="51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50"/>
      <c r="FL154" s="50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</row>
    <row r="155" spans="1:191" x14ac:dyDescent="0.3">
      <c r="A155" s="5" t="s">
        <v>1</v>
      </c>
      <c r="B155" s="6">
        <v>0</v>
      </c>
      <c r="C155" s="7">
        <v>1.95</v>
      </c>
      <c r="D155" s="7">
        <v>3.8</v>
      </c>
      <c r="E155" s="7">
        <v>3.3166666666666664</v>
      </c>
      <c r="F155" s="7">
        <v>2.3166666666666664</v>
      </c>
      <c r="G155" s="7">
        <v>4.2166666666666668</v>
      </c>
      <c r="H155" s="7">
        <v>6.45</v>
      </c>
      <c r="I155" s="7">
        <v>5.5166666666666666</v>
      </c>
      <c r="J155" s="7">
        <v>3.1666666666666665</v>
      </c>
      <c r="K155" s="7">
        <v>3.4166666666666665</v>
      </c>
      <c r="L155" s="7">
        <v>7.95</v>
      </c>
      <c r="M155" s="7">
        <v>8.3333333333333339</v>
      </c>
      <c r="N155" s="7">
        <v>3.25</v>
      </c>
      <c r="O155" s="8">
        <v>8.25</v>
      </c>
      <c r="P155" s="8">
        <v>7.75</v>
      </c>
      <c r="Q155" s="8">
        <v>10.833333333333334</v>
      </c>
      <c r="R155" s="8">
        <v>12.166666666666666</v>
      </c>
      <c r="S155" s="8">
        <v>8.1666666666666661</v>
      </c>
      <c r="T155" s="8">
        <v>8.8333333333333339</v>
      </c>
      <c r="U155" s="8">
        <v>11.333333333333334</v>
      </c>
      <c r="V155" s="8">
        <v>9.1666666666666661</v>
      </c>
      <c r="W155" s="8">
        <v>11.25</v>
      </c>
      <c r="X155" s="8">
        <v>11.183333333333334</v>
      </c>
      <c r="Y155" s="8">
        <v>14.05</v>
      </c>
      <c r="Z155" s="8">
        <v>10.166666666666666</v>
      </c>
      <c r="AA155" s="8">
        <v>11.083333333333334</v>
      </c>
      <c r="AB155" s="8">
        <v>8.5</v>
      </c>
      <c r="AC155" s="8">
        <v>9</v>
      </c>
      <c r="AD155" s="8">
        <v>13.933333333333334</v>
      </c>
      <c r="AE155" s="8">
        <v>11.766666666666667</v>
      </c>
      <c r="AF155" s="8">
        <v>11.25</v>
      </c>
      <c r="AG155" s="8">
        <v>11.433333333333334</v>
      </c>
      <c r="AH155" s="8">
        <v>17.75</v>
      </c>
      <c r="AI155" s="8">
        <v>20.25</v>
      </c>
      <c r="AJ155" s="8">
        <v>22.866666666666667</v>
      </c>
      <c r="AK155" s="8">
        <v>20.083333333333332</v>
      </c>
      <c r="AL155" s="8">
        <v>17.166666666666668</v>
      </c>
      <c r="AM155" s="8">
        <v>19.166666666666668</v>
      </c>
      <c r="AN155" s="8">
        <v>20.5</v>
      </c>
      <c r="AO155" s="8">
        <v>23.25</v>
      </c>
      <c r="AP155" s="8">
        <v>21.416666666666668</v>
      </c>
      <c r="AQ155" s="8">
        <v>26.333333333333332</v>
      </c>
      <c r="AR155" s="8">
        <v>16.5</v>
      </c>
      <c r="AS155" s="8">
        <v>19.083333333333332</v>
      </c>
      <c r="AT155" s="8">
        <v>16.75</v>
      </c>
      <c r="AU155" s="8">
        <f>21+(30/60)</f>
        <v>21.5</v>
      </c>
      <c r="AV155" s="8">
        <f>16+(31/60)</f>
        <v>16.516666666666666</v>
      </c>
      <c r="AW155" s="8">
        <f>20+(35/60)</f>
        <v>20.583333333333332</v>
      </c>
      <c r="AX155" s="8">
        <f>25+(40/60)</f>
        <v>25.666666666666668</v>
      </c>
      <c r="AY155" s="8">
        <f>16+(35/60)</f>
        <v>16.583333333333332</v>
      </c>
      <c r="AZ155" s="8">
        <f>18</f>
        <v>18</v>
      </c>
      <c r="BA155" s="8">
        <f>20+(55/60)</f>
        <v>20.916666666666668</v>
      </c>
      <c r="BB155" s="8">
        <f>9+(30/60)</f>
        <v>9.5</v>
      </c>
      <c r="BC155" s="8">
        <f>19+(15/60)</f>
        <v>19.25</v>
      </c>
      <c r="BD155" s="8">
        <f>18</f>
        <v>18</v>
      </c>
      <c r="BE155" s="8">
        <f>18+(35/60)</f>
        <v>18.583333333333332</v>
      </c>
      <c r="BF155" s="8">
        <f>12+(40/60)</f>
        <v>12.666666666666666</v>
      </c>
      <c r="BG155" s="8">
        <f>12+(41/60)</f>
        <v>12.683333333333334</v>
      </c>
      <c r="BH155" s="8">
        <f>3+(35/60)</f>
        <v>3.5833333333333335</v>
      </c>
      <c r="BI155" s="8">
        <f>8+(5/60)</f>
        <v>8.0833333333333339</v>
      </c>
      <c r="BJ155" s="9">
        <f>10+(52/60)</f>
        <v>10.866666666666667</v>
      </c>
      <c r="BL155" s="26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49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W155" s="26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49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</row>
    <row r="156" spans="1:191" x14ac:dyDescent="0.3">
      <c r="A156" s="10" t="s">
        <v>2</v>
      </c>
      <c r="B156" s="11">
        <f>1+(57/60)</f>
        <v>1.95</v>
      </c>
      <c r="C156" s="12">
        <v>0</v>
      </c>
      <c r="D156" s="13">
        <v>2.6833333333333336</v>
      </c>
      <c r="E156" s="13">
        <v>2.25</v>
      </c>
      <c r="F156" s="13">
        <v>2.4166666666666665</v>
      </c>
      <c r="G156" s="13">
        <v>2.9166666666666665</v>
      </c>
      <c r="H156" s="13">
        <v>5.2166666666666668</v>
      </c>
      <c r="I156" s="13">
        <v>4.0999999999999996</v>
      </c>
      <c r="J156" s="13">
        <v>2.8666666666666667</v>
      </c>
      <c r="K156" s="13">
        <v>3.25</v>
      </c>
      <c r="L156" s="13">
        <v>6.5666666666666664</v>
      </c>
      <c r="M156" s="13">
        <v>6.916666666666667</v>
      </c>
      <c r="N156" s="13">
        <v>4.5</v>
      </c>
      <c r="O156" s="14">
        <v>11.666666666666666</v>
      </c>
      <c r="P156" s="14">
        <v>13.5</v>
      </c>
      <c r="Q156" s="14">
        <v>10.733333333333333</v>
      </c>
      <c r="R156" s="14">
        <v>13.35</v>
      </c>
      <c r="S156" s="14">
        <v>13.433333333333334</v>
      </c>
      <c r="T156" s="14">
        <v>11.083333333333334</v>
      </c>
      <c r="U156" s="14">
        <v>11.833333333333334</v>
      </c>
      <c r="V156" s="14">
        <v>11.75</v>
      </c>
      <c r="W156" s="14">
        <v>13.433333333333334</v>
      </c>
      <c r="X156" s="14">
        <v>11.916666666666666</v>
      </c>
      <c r="Y156" s="14">
        <v>14.266666666666667</v>
      </c>
      <c r="Z156" s="14">
        <v>12.35</v>
      </c>
      <c r="AA156" s="14">
        <v>11.416666666666666</v>
      </c>
      <c r="AB156" s="14">
        <v>11.233333333333333</v>
      </c>
      <c r="AC156" s="14">
        <v>11.75</v>
      </c>
      <c r="AD156" s="14">
        <v>15.5</v>
      </c>
      <c r="AE156" s="14">
        <v>14.083333333333334</v>
      </c>
      <c r="AF156" s="14">
        <v>13.083333333333334</v>
      </c>
      <c r="AG156" s="14">
        <v>12.75</v>
      </c>
      <c r="AH156" s="14">
        <v>17.666666666666668</v>
      </c>
      <c r="AI156" s="14">
        <v>20.25</v>
      </c>
      <c r="AJ156" s="14">
        <v>25.2</v>
      </c>
      <c r="AK156" s="14">
        <v>21.75</v>
      </c>
      <c r="AL156" s="14">
        <v>16.25</v>
      </c>
      <c r="AM156" s="14">
        <v>18.416666666666668</v>
      </c>
      <c r="AN156" s="14">
        <v>19.416666666666668</v>
      </c>
      <c r="AO156" s="14">
        <v>21.516666666666666</v>
      </c>
      <c r="AP156" s="14">
        <v>20.233333333333334</v>
      </c>
      <c r="AQ156" s="14">
        <v>26.35</v>
      </c>
      <c r="AR156" s="14">
        <v>17.416666666666668</v>
      </c>
      <c r="AS156" s="14">
        <v>17.833333333333332</v>
      </c>
      <c r="AT156" s="14">
        <v>15.433333333333334</v>
      </c>
      <c r="AU156" s="14">
        <f>20+(15/60)</f>
        <v>20.25</v>
      </c>
      <c r="AV156" s="14">
        <f>15</f>
        <v>15</v>
      </c>
      <c r="AW156" s="14">
        <f>24+(35/60)</f>
        <v>24.583333333333332</v>
      </c>
      <c r="AX156" s="14">
        <f>25+(35/60)</f>
        <v>25.583333333333332</v>
      </c>
      <c r="AY156" s="14">
        <f>17+(35/60)</f>
        <v>17.583333333333332</v>
      </c>
      <c r="AZ156" s="14">
        <f>18+(40/60)</f>
        <v>18.666666666666668</v>
      </c>
      <c r="BA156" s="14">
        <f>23+(55/60)</f>
        <v>23.916666666666668</v>
      </c>
      <c r="BB156" s="14">
        <f>11+(51/60)</f>
        <v>11.85</v>
      </c>
      <c r="BC156" s="14">
        <f>19+(20/60)</f>
        <v>19.333333333333332</v>
      </c>
      <c r="BD156" s="14">
        <f>17+(40/60)</f>
        <v>17.666666666666668</v>
      </c>
      <c r="BE156" s="14">
        <f>18+(30/60)</f>
        <v>18.5</v>
      </c>
      <c r="BF156" s="14">
        <f>13+(20/60)</f>
        <v>13.333333333333334</v>
      </c>
      <c r="BG156" s="14">
        <f>13+(15/60)</f>
        <v>13.25</v>
      </c>
      <c r="BH156" s="14">
        <f>6+(24/60)</f>
        <v>6.4</v>
      </c>
      <c r="BI156" s="14">
        <f>11+(43/60)</f>
        <v>11.716666666666667</v>
      </c>
      <c r="BJ156" s="15">
        <f>14+(22/60)</f>
        <v>14.366666666666667</v>
      </c>
      <c r="BL156" s="26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49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W156" s="26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49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</row>
    <row r="157" spans="1:191" x14ac:dyDescent="0.3">
      <c r="A157" s="10" t="s">
        <v>3</v>
      </c>
      <c r="B157" s="11">
        <f>3+(48/60)</f>
        <v>3.8</v>
      </c>
      <c r="C157" s="13">
        <f>2+(41/60)</f>
        <v>2.6833333333333336</v>
      </c>
      <c r="D157" s="12">
        <v>0</v>
      </c>
      <c r="E157" s="13">
        <v>1.5</v>
      </c>
      <c r="F157" s="13">
        <v>2.3666666666666667</v>
      </c>
      <c r="G157" s="13">
        <v>1.9833333333333334</v>
      </c>
      <c r="H157" s="13">
        <v>3.7166666666666668</v>
      </c>
      <c r="I157" s="13">
        <v>3.75</v>
      </c>
      <c r="J157" s="13">
        <v>2.0833333333333335</v>
      </c>
      <c r="K157" s="13">
        <v>2.6666666666666665</v>
      </c>
      <c r="L157" s="13">
        <v>2.95</v>
      </c>
      <c r="M157" s="13">
        <v>3.85</v>
      </c>
      <c r="N157" s="13">
        <v>4.25</v>
      </c>
      <c r="O157" s="14">
        <v>12.916666666666666</v>
      </c>
      <c r="P157" s="14">
        <v>12.616666666666667</v>
      </c>
      <c r="Q157" s="14">
        <v>10.433333333333334</v>
      </c>
      <c r="R157" s="14">
        <v>11.5</v>
      </c>
      <c r="S157" s="14">
        <v>10.816666666666666</v>
      </c>
      <c r="T157" s="14">
        <v>8.3333333333333339</v>
      </c>
      <c r="U157" s="14">
        <v>10.666666666666666</v>
      </c>
      <c r="V157" s="14">
        <v>10.75</v>
      </c>
      <c r="W157" s="14">
        <v>10.75</v>
      </c>
      <c r="X157" s="14">
        <v>10.833333333333334</v>
      </c>
      <c r="Y157" s="14">
        <v>14</v>
      </c>
      <c r="Z157" s="14">
        <v>11.333333333333334</v>
      </c>
      <c r="AA157" s="14">
        <v>10.75</v>
      </c>
      <c r="AB157" s="14">
        <v>10.45</v>
      </c>
      <c r="AC157" s="14">
        <v>10.883333333333333</v>
      </c>
      <c r="AD157" s="14">
        <v>14</v>
      </c>
      <c r="AE157" s="14">
        <v>11.333333333333334</v>
      </c>
      <c r="AF157" s="14">
        <v>11.233333333333333</v>
      </c>
      <c r="AG157" s="14">
        <v>11.416666666666666</v>
      </c>
      <c r="AH157" s="14">
        <v>16.733333333333334</v>
      </c>
      <c r="AI157" s="14">
        <v>20.6</v>
      </c>
      <c r="AJ157" s="14">
        <v>22.5</v>
      </c>
      <c r="AK157" s="14">
        <v>20.166666666666668</v>
      </c>
      <c r="AL157" s="14">
        <v>12.333333333333334</v>
      </c>
      <c r="AM157" s="14">
        <v>14.75</v>
      </c>
      <c r="AN157" s="14">
        <v>15.25</v>
      </c>
      <c r="AO157" s="14">
        <v>21.25</v>
      </c>
      <c r="AP157" s="14">
        <v>20</v>
      </c>
      <c r="AQ157" s="14">
        <v>26.25</v>
      </c>
      <c r="AR157" s="14">
        <v>16.083333333333332</v>
      </c>
      <c r="AS157" s="14">
        <v>19</v>
      </c>
      <c r="AT157" s="14">
        <v>16.666666666666668</v>
      </c>
      <c r="AU157" s="14">
        <f>16+(50/60)</f>
        <v>16.833333333333332</v>
      </c>
      <c r="AV157" s="14">
        <f>13+(30/60)</f>
        <v>13.5</v>
      </c>
      <c r="AW157" s="14">
        <f>20+(30/60)</f>
        <v>20.5</v>
      </c>
      <c r="AX157" s="14">
        <f>25</f>
        <v>25</v>
      </c>
      <c r="AY157" s="14">
        <f>22+(20/60)</f>
        <v>22.333333333333332</v>
      </c>
      <c r="AZ157" s="14">
        <f>18+(30/60)</f>
        <v>18.5</v>
      </c>
      <c r="BA157" s="14">
        <f>20+(55/60)</f>
        <v>20.916666666666668</v>
      </c>
      <c r="BB157" s="14">
        <f>10+(25/60)</f>
        <v>10.416666666666666</v>
      </c>
      <c r="BC157" s="14">
        <f>19+(45/60)</f>
        <v>19.75</v>
      </c>
      <c r="BD157" s="14">
        <f>15+(45/60)</f>
        <v>15.75</v>
      </c>
      <c r="BE157" s="14">
        <f>17</f>
        <v>17</v>
      </c>
      <c r="BF157" s="14">
        <f>12+(39/60)</f>
        <v>12.65</v>
      </c>
      <c r="BG157" s="14">
        <f>12+(20/60)</f>
        <v>12.333333333333334</v>
      </c>
      <c r="BH157" s="14">
        <f>7+(45/60)</f>
        <v>7.75</v>
      </c>
      <c r="BI157" s="14">
        <f>12+(49/60)</f>
        <v>12.816666666666666</v>
      </c>
      <c r="BJ157" s="15">
        <f>16+(2/60)</f>
        <v>16.033333333333335</v>
      </c>
      <c r="BL157" s="26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49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W157" s="26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49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</row>
    <row r="158" spans="1:191" x14ac:dyDescent="0.3">
      <c r="A158" s="10" t="s">
        <v>4</v>
      </c>
      <c r="B158" s="11">
        <f>3+(19/60)</f>
        <v>3.3166666666666664</v>
      </c>
      <c r="C158" s="13">
        <f>2+(15/60)</f>
        <v>2.25</v>
      </c>
      <c r="D158" s="13">
        <f>1+(30/60)</f>
        <v>1.5</v>
      </c>
      <c r="E158" s="12">
        <v>0</v>
      </c>
      <c r="F158" s="13">
        <v>1.6666666666666665</v>
      </c>
      <c r="G158" s="13">
        <v>2.4666666666666668</v>
      </c>
      <c r="H158" s="13">
        <v>4.4000000000000004</v>
      </c>
      <c r="I158" s="13">
        <v>4.333333333333333</v>
      </c>
      <c r="J158" s="13">
        <v>1.4333333333333333</v>
      </c>
      <c r="K158" s="13">
        <v>2.0333333333333332</v>
      </c>
      <c r="L158" s="13">
        <v>3.8</v>
      </c>
      <c r="M158" s="13">
        <v>4.4000000000000004</v>
      </c>
      <c r="N158" s="13">
        <v>4.416666666666667</v>
      </c>
      <c r="O158" s="14">
        <v>10.416666666666666</v>
      </c>
      <c r="P158" s="14">
        <v>12.833333333333334</v>
      </c>
      <c r="Q158" s="14">
        <v>7.666666666666667</v>
      </c>
      <c r="R158" s="14">
        <v>9.0833333333333339</v>
      </c>
      <c r="S158" s="14">
        <v>7.666666666666667</v>
      </c>
      <c r="T158" s="14">
        <v>8.0833333333333339</v>
      </c>
      <c r="U158" s="14">
        <v>10.5</v>
      </c>
      <c r="V158" s="14">
        <v>8.3333333333333339</v>
      </c>
      <c r="W158" s="14">
        <v>10</v>
      </c>
      <c r="X158" s="14">
        <v>10.666666666666666</v>
      </c>
      <c r="Y158" s="14">
        <v>12.166666666666666</v>
      </c>
      <c r="Z158" s="14">
        <v>9.0833333333333339</v>
      </c>
      <c r="AA158" s="14">
        <v>10.166666666666666</v>
      </c>
      <c r="AB158" s="14">
        <v>8.0833333333333339</v>
      </c>
      <c r="AC158" s="14">
        <v>8.5</v>
      </c>
      <c r="AD158" s="14">
        <v>13.083333333333334</v>
      </c>
      <c r="AE158" s="14">
        <v>9.1666666666666661</v>
      </c>
      <c r="AF158" s="14">
        <v>10.75</v>
      </c>
      <c r="AG158" s="14">
        <v>9</v>
      </c>
      <c r="AH158" s="14">
        <v>14.25</v>
      </c>
      <c r="AI158" s="14">
        <v>17.583333333333332</v>
      </c>
      <c r="AJ158" s="14">
        <v>21.95</v>
      </c>
      <c r="AK158" s="14">
        <v>18</v>
      </c>
      <c r="AL158" s="14">
        <v>13.25</v>
      </c>
      <c r="AM158" s="14">
        <v>15.666666666666666</v>
      </c>
      <c r="AN158" s="14">
        <v>16.5</v>
      </c>
      <c r="AO158" s="14">
        <v>20.833333333333332</v>
      </c>
      <c r="AP158" s="14">
        <v>19.916666666666668</v>
      </c>
      <c r="AQ158" s="14">
        <v>25.833333333333332</v>
      </c>
      <c r="AR158" s="14">
        <v>13.416666666666666</v>
      </c>
      <c r="AS158" s="14">
        <v>15.916666666666668</v>
      </c>
      <c r="AT158" s="14">
        <v>15.333333333333334</v>
      </c>
      <c r="AU158" s="14">
        <f>16+(45/60)</f>
        <v>16.75</v>
      </c>
      <c r="AV158" s="14">
        <f>12</f>
        <v>12</v>
      </c>
      <c r="AW158" s="14">
        <f>17+(35/60)</f>
        <v>17.583333333333332</v>
      </c>
      <c r="AX158" s="14">
        <f>24+(45/60)</f>
        <v>24.75</v>
      </c>
      <c r="AY158" s="14">
        <f>16+(55/60)</f>
        <v>16.916666666666668</v>
      </c>
      <c r="AZ158" s="14">
        <f>17+(45/60)</f>
        <v>17.75</v>
      </c>
      <c r="BA158" s="14">
        <f>19+(15/60)</f>
        <v>19.25</v>
      </c>
      <c r="BB158" s="14">
        <f>8+(25/60)</f>
        <v>8.4166666666666661</v>
      </c>
      <c r="BC158" s="14">
        <f>16</f>
        <v>16</v>
      </c>
      <c r="BD158" s="14">
        <f>13+(45/60)</f>
        <v>13.75</v>
      </c>
      <c r="BE158" s="14">
        <f>14+(35/60)</f>
        <v>14.583333333333334</v>
      </c>
      <c r="BF158" s="14">
        <f>13+(20/60)</f>
        <v>13.333333333333334</v>
      </c>
      <c r="BG158" s="14">
        <f>10+(25/60)</f>
        <v>10.416666666666666</v>
      </c>
      <c r="BH158" s="14">
        <f>7+(23/60)</f>
        <v>7.3833333333333337</v>
      </c>
      <c r="BI158" s="14">
        <f>12+(7/60)</f>
        <v>12.116666666666667</v>
      </c>
      <c r="BJ158" s="15">
        <f>13+(59/60)</f>
        <v>13.983333333333333</v>
      </c>
      <c r="BL158" s="26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49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W158" s="26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49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</row>
    <row r="159" spans="1:191" x14ac:dyDescent="0.3">
      <c r="A159" s="10" t="s">
        <v>5</v>
      </c>
      <c r="B159" s="11">
        <f>2+(19/60)</f>
        <v>2.3166666666666664</v>
      </c>
      <c r="C159" s="13">
        <f>2+(25/60)</f>
        <v>2.4166666666666665</v>
      </c>
      <c r="D159" s="13">
        <f>2+(22/60)</f>
        <v>2.3666666666666667</v>
      </c>
      <c r="E159" s="13">
        <f>1+(40/60)</f>
        <v>1.6666666666666665</v>
      </c>
      <c r="F159" s="12">
        <v>0</v>
      </c>
      <c r="G159" s="13">
        <v>3.4833333333333334</v>
      </c>
      <c r="H159" s="13">
        <v>5.2833333333333332</v>
      </c>
      <c r="I159" s="13">
        <v>5.0166666666666666</v>
      </c>
      <c r="J159" s="13">
        <v>1.2</v>
      </c>
      <c r="K159" s="13">
        <v>1.4833333333333334</v>
      </c>
      <c r="L159" s="13">
        <v>4.45</v>
      </c>
      <c r="M159" s="13">
        <v>5.2166666666666668</v>
      </c>
      <c r="N159" s="13">
        <v>4.25</v>
      </c>
      <c r="O159" s="14">
        <v>9.9499999999999993</v>
      </c>
      <c r="P159" s="14">
        <v>8.9333333333333336</v>
      </c>
      <c r="Q159" s="14">
        <v>7.4333333333333336</v>
      </c>
      <c r="R159" s="14">
        <v>7.5333333333333332</v>
      </c>
      <c r="S159" s="14">
        <v>7.85</v>
      </c>
      <c r="T159" s="14">
        <v>8.1833333333333336</v>
      </c>
      <c r="U159" s="14">
        <v>8.5666666666666664</v>
      </c>
      <c r="V159" s="14">
        <v>9</v>
      </c>
      <c r="W159" s="14">
        <v>8.5500000000000007</v>
      </c>
      <c r="X159" s="14">
        <v>8.8666666666666671</v>
      </c>
      <c r="Y159" s="14">
        <v>9</v>
      </c>
      <c r="Z159" s="14">
        <v>10</v>
      </c>
      <c r="AA159" s="14">
        <v>9</v>
      </c>
      <c r="AB159" s="14">
        <v>8</v>
      </c>
      <c r="AC159" s="14">
        <v>9</v>
      </c>
      <c r="AD159" s="14">
        <v>9</v>
      </c>
      <c r="AE159" s="14">
        <v>10</v>
      </c>
      <c r="AF159" s="14">
        <v>9</v>
      </c>
      <c r="AG159" s="14">
        <v>9</v>
      </c>
      <c r="AH159" s="14">
        <v>16</v>
      </c>
      <c r="AI159" s="14">
        <v>17</v>
      </c>
      <c r="AJ159" s="14">
        <v>17</v>
      </c>
      <c r="AK159" s="14">
        <v>18</v>
      </c>
      <c r="AL159" s="14">
        <v>14</v>
      </c>
      <c r="AM159" s="14">
        <v>15</v>
      </c>
      <c r="AN159" s="14">
        <v>15</v>
      </c>
      <c r="AO159" s="14">
        <v>21</v>
      </c>
      <c r="AP159" s="14">
        <v>20</v>
      </c>
      <c r="AQ159" s="14">
        <v>24</v>
      </c>
      <c r="AR159" s="14">
        <v>15</v>
      </c>
      <c r="AS159" s="14">
        <v>14</v>
      </c>
      <c r="AT159" s="14">
        <v>14</v>
      </c>
      <c r="AU159" s="14">
        <v>15</v>
      </c>
      <c r="AV159" s="14">
        <v>11</v>
      </c>
      <c r="AW159" s="14">
        <v>12</v>
      </c>
      <c r="AX159" s="14">
        <v>14</v>
      </c>
      <c r="AY159" s="14">
        <v>9</v>
      </c>
      <c r="AZ159" s="14">
        <v>16</v>
      </c>
      <c r="BA159" s="14">
        <v>18</v>
      </c>
      <c r="BB159" s="14">
        <v>9</v>
      </c>
      <c r="BC159" s="14">
        <v>17</v>
      </c>
      <c r="BD159" s="14">
        <v>15</v>
      </c>
      <c r="BE159" s="14">
        <v>15</v>
      </c>
      <c r="BF159" s="14">
        <v>10</v>
      </c>
      <c r="BG159" s="14">
        <v>11</v>
      </c>
      <c r="BH159" s="14">
        <v>5</v>
      </c>
      <c r="BI159" s="14">
        <v>10</v>
      </c>
      <c r="BJ159" s="15">
        <v>10</v>
      </c>
      <c r="BL159" s="26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49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W159" s="26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49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</row>
    <row r="160" spans="1:191" x14ac:dyDescent="0.3">
      <c r="A160" s="10" t="s">
        <v>103</v>
      </c>
      <c r="B160" s="11">
        <f>4+(13/60)</f>
        <v>4.2166666666666668</v>
      </c>
      <c r="C160" s="13">
        <f>2+(55/60)</f>
        <v>2.9166666666666665</v>
      </c>
      <c r="D160" s="13">
        <f>1+(59/60)</f>
        <v>1.9833333333333334</v>
      </c>
      <c r="E160" s="13">
        <f>2+(28/60)</f>
        <v>2.4666666666666668</v>
      </c>
      <c r="F160" s="13">
        <f>3+(29/60)</f>
        <v>3.4833333333333334</v>
      </c>
      <c r="G160" s="12">
        <v>0</v>
      </c>
      <c r="H160" s="13">
        <v>2</v>
      </c>
      <c r="I160" s="13">
        <v>2</v>
      </c>
      <c r="J160" s="13">
        <v>3</v>
      </c>
      <c r="K160" s="13">
        <v>4</v>
      </c>
      <c r="L160" s="13">
        <v>2</v>
      </c>
      <c r="M160" s="13">
        <v>3</v>
      </c>
      <c r="N160" s="13">
        <v>3</v>
      </c>
      <c r="O160" s="14">
        <v>12</v>
      </c>
      <c r="P160" s="14">
        <v>12</v>
      </c>
      <c r="Q160" s="14">
        <v>9</v>
      </c>
      <c r="R160" s="14">
        <v>10</v>
      </c>
      <c r="S160" s="14">
        <v>10</v>
      </c>
      <c r="T160" s="14">
        <v>10</v>
      </c>
      <c r="U160" s="14">
        <v>11</v>
      </c>
      <c r="V160" s="14">
        <v>11</v>
      </c>
      <c r="W160" s="14">
        <v>11</v>
      </c>
      <c r="X160" s="14">
        <v>11</v>
      </c>
      <c r="Y160" s="14">
        <v>10</v>
      </c>
      <c r="Z160" s="14">
        <v>12</v>
      </c>
      <c r="AA160" s="14">
        <v>11</v>
      </c>
      <c r="AB160" s="14">
        <v>11</v>
      </c>
      <c r="AC160" s="14">
        <v>11</v>
      </c>
      <c r="AD160" s="14">
        <v>11</v>
      </c>
      <c r="AE160" s="14">
        <v>11</v>
      </c>
      <c r="AF160" s="14">
        <v>11</v>
      </c>
      <c r="AG160" s="14">
        <v>11</v>
      </c>
      <c r="AH160" s="14">
        <v>16</v>
      </c>
      <c r="AI160" s="14">
        <v>17</v>
      </c>
      <c r="AJ160" s="14">
        <v>17</v>
      </c>
      <c r="AK160" s="14">
        <v>18</v>
      </c>
      <c r="AL160" s="14">
        <v>12</v>
      </c>
      <c r="AM160" s="14">
        <v>13</v>
      </c>
      <c r="AN160" s="14">
        <v>13</v>
      </c>
      <c r="AO160" s="14">
        <v>18</v>
      </c>
      <c r="AP160" s="14">
        <v>17</v>
      </c>
      <c r="AQ160" s="14">
        <v>21</v>
      </c>
      <c r="AR160" s="14">
        <v>16</v>
      </c>
      <c r="AS160" s="14">
        <v>16</v>
      </c>
      <c r="AT160" s="14">
        <v>16</v>
      </c>
      <c r="AU160" s="14">
        <v>13</v>
      </c>
      <c r="AV160" s="14">
        <v>11</v>
      </c>
      <c r="AW160" s="14">
        <v>12</v>
      </c>
      <c r="AX160" s="14">
        <v>12</v>
      </c>
      <c r="AY160" s="14">
        <v>12</v>
      </c>
      <c r="AZ160" s="14">
        <v>18</v>
      </c>
      <c r="BA160" s="14">
        <v>17</v>
      </c>
      <c r="BB160" s="14">
        <v>10</v>
      </c>
      <c r="BC160" s="14">
        <v>16</v>
      </c>
      <c r="BD160" s="14">
        <v>13</v>
      </c>
      <c r="BE160" s="14">
        <v>14</v>
      </c>
      <c r="BF160" s="14">
        <v>12</v>
      </c>
      <c r="BG160" s="14">
        <v>13</v>
      </c>
      <c r="BH160" s="14">
        <v>7</v>
      </c>
      <c r="BI160" s="14">
        <v>12</v>
      </c>
      <c r="BJ160" s="15">
        <v>12</v>
      </c>
      <c r="BL160" s="26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49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W160" s="26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49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</row>
    <row r="161" spans="1:188" x14ac:dyDescent="0.3">
      <c r="A161" s="10" t="s">
        <v>63</v>
      </c>
      <c r="B161" s="11">
        <f>6+(27/60)</f>
        <v>6.45</v>
      </c>
      <c r="C161" s="13">
        <f>5+(13/60)</f>
        <v>5.2166666666666668</v>
      </c>
      <c r="D161" s="13">
        <f>3+(43/60)</f>
        <v>3.7166666666666668</v>
      </c>
      <c r="E161" s="13">
        <f>4+(24/60)</f>
        <v>4.4000000000000004</v>
      </c>
      <c r="F161" s="13">
        <f>5+(17/60)</f>
        <v>5.2833333333333332</v>
      </c>
      <c r="G161" s="13">
        <v>2</v>
      </c>
      <c r="H161" s="12">
        <v>0</v>
      </c>
      <c r="I161" s="13">
        <v>2</v>
      </c>
      <c r="J161" s="13">
        <v>5</v>
      </c>
      <c r="K161" s="13">
        <v>5</v>
      </c>
      <c r="L161" s="13">
        <v>1</v>
      </c>
      <c r="M161" s="13">
        <v>1</v>
      </c>
      <c r="N161" s="13">
        <v>5</v>
      </c>
      <c r="O161" s="14">
        <v>14</v>
      </c>
      <c r="P161" s="14">
        <v>14</v>
      </c>
      <c r="Q161" s="14">
        <v>9</v>
      </c>
      <c r="R161" s="14">
        <v>10</v>
      </c>
      <c r="S161" s="14">
        <v>10</v>
      </c>
      <c r="T161" s="14">
        <v>11</v>
      </c>
      <c r="U161" s="14">
        <v>11</v>
      </c>
      <c r="V161" s="14">
        <v>11</v>
      </c>
      <c r="W161" s="14">
        <v>10</v>
      </c>
      <c r="X161" s="14">
        <v>11</v>
      </c>
      <c r="Y161" s="14">
        <v>10</v>
      </c>
      <c r="Z161" s="14">
        <v>12</v>
      </c>
      <c r="AA161" s="14">
        <v>11</v>
      </c>
      <c r="AB161" s="14">
        <v>11</v>
      </c>
      <c r="AC161" s="14">
        <v>11</v>
      </c>
      <c r="AD161" s="14">
        <v>11</v>
      </c>
      <c r="AE161" s="14">
        <v>11</v>
      </c>
      <c r="AF161" s="14">
        <v>11</v>
      </c>
      <c r="AG161" s="14">
        <v>11</v>
      </c>
      <c r="AH161" s="14">
        <v>15</v>
      </c>
      <c r="AI161" s="14">
        <v>15</v>
      </c>
      <c r="AJ161" s="14">
        <v>15</v>
      </c>
      <c r="AK161" s="14">
        <v>17</v>
      </c>
      <c r="AL161" s="14">
        <v>10</v>
      </c>
      <c r="AM161" s="14">
        <v>11</v>
      </c>
      <c r="AN161" s="14">
        <v>11</v>
      </c>
      <c r="AO161" s="14">
        <v>17</v>
      </c>
      <c r="AP161" s="14">
        <v>16</v>
      </c>
      <c r="AQ161" s="14">
        <v>19</v>
      </c>
      <c r="AR161" s="14">
        <v>15</v>
      </c>
      <c r="AS161" s="14">
        <v>16</v>
      </c>
      <c r="AT161" s="14">
        <v>15</v>
      </c>
      <c r="AU161" s="14">
        <v>11</v>
      </c>
      <c r="AV161" s="14">
        <v>11</v>
      </c>
      <c r="AW161" s="14">
        <v>11</v>
      </c>
      <c r="AX161" s="14">
        <v>10</v>
      </c>
      <c r="AY161" s="14">
        <v>13</v>
      </c>
      <c r="AZ161" s="14">
        <v>19</v>
      </c>
      <c r="BA161" s="14">
        <v>15</v>
      </c>
      <c r="BB161" s="14">
        <v>10</v>
      </c>
      <c r="BC161" s="14">
        <v>13</v>
      </c>
      <c r="BD161" s="14">
        <v>13</v>
      </c>
      <c r="BE161" s="14">
        <v>12</v>
      </c>
      <c r="BF161" s="14">
        <v>11</v>
      </c>
      <c r="BG161" s="14">
        <v>13</v>
      </c>
      <c r="BH161" s="14">
        <v>11</v>
      </c>
      <c r="BI161" s="14">
        <v>13</v>
      </c>
      <c r="BJ161" s="15">
        <v>14</v>
      </c>
      <c r="BL161" s="26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49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W161" s="26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49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</row>
    <row r="162" spans="1:188" x14ac:dyDescent="0.3">
      <c r="A162" s="10" t="s">
        <v>8</v>
      </c>
      <c r="B162" s="11">
        <f>5+(31/60)</f>
        <v>5.5166666666666666</v>
      </c>
      <c r="C162" s="13">
        <f>4+(6/60)</f>
        <v>4.0999999999999996</v>
      </c>
      <c r="D162" s="13">
        <f>3+(45/60)</f>
        <v>3.75</v>
      </c>
      <c r="E162" s="13">
        <f>4+(20/60)</f>
        <v>4.333333333333333</v>
      </c>
      <c r="F162" s="13">
        <f>5+(1/60)</f>
        <v>5.0166666666666666</v>
      </c>
      <c r="G162" s="13">
        <v>2</v>
      </c>
      <c r="H162" s="13">
        <v>2</v>
      </c>
      <c r="I162" s="12">
        <v>0</v>
      </c>
      <c r="J162" s="13">
        <v>5</v>
      </c>
      <c r="K162" s="13">
        <v>5</v>
      </c>
      <c r="L162" s="13">
        <v>3</v>
      </c>
      <c r="M162" s="13">
        <v>3</v>
      </c>
      <c r="N162" s="13">
        <v>4</v>
      </c>
      <c r="O162" s="14">
        <v>13</v>
      </c>
      <c r="P162" s="14">
        <v>13</v>
      </c>
      <c r="Q162" s="14">
        <v>11</v>
      </c>
      <c r="R162" s="14">
        <v>11</v>
      </c>
      <c r="S162" s="14">
        <v>11</v>
      </c>
      <c r="T162" s="14">
        <v>12</v>
      </c>
      <c r="U162" s="14">
        <v>12</v>
      </c>
      <c r="V162" s="14">
        <v>12</v>
      </c>
      <c r="W162" s="14">
        <v>12</v>
      </c>
      <c r="X162" s="14">
        <v>12</v>
      </c>
      <c r="Y162" s="14">
        <v>12</v>
      </c>
      <c r="Z162" s="14">
        <v>13</v>
      </c>
      <c r="AA162" s="14">
        <v>13</v>
      </c>
      <c r="AB162" s="14">
        <v>12</v>
      </c>
      <c r="AC162" s="14">
        <v>13</v>
      </c>
      <c r="AD162" s="14">
        <v>12</v>
      </c>
      <c r="AE162" s="14">
        <v>13</v>
      </c>
      <c r="AF162" s="14">
        <v>12</v>
      </c>
      <c r="AG162" s="14">
        <v>13</v>
      </c>
      <c r="AH162" s="14">
        <v>17</v>
      </c>
      <c r="AI162" s="14">
        <v>17</v>
      </c>
      <c r="AJ162" s="14">
        <v>17</v>
      </c>
      <c r="AK162" s="14">
        <v>18</v>
      </c>
      <c r="AL162" s="14">
        <v>11</v>
      </c>
      <c r="AM162" s="14">
        <v>12</v>
      </c>
      <c r="AN162" s="14">
        <v>13</v>
      </c>
      <c r="AO162" s="14">
        <v>16</v>
      </c>
      <c r="AP162" s="14">
        <v>15</v>
      </c>
      <c r="AQ162" s="14">
        <v>19</v>
      </c>
      <c r="AR162" s="14">
        <v>17</v>
      </c>
      <c r="AS162" s="14">
        <v>17</v>
      </c>
      <c r="AT162" s="14">
        <v>17</v>
      </c>
      <c r="AU162" s="14">
        <v>12</v>
      </c>
      <c r="AV162" s="14">
        <v>13</v>
      </c>
      <c r="AW162" s="14">
        <v>12</v>
      </c>
      <c r="AX162" s="14">
        <v>12</v>
      </c>
      <c r="AY162" s="14">
        <v>14</v>
      </c>
      <c r="AZ162" s="14">
        <v>20</v>
      </c>
      <c r="BA162" s="14">
        <v>17</v>
      </c>
      <c r="BB162" s="14">
        <v>12</v>
      </c>
      <c r="BC162" s="14">
        <v>15</v>
      </c>
      <c r="BD162" s="14">
        <v>13</v>
      </c>
      <c r="BE162" s="14">
        <v>13</v>
      </c>
      <c r="BF162" s="14">
        <v>13</v>
      </c>
      <c r="BG162" s="14">
        <v>14</v>
      </c>
      <c r="BH162" s="14">
        <v>7</v>
      </c>
      <c r="BI162" s="14">
        <v>12</v>
      </c>
      <c r="BJ162" s="15">
        <v>12</v>
      </c>
      <c r="BL162" s="26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49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W162" s="26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49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</row>
    <row r="163" spans="1:188" x14ac:dyDescent="0.3">
      <c r="A163" s="10" t="s">
        <v>64</v>
      </c>
      <c r="B163" s="11">
        <f>3+(10/60)</f>
        <v>3.1666666666666665</v>
      </c>
      <c r="C163" s="13">
        <f>2+(52/60)</f>
        <v>2.8666666666666667</v>
      </c>
      <c r="D163" s="13">
        <f>2+(5/60)</f>
        <v>2.0833333333333335</v>
      </c>
      <c r="E163" s="13">
        <f>1+(26/60)</f>
        <v>1.4333333333333333</v>
      </c>
      <c r="F163" s="13">
        <f>1+(12/60)</f>
        <v>1.2</v>
      </c>
      <c r="G163" s="13">
        <v>3</v>
      </c>
      <c r="H163" s="13">
        <v>5</v>
      </c>
      <c r="I163" s="13">
        <v>5</v>
      </c>
      <c r="J163" s="12">
        <v>0</v>
      </c>
      <c r="K163" s="13">
        <v>1</v>
      </c>
      <c r="L163" s="13">
        <v>4</v>
      </c>
      <c r="M163" s="13">
        <v>5</v>
      </c>
      <c r="N163" s="13">
        <v>4</v>
      </c>
      <c r="O163" s="14">
        <v>11</v>
      </c>
      <c r="P163" s="14">
        <v>10</v>
      </c>
      <c r="Q163" s="14">
        <v>7</v>
      </c>
      <c r="R163" s="14">
        <v>7</v>
      </c>
      <c r="S163" s="14">
        <v>8</v>
      </c>
      <c r="T163" s="14">
        <v>8</v>
      </c>
      <c r="U163" s="14">
        <v>8</v>
      </c>
      <c r="V163" s="14">
        <v>9</v>
      </c>
      <c r="W163" s="14">
        <v>8</v>
      </c>
      <c r="X163" s="14">
        <v>9</v>
      </c>
      <c r="Y163" s="14">
        <v>8</v>
      </c>
      <c r="Z163" s="14">
        <v>9</v>
      </c>
      <c r="AA163" s="14">
        <v>9</v>
      </c>
      <c r="AB163" s="14">
        <v>8</v>
      </c>
      <c r="AC163" s="14">
        <v>8</v>
      </c>
      <c r="AD163" s="14">
        <v>9</v>
      </c>
      <c r="AE163" s="14">
        <v>9</v>
      </c>
      <c r="AF163" s="14">
        <v>9</v>
      </c>
      <c r="AG163" s="14">
        <v>9</v>
      </c>
      <c r="AH163" s="14">
        <v>15</v>
      </c>
      <c r="AI163" s="14">
        <v>16</v>
      </c>
      <c r="AJ163" s="14">
        <v>16</v>
      </c>
      <c r="AK163" s="14">
        <v>17</v>
      </c>
      <c r="AL163" s="14">
        <v>13</v>
      </c>
      <c r="AM163" s="14">
        <v>14</v>
      </c>
      <c r="AN163" s="14">
        <v>14</v>
      </c>
      <c r="AO163" s="14">
        <v>21</v>
      </c>
      <c r="AP163" s="14">
        <v>20</v>
      </c>
      <c r="AQ163" s="14">
        <v>23</v>
      </c>
      <c r="AR163" s="14">
        <v>14</v>
      </c>
      <c r="AS163" s="14">
        <v>14</v>
      </c>
      <c r="AT163" s="14">
        <v>14</v>
      </c>
      <c r="AU163" s="14">
        <v>14</v>
      </c>
      <c r="AV163" s="14">
        <v>10</v>
      </c>
      <c r="AW163" s="14">
        <v>12</v>
      </c>
      <c r="AX163" s="14">
        <v>13</v>
      </c>
      <c r="AY163" s="14">
        <v>9</v>
      </c>
      <c r="AZ163" s="14">
        <v>16</v>
      </c>
      <c r="BA163" s="14">
        <v>17</v>
      </c>
      <c r="BB163" s="14">
        <v>8</v>
      </c>
      <c r="BC163" s="14">
        <v>16</v>
      </c>
      <c r="BD163" s="14">
        <v>14</v>
      </c>
      <c r="BE163" s="14">
        <v>15</v>
      </c>
      <c r="BF163" s="14">
        <v>10</v>
      </c>
      <c r="BG163" s="14">
        <v>11</v>
      </c>
      <c r="BH163" s="14">
        <v>6</v>
      </c>
      <c r="BI163" s="14">
        <v>11</v>
      </c>
      <c r="BJ163" s="15">
        <v>11</v>
      </c>
      <c r="BL163" s="26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49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W163" s="26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49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</row>
    <row r="164" spans="1:188" x14ac:dyDescent="0.3">
      <c r="A164" s="10" t="s">
        <v>10</v>
      </c>
      <c r="B164" s="11">
        <f>3+(25/60)</f>
        <v>3.4166666666666665</v>
      </c>
      <c r="C164" s="13">
        <f>3+(15/60)</f>
        <v>3.25</v>
      </c>
      <c r="D164" s="13">
        <f>2+(40/60)</f>
        <v>2.6666666666666665</v>
      </c>
      <c r="E164" s="13">
        <f>2+(2/60)</f>
        <v>2.0333333333333332</v>
      </c>
      <c r="F164" s="13">
        <f>1+(29/60)</f>
        <v>1.4833333333333334</v>
      </c>
      <c r="G164" s="13">
        <v>4</v>
      </c>
      <c r="H164" s="13">
        <v>5</v>
      </c>
      <c r="I164" s="13">
        <v>5</v>
      </c>
      <c r="J164" s="13">
        <v>1</v>
      </c>
      <c r="K164" s="12">
        <v>0</v>
      </c>
      <c r="L164" s="13">
        <v>4</v>
      </c>
      <c r="M164" s="13">
        <v>5</v>
      </c>
      <c r="N164" s="13">
        <v>5</v>
      </c>
      <c r="O164" s="14">
        <v>11</v>
      </c>
      <c r="P164" s="14">
        <v>9</v>
      </c>
      <c r="Q164" s="14">
        <v>7</v>
      </c>
      <c r="R164" s="14">
        <v>7</v>
      </c>
      <c r="S164" s="14">
        <v>7</v>
      </c>
      <c r="T164" s="14">
        <v>7</v>
      </c>
      <c r="U164" s="14">
        <v>8</v>
      </c>
      <c r="V164" s="14">
        <v>8</v>
      </c>
      <c r="W164" s="14">
        <v>8</v>
      </c>
      <c r="X164" s="14">
        <v>8</v>
      </c>
      <c r="Y164" s="14">
        <v>8</v>
      </c>
      <c r="Z164" s="14">
        <v>9</v>
      </c>
      <c r="AA164" s="14">
        <v>8</v>
      </c>
      <c r="AB164" s="14">
        <v>7</v>
      </c>
      <c r="AC164" s="14">
        <v>8</v>
      </c>
      <c r="AD164" s="14">
        <v>8</v>
      </c>
      <c r="AE164" s="14">
        <v>9</v>
      </c>
      <c r="AF164" s="14">
        <v>8</v>
      </c>
      <c r="AG164" s="14">
        <v>9</v>
      </c>
      <c r="AH164" s="14">
        <v>15</v>
      </c>
      <c r="AI164" s="14">
        <v>16</v>
      </c>
      <c r="AJ164" s="14">
        <v>15</v>
      </c>
      <c r="AK164" s="14">
        <v>17</v>
      </c>
      <c r="AL164" s="14">
        <v>13</v>
      </c>
      <c r="AM164" s="14">
        <v>14</v>
      </c>
      <c r="AN164" s="14">
        <v>14</v>
      </c>
      <c r="AO164" s="14">
        <v>21</v>
      </c>
      <c r="AP164" s="14">
        <v>20</v>
      </c>
      <c r="AQ164" s="14">
        <v>23</v>
      </c>
      <c r="AR164" s="14">
        <v>14</v>
      </c>
      <c r="AS164" s="14">
        <v>13</v>
      </c>
      <c r="AT164" s="14">
        <v>13</v>
      </c>
      <c r="AU164" s="14">
        <v>14</v>
      </c>
      <c r="AV164" s="14">
        <v>9</v>
      </c>
      <c r="AW164" s="14">
        <v>11</v>
      </c>
      <c r="AX164" s="14">
        <v>13</v>
      </c>
      <c r="AY164" s="14">
        <v>9</v>
      </c>
      <c r="AZ164" s="14">
        <v>15</v>
      </c>
      <c r="BA164" s="14">
        <v>17</v>
      </c>
      <c r="BB164" s="14">
        <v>8</v>
      </c>
      <c r="BC164" s="14">
        <v>16</v>
      </c>
      <c r="BD164" s="14">
        <v>14</v>
      </c>
      <c r="BE164" s="14">
        <v>15</v>
      </c>
      <c r="BF164" s="14">
        <v>9</v>
      </c>
      <c r="BG164" s="14">
        <v>10</v>
      </c>
      <c r="BH164" s="14">
        <v>6</v>
      </c>
      <c r="BI164" s="14">
        <v>11</v>
      </c>
      <c r="BJ164" s="15">
        <v>11</v>
      </c>
      <c r="BL164" s="26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49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W164" s="26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49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</row>
    <row r="165" spans="1:188" x14ac:dyDescent="0.3">
      <c r="A165" s="10" t="s">
        <v>11</v>
      </c>
      <c r="B165" s="11">
        <f>7+(57/60)</f>
        <v>7.95</v>
      </c>
      <c r="C165" s="13">
        <f>6+(34/60)</f>
        <v>6.5666666666666664</v>
      </c>
      <c r="D165" s="13">
        <f>2+(57/60)</f>
        <v>2.95</v>
      </c>
      <c r="E165" s="13">
        <f>3+(48/60)</f>
        <v>3.8</v>
      </c>
      <c r="F165" s="13">
        <f>4+(27/60)</f>
        <v>4.45</v>
      </c>
      <c r="G165" s="13">
        <v>2</v>
      </c>
      <c r="H165" s="13">
        <v>1</v>
      </c>
      <c r="I165" s="13">
        <v>3</v>
      </c>
      <c r="J165" s="13">
        <v>4</v>
      </c>
      <c r="K165" s="13">
        <v>4</v>
      </c>
      <c r="L165" s="12">
        <v>0</v>
      </c>
      <c r="M165" s="13">
        <v>1</v>
      </c>
      <c r="N165" s="13">
        <v>5</v>
      </c>
      <c r="O165" s="14">
        <v>14</v>
      </c>
      <c r="P165" s="14">
        <v>13</v>
      </c>
      <c r="Q165" s="14">
        <v>9</v>
      </c>
      <c r="R165" s="14">
        <v>9</v>
      </c>
      <c r="S165" s="14">
        <v>10</v>
      </c>
      <c r="T165" s="14">
        <v>10</v>
      </c>
      <c r="U165" s="14">
        <v>10</v>
      </c>
      <c r="V165" s="14">
        <v>10</v>
      </c>
      <c r="W165" s="14">
        <v>10</v>
      </c>
      <c r="X165" s="14">
        <v>10</v>
      </c>
      <c r="Y165" s="14">
        <v>10</v>
      </c>
      <c r="Z165" s="14">
        <v>11</v>
      </c>
      <c r="AA165" s="14">
        <v>10</v>
      </c>
      <c r="AB165" s="14">
        <v>10</v>
      </c>
      <c r="AC165" s="14">
        <v>10</v>
      </c>
      <c r="AD165" s="14">
        <v>10</v>
      </c>
      <c r="AE165" s="14">
        <v>10</v>
      </c>
      <c r="AF165" s="14">
        <v>10</v>
      </c>
      <c r="AG165" s="14">
        <v>11</v>
      </c>
      <c r="AH165" s="14">
        <v>14</v>
      </c>
      <c r="AI165" s="14">
        <v>15</v>
      </c>
      <c r="AJ165" s="14">
        <v>15</v>
      </c>
      <c r="AK165" s="14">
        <v>16</v>
      </c>
      <c r="AL165" s="14">
        <v>10</v>
      </c>
      <c r="AM165" s="14">
        <v>11</v>
      </c>
      <c r="AN165" s="14">
        <v>11</v>
      </c>
      <c r="AO165" s="14">
        <v>18</v>
      </c>
      <c r="AP165" s="14">
        <v>17</v>
      </c>
      <c r="AQ165" s="14">
        <v>20</v>
      </c>
      <c r="AR165" s="14">
        <v>15</v>
      </c>
      <c r="AS165" s="14">
        <v>15</v>
      </c>
      <c r="AT165" s="14">
        <v>15</v>
      </c>
      <c r="AU165" s="14">
        <v>11</v>
      </c>
      <c r="AV165" s="14">
        <v>10</v>
      </c>
      <c r="AW165" s="14">
        <v>10</v>
      </c>
      <c r="AX165" s="14">
        <v>10</v>
      </c>
      <c r="AY165" s="14">
        <v>12</v>
      </c>
      <c r="AZ165" s="14">
        <v>18</v>
      </c>
      <c r="BA165" s="14">
        <v>16</v>
      </c>
      <c r="BB165" s="14">
        <v>9</v>
      </c>
      <c r="BC165" s="14">
        <v>14</v>
      </c>
      <c r="BD165" s="14">
        <v>11</v>
      </c>
      <c r="BE165" s="14">
        <v>12</v>
      </c>
      <c r="BF165" s="14">
        <v>11</v>
      </c>
      <c r="BG165" s="14">
        <v>12</v>
      </c>
      <c r="BH165" s="14">
        <v>8</v>
      </c>
      <c r="BI165" s="14">
        <v>13</v>
      </c>
      <c r="BJ165" s="15">
        <v>13</v>
      </c>
      <c r="BL165" s="26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49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W165" s="26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49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</row>
    <row r="166" spans="1:188" x14ac:dyDescent="0.3">
      <c r="A166" s="10" t="s">
        <v>12</v>
      </c>
      <c r="B166" s="11">
        <f>8+(20/60)</f>
        <v>8.3333333333333339</v>
      </c>
      <c r="C166" s="13">
        <f>6+(55/60)</f>
        <v>6.916666666666667</v>
      </c>
      <c r="D166" s="13">
        <f>3+(51/60)</f>
        <v>3.85</v>
      </c>
      <c r="E166" s="13">
        <f>4+(24/60)</f>
        <v>4.4000000000000004</v>
      </c>
      <c r="F166" s="13">
        <f>5+(13/60)</f>
        <v>5.2166666666666668</v>
      </c>
      <c r="G166" s="13">
        <v>3</v>
      </c>
      <c r="H166" s="13">
        <v>1</v>
      </c>
      <c r="I166" s="13">
        <v>3</v>
      </c>
      <c r="J166" s="13">
        <v>5</v>
      </c>
      <c r="K166" s="13">
        <v>5</v>
      </c>
      <c r="L166" s="13">
        <v>1</v>
      </c>
      <c r="M166" s="12">
        <v>0</v>
      </c>
      <c r="N166" s="13">
        <v>5</v>
      </c>
      <c r="O166" s="14">
        <v>14</v>
      </c>
      <c r="P166" s="14">
        <v>14</v>
      </c>
      <c r="Q166" s="14">
        <v>9</v>
      </c>
      <c r="R166" s="14">
        <v>10</v>
      </c>
      <c r="S166" s="14">
        <v>10</v>
      </c>
      <c r="T166" s="14">
        <v>10</v>
      </c>
      <c r="U166" s="14">
        <v>11</v>
      </c>
      <c r="V166" s="14">
        <v>11</v>
      </c>
      <c r="W166" s="14">
        <v>10</v>
      </c>
      <c r="X166" s="14">
        <v>10</v>
      </c>
      <c r="Y166" s="14">
        <v>10</v>
      </c>
      <c r="Z166" s="14">
        <v>12</v>
      </c>
      <c r="AA166" s="14">
        <v>11</v>
      </c>
      <c r="AB166" s="14">
        <v>11</v>
      </c>
      <c r="AC166" s="14">
        <v>11</v>
      </c>
      <c r="AD166" s="14">
        <v>10</v>
      </c>
      <c r="AE166" s="14">
        <v>11</v>
      </c>
      <c r="AF166" s="14">
        <v>11</v>
      </c>
      <c r="AG166" s="14">
        <v>11</v>
      </c>
      <c r="AH166" s="14">
        <v>14</v>
      </c>
      <c r="AI166" s="14">
        <v>15</v>
      </c>
      <c r="AJ166" s="14">
        <v>15</v>
      </c>
      <c r="AK166" s="14">
        <v>16</v>
      </c>
      <c r="AL166" s="14">
        <v>10</v>
      </c>
      <c r="AM166" s="14">
        <v>10</v>
      </c>
      <c r="AN166" s="14">
        <v>11</v>
      </c>
      <c r="AO166" s="14">
        <v>17</v>
      </c>
      <c r="AP166" s="14">
        <v>16</v>
      </c>
      <c r="AQ166" s="14">
        <v>19</v>
      </c>
      <c r="AR166" s="14">
        <v>15</v>
      </c>
      <c r="AS166" s="14">
        <v>15</v>
      </c>
      <c r="AT166" s="14">
        <v>16</v>
      </c>
      <c r="AU166" s="14">
        <v>11</v>
      </c>
      <c r="AV166" s="14">
        <v>11</v>
      </c>
      <c r="AW166" s="14">
        <v>10</v>
      </c>
      <c r="AX166" s="14">
        <v>10</v>
      </c>
      <c r="AY166" s="14">
        <v>13</v>
      </c>
      <c r="AZ166" s="14">
        <v>18</v>
      </c>
      <c r="BA166" s="14">
        <v>15</v>
      </c>
      <c r="BB166" s="14">
        <v>10</v>
      </c>
      <c r="BC166" s="14">
        <v>13</v>
      </c>
      <c r="BD166" s="14">
        <v>11</v>
      </c>
      <c r="BE166" s="14">
        <v>12</v>
      </c>
      <c r="BF166" s="14">
        <v>11</v>
      </c>
      <c r="BG166" s="14">
        <v>13</v>
      </c>
      <c r="BH166" s="14">
        <v>9</v>
      </c>
      <c r="BI166" s="14">
        <v>14</v>
      </c>
      <c r="BJ166" s="15">
        <v>14</v>
      </c>
      <c r="BL166" s="26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49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W166" s="26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49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</row>
    <row r="167" spans="1:188" x14ac:dyDescent="0.3">
      <c r="A167" s="10" t="s">
        <v>13</v>
      </c>
      <c r="B167" s="11">
        <f>3+(15/60)</f>
        <v>3.25</v>
      </c>
      <c r="C167" s="13">
        <f>4+(30/60)</f>
        <v>4.5</v>
      </c>
      <c r="D167" s="13">
        <f>4+(15/60)</f>
        <v>4.25</v>
      </c>
      <c r="E167" s="13">
        <f>4+(25/60)</f>
        <v>4.416666666666667</v>
      </c>
      <c r="F167" s="13">
        <f>4+(15/60)</f>
        <v>4.25</v>
      </c>
      <c r="G167" s="13">
        <v>3</v>
      </c>
      <c r="H167" s="13">
        <v>5</v>
      </c>
      <c r="I167" s="13">
        <v>4</v>
      </c>
      <c r="J167" s="13">
        <v>4</v>
      </c>
      <c r="K167" s="13">
        <v>5</v>
      </c>
      <c r="L167" s="13">
        <v>5</v>
      </c>
      <c r="M167" s="13">
        <v>5</v>
      </c>
      <c r="N167" s="12">
        <v>0</v>
      </c>
      <c r="O167" s="14">
        <v>10</v>
      </c>
      <c r="P167" s="14">
        <v>10</v>
      </c>
      <c r="Q167" s="14">
        <v>11</v>
      </c>
      <c r="R167" s="14">
        <v>11</v>
      </c>
      <c r="S167" s="14">
        <v>12</v>
      </c>
      <c r="T167" s="14">
        <v>12</v>
      </c>
      <c r="U167" s="14">
        <v>12</v>
      </c>
      <c r="V167" s="14">
        <v>13</v>
      </c>
      <c r="W167" s="14">
        <v>12</v>
      </c>
      <c r="X167" s="14">
        <v>13</v>
      </c>
      <c r="Y167" s="14">
        <v>12</v>
      </c>
      <c r="Z167" s="14">
        <v>13</v>
      </c>
      <c r="AA167" s="14">
        <v>13</v>
      </c>
      <c r="AB167" s="14">
        <v>12</v>
      </c>
      <c r="AC167" s="14">
        <v>12</v>
      </c>
      <c r="AD167" s="14">
        <v>13</v>
      </c>
      <c r="AE167" s="14">
        <v>13</v>
      </c>
      <c r="AF167" s="14">
        <v>13</v>
      </c>
      <c r="AG167" s="14">
        <v>13</v>
      </c>
      <c r="AH167" s="14">
        <v>19</v>
      </c>
      <c r="AI167" s="14">
        <v>19</v>
      </c>
      <c r="AJ167" s="14">
        <v>19</v>
      </c>
      <c r="AK167" s="14">
        <v>21</v>
      </c>
      <c r="AL167" s="14">
        <v>15</v>
      </c>
      <c r="AM167" s="14">
        <v>15</v>
      </c>
      <c r="AN167" s="14">
        <v>16</v>
      </c>
      <c r="AO167" s="14">
        <v>17</v>
      </c>
      <c r="AP167" s="14">
        <v>17</v>
      </c>
      <c r="AQ167" s="14">
        <v>21</v>
      </c>
      <c r="AR167" s="14">
        <v>18</v>
      </c>
      <c r="AS167" s="14">
        <v>17</v>
      </c>
      <c r="AT167" s="14">
        <v>18</v>
      </c>
      <c r="AU167" s="14">
        <v>15</v>
      </c>
      <c r="AV167" s="14">
        <v>14</v>
      </c>
      <c r="AW167" s="14">
        <v>15</v>
      </c>
      <c r="AX167" s="14">
        <v>15</v>
      </c>
      <c r="AY167" s="14">
        <v>13</v>
      </c>
      <c r="AZ167" s="14">
        <v>19</v>
      </c>
      <c r="BA167" s="14">
        <v>20</v>
      </c>
      <c r="BB167" s="14">
        <v>12</v>
      </c>
      <c r="BC167" s="14">
        <v>18</v>
      </c>
      <c r="BD167" s="14">
        <v>16</v>
      </c>
      <c r="BE167" s="14">
        <v>17</v>
      </c>
      <c r="BF167" s="14">
        <v>14</v>
      </c>
      <c r="BG167" s="14">
        <v>15</v>
      </c>
      <c r="BH167" s="14">
        <v>4</v>
      </c>
      <c r="BI167" s="14">
        <v>9</v>
      </c>
      <c r="BJ167" s="15">
        <v>9</v>
      </c>
      <c r="BL167" s="26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49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W167" s="26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49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</row>
    <row r="168" spans="1:188" x14ac:dyDescent="0.3">
      <c r="A168" s="10" t="s">
        <v>14</v>
      </c>
      <c r="B168" s="16">
        <f>8+(15/60)</f>
        <v>8.25</v>
      </c>
      <c r="C168" s="14">
        <f>11+(40/60)</f>
        <v>11.666666666666666</v>
      </c>
      <c r="D168" s="14">
        <f>12+(55/60)</f>
        <v>12.916666666666666</v>
      </c>
      <c r="E168" s="14">
        <f>10+(25/60)</f>
        <v>10.416666666666666</v>
      </c>
      <c r="F168" s="14">
        <f>9+(57/60)</f>
        <v>9.9499999999999993</v>
      </c>
      <c r="G168" s="14">
        <v>12</v>
      </c>
      <c r="H168" s="14">
        <v>14</v>
      </c>
      <c r="I168" s="14">
        <v>13</v>
      </c>
      <c r="J168" s="14">
        <v>11</v>
      </c>
      <c r="K168" s="14">
        <v>11</v>
      </c>
      <c r="L168" s="14">
        <v>14</v>
      </c>
      <c r="M168" s="14">
        <v>14</v>
      </c>
      <c r="N168" s="14">
        <v>10</v>
      </c>
      <c r="O168" s="12">
        <v>0</v>
      </c>
      <c r="P168" s="13">
        <v>3</v>
      </c>
      <c r="Q168" s="14">
        <v>13</v>
      </c>
      <c r="R168" s="14">
        <v>12</v>
      </c>
      <c r="S168" s="14">
        <v>12</v>
      </c>
      <c r="T168" s="14">
        <v>12</v>
      </c>
      <c r="U168" s="14">
        <v>12</v>
      </c>
      <c r="V168" s="14">
        <v>13</v>
      </c>
      <c r="W168" s="14">
        <v>13</v>
      </c>
      <c r="X168" s="14">
        <v>13</v>
      </c>
      <c r="Y168" s="14">
        <v>13</v>
      </c>
      <c r="Z168" s="14">
        <v>12</v>
      </c>
      <c r="AA168" s="14">
        <v>12</v>
      </c>
      <c r="AB168" s="14">
        <v>11</v>
      </c>
      <c r="AC168" s="14">
        <v>11</v>
      </c>
      <c r="AD168" s="14">
        <v>13</v>
      </c>
      <c r="AE168" s="14">
        <v>13</v>
      </c>
      <c r="AF168" s="14">
        <v>13</v>
      </c>
      <c r="AG168" s="14">
        <v>13</v>
      </c>
      <c r="AH168" s="14">
        <v>18</v>
      </c>
      <c r="AI168" s="14">
        <v>20</v>
      </c>
      <c r="AJ168" s="14">
        <v>18</v>
      </c>
      <c r="AK168" s="14">
        <v>18</v>
      </c>
      <c r="AL168" s="14">
        <v>24</v>
      </c>
      <c r="AM168" s="14">
        <v>24</v>
      </c>
      <c r="AN168" s="14">
        <v>24</v>
      </c>
      <c r="AO168" s="14">
        <v>17</v>
      </c>
      <c r="AP168" s="14">
        <v>17</v>
      </c>
      <c r="AQ168" s="14">
        <v>17</v>
      </c>
      <c r="AR168" s="14">
        <v>16</v>
      </c>
      <c r="AS168" s="14">
        <v>14</v>
      </c>
      <c r="AT168" s="14">
        <v>15</v>
      </c>
      <c r="AU168" s="14">
        <v>23</v>
      </c>
      <c r="AV168" s="14">
        <v>15</v>
      </c>
      <c r="AW168" s="14">
        <v>19</v>
      </c>
      <c r="AX168" s="14">
        <v>23</v>
      </c>
      <c r="AY168" s="14">
        <v>10</v>
      </c>
      <c r="AZ168" s="14">
        <v>12</v>
      </c>
      <c r="BA168" s="14">
        <v>21</v>
      </c>
      <c r="BB168" s="14">
        <v>14</v>
      </c>
      <c r="BC168" s="14">
        <v>23</v>
      </c>
      <c r="BD168" s="14">
        <v>22</v>
      </c>
      <c r="BE168" s="14">
        <v>24</v>
      </c>
      <c r="BF168" s="14">
        <v>14</v>
      </c>
      <c r="BG168" s="14">
        <v>13</v>
      </c>
      <c r="BH168" s="12">
        <v>6</v>
      </c>
      <c r="BI168" s="12">
        <v>4</v>
      </c>
      <c r="BJ168" s="17">
        <v>3</v>
      </c>
      <c r="BL168" s="26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W168" s="26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</row>
    <row r="169" spans="1:188" x14ac:dyDescent="0.3">
      <c r="A169" s="10" t="s">
        <v>15</v>
      </c>
      <c r="B169" s="16">
        <f>7+(45/60)</f>
        <v>7.75</v>
      </c>
      <c r="C169" s="14">
        <f>13+(30/60)</f>
        <v>13.5</v>
      </c>
      <c r="D169" s="14">
        <f>12+(37/60)</f>
        <v>12.616666666666667</v>
      </c>
      <c r="E169" s="14">
        <f>12+(50/60)</f>
        <v>12.833333333333334</v>
      </c>
      <c r="F169" s="14">
        <f>8+(56/60)</f>
        <v>8.9333333333333336</v>
      </c>
      <c r="G169" s="14">
        <v>12</v>
      </c>
      <c r="H169" s="14">
        <v>14</v>
      </c>
      <c r="I169" s="14">
        <v>13</v>
      </c>
      <c r="J169" s="14">
        <v>10</v>
      </c>
      <c r="K169" s="14">
        <v>9</v>
      </c>
      <c r="L169" s="14">
        <v>13</v>
      </c>
      <c r="M169" s="14">
        <v>14</v>
      </c>
      <c r="N169" s="14">
        <v>10</v>
      </c>
      <c r="O169" s="13">
        <v>3</v>
      </c>
      <c r="P169" s="12">
        <v>0</v>
      </c>
      <c r="Q169" s="14">
        <v>10</v>
      </c>
      <c r="R169" s="14">
        <v>10</v>
      </c>
      <c r="S169" s="14">
        <v>10</v>
      </c>
      <c r="T169" s="14">
        <v>10</v>
      </c>
      <c r="U169" s="14">
        <v>9</v>
      </c>
      <c r="V169" s="14">
        <v>10</v>
      </c>
      <c r="W169" s="14">
        <v>10</v>
      </c>
      <c r="X169" s="14">
        <v>11</v>
      </c>
      <c r="Y169" s="14">
        <v>10</v>
      </c>
      <c r="Z169" s="14">
        <v>10</v>
      </c>
      <c r="AA169" s="14">
        <v>10</v>
      </c>
      <c r="AB169" s="14">
        <v>8</v>
      </c>
      <c r="AC169" s="14">
        <v>9</v>
      </c>
      <c r="AD169" s="14">
        <v>11</v>
      </c>
      <c r="AE169" s="14">
        <v>11</v>
      </c>
      <c r="AF169" s="14">
        <v>10</v>
      </c>
      <c r="AG169" s="14">
        <v>10</v>
      </c>
      <c r="AH169" s="14">
        <v>16</v>
      </c>
      <c r="AI169" s="14">
        <v>18</v>
      </c>
      <c r="AJ169" s="14">
        <v>16</v>
      </c>
      <c r="AK169" s="14">
        <v>17</v>
      </c>
      <c r="AL169" s="14">
        <v>21</v>
      </c>
      <c r="AM169" s="14">
        <v>21</v>
      </c>
      <c r="AN169" s="14">
        <v>21</v>
      </c>
      <c r="AO169" s="14">
        <v>19</v>
      </c>
      <c r="AP169" s="14">
        <v>20</v>
      </c>
      <c r="AQ169" s="14">
        <v>19</v>
      </c>
      <c r="AR169" s="14">
        <v>13</v>
      </c>
      <c r="AS169" s="14">
        <v>11</v>
      </c>
      <c r="AT169" s="14">
        <v>12</v>
      </c>
      <c r="AU169" s="14">
        <v>21</v>
      </c>
      <c r="AV169" s="14">
        <v>13</v>
      </c>
      <c r="AW169" s="14">
        <v>17</v>
      </c>
      <c r="AX169" s="14">
        <v>20</v>
      </c>
      <c r="AY169" s="14">
        <v>7</v>
      </c>
      <c r="AZ169" s="14">
        <v>10</v>
      </c>
      <c r="BA169" s="14">
        <v>19</v>
      </c>
      <c r="BB169" s="14">
        <v>11</v>
      </c>
      <c r="BC169" s="14">
        <v>21</v>
      </c>
      <c r="BD169" s="14">
        <v>20</v>
      </c>
      <c r="BE169" s="14">
        <v>21</v>
      </c>
      <c r="BF169" s="14">
        <v>12</v>
      </c>
      <c r="BG169" s="14">
        <v>10</v>
      </c>
      <c r="BH169" s="13">
        <v>6</v>
      </c>
      <c r="BI169" s="13">
        <v>6</v>
      </c>
      <c r="BJ169" s="18">
        <v>5</v>
      </c>
      <c r="BL169" s="26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W169" s="26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</row>
    <row r="170" spans="1:188" x14ac:dyDescent="0.3">
      <c r="A170" s="10" t="s">
        <v>16</v>
      </c>
      <c r="B170" s="16">
        <f>10+(50/60)</f>
        <v>10.833333333333334</v>
      </c>
      <c r="C170" s="14">
        <f>10+(44/60)</f>
        <v>10.733333333333333</v>
      </c>
      <c r="D170" s="14">
        <f>10+(26/60)</f>
        <v>10.433333333333334</v>
      </c>
      <c r="E170" s="14">
        <f>7+(40/60)</f>
        <v>7.666666666666667</v>
      </c>
      <c r="F170" s="14">
        <f>7+(26/60)</f>
        <v>7.4333333333333336</v>
      </c>
      <c r="G170" s="14">
        <v>9</v>
      </c>
      <c r="H170" s="14">
        <v>9</v>
      </c>
      <c r="I170" s="14">
        <v>11</v>
      </c>
      <c r="J170" s="14">
        <v>7</v>
      </c>
      <c r="K170" s="14">
        <v>7</v>
      </c>
      <c r="L170" s="14">
        <v>9</v>
      </c>
      <c r="M170" s="14">
        <v>9</v>
      </c>
      <c r="N170" s="14">
        <v>11</v>
      </c>
      <c r="O170" s="14">
        <v>13</v>
      </c>
      <c r="P170" s="14">
        <v>10</v>
      </c>
      <c r="Q170" s="12">
        <v>0</v>
      </c>
      <c r="R170" s="13">
        <v>1</v>
      </c>
      <c r="S170" s="13">
        <v>1</v>
      </c>
      <c r="T170" s="13">
        <v>2</v>
      </c>
      <c r="U170" s="13">
        <v>2</v>
      </c>
      <c r="V170" s="13">
        <v>2</v>
      </c>
      <c r="W170" s="13">
        <v>2</v>
      </c>
      <c r="X170" s="13">
        <v>2</v>
      </c>
      <c r="Y170" s="13">
        <v>2</v>
      </c>
      <c r="Z170" s="13">
        <v>3</v>
      </c>
      <c r="AA170" s="13">
        <v>2</v>
      </c>
      <c r="AB170" s="13">
        <v>3</v>
      </c>
      <c r="AC170" s="13">
        <v>3</v>
      </c>
      <c r="AD170" s="13">
        <v>2</v>
      </c>
      <c r="AE170" s="13">
        <v>3</v>
      </c>
      <c r="AF170" s="13">
        <v>2</v>
      </c>
      <c r="AG170" s="13">
        <v>3</v>
      </c>
      <c r="AH170" s="14">
        <v>9</v>
      </c>
      <c r="AI170" s="14">
        <v>10</v>
      </c>
      <c r="AJ170" s="14">
        <v>10</v>
      </c>
      <c r="AK170" s="14">
        <v>11</v>
      </c>
      <c r="AL170" s="14">
        <v>12</v>
      </c>
      <c r="AM170" s="14">
        <v>12</v>
      </c>
      <c r="AN170" s="14">
        <v>12</v>
      </c>
      <c r="AO170" s="14">
        <v>21</v>
      </c>
      <c r="AP170" s="14">
        <v>21</v>
      </c>
      <c r="AQ170" s="14">
        <v>19</v>
      </c>
      <c r="AR170" s="14">
        <v>8</v>
      </c>
      <c r="AS170" s="14">
        <v>7</v>
      </c>
      <c r="AT170" s="14">
        <v>7</v>
      </c>
      <c r="AU170" s="14">
        <v>11</v>
      </c>
      <c r="AV170" s="14">
        <v>4</v>
      </c>
      <c r="AW170" s="14">
        <v>7</v>
      </c>
      <c r="AX170" s="14">
        <v>11</v>
      </c>
      <c r="AY170" s="14">
        <v>4</v>
      </c>
      <c r="AZ170" s="14">
        <v>10</v>
      </c>
      <c r="BA170" s="14">
        <v>12</v>
      </c>
      <c r="BB170" s="13">
        <v>2</v>
      </c>
      <c r="BC170" s="14">
        <v>12</v>
      </c>
      <c r="BD170" s="14">
        <v>10</v>
      </c>
      <c r="BE170" s="14">
        <v>12</v>
      </c>
      <c r="BF170" s="13">
        <v>3</v>
      </c>
      <c r="BG170" s="13">
        <v>4</v>
      </c>
      <c r="BH170" s="14">
        <v>11</v>
      </c>
      <c r="BI170" s="14">
        <v>15</v>
      </c>
      <c r="BJ170" s="15">
        <v>14</v>
      </c>
      <c r="BL170" s="26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W170" s="26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</row>
    <row r="171" spans="1:188" x14ac:dyDescent="0.3">
      <c r="A171" s="10" t="s">
        <v>17</v>
      </c>
      <c r="B171" s="16">
        <f>12+(10/60)</f>
        <v>12.166666666666666</v>
      </c>
      <c r="C171" s="14">
        <f>13+(21/60)</f>
        <v>13.35</v>
      </c>
      <c r="D171" s="14">
        <f>11+(30/60)</f>
        <v>11.5</v>
      </c>
      <c r="E171" s="14">
        <f>9+(5/60)</f>
        <v>9.0833333333333339</v>
      </c>
      <c r="F171" s="14">
        <f>7+(32/60)</f>
        <v>7.5333333333333332</v>
      </c>
      <c r="G171" s="14">
        <v>10</v>
      </c>
      <c r="H171" s="14">
        <v>10</v>
      </c>
      <c r="I171" s="14">
        <v>11</v>
      </c>
      <c r="J171" s="14">
        <v>7</v>
      </c>
      <c r="K171" s="14">
        <v>7</v>
      </c>
      <c r="L171" s="14">
        <v>9</v>
      </c>
      <c r="M171" s="14">
        <v>10</v>
      </c>
      <c r="N171" s="14">
        <v>11</v>
      </c>
      <c r="O171" s="14">
        <v>12</v>
      </c>
      <c r="P171" s="14">
        <v>10</v>
      </c>
      <c r="Q171" s="13">
        <v>1</v>
      </c>
      <c r="R171" s="12">
        <v>0</v>
      </c>
      <c r="S171" s="13">
        <v>1</v>
      </c>
      <c r="T171" s="13">
        <v>1</v>
      </c>
      <c r="U171" s="13">
        <v>2</v>
      </c>
      <c r="V171" s="13">
        <v>2</v>
      </c>
      <c r="W171" s="13">
        <v>2</v>
      </c>
      <c r="X171" s="13">
        <v>2</v>
      </c>
      <c r="Y171" s="13">
        <v>1</v>
      </c>
      <c r="Z171" s="13">
        <v>3</v>
      </c>
      <c r="AA171" s="13">
        <v>2</v>
      </c>
      <c r="AB171" s="13">
        <v>2</v>
      </c>
      <c r="AC171" s="13">
        <v>2</v>
      </c>
      <c r="AD171" s="13">
        <v>2</v>
      </c>
      <c r="AE171" s="13">
        <v>3</v>
      </c>
      <c r="AF171" s="13">
        <v>2</v>
      </c>
      <c r="AG171" s="13">
        <v>2</v>
      </c>
      <c r="AH171" s="14">
        <v>9</v>
      </c>
      <c r="AI171" s="14">
        <v>11</v>
      </c>
      <c r="AJ171" s="14">
        <v>10</v>
      </c>
      <c r="AK171" s="14">
        <v>11</v>
      </c>
      <c r="AL171" s="14">
        <v>12</v>
      </c>
      <c r="AM171" s="14">
        <v>12</v>
      </c>
      <c r="AN171" s="14">
        <v>12</v>
      </c>
      <c r="AO171" s="14">
        <v>22</v>
      </c>
      <c r="AP171" s="14">
        <v>22</v>
      </c>
      <c r="AQ171" s="14">
        <v>19</v>
      </c>
      <c r="AR171" s="14">
        <v>8</v>
      </c>
      <c r="AS171" s="14">
        <v>7</v>
      </c>
      <c r="AT171" s="14">
        <v>7</v>
      </c>
      <c r="AU171" s="14">
        <v>11</v>
      </c>
      <c r="AV171" s="14">
        <v>4</v>
      </c>
      <c r="AW171" s="14">
        <v>8</v>
      </c>
      <c r="AX171" s="14">
        <v>11</v>
      </c>
      <c r="AY171" s="14">
        <v>4</v>
      </c>
      <c r="AZ171" s="14">
        <v>9</v>
      </c>
      <c r="BA171" s="14">
        <v>12</v>
      </c>
      <c r="BB171" s="13">
        <v>2</v>
      </c>
      <c r="BC171" s="14">
        <v>13</v>
      </c>
      <c r="BD171" s="14">
        <v>11</v>
      </c>
      <c r="BE171" s="14">
        <v>12</v>
      </c>
      <c r="BF171" s="13">
        <v>3</v>
      </c>
      <c r="BG171" s="13">
        <v>4</v>
      </c>
      <c r="BH171" s="14">
        <v>11</v>
      </c>
      <c r="BI171" s="14">
        <v>15</v>
      </c>
      <c r="BJ171" s="15">
        <v>14</v>
      </c>
      <c r="BL171" s="26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W171" s="26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</row>
    <row r="172" spans="1:188" x14ac:dyDescent="0.3">
      <c r="A172" s="10" t="s">
        <v>18</v>
      </c>
      <c r="B172" s="16">
        <f>8+(10/60)</f>
        <v>8.1666666666666661</v>
      </c>
      <c r="C172" s="14">
        <f>13+(26/60)</f>
        <v>13.433333333333334</v>
      </c>
      <c r="D172" s="14">
        <f>10+(49/60)</f>
        <v>10.816666666666666</v>
      </c>
      <c r="E172" s="14">
        <f>7+(40/60)</f>
        <v>7.666666666666667</v>
      </c>
      <c r="F172" s="14">
        <f>7+(51/60)</f>
        <v>7.85</v>
      </c>
      <c r="G172" s="14">
        <v>10</v>
      </c>
      <c r="H172" s="14">
        <v>10</v>
      </c>
      <c r="I172" s="14">
        <v>11</v>
      </c>
      <c r="J172" s="14">
        <v>8</v>
      </c>
      <c r="K172" s="14">
        <v>7</v>
      </c>
      <c r="L172" s="14">
        <v>10</v>
      </c>
      <c r="M172" s="14">
        <v>10</v>
      </c>
      <c r="N172" s="14">
        <v>12</v>
      </c>
      <c r="O172" s="14">
        <v>12</v>
      </c>
      <c r="P172" s="14">
        <v>10</v>
      </c>
      <c r="Q172" s="13">
        <v>1</v>
      </c>
      <c r="R172" s="13">
        <v>1</v>
      </c>
      <c r="S172" s="12">
        <v>0</v>
      </c>
      <c r="T172" s="13">
        <v>1</v>
      </c>
      <c r="U172" s="13">
        <v>1</v>
      </c>
      <c r="V172" s="13">
        <v>2</v>
      </c>
      <c r="W172" s="13">
        <v>1</v>
      </c>
      <c r="X172" s="13">
        <v>2</v>
      </c>
      <c r="Y172" s="13">
        <v>1</v>
      </c>
      <c r="Z172" s="13">
        <v>2</v>
      </c>
      <c r="AA172" s="13">
        <v>2</v>
      </c>
      <c r="AB172" s="13">
        <v>2</v>
      </c>
      <c r="AC172" s="13">
        <v>2</v>
      </c>
      <c r="AD172" s="13">
        <v>2</v>
      </c>
      <c r="AE172" s="13">
        <v>2</v>
      </c>
      <c r="AF172" s="13">
        <v>2</v>
      </c>
      <c r="AG172" s="13">
        <v>2</v>
      </c>
      <c r="AH172" s="14">
        <v>9</v>
      </c>
      <c r="AI172" s="14">
        <v>10</v>
      </c>
      <c r="AJ172" s="14">
        <v>10</v>
      </c>
      <c r="AK172" s="14">
        <v>11</v>
      </c>
      <c r="AL172" s="14">
        <v>12</v>
      </c>
      <c r="AM172" s="14">
        <v>12</v>
      </c>
      <c r="AN172" s="14">
        <v>12</v>
      </c>
      <c r="AO172" s="14">
        <v>21</v>
      </c>
      <c r="AP172" s="14">
        <v>22</v>
      </c>
      <c r="AQ172" s="14">
        <v>18</v>
      </c>
      <c r="AR172" s="14">
        <v>7</v>
      </c>
      <c r="AS172" s="14">
        <v>6</v>
      </c>
      <c r="AT172" s="14">
        <v>7</v>
      </c>
      <c r="AU172" s="14">
        <v>12</v>
      </c>
      <c r="AV172" s="14">
        <v>4</v>
      </c>
      <c r="AW172" s="14">
        <v>8</v>
      </c>
      <c r="AX172" s="14">
        <v>11</v>
      </c>
      <c r="AY172" s="14">
        <v>4</v>
      </c>
      <c r="AZ172" s="14">
        <v>9</v>
      </c>
      <c r="BA172" s="14">
        <v>12</v>
      </c>
      <c r="BB172" s="13">
        <v>2</v>
      </c>
      <c r="BC172" s="14">
        <v>12</v>
      </c>
      <c r="BD172" s="14">
        <v>11</v>
      </c>
      <c r="BE172" s="14">
        <v>12</v>
      </c>
      <c r="BF172" s="13">
        <v>3</v>
      </c>
      <c r="BG172" s="13">
        <v>3</v>
      </c>
      <c r="BH172" s="14">
        <v>11</v>
      </c>
      <c r="BI172" s="14">
        <v>15</v>
      </c>
      <c r="BJ172" s="15">
        <v>14</v>
      </c>
      <c r="BL172" s="26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W172" s="26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</row>
    <row r="173" spans="1:188" x14ac:dyDescent="0.3">
      <c r="A173" s="10" t="s">
        <v>19</v>
      </c>
      <c r="B173" s="16">
        <f>8+(50/60)</f>
        <v>8.8333333333333339</v>
      </c>
      <c r="C173" s="14">
        <f>11+(5/60)</f>
        <v>11.083333333333334</v>
      </c>
      <c r="D173" s="14">
        <f>8+(20/60)</f>
        <v>8.3333333333333339</v>
      </c>
      <c r="E173" s="14">
        <f>8+(5/60)</f>
        <v>8.0833333333333339</v>
      </c>
      <c r="F173" s="14">
        <f>8+(11/60)</f>
        <v>8.1833333333333336</v>
      </c>
      <c r="G173" s="14">
        <v>10</v>
      </c>
      <c r="H173" s="14">
        <v>11</v>
      </c>
      <c r="I173" s="14">
        <v>12</v>
      </c>
      <c r="J173" s="14">
        <v>8</v>
      </c>
      <c r="K173" s="14">
        <v>7</v>
      </c>
      <c r="L173" s="14">
        <v>10</v>
      </c>
      <c r="M173" s="14">
        <v>10</v>
      </c>
      <c r="N173" s="14">
        <v>12</v>
      </c>
      <c r="O173" s="14">
        <v>12</v>
      </c>
      <c r="P173" s="14">
        <v>10</v>
      </c>
      <c r="Q173" s="13">
        <v>2</v>
      </c>
      <c r="R173" s="13">
        <v>1</v>
      </c>
      <c r="S173" s="13">
        <v>1</v>
      </c>
      <c r="T173" s="12">
        <v>0</v>
      </c>
      <c r="U173" s="13">
        <v>1</v>
      </c>
      <c r="V173" s="13">
        <v>1</v>
      </c>
      <c r="W173" s="13">
        <v>1</v>
      </c>
      <c r="X173" s="13">
        <v>2</v>
      </c>
      <c r="Y173" s="13">
        <v>1</v>
      </c>
      <c r="Z173" s="13">
        <v>2</v>
      </c>
      <c r="AA173" s="13">
        <v>1</v>
      </c>
      <c r="AB173" s="13">
        <v>2</v>
      </c>
      <c r="AC173" s="13">
        <v>2</v>
      </c>
      <c r="AD173" s="13">
        <v>2</v>
      </c>
      <c r="AE173" s="13">
        <v>2</v>
      </c>
      <c r="AF173" s="13">
        <v>2</v>
      </c>
      <c r="AG173" s="13">
        <v>2</v>
      </c>
      <c r="AH173" s="14">
        <v>9</v>
      </c>
      <c r="AI173" s="14">
        <v>10</v>
      </c>
      <c r="AJ173" s="14">
        <v>9</v>
      </c>
      <c r="AK173" s="14">
        <v>10</v>
      </c>
      <c r="AL173" s="14">
        <v>13</v>
      </c>
      <c r="AM173" s="14">
        <v>12</v>
      </c>
      <c r="AN173" s="14">
        <v>12</v>
      </c>
      <c r="AO173" s="14">
        <v>21</v>
      </c>
      <c r="AP173" s="14">
        <v>21</v>
      </c>
      <c r="AQ173" s="14">
        <v>18</v>
      </c>
      <c r="AR173" s="14">
        <v>7</v>
      </c>
      <c r="AS173" s="14">
        <v>6</v>
      </c>
      <c r="AT173" s="14">
        <v>6</v>
      </c>
      <c r="AU173" s="14">
        <v>12</v>
      </c>
      <c r="AV173" s="14">
        <v>4</v>
      </c>
      <c r="AW173" s="14">
        <v>8</v>
      </c>
      <c r="AX173" s="14">
        <v>11</v>
      </c>
      <c r="AY173" s="14">
        <v>3</v>
      </c>
      <c r="AZ173" s="14">
        <v>9</v>
      </c>
      <c r="BA173" s="14">
        <v>12</v>
      </c>
      <c r="BB173" s="13">
        <v>2</v>
      </c>
      <c r="BC173" s="14">
        <v>12</v>
      </c>
      <c r="BD173" s="14">
        <v>11</v>
      </c>
      <c r="BE173" s="14">
        <v>12</v>
      </c>
      <c r="BF173" s="13">
        <v>3</v>
      </c>
      <c r="BG173" s="13">
        <v>3</v>
      </c>
      <c r="BH173" s="14">
        <v>11</v>
      </c>
      <c r="BI173" s="14">
        <v>15</v>
      </c>
      <c r="BJ173" s="15">
        <v>14</v>
      </c>
      <c r="BL173" s="26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W173" s="26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</row>
    <row r="174" spans="1:188" x14ac:dyDescent="0.3">
      <c r="A174" s="10" t="s">
        <v>20</v>
      </c>
      <c r="B174" s="16">
        <f>11+(20/60)</f>
        <v>11.333333333333334</v>
      </c>
      <c r="C174" s="14">
        <f>11+(50/60)</f>
        <v>11.833333333333334</v>
      </c>
      <c r="D174" s="14">
        <f>10+(40/60)</f>
        <v>10.666666666666666</v>
      </c>
      <c r="E174" s="14">
        <f>10+(30/60)</f>
        <v>10.5</v>
      </c>
      <c r="F174" s="14">
        <f>8+(34/60)</f>
        <v>8.5666666666666664</v>
      </c>
      <c r="G174" s="14">
        <v>11</v>
      </c>
      <c r="H174" s="14">
        <v>11</v>
      </c>
      <c r="I174" s="14">
        <v>12</v>
      </c>
      <c r="J174" s="14">
        <v>8</v>
      </c>
      <c r="K174" s="14">
        <v>8</v>
      </c>
      <c r="L174" s="14">
        <v>10</v>
      </c>
      <c r="M174" s="14">
        <v>11</v>
      </c>
      <c r="N174" s="14">
        <v>12</v>
      </c>
      <c r="O174" s="14">
        <v>12</v>
      </c>
      <c r="P174" s="14">
        <v>9</v>
      </c>
      <c r="Q174" s="13">
        <v>2</v>
      </c>
      <c r="R174" s="13">
        <v>2</v>
      </c>
      <c r="S174" s="13">
        <v>1</v>
      </c>
      <c r="T174" s="13">
        <v>1</v>
      </c>
      <c r="U174" s="12">
        <v>0</v>
      </c>
      <c r="V174" s="13">
        <v>1</v>
      </c>
      <c r="W174" s="13">
        <v>2</v>
      </c>
      <c r="X174" s="13">
        <v>2</v>
      </c>
      <c r="Y174" s="13">
        <v>1</v>
      </c>
      <c r="Z174" s="13">
        <v>1</v>
      </c>
      <c r="AA174" s="13">
        <v>1</v>
      </c>
      <c r="AB174" s="13">
        <v>2</v>
      </c>
      <c r="AC174" s="13">
        <v>1</v>
      </c>
      <c r="AD174" s="13">
        <v>2</v>
      </c>
      <c r="AE174" s="13">
        <v>2</v>
      </c>
      <c r="AF174" s="13">
        <v>2</v>
      </c>
      <c r="AG174" s="13">
        <v>2</v>
      </c>
      <c r="AH174" s="14">
        <v>9</v>
      </c>
      <c r="AI174" s="14">
        <v>10</v>
      </c>
      <c r="AJ174" s="14">
        <v>9</v>
      </c>
      <c r="AK174" s="14">
        <v>10</v>
      </c>
      <c r="AL174" s="14">
        <v>13</v>
      </c>
      <c r="AM174" s="14">
        <v>13</v>
      </c>
      <c r="AN174" s="14">
        <v>13</v>
      </c>
      <c r="AO174" s="14">
        <v>21</v>
      </c>
      <c r="AP174" s="14">
        <v>21</v>
      </c>
      <c r="AQ174" s="14">
        <v>18</v>
      </c>
      <c r="AR174" s="14">
        <v>7</v>
      </c>
      <c r="AS174" s="14">
        <v>6</v>
      </c>
      <c r="AT174" s="14">
        <v>6</v>
      </c>
      <c r="AU174" s="14">
        <v>12</v>
      </c>
      <c r="AV174" s="14">
        <v>4</v>
      </c>
      <c r="AW174" s="14">
        <v>8</v>
      </c>
      <c r="AX174" s="14">
        <v>12</v>
      </c>
      <c r="AY174" s="14">
        <v>3</v>
      </c>
      <c r="AZ174" s="14">
        <v>8</v>
      </c>
      <c r="BA174" s="14">
        <v>12</v>
      </c>
      <c r="BB174" s="13">
        <v>3</v>
      </c>
      <c r="BC174" s="14">
        <v>12</v>
      </c>
      <c r="BD174" s="14">
        <v>11</v>
      </c>
      <c r="BE174" s="14">
        <v>12</v>
      </c>
      <c r="BF174" s="13">
        <v>3</v>
      </c>
      <c r="BG174" s="13">
        <v>3</v>
      </c>
      <c r="BH174" s="14">
        <v>11</v>
      </c>
      <c r="BI174" s="14">
        <v>15</v>
      </c>
      <c r="BJ174" s="15">
        <v>14</v>
      </c>
      <c r="BL174" s="26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W174" s="26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</row>
    <row r="175" spans="1:188" x14ac:dyDescent="0.3">
      <c r="A175" s="10" t="s">
        <v>21</v>
      </c>
      <c r="B175" s="16">
        <f>9+(10/60)</f>
        <v>9.1666666666666661</v>
      </c>
      <c r="C175" s="14">
        <f>11+(45/60)</f>
        <v>11.75</v>
      </c>
      <c r="D175" s="14">
        <f>10+(45/60)</f>
        <v>10.75</v>
      </c>
      <c r="E175" s="14">
        <f>8+(20/60)</f>
        <v>8.3333333333333339</v>
      </c>
      <c r="F175" s="14">
        <f>9</f>
        <v>9</v>
      </c>
      <c r="G175" s="14">
        <v>11</v>
      </c>
      <c r="H175" s="14">
        <v>11</v>
      </c>
      <c r="I175" s="14">
        <v>12</v>
      </c>
      <c r="J175" s="14">
        <v>9</v>
      </c>
      <c r="K175" s="14">
        <v>8</v>
      </c>
      <c r="L175" s="14">
        <v>10</v>
      </c>
      <c r="M175" s="14">
        <v>11</v>
      </c>
      <c r="N175" s="14">
        <v>13</v>
      </c>
      <c r="O175" s="14">
        <v>13</v>
      </c>
      <c r="P175" s="14">
        <v>10</v>
      </c>
      <c r="Q175" s="13">
        <v>2</v>
      </c>
      <c r="R175" s="13">
        <v>2</v>
      </c>
      <c r="S175" s="13">
        <v>2</v>
      </c>
      <c r="T175" s="13">
        <v>1</v>
      </c>
      <c r="U175" s="13">
        <v>1</v>
      </c>
      <c r="V175" s="12">
        <v>0</v>
      </c>
      <c r="W175" s="13">
        <v>1</v>
      </c>
      <c r="X175" s="13">
        <v>1</v>
      </c>
      <c r="Y175" s="13">
        <v>1</v>
      </c>
      <c r="Z175" s="13">
        <v>1</v>
      </c>
      <c r="AA175" s="13">
        <v>1</v>
      </c>
      <c r="AB175" s="13">
        <v>2</v>
      </c>
      <c r="AC175" s="13">
        <v>2</v>
      </c>
      <c r="AD175" s="13">
        <v>1</v>
      </c>
      <c r="AE175" s="13">
        <v>1</v>
      </c>
      <c r="AF175" s="13">
        <v>1</v>
      </c>
      <c r="AG175" s="13">
        <v>1</v>
      </c>
      <c r="AH175" s="14">
        <v>8</v>
      </c>
      <c r="AI175" s="14">
        <v>9</v>
      </c>
      <c r="AJ175" s="14">
        <v>9</v>
      </c>
      <c r="AK175" s="14">
        <v>10</v>
      </c>
      <c r="AL175" s="14">
        <v>12</v>
      </c>
      <c r="AM175" s="14">
        <v>12</v>
      </c>
      <c r="AN175" s="14">
        <v>12</v>
      </c>
      <c r="AO175" s="14">
        <v>21</v>
      </c>
      <c r="AP175" s="14">
        <v>21</v>
      </c>
      <c r="AQ175" s="14">
        <v>17</v>
      </c>
      <c r="AR175" s="14">
        <v>6</v>
      </c>
      <c r="AS175" s="14">
        <v>5</v>
      </c>
      <c r="AT175" s="14">
        <v>5</v>
      </c>
      <c r="AU175" s="14">
        <v>11</v>
      </c>
      <c r="AV175" s="14">
        <v>3</v>
      </c>
      <c r="AW175" s="14">
        <v>7</v>
      </c>
      <c r="AX175" s="14">
        <v>11</v>
      </c>
      <c r="AY175" s="14">
        <v>4</v>
      </c>
      <c r="AZ175" s="14">
        <v>8</v>
      </c>
      <c r="BA175" s="14">
        <v>12</v>
      </c>
      <c r="BB175" s="13">
        <v>2</v>
      </c>
      <c r="BC175" s="14">
        <v>12</v>
      </c>
      <c r="BD175" s="14">
        <v>10</v>
      </c>
      <c r="BE175" s="14">
        <v>11</v>
      </c>
      <c r="BF175" s="13">
        <v>2</v>
      </c>
      <c r="BG175" s="13">
        <v>2</v>
      </c>
      <c r="BH175" s="14">
        <v>12</v>
      </c>
      <c r="BI175" s="14">
        <v>16</v>
      </c>
      <c r="BJ175" s="15">
        <v>15</v>
      </c>
      <c r="BL175" s="26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W175" s="26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</row>
    <row r="176" spans="1:188" x14ac:dyDescent="0.3">
      <c r="A176" s="10" t="s">
        <v>22</v>
      </c>
      <c r="B176" s="16">
        <f>11+(15/60)</f>
        <v>11.25</v>
      </c>
      <c r="C176" s="14">
        <f>13+(26/60)</f>
        <v>13.433333333333334</v>
      </c>
      <c r="D176" s="14">
        <f>10+(45/60)</f>
        <v>10.75</v>
      </c>
      <c r="E176" s="14">
        <f>10</f>
        <v>10</v>
      </c>
      <c r="F176" s="14">
        <f>8+(33/60)</f>
        <v>8.5500000000000007</v>
      </c>
      <c r="G176" s="14">
        <v>11</v>
      </c>
      <c r="H176" s="14">
        <v>10</v>
      </c>
      <c r="I176" s="14">
        <v>12</v>
      </c>
      <c r="J176" s="14">
        <v>8</v>
      </c>
      <c r="K176" s="14">
        <v>8</v>
      </c>
      <c r="L176" s="14">
        <v>10</v>
      </c>
      <c r="M176" s="14">
        <v>10</v>
      </c>
      <c r="N176" s="14">
        <v>12</v>
      </c>
      <c r="O176" s="14">
        <v>13</v>
      </c>
      <c r="P176" s="14">
        <v>10</v>
      </c>
      <c r="Q176" s="13">
        <v>2</v>
      </c>
      <c r="R176" s="13">
        <v>2</v>
      </c>
      <c r="S176" s="13">
        <v>1</v>
      </c>
      <c r="T176" s="13">
        <v>1</v>
      </c>
      <c r="U176" s="13">
        <v>2</v>
      </c>
      <c r="V176" s="13">
        <v>1</v>
      </c>
      <c r="W176" s="12">
        <v>0</v>
      </c>
      <c r="X176" s="13">
        <v>1</v>
      </c>
      <c r="Y176" s="13">
        <v>1</v>
      </c>
      <c r="Z176" s="13">
        <v>2</v>
      </c>
      <c r="AA176" s="13">
        <v>2</v>
      </c>
      <c r="AB176" s="13">
        <v>3</v>
      </c>
      <c r="AC176" s="13">
        <v>2</v>
      </c>
      <c r="AD176" s="13">
        <v>1</v>
      </c>
      <c r="AE176" s="13">
        <v>1</v>
      </c>
      <c r="AF176" s="13">
        <v>1</v>
      </c>
      <c r="AG176" s="13">
        <v>1</v>
      </c>
      <c r="AH176" s="14">
        <v>8</v>
      </c>
      <c r="AI176" s="14">
        <v>10</v>
      </c>
      <c r="AJ176" s="14">
        <v>9</v>
      </c>
      <c r="AK176" s="14">
        <v>10</v>
      </c>
      <c r="AL176" s="14">
        <v>12</v>
      </c>
      <c r="AM176" s="14">
        <v>12</v>
      </c>
      <c r="AN176" s="14">
        <v>12</v>
      </c>
      <c r="AO176" s="14">
        <v>21</v>
      </c>
      <c r="AP176" s="14">
        <v>21</v>
      </c>
      <c r="AQ176" s="14">
        <v>18</v>
      </c>
      <c r="AR176" s="14">
        <v>7</v>
      </c>
      <c r="AS176" s="14">
        <v>6</v>
      </c>
      <c r="AT176" s="14">
        <v>6</v>
      </c>
      <c r="AU176" s="14">
        <v>11</v>
      </c>
      <c r="AV176" s="14">
        <v>3</v>
      </c>
      <c r="AW176" s="14">
        <v>7</v>
      </c>
      <c r="AX176" s="14">
        <v>10</v>
      </c>
      <c r="AY176" s="14">
        <v>4</v>
      </c>
      <c r="AZ176" s="14">
        <v>8</v>
      </c>
      <c r="BA176" s="14">
        <v>12</v>
      </c>
      <c r="BB176" s="12">
        <v>2</v>
      </c>
      <c r="BC176" s="14">
        <v>12</v>
      </c>
      <c r="BD176" s="14">
        <v>10</v>
      </c>
      <c r="BE176" s="14">
        <v>11</v>
      </c>
      <c r="BF176" s="13">
        <v>2</v>
      </c>
      <c r="BG176" s="13">
        <v>3</v>
      </c>
      <c r="BH176" s="14">
        <v>12</v>
      </c>
      <c r="BI176" s="14">
        <v>16</v>
      </c>
      <c r="BJ176" s="15">
        <v>15</v>
      </c>
      <c r="BL176" s="26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W176" s="26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</row>
    <row r="177" spans="1:188" x14ac:dyDescent="0.3">
      <c r="A177" s="10" t="s">
        <v>23</v>
      </c>
      <c r="B177" s="16">
        <f>11+(11/60)</f>
        <v>11.183333333333334</v>
      </c>
      <c r="C177" s="14">
        <f>11+(55/60)</f>
        <v>11.916666666666666</v>
      </c>
      <c r="D177" s="14">
        <f>10+(50/60)</f>
        <v>10.833333333333334</v>
      </c>
      <c r="E177" s="14">
        <f>10+(40/60)</f>
        <v>10.666666666666666</v>
      </c>
      <c r="F177" s="14">
        <f>8+(52/60)</f>
        <v>8.8666666666666671</v>
      </c>
      <c r="G177" s="14">
        <v>11</v>
      </c>
      <c r="H177" s="14">
        <v>11</v>
      </c>
      <c r="I177" s="14">
        <v>12</v>
      </c>
      <c r="J177" s="14">
        <v>9</v>
      </c>
      <c r="K177" s="14">
        <v>8</v>
      </c>
      <c r="L177" s="14">
        <v>10</v>
      </c>
      <c r="M177" s="14">
        <v>10</v>
      </c>
      <c r="N177" s="14">
        <v>13</v>
      </c>
      <c r="O177" s="14">
        <v>13</v>
      </c>
      <c r="P177" s="14">
        <v>11</v>
      </c>
      <c r="Q177" s="13">
        <v>2</v>
      </c>
      <c r="R177" s="13">
        <v>2</v>
      </c>
      <c r="S177" s="13">
        <v>2</v>
      </c>
      <c r="T177" s="13">
        <v>2</v>
      </c>
      <c r="U177" s="13">
        <v>2</v>
      </c>
      <c r="V177" s="13">
        <v>1</v>
      </c>
      <c r="W177" s="13">
        <v>1</v>
      </c>
      <c r="X177" s="12">
        <v>0</v>
      </c>
      <c r="Y177" s="13">
        <v>1</v>
      </c>
      <c r="Z177" s="13">
        <v>2</v>
      </c>
      <c r="AA177" s="13">
        <v>2</v>
      </c>
      <c r="AB177" s="13">
        <v>3</v>
      </c>
      <c r="AC177" s="13">
        <v>2</v>
      </c>
      <c r="AD177" s="13">
        <v>1</v>
      </c>
      <c r="AE177" s="13">
        <v>1</v>
      </c>
      <c r="AF177" s="13">
        <v>1</v>
      </c>
      <c r="AG177" s="13">
        <v>1</v>
      </c>
      <c r="AH177" s="14">
        <v>8</v>
      </c>
      <c r="AI177" s="14">
        <v>9</v>
      </c>
      <c r="AJ177" s="14">
        <v>8</v>
      </c>
      <c r="AK177" s="14">
        <v>10</v>
      </c>
      <c r="AL177" s="14">
        <v>12</v>
      </c>
      <c r="AM177" s="14">
        <v>11</v>
      </c>
      <c r="AN177" s="14">
        <v>11</v>
      </c>
      <c r="AO177" s="14">
        <v>20</v>
      </c>
      <c r="AP177" s="14">
        <v>20</v>
      </c>
      <c r="AQ177" s="14">
        <v>17</v>
      </c>
      <c r="AR177" s="14">
        <v>6</v>
      </c>
      <c r="AS177" s="14">
        <v>6</v>
      </c>
      <c r="AT177" s="14">
        <v>6</v>
      </c>
      <c r="AU177" s="14">
        <v>11</v>
      </c>
      <c r="AV177" s="14">
        <v>2</v>
      </c>
      <c r="AW177" s="14">
        <v>7</v>
      </c>
      <c r="AX177" s="14">
        <v>10</v>
      </c>
      <c r="AY177" s="14">
        <v>4</v>
      </c>
      <c r="AZ177" s="14">
        <v>8</v>
      </c>
      <c r="BA177" s="14">
        <v>11</v>
      </c>
      <c r="BB177" s="13">
        <v>2</v>
      </c>
      <c r="BC177" s="14">
        <v>11</v>
      </c>
      <c r="BD177" s="14">
        <v>10</v>
      </c>
      <c r="BE177" s="14">
        <v>11</v>
      </c>
      <c r="BF177" s="13">
        <v>2</v>
      </c>
      <c r="BG177" s="13">
        <v>3</v>
      </c>
      <c r="BH177" s="14">
        <v>12</v>
      </c>
      <c r="BI177" s="14">
        <v>16</v>
      </c>
      <c r="BJ177" s="15">
        <v>15</v>
      </c>
      <c r="BL177" s="26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W177" s="26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</row>
    <row r="178" spans="1:188" x14ac:dyDescent="0.3">
      <c r="A178" s="10" t="s">
        <v>24</v>
      </c>
      <c r="B178" s="16">
        <f>14+(3/60)</f>
        <v>14.05</v>
      </c>
      <c r="C178" s="14">
        <f>14+(16/60)</f>
        <v>14.266666666666667</v>
      </c>
      <c r="D178" s="14">
        <f>14</f>
        <v>14</v>
      </c>
      <c r="E178" s="14">
        <f>12+(10/60)</f>
        <v>12.166666666666666</v>
      </c>
      <c r="F178" s="14">
        <v>9</v>
      </c>
      <c r="G178" s="14">
        <v>10</v>
      </c>
      <c r="H178" s="14">
        <v>10</v>
      </c>
      <c r="I178" s="14">
        <v>12</v>
      </c>
      <c r="J178" s="14">
        <v>8</v>
      </c>
      <c r="K178" s="14">
        <v>8</v>
      </c>
      <c r="L178" s="14">
        <v>10</v>
      </c>
      <c r="M178" s="14">
        <v>10</v>
      </c>
      <c r="N178" s="14">
        <v>12</v>
      </c>
      <c r="O178" s="14">
        <v>13</v>
      </c>
      <c r="P178" s="14">
        <v>10</v>
      </c>
      <c r="Q178" s="13">
        <v>2</v>
      </c>
      <c r="R178" s="13">
        <v>1</v>
      </c>
      <c r="S178" s="13">
        <v>1</v>
      </c>
      <c r="T178" s="13">
        <v>1</v>
      </c>
      <c r="U178" s="13">
        <v>1</v>
      </c>
      <c r="V178" s="13">
        <v>1</v>
      </c>
      <c r="W178" s="13">
        <v>1</v>
      </c>
      <c r="X178" s="13">
        <v>1</v>
      </c>
      <c r="Y178" s="12">
        <v>0</v>
      </c>
      <c r="Z178" s="13">
        <v>2</v>
      </c>
      <c r="AA178" s="13">
        <v>1</v>
      </c>
      <c r="AB178" s="13">
        <v>2</v>
      </c>
      <c r="AC178" s="13">
        <v>2</v>
      </c>
      <c r="AD178" s="13">
        <v>1</v>
      </c>
      <c r="AE178" s="13">
        <v>2</v>
      </c>
      <c r="AF178" s="13">
        <v>1</v>
      </c>
      <c r="AG178" s="13">
        <v>1</v>
      </c>
      <c r="AH178" s="14">
        <v>8</v>
      </c>
      <c r="AI178" s="14">
        <v>10</v>
      </c>
      <c r="AJ178" s="14">
        <v>9</v>
      </c>
      <c r="AK178" s="14">
        <v>10</v>
      </c>
      <c r="AL178" s="14">
        <v>12</v>
      </c>
      <c r="AM178" s="14">
        <v>12</v>
      </c>
      <c r="AN178" s="14">
        <v>12</v>
      </c>
      <c r="AO178" s="14">
        <v>21</v>
      </c>
      <c r="AP178" s="14">
        <v>21</v>
      </c>
      <c r="AQ178" s="14">
        <v>18</v>
      </c>
      <c r="AR178" s="14">
        <v>7</v>
      </c>
      <c r="AS178" s="14">
        <v>6</v>
      </c>
      <c r="AT178" s="14">
        <v>6</v>
      </c>
      <c r="AU178" s="14">
        <v>11</v>
      </c>
      <c r="AV178" s="14">
        <v>3</v>
      </c>
      <c r="AW178" s="14">
        <v>7</v>
      </c>
      <c r="AX178" s="14">
        <v>11</v>
      </c>
      <c r="AY178" s="14">
        <v>4</v>
      </c>
      <c r="AZ178" s="14">
        <v>9</v>
      </c>
      <c r="BA178" s="14">
        <v>12</v>
      </c>
      <c r="BB178" s="13">
        <v>2</v>
      </c>
      <c r="BC178" s="14">
        <v>12</v>
      </c>
      <c r="BD178" s="14">
        <v>10</v>
      </c>
      <c r="BE178" s="14">
        <v>11</v>
      </c>
      <c r="BF178" s="13">
        <v>3</v>
      </c>
      <c r="BG178" s="13">
        <v>3</v>
      </c>
      <c r="BH178" s="14">
        <v>12</v>
      </c>
      <c r="BI178" s="14">
        <v>16</v>
      </c>
      <c r="BJ178" s="15">
        <v>15</v>
      </c>
      <c r="BL178" s="26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W178" s="26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</row>
    <row r="179" spans="1:188" x14ac:dyDescent="0.3">
      <c r="A179" s="10" t="s">
        <v>25</v>
      </c>
      <c r="B179" s="16">
        <f>10+(10/60)</f>
        <v>10.166666666666666</v>
      </c>
      <c r="C179" s="14">
        <f>12+(21/60)</f>
        <v>12.35</v>
      </c>
      <c r="D179" s="14">
        <f>11+(20/60)</f>
        <v>11.333333333333334</v>
      </c>
      <c r="E179" s="14">
        <f>9+(5/60)</f>
        <v>9.0833333333333339</v>
      </c>
      <c r="F179" s="14">
        <v>10</v>
      </c>
      <c r="G179" s="14">
        <v>12</v>
      </c>
      <c r="H179" s="14">
        <v>12</v>
      </c>
      <c r="I179" s="14">
        <v>13</v>
      </c>
      <c r="J179" s="14">
        <v>9</v>
      </c>
      <c r="K179" s="14">
        <v>9</v>
      </c>
      <c r="L179" s="14">
        <v>11</v>
      </c>
      <c r="M179" s="14">
        <v>12</v>
      </c>
      <c r="N179" s="14">
        <v>13</v>
      </c>
      <c r="O179" s="14">
        <v>12</v>
      </c>
      <c r="P179" s="14">
        <v>10</v>
      </c>
      <c r="Q179" s="13">
        <v>3</v>
      </c>
      <c r="R179" s="13">
        <v>3</v>
      </c>
      <c r="S179" s="13">
        <v>2</v>
      </c>
      <c r="T179" s="13">
        <v>2</v>
      </c>
      <c r="U179" s="13">
        <v>1</v>
      </c>
      <c r="V179" s="13">
        <v>1</v>
      </c>
      <c r="W179" s="13">
        <v>2</v>
      </c>
      <c r="X179" s="13">
        <v>2</v>
      </c>
      <c r="Y179" s="13">
        <v>2</v>
      </c>
      <c r="Z179" s="12">
        <v>0</v>
      </c>
      <c r="AA179" s="13">
        <v>1</v>
      </c>
      <c r="AB179" s="13">
        <v>2</v>
      </c>
      <c r="AC179" s="13">
        <v>2</v>
      </c>
      <c r="AD179" s="13">
        <v>2</v>
      </c>
      <c r="AE179" s="13">
        <v>2</v>
      </c>
      <c r="AF179" s="13">
        <v>2</v>
      </c>
      <c r="AG179" s="13">
        <v>1</v>
      </c>
      <c r="AH179" s="14">
        <v>8</v>
      </c>
      <c r="AI179" s="14">
        <v>9</v>
      </c>
      <c r="AJ179" s="14">
        <v>9</v>
      </c>
      <c r="AK179" s="14">
        <v>9</v>
      </c>
      <c r="AL179" s="14">
        <v>13</v>
      </c>
      <c r="AM179" s="14">
        <v>13</v>
      </c>
      <c r="AN179" s="14">
        <v>12</v>
      </c>
      <c r="AO179" s="14">
        <v>20</v>
      </c>
      <c r="AP179" s="14">
        <v>21</v>
      </c>
      <c r="AQ179" s="14">
        <v>17</v>
      </c>
      <c r="AR179" s="14">
        <v>6</v>
      </c>
      <c r="AS179" s="14">
        <v>5</v>
      </c>
      <c r="AT179" s="14">
        <v>5</v>
      </c>
      <c r="AU179" s="14">
        <v>12</v>
      </c>
      <c r="AV179" s="14">
        <v>3</v>
      </c>
      <c r="AW179" s="14">
        <v>8</v>
      </c>
      <c r="AX179" s="14">
        <v>11</v>
      </c>
      <c r="AY179" s="14">
        <v>3</v>
      </c>
      <c r="AZ179" s="14">
        <v>7</v>
      </c>
      <c r="BA179" s="14">
        <v>11</v>
      </c>
      <c r="BB179" s="13">
        <v>3</v>
      </c>
      <c r="BC179" s="14">
        <v>12</v>
      </c>
      <c r="BD179" s="14">
        <v>11</v>
      </c>
      <c r="BE179" s="14">
        <v>12</v>
      </c>
      <c r="BF179" s="13">
        <v>3</v>
      </c>
      <c r="BG179" s="13">
        <v>2</v>
      </c>
      <c r="BH179" s="14">
        <v>12</v>
      </c>
      <c r="BI179" s="14">
        <v>15</v>
      </c>
      <c r="BJ179" s="15">
        <v>15</v>
      </c>
      <c r="BL179" s="26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W179" s="26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</row>
    <row r="180" spans="1:188" x14ac:dyDescent="0.3">
      <c r="A180" s="10" t="s">
        <v>26</v>
      </c>
      <c r="B180" s="16">
        <f>11+(5/60)</f>
        <v>11.083333333333334</v>
      </c>
      <c r="C180" s="14">
        <f>11+(25/60)</f>
        <v>11.416666666666666</v>
      </c>
      <c r="D180" s="14">
        <f>10+(45/60)</f>
        <v>10.75</v>
      </c>
      <c r="E180" s="14">
        <f>10+(10/60)</f>
        <v>10.166666666666666</v>
      </c>
      <c r="F180" s="14">
        <v>9</v>
      </c>
      <c r="G180" s="14">
        <v>11</v>
      </c>
      <c r="H180" s="14">
        <v>11</v>
      </c>
      <c r="I180" s="14">
        <v>13</v>
      </c>
      <c r="J180" s="14">
        <v>9</v>
      </c>
      <c r="K180" s="14">
        <v>8</v>
      </c>
      <c r="L180" s="14">
        <v>10</v>
      </c>
      <c r="M180" s="14">
        <v>11</v>
      </c>
      <c r="N180" s="14">
        <v>13</v>
      </c>
      <c r="O180" s="14">
        <v>12</v>
      </c>
      <c r="P180" s="14">
        <v>10</v>
      </c>
      <c r="Q180" s="13">
        <v>2</v>
      </c>
      <c r="R180" s="13">
        <v>2</v>
      </c>
      <c r="S180" s="13">
        <v>2</v>
      </c>
      <c r="T180" s="13">
        <v>1</v>
      </c>
      <c r="U180" s="13">
        <v>1</v>
      </c>
      <c r="V180" s="13">
        <v>1</v>
      </c>
      <c r="W180" s="13">
        <v>2</v>
      </c>
      <c r="X180" s="13">
        <v>2</v>
      </c>
      <c r="Y180" s="13">
        <v>1</v>
      </c>
      <c r="Z180" s="13">
        <v>1</v>
      </c>
      <c r="AA180" s="12">
        <v>0</v>
      </c>
      <c r="AB180" s="13">
        <v>2</v>
      </c>
      <c r="AC180" s="13">
        <v>1</v>
      </c>
      <c r="AD180" s="13">
        <v>2</v>
      </c>
      <c r="AE180" s="13">
        <v>2</v>
      </c>
      <c r="AF180" s="13">
        <v>1</v>
      </c>
      <c r="AG180" s="13">
        <v>1</v>
      </c>
      <c r="AH180" s="14">
        <v>8</v>
      </c>
      <c r="AI180" s="14">
        <v>10</v>
      </c>
      <c r="AJ180" s="14">
        <v>9</v>
      </c>
      <c r="AK180" s="14">
        <v>10</v>
      </c>
      <c r="AL180" s="14">
        <v>13</v>
      </c>
      <c r="AM180" s="14">
        <v>13</v>
      </c>
      <c r="AN180" s="14">
        <v>13</v>
      </c>
      <c r="AO180" s="14">
        <v>21</v>
      </c>
      <c r="AP180" s="14">
        <v>21</v>
      </c>
      <c r="AQ180" s="14">
        <v>18</v>
      </c>
      <c r="AR180" s="14">
        <v>7</v>
      </c>
      <c r="AS180" s="14">
        <v>5</v>
      </c>
      <c r="AT180" s="14">
        <v>6</v>
      </c>
      <c r="AU180" s="14">
        <v>12</v>
      </c>
      <c r="AV180" s="14">
        <v>3</v>
      </c>
      <c r="AW180" s="14">
        <v>8</v>
      </c>
      <c r="AX180" s="14">
        <v>11</v>
      </c>
      <c r="AY180" s="14">
        <v>3</v>
      </c>
      <c r="AZ180" s="14">
        <v>8</v>
      </c>
      <c r="BA180" s="14">
        <v>12</v>
      </c>
      <c r="BB180" s="13">
        <v>3</v>
      </c>
      <c r="BC180" s="14">
        <v>12</v>
      </c>
      <c r="BD180" s="14">
        <v>11</v>
      </c>
      <c r="BE180" s="14">
        <v>12</v>
      </c>
      <c r="BF180" s="13">
        <v>3</v>
      </c>
      <c r="BG180" s="13">
        <v>2</v>
      </c>
      <c r="BH180" s="14">
        <v>12</v>
      </c>
      <c r="BI180" s="14">
        <v>15</v>
      </c>
      <c r="BJ180" s="15">
        <v>15</v>
      </c>
      <c r="BL180" s="26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W180" s="26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</row>
    <row r="181" spans="1:188" x14ac:dyDescent="0.3">
      <c r="A181" s="10" t="s">
        <v>27</v>
      </c>
      <c r="B181" s="16">
        <f>8+(30/60)</f>
        <v>8.5</v>
      </c>
      <c r="C181" s="14">
        <f>11+(14/60)</f>
        <v>11.233333333333333</v>
      </c>
      <c r="D181" s="14">
        <f>10+(27/60)</f>
        <v>10.45</v>
      </c>
      <c r="E181" s="14">
        <f>8+(5/60)</f>
        <v>8.0833333333333339</v>
      </c>
      <c r="F181" s="14">
        <v>8</v>
      </c>
      <c r="G181" s="14">
        <v>11</v>
      </c>
      <c r="H181" s="14">
        <v>11</v>
      </c>
      <c r="I181" s="14">
        <v>12</v>
      </c>
      <c r="J181" s="14">
        <v>8</v>
      </c>
      <c r="K181" s="14">
        <v>7</v>
      </c>
      <c r="L181" s="14">
        <v>10</v>
      </c>
      <c r="M181" s="14">
        <v>11</v>
      </c>
      <c r="N181" s="14">
        <v>12</v>
      </c>
      <c r="O181" s="14">
        <v>11</v>
      </c>
      <c r="P181" s="14">
        <v>8</v>
      </c>
      <c r="Q181" s="13">
        <v>3</v>
      </c>
      <c r="R181" s="13">
        <v>2</v>
      </c>
      <c r="S181" s="13">
        <v>2</v>
      </c>
      <c r="T181" s="13">
        <v>2</v>
      </c>
      <c r="U181" s="13">
        <v>2</v>
      </c>
      <c r="V181" s="13">
        <v>2</v>
      </c>
      <c r="W181" s="13">
        <v>3</v>
      </c>
      <c r="X181" s="13">
        <v>3</v>
      </c>
      <c r="Y181" s="13">
        <v>2</v>
      </c>
      <c r="Z181" s="13">
        <v>2</v>
      </c>
      <c r="AA181" s="13">
        <v>2</v>
      </c>
      <c r="AB181" s="12">
        <v>0</v>
      </c>
      <c r="AC181" s="13">
        <v>1</v>
      </c>
      <c r="AD181" s="13">
        <v>3</v>
      </c>
      <c r="AE181" s="13">
        <v>3</v>
      </c>
      <c r="AF181" s="13">
        <v>3</v>
      </c>
      <c r="AG181" s="13">
        <v>3</v>
      </c>
      <c r="AH181" s="14">
        <v>10</v>
      </c>
      <c r="AI181" s="14">
        <v>11</v>
      </c>
      <c r="AJ181" s="14">
        <v>10</v>
      </c>
      <c r="AK181" s="14">
        <v>11</v>
      </c>
      <c r="AL181" s="14">
        <v>14</v>
      </c>
      <c r="AM181" s="14">
        <v>14</v>
      </c>
      <c r="AN181" s="14">
        <v>14</v>
      </c>
      <c r="AO181" s="14">
        <v>22</v>
      </c>
      <c r="AP181" s="14">
        <v>23</v>
      </c>
      <c r="AQ181" s="14">
        <v>19</v>
      </c>
      <c r="AR181" s="14">
        <v>8</v>
      </c>
      <c r="AS181" s="14">
        <v>6</v>
      </c>
      <c r="AT181" s="14">
        <v>7</v>
      </c>
      <c r="AU181" s="14">
        <v>13</v>
      </c>
      <c r="AV181" s="14">
        <v>5</v>
      </c>
      <c r="AW181" s="14">
        <v>9</v>
      </c>
      <c r="AX181" s="14">
        <v>13</v>
      </c>
      <c r="AY181" s="14">
        <v>2</v>
      </c>
      <c r="AZ181" s="14">
        <v>8</v>
      </c>
      <c r="BA181" s="14">
        <v>13</v>
      </c>
      <c r="BB181" s="13">
        <v>4</v>
      </c>
      <c r="BC181" s="14">
        <v>14</v>
      </c>
      <c r="BD181" s="14">
        <v>12</v>
      </c>
      <c r="BE181" s="14">
        <v>13</v>
      </c>
      <c r="BF181" s="13">
        <v>4</v>
      </c>
      <c r="BG181" s="13">
        <v>3</v>
      </c>
      <c r="BH181" s="14">
        <v>10</v>
      </c>
      <c r="BI181" s="14">
        <v>14</v>
      </c>
      <c r="BJ181" s="15">
        <v>13</v>
      </c>
      <c r="BL181" s="26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W181" s="26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</row>
    <row r="182" spans="1:188" x14ac:dyDescent="0.3">
      <c r="A182" s="10" t="s">
        <v>65</v>
      </c>
      <c r="B182" s="16">
        <f>9</f>
        <v>9</v>
      </c>
      <c r="C182" s="14">
        <f>11+(45/60)</f>
        <v>11.75</v>
      </c>
      <c r="D182" s="14">
        <f>10+(53/60)</f>
        <v>10.883333333333333</v>
      </c>
      <c r="E182" s="14">
        <f>8+(30/60)</f>
        <v>8.5</v>
      </c>
      <c r="F182" s="14">
        <v>9</v>
      </c>
      <c r="G182" s="14">
        <v>11</v>
      </c>
      <c r="H182" s="14">
        <v>11</v>
      </c>
      <c r="I182" s="14">
        <v>13</v>
      </c>
      <c r="J182" s="14">
        <v>8</v>
      </c>
      <c r="K182" s="14">
        <v>8</v>
      </c>
      <c r="L182" s="14">
        <v>10</v>
      </c>
      <c r="M182" s="14">
        <v>11</v>
      </c>
      <c r="N182" s="14">
        <v>12</v>
      </c>
      <c r="O182" s="14">
        <v>11</v>
      </c>
      <c r="P182" s="14">
        <v>9</v>
      </c>
      <c r="Q182" s="13">
        <v>3</v>
      </c>
      <c r="R182" s="13">
        <v>2</v>
      </c>
      <c r="S182" s="13">
        <v>2</v>
      </c>
      <c r="T182" s="13">
        <v>2</v>
      </c>
      <c r="U182" s="13">
        <v>1</v>
      </c>
      <c r="V182" s="13">
        <v>2</v>
      </c>
      <c r="W182" s="13">
        <v>2</v>
      </c>
      <c r="X182" s="13">
        <v>2</v>
      </c>
      <c r="Y182" s="13">
        <v>2</v>
      </c>
      <c r="Z182" s="13">
        <v>2</v>
      </c>
      <c r="AA182" s="13">
        <v>1</v>
      </c>
      <c r="AB182" s="13">
        <v>1</v>
      </c>
      <c r="AC182" s="12">
        <v>0</v>
      </c>
      <c r="AD182" s="13">
        <v>3</v>
      </c>
      <c r="AE182" s="13">
        <v>3</v>
      </c>
      <c r="AF182" s="13">
        <v>2</v>
      </c>
      <c r="AG182" s="13">
        <v>2</v>
      </c>
      <c r="AH182" s="14">
        <v>9</v>
      </c>
      <c r="AI182" s="14">
        <v>11</v>
      </c>
      <c r="AJ182" s="14">
        <v>10</v>
      </c>
      <c r="AK182" s="14">
        <v>11</v>
      </c>
      <c r="AL182" s="14">
        <v>13</v>
      </c>
      <c r="AM182" s="14">
        <v>13</v>
      </c>
      <c r="AN182" s="14">
        <v>13</v>
      </c>
      <c r="AO182" s="14">
        <v>21</v>
      </c>
      <c r="AP182" s="14">
        <v>22</v>
      </c>
      <c r="AQ182" s="14">
        <v>18</v>
      </c>
      <c r="AR182" s="14">
        <v>7</v>
      </c>
      <c r="AS182" s="14">
        <v>6</v>
      </c>
      <c r="AT182" s="14">
        <v>6</v>
      </c>
      <c r="AU182" s="14">
        <v>12</v>
      </c>
      <c r="AV182" s="14">
        <v>4</v>
      </c>
      <c r="AW182" s="14">
        <v>8</v>
      </c>
      <c r="AX182" s="14">
        <v>12</v>
      </c>
      <c r="AY182" s="14">
        <v>2</v>
      </c>
      <c r="AZ182" s="14">
        <v>8</v>
      </c>
      <c r="BA182" s="14">
        <v>13</v>
      </c>
      <c r="BB182" s="13">
        <v>3</v>
      </c>
      <c r="BC182" s="14">
        <v>13</v>
      </c>
      <c r="BD182" s="14">
        <v>11</v>
      </c>
      <c r="BE182" s="14">
        <v>13</v>
      </c>
      <c r="BF182" s="13">
        <v>3</v>
      </c>
      <c r="BG182" s="13">
        <v>3</v>
      </c>
      <c r="BH182" s="14">
        <v>11</v>
      </c>
      <c r="BI182" s="14">
        <v>14</v>
      </c>
      <c r="BJ182" s="15">
        <v>14</v>
      </c>
      <c r="BL182" s="26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W182" s="26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</row>
    <row r="183" spans="1:188" x14ac:dyDescent="0.3">
      <c r="A183" s="10" t="s">
        <v>29</v>
      </c>
      <c r="B183" s="16">
        <f>13+(56/60)</f>
        <v>13.933333333333334</v>
      </c>
      <c r="C183" s="14">
        <f>15+(30/60)</f>
        <v>15.5</v>
      </c>
      <c r="D183" s="14">
        <f>14</f>
        <v>14</v>
      </c>
      <c r="E183" s="14">
        <f>13+(5/60)</f>
        <v>13.083333333333334</v>
      </c>
      <c r="F183" s="14">
        <v>9</v>
      </c>
      <c r="G183" s="14">
        <v>11</v>
      </c>
      <c r="H183" s="14">
        <v>11</v>
      </c>
      <c r="I183" s="14">
        <v>12</v>
      </c>
      <c r="J183" s="14">
        <v>9</v>
      </c>
      <c r="K183" s="14">
        <v>8</v>
      </c>
      <c r="L183" s="14">
        <v>10</v>
      </c>
      <c r="M183" s="14">
        <v>10</v>
      </c>
      <c r="N183" s="14">
        <v>13</v>
      </c>
      <c r="O183" s="14">
        <v>13</v>
      </c>
      <c r="P183" s="14">
        <v>11</v>
      </c>
      <c r="Q183" s="13">
        <v>2</v>
      </c>
      <c r="R183" s="13">
        <v>2</v>
      </c>
      <c r="S183" s="13">
        <v>2</v>
      </c>
      <c r="T183" s="13">
        <v>2</v>
      </c>
      <c r="U183" s="13">
        <v>2</v>
      </c>
      <c r="V183" s="13">
        <v>1</v>
      </c>
      <c r="W183" s="13">
        <v>1</v>
      </c>
      <c r="X183" s="13">
        <v>1</v>
      </c>
      <c r="Y183" s="13">
        <v>1</v>
      </c>
      <c r="Z183" s="13">
        <v>2</v>
      </c>
      <c r="AA183" s="13">
        <v>2</v>
      </c>
      <c r="AB183" s="13">
        <v>3</v>
      </c>
      <c r="AC183" s="13">
        <v>3</v>
      </c>
      <c r="AD183" s="12">
        <v>0</v>
      </c>
      <c r="AE183" s="13">
        <v>1</v>
      </c>
      <c r="AF183" s="13">
        <v>1</v>
      </c>
      <c r="AG183" s="13">
        <v>1</v>
      </c>
      <c r="AH183" s="14">
        <v>8</v>
      </c>
      <c r="AI183" s="14">
        <v>9</v>
      </c>
      <c r="AJ183" s="14">
        <v>8</v>
      </c>
      <c r="AK183" s="14">
        <v>9</v>
      </c>
      <c r="AL183" s="14">
        <v>11</v>
      </c>
      <c r="AM183" s="14">
        <v>11</v>
      </c>
      <c r="AN183" s="14">
        <v>11</v>
      </c>
      <c r="AO183" s="14">
        <v>20</v>
      </c>
      <c r="AP183" s="14">
        <v>20</v>
      </c>
      <c r="AQ183" s="14">
        <v>17</v>
      </c>
      <c r="AR183" s="14">
        <v>6</v>
      </c>
      <c r="AS183" s="14">
        <v>6</v>
      </c>
      <c r="AT183" s="14">
        <v>5</v>
      </c>
      <c r="AU183" s="14">
        <v>10</v>
      </c>
      <c r="AV183" s="14">
        <v>2</v>
      </c>
      <c r="AW183" s="14">
        <v>6</v>
      </c>
      <c r="AX183" s="14">
        <v>10</v>
      </c>
      <c r="AY183" s="14">
        <v>4</v>
      </c>
      <c r="AZ183" s="14">
        <v>8</v>
      </c>
      <c r="BA183" s="14">
        <v>11</v>
      </c>
      <c r="BB183" s="13">
        <v>1</v>
      </c>
      <c r="BC183" s="14">
        <v>11</v>
      </c>
      <c r="BD183" s="14">
        <v>10</v>
      </c>
      <c r="BE183" s="14">
        <v>11</v>
      </c>
      <c r="BF183" s="13">
        <v>2</v>
      </c>
      <c r="BG183" s="13">
        <v>3</v>
      </c>
      <c r="BH183" s="14">
        <v>12</v>
      </c>
      <c r="BI183" s="14">
        <v>16</v>
      </c>
      <c r="BJ183" s="15">
        <v>15</v>
      </c>
      <c r="BL183" s="26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W183" s="26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</row>
    <row r="184" spans="1:188" x14ac:dyDescent="0.3">
      <c r="A184" s="10" t="s">
        <v>30</v>
      </c>
      <c r="B184" s="16">
        <f>11+(46/60)</f>
        <v>11.766666666666667</v>
      </c>
      <c r="C184" s="14">
        <f>14+(5/60)</f>
        <v>14.083333333333334</v>
      </c>
      <c r="D184" s="14">
        <f>11+(20/60)</f>
        <v>11.333333333333334</v>
      </c>
      <c r="E184" s="14">
        <f>9+(10/60)</f>
        <v>9.1666666666666661</v>
      </c>
      <c r="F184" s="14">
        <v>10</v>
      </c>
      <c r="G184" s="14">
        <v>11</v>
      </c>
      <c r="H184" s="14">
        <v>11</v>
      </c>
      <c r="I184" s="14">
        <v>13</v>
      </c>
      <c r="J184" s="14">
        <v>9</v>
      </c>
      <c r="K184" s="14">
        <v>9</v>
      </c>
      <c r="L184" s="14">
        <v>10</v>
      </c>
      <c r="M184" s="14">
        <v>11</v>
      </c>
      <c r="N184" s="14">
        <v>13</v>
      </c>
      <c r="O184" s="14">
        <v>13</v>
      </c>
      <c r="P184" s="14">
        <v>11</v>
      </c>
      <c r="Q184" s="13">
        <v>3</v>
      </c>
      <c r="R184" s="13">
        <v>3</v>
      </c>
      <c r="S184" s="13">
        <v>2</v>
      </c>
      <c r="T184" s="13">
        <v>2</v>
      </c>
      <c r="U184" s="13">
        <v>2</v>
      </c>
      <c r="V184" s="13">
        <v>1</v>
      </c>
      <c r="W184" s="13">
        <v>1</v>
      </c>
      <c r="X184" s="13">
        <v>1</v>
      </c>
      <c r="Y184" s="13">
        <v>2</v>
      </c>
      <c r="Z184" s="13">
        <v>2</v>
      </c>
      <c r="AA184" s="13">
        <v>2</v>
      </c>
      <c r="AB184" s="13">
        <v>3</v>
      </c>
      <c r="AC184" s="13">
        <v>3</v>
      </c>
      <c r="AD184" s="13">
        <v>1</v>
      </c>
      <c r="AE184" s="12">
        <v>0</v>
      </c>
      <c r="AF184" s="13">
        <v>1</v>
      </c>
      <c r="AG184" s="13">
        <v>1</v>
      </c>
      <c r="AH184" s="14">
        <v>7</v>
      </c>
      <c r="AI184" s="14">
        <v>9</v>
      </c>
      <c r="AJ184" s="14">
        <v>8</v>
      </c>
      <c r="AK184" s="14">
        <v>9</v>
      </c>
      <c r="AL184" s="14">
        <v>11</v>
      </c>
      <c r="AM184" s="14">
        <v>11</v>
      </c>
      <c r="AN184" s="14">
        <v>11</v>
      </c>
      <c r="AO184" s="14">
        <v>20</v>
      </c>
      <c r="AP184" s="14">
        <v>20</v>
      </c>
      <c r="AQ184" s="14">
        <v>17</v>
      </c>
      <c r="AR184" s="14">
        <v>6</v>
      </c>
      <c r="AS184" s="14">
        <v>5</v>
      </c>
      <c r="AT184" s="14">
        <v>5</v>
      </c>
      <c r="AU184" s="14">
        <v>10</v>
      </c>
      <c r="AV184" s="12">
        <v>2</v>
      </c>
      <c r="AW184" s="14">
        <v>6</v>
      </c>
      <c r="AX184" s="14">
        <v>10</v>
      </c>
      <c r="AY184" s="14">
        <v>4</v>
      </c>
      <c r="AZ184" s="14">
        <v>8</v>
      </c>
      <c r="BA184" s="14">
        <v>11</v>
      </c>
      <c r="BB184" s="13">
        <v>2</v>
      </c>
      <c r="BC184" s="14">
        <v>11</v>
      </c>
      <c r="BD184" s="14">
        <v>9</v>
      </c>
      <c r="BE184" s="14">
        <v>11</v>
      </c>
      <c r="BF184" s="12">
        <v>1</v>
      </c>
      <c r="BG184" s="13">
        <v>2</v>
      </c>
      <c r="BH184" s="14">
        <v>13</v>
      </c>
      <c r="BI184" s="14">
        <v>16</v>
      </c>
      <c r="BJ184" s="15">
        <v>16</v>
      </c>
      <c r="BL184" s="26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W184" s="26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</row>
    <row r="185" spans="1:188" x14ac:dyDescent="0.3">
      <c r="A185" s="10" t="s">
        <v>31</v>
      </c>
      <c r="B185" s="16">
        <f>11+(15/60)</f>
        <v>11.25</v>
      </c>
      <c r="C185" s="14">
        <f>13+(5/60)</f>
        <v>13.083333333333334</v>
      </c>
      <c r="D185" s="14">
        <f>11+(14/60)</f>
        <v>11.233333333333333</v>
      </c>
      <c r="E185" s="14">
        <f>10+(45/60)</f>
        <v>10.75</v>
      </c>
      <c r="F185" s="14">
        <v>9</v>
      </c>
      <c r="G185" s="14">
        <v>11</v>
      </c>
      <c r="H185" s="14">
        <v>11</v>
      </c>
      <c r="I185" s="14">
        <v>12</v>
      </c>
      <c r="J185" s="14">
        <v>9</v>
      </c>
      <c r="K185" s="14">
        <v>8</v>
      </c>
      <c r="L185" s="14">
        <v>10</v>
      </c>
      <c r="M185" s="14">
        <v>11</v>
      </c>
      <c r="N185" s="14">
        <v>13</v>
      </c>
      <c r="O185" s="14">
        <v>13</v>
      </c>
      <c r="P185" s="14">
        <v>10</v>
      </c>
      <c r="Q185" s="13">
        <v>2</v>
      </c>
      <c r="R185" s="13">
        <v>2</v>
      </c>
      <c r="S185" s="13">
        <v>2</v>
      </c>
      <c r="T185" s="13">
        <v>2</v>
      </c>
      <c r="U185" s="13">
        <v>2</v>
      </c>
      <c r="V185" s="13">
        <v>1</v>
      </c>
      <c r="W185" s="13">
        <v>1</v>
      </c>
      <c r="X185" s="13">
        <v>1</v>
      </c>
      <c r="Y185" s="13">
        <v>1</v>
      </c>
      <c r="Z185" s="13">
        <v>2</v>
      </c>
      <c r="AA185" s="13">
        <v>1</v>
      </c>
      <c r="AB185" s="13">
        <v>3</v>
      </c>
      <c r="AC185" s="13">
        <v>2</v>
      </c>
      <c r="AD185" s="13">
        <v>1</v>
      </c>
      <c r="AE185" s="13">
        <v>1</v>
      </c>
      <c r="AF185" s="12">
        <v>0</v>
      </c>
      <c r="AG185" s="13">
        <v>1</v>
      </c>
      <c r="AH185" s="14">
        <v>8</v>
      </c>
      <c r="AI185" s="14">
        <v>9</v>
      </c>
      <c r="AJ185" s="14">
        <v>8</v>
      </c>
      <c r="AK185" s="14">
        <v>9</v>
      </c>
      <c r="AL185" s="14">
        <v>12</v>
      </c>
      <c r="AM185" s="14">
        <v>12</v>
      </c>
      <c r="AN185" s="14">
        <v>12</v>
      </c>
      <c r="AO185" s="14">
        <v>20</v>
      </c>
      <c r="AP185" s="14">
        <v>20</v>
      </c>
      <c r="AQ185" s="14">
        <v>17</v>
      </c>
      <c r="AR185" s="14">
        <v>6</v>
      </c>
      <c r="AS185" s="14">
        <v>5</v>
      </c>
      <c r="AT185" s="14">
        <v>5</v>
      </c>
      <c r="AU185" s="14">
        <v>11</v>
      </c>
      <c r="AV185" s="14">
        <v>3</v>
      </c>
      <c r="AW185" s="14">
        <v>7</v>
      </c>
      <c r="AX185" s="14">
        <v>11</v>
      </c>
      <c r="AY185" s="14">
        <v>4</v>
      </c>
      <c r="AZ185" s="14">
        <v>8</v>
      </c>
      <c r="BA185" s="14">
        <v>11</v>
      </c>
      <c r="BB185" s="13">
        <v>2</v>
      </c>
      <c r="BC185" s="14">
        <v>11</v>
      </c>
      <c r="BD185" s="14">
        <v>10</v>
      </c>
      <c r="BE185" s="14">
        <v>11</v>
      </c>
      <c r="BF185" s="13">
        <v>2</v>
      </c>
      <c r="BG185" s="13">
        <v>2</v>
      </c>
      <c r="BH185" s="14">
        <v>12</v>
      </c>
      <c r="BI185" s="14">
        <v>16</v>
      </c>
      <c r="BJ185" s="15">
        <v>15</v>
      </c>
      <c r="BL185" s="26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W185" s="26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</row>
    <row r="186" spans="1:188" x14ac:dyDescent="0.3">
      <c r="A186" s="10" t="s">
        <v>133</v>
      </c>
      <c r="B186" s="16">
        <f>11+(26/60)</f>
        <v>11.433333333333334</v>
      </c>
      <c r="C186" s="14">
        <f>12+(45/60)</f>
        <v>12.75</v>
      </c>
      <c r="D186" s="14">
        <f>11+(25/60)</f>
        <v>11.416666666666666</v>
      </c>
      <c r="E186" s="14">
        <f>9</f>
        <v>9</v>
      </c>
      <c r="F186" s="14">
        <v>9</v>
      </c>
      <c r="G186" s="14">
        <v>11</v>
      </c>
      <c r="H186" s="14">
        <v>11</v>
      </c>
      <c r="I186" s="14">
        <v>13</v>
      </c>
      <c r="J186" s="14">
        <v>9</v>
      </c>
      <c r="K186" s="14">
        <v>9</v>
      </c>
      <c r="L186" s="14">
        <v>11</v>
      </c>
      <c r="M186" s="14">
        <v>11</v>
      </c>
      <c r="N186" s="14">
        <v>13</v>
      </c>
      <c r="O186" s="14">
        <v>13</v>
      </c>
      <c r="P186" s="14">
        <v>10</v>
      </c>
      <c r="Q186" s="13">
        <v>3</v>
      </c>
      <c r="R186" s="13">
        <v>2</v>
      </c>
      <c r="S186" s="13">
        <v>2</v>
      </c>
      <c r="T186" s="13">
        <v>2</v>
      </c>
      <c r="U186" s="13">
        <v>2</v>
      </c>
      <c r="V186" s="13">
        <v>1</v>
      </c>
      <c r="W186" s="13">
        <v>1</v>
      </c>
      <c r="X186" s="13">
        <v>1</v>
      </c>
      <c r="Y186" s="13">
        <v>1</v>
      </c>
      <c r="Z186" s="13">
        <v>1</v>
      </c>
      <c r="AA186" s="13">
        <v>1</v>
      </c>
      <c r="AB186" s="13">
        <v>3</v>
      </c>
      <c r="AC186" s="13">
        <v>2</v>
      </c>
      <c r="AD186" s="13">
        <v>1</v>
      </c>
      <c r="AE186" s="13">
        <v>1</v>
      </c>
      <c r="AF186" s="13">
        <v>1</v>
      </c>
      <c r="AG186" s="12">
        <v>0</v>
      </c>
      <c r="AH186" s="14">
        <v>7</v>
      </c>
      <c r="AI186" s="14">
        <v>9</v>
      </c>
      <c r="AJ186" s="14">
        <v>8</v>
      </c>
      <c r="AK186" s="14">
        <v>9</v>
      </c>
      <c r="AL186" s="14">
        <v>12</v>
      </c>
      <c r="AM186" s="14">
        <v>12</v>
      </c>
      <c r="AN186" s="14">
        <v>12</v>
      </c>
      <c r="AO186" s="14">
        <v>20</v>
      </c>
      <c r="AP186" s="14">
        <v>20</v>
      </c>
      <c r="AQ186" s="14">
        <v>17</v>
      </c>
      <c r="AR186" s="14">
        <v>6</v>
      </c>
      <c r="AS186" s="14">
        <v>5</v>
      </c>
      <c r="AT186" s="14">
        <v>5</v>
      </c>
      <c r="AU186" s="14">
        <v>11</v>
      </c>
      <c r="AV186" s="14">
        <v>3</v>
      </c>
      <c r="AW186" s="14">
        <v>7</v>
      </c>
      <c r="AX186" s="14">
        <v>11</v>
      </c>
      <c r="AY186" s="14">
        <v>4</v>
      </c>
      <c r="AZ186" s="14">
        <v>8</v>
      </c>
      <c r="BA186" s="14">
        <v>11</v>
      </c>
      <c r="BB186" s="13">
        <v>2</v>
      </c>
      <c r="BC186" s="14">
        <v>11</v>
      </c>
      <c r="BD186" s="14">
        <v>10</v>
      </c>
      <c r="BE186" s="14">
        <v>11</v>
      </c>
      <c r="BF186" s="13">
        <v>2</v>
      </c>
      <c r="BG186" s="12">
        <v>2</v>
      </c>
      <c r="BH186" s="14">
        <v>13</v>
      </c>
      <c r="BI186" s="14">
        <v>16</v>
      </c>
      <c r="BJ186" s="15">
        <v>15</v>
      </c>
      <c r="BL186" s="26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W186" s="26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</row>
    <row r="187" spans="1:188" x14ac:dyDescent="0.3">
      <c r="A187" s="10" t="s">
        <v>33</v>
      </c>
      <c r="B187" s="16">
        <f>17+(45/60)</f>
        <v>17.75</v>
      </c>
      <c r="C187" s="14">
        <f>17+(40/60)</f>
        <v>17.666666666666668</v>
      </c>
      <c r="D187" s="14">
        <f>16+(44/60)</f>
        <v>16.733333333333334</v>
      </c>
      <c r="E187" s="14">
        <f>14+(15/60)</f>
        <v>14.25</v>
      </c>
      <c r="F187" s="14">
        <v>16</v>
      </c>
      <c r="G187" s="14">
        <v>16</v>
      </c>
      <c r="H187" s="14">
        <v>15</v>
      </c>
      <c r="I187" s="14">
        <v>17</v>
      </c>
      <c r="J187" s="14">
        <v>15</v>
      </c>
      <c r="K187" s="14">
        <v>15</v>
      </c>
      <c r="L187" s="14">
        <v>14</v>
      </c>
      <c r="M187" s="14">
        <v>14</v>
      </c>
      <c r="N187" s="14">
        <v>19</v>
      </c>
      <c r="O187" s="14">
        <v>18</v>
      </c>
      <c r="P187" s="14">
        <v>16</v>
      </c>
      <c r="Q187" s="14">
        <v>9</v>
      </c>
      <c r="R187" s="14">
        <v>9</v>
      </c>
      <c r="S187" s="14">
        <v>9</v>
      </c>
      <c r="T187" s="14">
        <v>9</v>
      </c>
      <c r="U187" s="14">
        <v>9</v>
      </c>
      <c r="V187" s="14">
        <v>8</v>
      </c>
      <c r="W187" s="14">
        <v>8</v>
      </c>
      <c r="X187" s="14">
        <v>8</v>
      </c>
      <c r="Y187" s="14">
        <v>8</v>
      </c>
      <c r="Z187" s="14">
        <v>8</v>
      </c>
      <c r="AA187" s="14">
        <v>8</v>
      </c>
      <c r="AB187" s="14">
        <v>10</v>
      </c>
      <c r="AC187" s="14">
        <v>9</v>
      </c>
      <c r="AD187" s="14">
        <v>8</v>
      </c>
      <c r="AE187" s="14">
        <v>7</v>
      </c>
      <c r="AF187" s="14">
        <v>8</v>
      </c>
      <c r="AG187" s="14">
        <v>7</v>
      </c>
      <c r="AH187" s="12">
        <v>0</v>
      </c>
      <c r="AI187" s="13">
        <v>2</v>
      </c>
      <c r="AJ187" s="13">
        <v>1</v>
      </c>
      <c r="AK187" s="13">
        <v>3</v>
      </c>
      <c r="AL187" s="13">
        <v>8</v>
      </c>
      <c r="AM187" s="13">
        <v>7</v>
      </c>
      <c r="AN187" s="13">
        <v>7</v>
      </c>
      <c r="AO187" s="14">
        <v>13</v>
      </c>
      <c r="AP187" s="14">
        <v>13</v>
      </c>
      <c r="AQ187" s="14">
        <v>10</v>
      </c>
      <c r="AR187" s="13">
        <v>3</v>
      </c>
      <c r="AS187" s="13">
        <v>5</v>
      </c>
      <c r="AT187" s="13">
        <v>4</v>
      </c>
      <c r="AU187" s="13">
        <v>6</v>
      </c>
      <c r="AV187" s="13">
        <v>6</v>
      </c>
      <c r="AW187" s="12">
        <v>5</v>
      </c>
      <c r="AX187" s="13">
        <v>7</v>
      </c>
      <c r="AY187" s="14">
        <v>10</v>
      </c>
      <c r="AZ187" s="14">
        <v>7</v>
      </c>
      <c r="BA187" s="13">
        <v>4</v>
      </c>
      <c r="BB187" s="14">
        <v>7</v>
      </c>
      <c r="BC187" s="13">
        <v>5</v>
      </c>
      <c r="BD187" s="13">
        <v>5</v>
      </c>
      <c r="BE187" s="13">
        <v>6</v>
      </c>
      <c r="BF187" s="14">
        <v>6</v>
      </c>
      <c r="BG187" s="14">
        <v>7</v>
      </c>
      <c r="BH187" s="14">
        <v>19</v>
      </c>
      <c r="BI187" s="14">
        <v>22</v>
      </c>
      <c r="BJ187" s="15">
        <v>21</v>
      </c>
      <c r="BL187" s="26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W187" s="26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</row>
    <row r="188" spans="1:188" x14ac:dyDescent="0.3">
      <c r="A188" s="10" t="s">
        <v>34</v>
      </c>
      <c r="B188" s="16">
        <f>20+(15/60)</f>
        <v>20.25</v>
      </c>
      <c r="C188" s="14">
        <f>20+(15/60)</f>
        <v>20.25</v>
      </c>
      <c r="D188" s="14">
        <f>20+(36/60)</f>
        <v>20.6</v>
      </c>
      <c r="E188" s="14">
        <f>17+(35/60)</f>
        <v>17.583333333333332</v>
      </c>
      <c r="F188" s="14">
        <v>17</v>
      </c>
      <c r="G188" s="14">
        <v>17</v>
      </c>
      <c r="H188" s="14">
        <v>15</v>
      </c>
      <c r="I188" s="14">
        <v>17</v>
      </c>
      <c r="J188" s="14">
        <v>16</v>
      </c>
      <c r="K188" s="14">
        <v>16</v>
      </c>
      <c r="L188" s="14">
        <v>15</v>
      </c>
      <c r="M188" s="14">
        <v>15</v>
      </c>
      <c r="N188" s="14">
        <v>19</v>
      </c>
      <c r="O188" s="14">
        <v>20</v>
      </c>
      <c r="P188" s="14">
        <v>18</v>
      </c>
      <c r="Q188" s="14">
        <v>10</v>
      </c>
      <c r="R188" s="14">
        <v>11</v>
      </c>
      <c r="S188" s="14">
        <v>10</v>
      </c>
      <c r="T188" s="14">
        <v>10</v>
      </c>
      <c r="U188" s="14">
        <v>10</v>
      </c>
      <c r="V188" s="14">
        <v>9</v>
      </c>
      <c r="W188" s="14">
        <v>10</v>
      </c>
      <c r="X188" s="14">
        <v>9</v>
      </c>
      <c r="Y188" s="14">
        <v>10</v>
      </c>
      <c r="Z188" s="14">
        <v>9</v>
      </c>
      <c r="AA188" s="14">
        <v>10</v>
      </c>
      <c r="AB188" s="14">
        <v>11</v>
      </c>
      <c r="AC188" s="14">
        <v>11</v>
      </c>
      <c r="AD188" s="14">
        <v>9</v>
      </c>
      <c r="AE188" s="14">
        <v>9</v>
      </c>
      <c r="AF188" s="14">
        <v>9</v>
      </c>
      <c r="AG188" s="14">
        <v>9</v>
      </c>
      <c r="AH188" s="13">
        <v>2</v>
      </c>
      <c r="AI188" s="12">
        <v>0</v>
      </c>
      <c r="AJ188" s="13">
        <v>2</v>
      </c>
      <c r="AK188" s="13">
        <v>2</v>
      </c>
      <c r="AL188" s="13">
        <v>7</v>
      </c>
      <c r="AM188" s="13">
        <v>6</v>
      </c>
      <c r="AN188" s="13">
        <v>6</v>
      </c>
      <c r="AO188" s="14">
        <v>12</v>
      </c>
      <c r="AP188" s="14">
        <v>12</v>
      </c>
      <c r="AQ188" s="14">
        <v>9</v>
      </c>
      <c r="AR188" s="13">
        <v>5</v>
      </c>
      <c r="AS188" s="13">
        <v>7</v>
      </c>
      <c r="AT188" s="13">
        <v>6</v>
      </c>
      <c r="AU188" s="12">
        <v>6</v>
      </c>
      <c r="AV188" s="13">
        <v>7</v>
      </c>
      <c r="AW188" s="13">
        <v>5</v>
      </c>
      <c r="AX188" s="12">
        <v>6</v>
      </c>
      <c r="AY188" s="14">
        <v>11</v>
      </c>
      <c r="AZ188" s="14">
        <v>8</v>
      </c>
      <c r="BA188" s="13">
        <v>2</v>
      </c>
      <c r="BB188" s="14">
        <v>9</v>
      </c>
      <c r="BC188" s="12">
        <v>4</v>
      </c>
      <c r="BD188" s="12">
        <v>5</v>
      </c>
      <c r="BE188" s="12">
        <v>5</v>
      </c>
      <c r="BF188" s="14">
        <v>8</v>
      </c>
      <c r="BG188" s="14">
        <v>8</v>
      </c>
      <c r="BH188" s="14">
        <v>21</v>
      </c>
      <c r="BI188" s="14">
        <v>22</v>
      </c>
      <c r="BJ188" s="15">
        <v>22</v>
      </c>
      <c r="BL188" s="26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W188" s="26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</row>
    <row r="189" spans="1:188" x14ac:dyDescent="0.3">
      <c r="A189" s="10" t="s">
        <v>35</v>
      </c>
      <c r="B189" s="16">
        <f>20+(55/60)+1+(57/60)</f>
        <v>22.866666666666667</v>
      </c>
      <c r="C189" s="14">
        <f>23+(15/60)+1+(57/60)</f>
        <v>25.2</v>
      </c>
      <c r="D189" s="14">
        <f>22+(30/60)</f>
        <v>22.5</v>
      </c>
      <c r="E189" s="14">
        <f>20+1+(57/60)</f>
        <v>21.95</v>
      </c>
      <c r="F189" s="14">
        <v>17</v>
      </c>
      <c r="G189" s="14">
        <v>17</v>
      </c>
      <c r="H189" s="14">
        <v>15</v>
      </c>
      <c r="I189" s="14">
        <v>17</v>
      </c>
      <c r="J189" s="14">
        <v>16</v>
      </c>
      <c r="K189" s="14">
        <v>15</v>
      </c>
      <c r="L189" s="14">
        <v>15</v>
      </c>
      <c r="M189" s="14">
        <v>15</v>
      </c>
      <c r="N189" s="14">
        <v>19</v>
      </c>
      <c r="O189" s="14">
        <v>18</v>
      </c>
      <c r="P189" s="14">
        <v>16</v>
      </c>
      <c r="Q189" s="14">
        <v>10</v>
      </c>
      <c r="R189" s="14">
        <v>10</v>
      </c>
      <c r="S189" s="14">
        <v>10</v>
      </c>
      <c r="T189" s="14">
        <v>9</v>
      </c>
      <c r="U189" s="14">
        <v>9</v>
      </c>
      <c r="V189" s="14">
        <v>9</v>
      </c>
      <c r="W189" s="14">
        <v>9</v>
      </c>
      <c r="X189" s="14">
        <v>8</v>
      </c>
      <c r="Y189" s="14">
        <v>9</v>
      </c>
      <c r="Z189" s="14">
        <v>9</v>
      </c>
      <c r="AA189" s="14">
        <v>9</v>
      </c>
      <c r="AB189" s="14">
        <v>10</v>
      </c>
      <c r="AC189" s="14">
        <v>10</v>
      </c>
      <c r="AD189" s="14">
        <v>8</v>
      </c>
      <c r="AE189" s="14">
        <v>8</v>
      </c>
      <c r="AF189" s="14">
        <v>8</v>
      </c>
      <c r="AG189" s="14">
        <v>8</v>
      </c>
      <c r="AH189" s="13">
        <v>1</v>
      </c>
      <c r="AI189" s="13">
        <v>2</v>
      </c>
      <c r="AJ189" s="12">
        <v>0</v>
      </c>
      <c r="AK189" s="13">
        <v>2</v>
      </c>
      <c r="AL189" s="13">
        <v>8</v>
      </c>
      <c r="AM189" s="13">
        <v>8</v>
      </c>
      <c r="AN189" s="13">
        <v>7</v>
      </c>
      <c r="AO189" s="14">
        <v>12</v>
      </c>
      <c r="AP189" s="14">
        <v>13</v>
      </c>
      <c r="AQ189" s="14">
        <v>9</v>
      </c>
      <c r="AR189" s="13">
        <v>4</v>
      </c>
      <c r="AS189" s="13">
        <v>6</v>
      </c>
      <c r="AT189" s="13">
        <v>5</v>
      </c>
      <c r="AU189" s="13">
        <v>7</v>
      </c>
      <c r="AV189" s="13">
        <v>7</v>
      </c>
      <c r="AW189" s="13">
        <v>5</v>
      </c>
      <c r="AX189" s="13">
        <v>7</v>
      </c>
      <c r="AY189" s="14">
        <v>10</v>
      </c>
      <c r="AZ189" s="14">
        <v>7</v>
      </c>
      <c r="BA189" s="13">
        <v>4</v>
      </c>
      <c r="BB189" s="14">
        <v>8</v>
      </c>
      <c r="BC189" s="13">
        <v>5</v>
      </c>
      <c r="BD189" s="13">
        <v>6</v>
      </c>
      <c r="BE189" s="13">
        <v>6</v>
      </c>
      <c r="BF189" s="14">
        <v>7</v>
      </c>
      <c r="BG189" s="14">
        <v>7</v>
      </c>
      <c r="BH189" s="14">
        <v>20</v>
      </c>
      <c r="BI189" s="14">
        <v>22</v>
      </c>
      <c r="BJ189" s="15">
        <v>21</v>
      </c>
      <c r="BL189" s="26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W189" s="26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</row>
    <row r="190" spans="1:188" x14ac:dyDescent="0.3">
      <c r="A190" s="10" t="s">
        <v>36</v>
      </c>
      <c r="B190" s="16">
        <f>20+(5/60)</f>
        <v>20.083333333333332</v>
      </c>
      <c r="C190" s="14">
        <f>21+(45/60)</f>
        <v>21.75</v>
      </c>
      <c r="D190" s="14">
        <f>20+(10/60)</f>
        <v>20.166666666666668</v>
      </c>
      <c r="E190" s="14">
        <f>18</f>
        <v>18</v>
      </c>
      <c r="F190" s="14">
        <v>18</v>
      </c>
      <c r="G190" s="14">
        <v>18</v>
      </c>
      <c r="H190" s="14">
        <v>17</v>
      </c>
      <c r="I190" s="14">
        <v>18</v>
      </c>
      <c r="J190" s="14">
        <v>17</v>
      </c>
      <c r="K190" s="14">
        <v>17</v>
      </c>
      <c r="L190" s="14">
        <v>16</v>
      </c>
      <c r="M190" s="14">
        <v>16</v>
      </c>
      <c r="N190" s="14">
        <v>21</v>
      </c>
      <c r="O190" s="14">
        <v>18</v>
      </c>
      <c r="P190" s="14">
        <v>17</v>
      </c>
      <c r="Q190" s="14">
        <v>11</v>
      </c>
      <c r="R190" s="14">
        <v>11</v>
      </c>
      <c r="S190" s="14">
        <v>11</v>
      </c>
      <c r="T190" s="14">
        <v>10</v>
      </c>
      <c r="U190" s="14">
        <v>10</v>
      </c>
      <c r="V190" s="14">
        <v>10</v>
      </c>
      <c r="W190" s="14">
        <v>10</v>
      </c>
      <c r="X190" s="14">
        <v>10</v>
      </c>
      <c r="Y190" s="14">
        <v>10</v>
      </c>
      <c r="Z190" s="14">
        <v>9</v>
      </c>
      <c r="AA190" s="14">
        <v>10</v>
      </c>
      <c r="AB190" s="14">
        <v>11</v>
      </c>
      <c r="AC190" s="14">
        <v>11</v>
      </c>
      <c r="AD190" s="14">
        <v>9</v>
      </c>
      <c r="AE190" s="14">
        <v>9</v>
      </c>
      <c r="AF190" s="14">
        <v>9</v>
      </c>
      <c r="AG190" s="14">
        <v>9</v>
      </c>
      <c r="AH190" s="13">
        <v>3</v>
      </c>
      <c r="AI190" s="13">
        <v>2</v>
      </c>
      <c r="AJ190" s="13">
        <v>2</v>
      </c>
      <c r="AK190" s="12">
        <v>0</v>
      </c>
      <c r="AL190" s="13">
        <v>8</v>
      </c>
      <c r="AM190" s="13">
        <v>8</v>
      </c>
      <c r="AN190" s="13">
        <v>7</v>
      </c>
      <c r="AO190" s="14">
        <v>11</v>
      </c>
      <c r="AP190" s="14">
        <v>12</v>
      </c>
      <c r="AQ190" s="14">
        <v>8</v>
      </c>
      <c r="AR190" s="13">
        <v>4</v>
      </c>
      <c r="AS190" s="13">
        <v>6</v>
      </c>
      <c r="AT190" s="13">
        <v>5</v>
      </c>
      <c r="AU190" s="13">
        <v>7</v>
      </c>
      <c r="AV190" s="13">
        <v>8</v>
      </c>
      <c r="AW190" s="13">
        <v>7</v>
      </c>
      <c r="AX190" s="13">
        <v>8</v>
      </c>
      <c r="AY190" s="14">
        <v>11</v>
      </c>
      <c r="AZ190" s="14">
        <v>7</v>
      </c>
      <c r="BA190" s="13">
        <v>3</v>
      </c>
      <c r="BB190" s="14">
        <v>9</v>
      </c>
      <c r="BC190" s="13">
        <v>5</v>
      </c>
      <c r="BD190" s="13">
        <v>6</v>
      </c>
      <c r="BE190" s="13">
        <v>6</v>
      </c>
      <c r="BF190" s="14">
        <v>8</v>
      </c>
      <c r="BG190" s="14">
        <v>8</v>
      </c>
      <c r="BH190" s="14">
        <v>21</v>
      </c>
      <c r="BI190" s="14">
        <v>21</v>
      </c>
      <c r="BJ190" s="15">
        <v>20</v>
      </c>
      <c r="BL190" s="26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W190" s="26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</row>
    <row r="191" spans="1:188" x14ac:dyDescent="0.3">
      <c r="A191" s="10" t="s">
        <v>37</v>
      </c>
      <c r="B191" s="16">
        <f>17+(10/60)</f>
        <v>17.166666666666668</v>
      </c>
      <c r="C191" s="14">
        <f>16+(15/60)</f>
        <v>16.25</v>
      </c>
      <c r="D191" s="14">
        <f>12+(20/60)</f>
        <v>12.333333333333334</v>
      </c>
      <c r="E191" s="14">
        <f>13+(15/60)</f>
        <v>13.25</v>
      </c>
      <c r="F191" s="14">
        <v>14</v>
      </c>
      <c r="G191" s="14">
        <v>12</v>
      </c>
      <c r="H191" s="14">
        <v>10</v>
      </c>
      <c r="I191" s="14">
        <v>11</v>
      </c>
      <c r="J191" s="14">
        <v>13</v>
      </c>
      <c r="K191" s="14">
        <v>13</v>
      </c>
      <c r="L191" s="14">
        <v>10</v>
      </c>
      <c r="M191" s="14">
        <v>10</v>
      </c>
      <c r="N191" s="14">
        <v>15</v>
      </c>
      <c r="O191" s="14">
        <v>24</v>
      </c>
      <c r="P191" s="14">
        <v>21</v>
      </c>
      <c r="Q191" s="14">
        <v>12</v>
      </c>
      <c r="R191" s="14">
        <v>12</v>
      </c>
      <c r="S191" s="14">
        <v>12</v>
      </c>
      <c r="T191" s="14">
        <v>13</v>
      </c>
      <c r="U191" s="14">
        <v>13</v>
      </c>
      <c r="V191" s="14">
        <v>12</v>
      </c>
      <c r="W191" s="14">
        <v>12</v>
      </c>
      <c r="X191" s="14">
        <v>12</v>
      </c>
      <c r="Y191" s="14">
        <v>12</v>
      </c>
      <c r="Z191" s="14">
        <v>13</v>
      </c>
      <c r="AA191" s="14">
        <v>13</v>
      </c>
      <c r="AB191" s="14">
        <v>14</v>
      </c>
      <c r="AC191" s="14">
        <v>13</v>
      </c>
      <c r="AD191" s="14">
        <v>11</v>
      </c>
      <c r="AE191" s="14">
        <v>11</v>
      </c>
      <c r="AF191" s="14">
        <v>12</v>
      </c>
      <c r="AG191" s="14">
        <v>12</v>
      </c>
      <c r="AH191" s="13">
        <v>8</v>
      </c>
      <c r="AI191" s="13">
        <v>7</v>
      </c>
      <c r="AJ191" s="13">
        <v>8</v>
      </c>
      <c r="AK191" s="13">
        <v>8</v>
      </c>
      <c r="AL191" s="12">
        <v>0</v>
      </c>
      <c r="AM191" s="13">
        <v>1</v>
      </c>
      <c r="AN191" s="13">
        <v>2</v>
      </c>
      <c r="AO191" s="14">
        <v>11</v>
      </c>
      <c r="AP191" s="14">
        <v>10</v>
      </c>
      <c r="AQ191" s="14">
        <v>10</v>
      </c>
      <c r="AR191" s="13">
        <v>10</v>
      </c>
      <c r="AS191" s="13">
        <v>12</v>
      </c>
      <c r="AT191" s="13">
        <v>11</v>
      </c>
      <c r="AU191" s="13">
        <v>2</v>
      </c>
      <c r="AV191" s="13">
        <v>10</v>
      </c>
      <c r="AW191" s="13">
        <v>6</v>
      </c>
      <c r="AX191" s="13">
        <v>2</v>
      </c>
      <c r="AY191" s="14">
        <v>15</v>
      </c>
      <c r="AZ191" s="14">
        <v>14</v>
      </c>
      <c r="BA191" s="13">
        <v>6</v>
      </c>
      <c r="BB191" s="14">
        <v>11</v>
      </c>
      <c r="BC191" s="13">
        <v>4</v>
      </c>
      <c r="BD191" s="13">
        <v>3</v>
      </c>
      <c r="BE191" s="13">
        <v>3</v>
      </c>
      <c r="BF191" s="14">
        <v>11</v>
      </c>
      <c r="BG191" s="14">
        <v>12</v>
      </c>
      <c r="BH191" s="14">
        <v>18</v>
      </c>
      <c r="BI191" s="14">
        <v>22</v>
      </c>
      <c r="BJ191" s="15">
        <v>23</v>
      </c>
      <c r="BL191" s="26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W191" s="26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</row>
    <row r="192" spans="1:188" x14ac:dyDescent="0.3">
      <c r="A192" s="10" t="s">
        <v>38</v>
      </c>
      <c r="B192" s="16">
        <f>19+(10/60)</f>
        <v>19.166666666666668</v>
      </c>
      <c r="C192" s="14">
        <f>18+(25/60)</f>
        <v>18.416666666666668</v>
      </c>
      <c r="D192" s="14">
        <f>14+(45/60)</f>
        <v>14.75</v>
      </c>
      <c r="E192" s="14">
        <f>15+(40/60)</f>
        <v>15.666666666666666</v>
      </c>
      <c r="F192" s="14">
        <v>15</v>
      </c>
      <c r="G192" s="14">
        <v>13</v>
      </c>
      <c r="H192" s="14">
        <v>11</v>
      </c>
      <c r="I192" s="14">
        <v>12</v>
      </c>
      <c r="J192" s="14">
        <v>14</v>
      </c>
      <c r="K192" s="14">
        <v>14</v>
      </c>
      <c r="L192" s="14">
        <v>11</v>
      </c>
      <c r="M192" s="14">
        <v>10</v>
      </c>
      <c r="N192" s="14">
        <v>15</v>
      </c>
      <c r="O192" s="14">
        <v>24</v>
      </c>
      <c r="P192" s="14">
        <v>21</v>
      </c>
      <c r="Q192" s="14">
        <v>12</v>
      </c>
      <c r="R192" s="14">
        <v>12</v>
      </c>
      <c r="S192" s="14">
        <v>12</v>
      </c>
      <c r="T192" s="14">
        <v>12</v>
      </c>
      <c r="U192" s="14">
        <v>13</v>
      </c>
      <c r="V192" s="14">
        <v>12</v>
      </c>
      <c r="W192" s="14">
        <v>12</v>
      </c>
      <c r="X192" s="14">
        <v>11</v>
      </c>
      <c r="Y192" s="14">
        <v>12</v>
      </c>
      <c r="Z192" s="14">
        <v>13</v>
      </c>
      <c r="AA192" s="14">
        <v>13</v>
      </c>
      <c r="AB192" s="14">
        <v>14</v>
      </c>
      <c r="AC192" s="14">
        <v>13</v>
      </c>
      <c r="AD192" s="14">
        <v>11</v>
      </c>
      <c r="AE192" s="14">
        <v>11</v>
      </c>
      <c r="AF192" s="14">
        <v>12</v>
      </c>
      <c r="AG192" s="14">
        <v>12</v>
      </c>
      <c r="AH192" s="13">
        <v>7</v>
      </c>
      <c r="AI192" s="13">
        <v>6</v>
      </c>
      <c r="AJ192" s="13">
        <v>8</v>
      </c>
      <c r="AK192" s="13">
        <v>8</v>
      </c>
      <c r="AL192" s="13">
        <v>1</v>
      </c>
      <c r="AM192" s="12">
        <v>0</v>
      </c>
      <c r="AN192" s="13">
        <v>1</v>
      </c>
      <c r="AO192" s="14">
        <v>11</v>
      </c>
      <c r="AP192" s="14">
        <v>10</v>
      </c>
      <c r="AQ192" s="14">
        <v>10</v>
      </c>
      <c r="AR192" s="13">
        <v>10</v>
      </c>
      <c r="AS192" s="13">
        <v>12</v>
      </c>
      <c r="AT192" s="13">
        <v>11</v>
      </c>
      <c r="AU192" s="13">
        <v>2</v>
      </c>
      <c r="AV192" s="13">
        <v>10</v>
      </c>
      <c r="AW192" s="13">
        <v>5</v>
      </c>
      <c r="AX192" s="13">
        <v>2</v>
      </c>
      <c r="AY192" s="14">
        <v>15</v>
      </c>
      <c r="AZ192" s="14">
        <v>14</v>
      </c>
      <c r="BA192" s="13">
        <v>6</v>
      </c>
      <c r="BB192" s="14">
        <v>11</v>
      </c>
      <c r="BC192" s="13">
        <v>4</v>
      </c>
      <c r="BD192" s="13">
        <v>3</v>
      </c>
      <c r="BE192" s="13">
        <v>2</v>
      </c>
      <c r="BF192" s="14">
        <v>11</v>
      </c>
      <c r="BG192" s="14">
        <v>12</v>
      </c>
      <c r="BH192" s="14">
        <v>19</v>
      </c>
      <c r="BI192" s="14">
        <v>22</v>
      </c>
      <c r="BJ192" s="15">
        <v>23</v>
      </c>
      <c r="BL192" s="26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W192" s="26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</row>
    <row r="193" spans="1:188" x14ac:dyDescent="0.3">
      <c r="A193" s="10" t="s">
        <v>39</v>
      </c>
      <c r="B193" s="16">
        <f>20+(30/60)</f>
        <v>20.5</v>
      </c>
      <c r="C193" s="14">
        <f>19+(25/60)</f>
        <v>19.416666666666668</v>
      </c>
      <c r="D193" s="14">
        <f>15+(15/60)</f>
        <v>15.25</v>
      </c>
      <c r="E193" s="14">
        <f>16+(30/60)</f>
        <v>16.5</v>
      </c>
      <c r="F193" s="14">
        <v>15</v>
      </c>
      <c r="G193" s="14">
        <v>13</v>
      </c>
      <c r="H193" s="14">
        <v>11</v>
      </c>
      <c r="I193" s="14">
        <v>13</v>
      </c>
      <c r="J193" s="14">
        <v>14</v>
      </c>
      <c r="K193" s="14">
        <v>14</v>
      </c>
      <c r="L193" s="14">
        <v>11</v>
      </c>
      <c r="M193" s="14">
        <v>11</v>
      </c>
      <c r="N193" s="14">
        <v>16</v>
      </c>
      <c r="O193" s="14">
        <v>24</v>
      </c>
      <c r="P193" s="14">
        <v>21</v>
      </c>
      <c r="Q193" s="14">
        <v>12</v>
      </c>
      <c r="R193" s="14">
        <v>12</v>
      </c>
      <c r="S193" s="14">
        <v>12</v>
      </c>
      <c r="T193" s="14">
        <v>12</v>
      </c>
      <c r="U193" s="14">
        <v>13</v>
      </c>
      <c r="V193" s="14">
        <v>12</v>
      </c>
      <c r="W193" s="14">
        <v>12</v>
      </c>
      <c r="X193" s="14">
        <v>11</v>
      </c>
      <c r="Y193" s="14">
        <v>12</v>
      </c>
      <c r="Z193" s="14">
        <v>12</v>
      </c>
      <c r="AA193" s="14">
        <v>13</v>
      </c>
      <c r="AB193" s="14">
        <v>14</v>
      </c>
      <c r="AC193" s="14">
        <v>13</v>
      </c>
      <c r="AD193" s="14">
        <v>11</v>
      </c>
      <c r="AE193" s="14">
        <v>11</v>
      </c>
      <c r="AF193" s="14">
        <v>12</v>
      </c>
      <c r="AG193" s="14">
        <v>12</v>
      </c>
      <c r="AH193" s="13">
        <v>7</v>
      </c>
      <c r="AI193" s="13">
        <v>6</v>
      </c>
      <c r="AJ193" s="13">
        <v>7</v>
      </c>
      <c r="AK193" s="13">
        <v>7</v>
      </c>
      <c r="AL193" s="13">
        <v>2</v>
      </c>
      <c r="AM193" s="13">
        <v>1</v>
      </c>
      <c r="AN193" s="12">
        <v>0</v>
      </c>
      <c r="AO193" s="14">
        <v>10</v>
      </c>
      <c r="AP193" s="14">
        <v>10</v>
      </c>
      <c r="AQ193" s="14">
        <v>10</v>
      </c>
      <c r="AR193" s="13">
        <v>10</v>
      </c>
      <c r="AS193" s="13">
        <v>11</v>
      </c>
      <c r="AT193" s="13">
        <v>10</v>
      </c>
      <c r="AU193" s="13">
        <v>1</v>
      </c>
      <c r="AV193" s="13">
        <v>9</v>
      </c>
      <c r="AW193" s="13">
        <v>5</v>
      </c>
      <c r="AX193" s="13">
        <v>2</v>
      </c>
      <c r="AY193" s="14">
        <v>15</v>
      </c>
      <c r="AZ193" s="14">
        <v>13</v>
      </c>
      <c r="BA193" s="13">
        <v>5</v>
      </c>
      <c r="BB193" s="14">
        <v>11</v>
      </c>
      <c r="BC193" s="13">
        <v>3</v>
      </c>
      <c r="BD193" s="13">
        <v>2</v>
      </c>
      <c r="BE193" s="13">
        <v>2</v>
      </c>
      <c r="BF193" s="14">
        <v>10</v>
      </c>
      <c r="BG193" s="14">
        <v>12</v>
      </c>
      <c r="BH193" s="14">
        <v>19</v>
      </c>
      <c r="BI193" s="14">
        <v>23</v>
      </c>
      <c r="BJ193" s="15">
        <v>24</v>
      </c>
      <c r="BL193" s="26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W193" s="26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</row>
    <row r="194" spans="1:188" x14ac:dyDescent="0.3">
      <c r="A194" s="10" t="s">
        <v>40</v>
      </c>
      <c r="B194" s="16">
        <f>23+(15/60)</f>
        <v>23.25</v>
      </c>
      <c r="C194" s="14">
        <f>21+(31/60)</f>
        <v>21.516666666666666</v>
      </c>
      <c r="D194" s="14">
        <f>21+(15/60)</f>
        <v>21.25</v>
      </c>
      <c r="E194" s="14">
        <f>20+(50/60)</f>
        <v>20.833333333333332</v>
      </c>
      <c r="F194" s="14">
        <v>21</v>
      </c>
      <c r="G194" s="14">
        <v>18</v>
      </c>
      <c r="H194" s="14">
        <v>17</v>
      </c>
      <c r="I194" s="14">
        <v>16</v>
      </c>
      <c r="J194" s="14">
        <v>21</v>
      </c>
      <c r="K194" s="14">
        <v>21</v>
      </c>
      <c r="L194" s="14">
        <v>18</v>
      </c>
      <c r="M194" s="14">
        <v>17</v>
      </c>
      <c r="N194" s="14">
        <v>17</v>
      </c>
      <c r="O194" s="14">
        <v>17</v>
      </c>
      <c r="P194" s="14">
        <v>19</v>
      </c>
      <c r="Q194" s="14">
        <v>21</v>
      </c>
      <c r="R194" s="14">
        <v>22</v>
      </c>
      <c r="S194" s="14">
        <v>21</v>
      </c>
      <c r="T194" s="14">
        <v>21</v>
      </c>
      <c r="U194" s="14">
        <v>21</v>
      </c>
      <c r="V194" s="14">
        <v>21</v>
      </c>
      <c r="W194" s="14">
        <v>21</v>
      </c>
      <c r="X194" s="14">
        <v>20</v>
      </c>
      <c r="Y194" s="14">
        <v>21</v>
      </c>
      <c r="Z194" s="14">
        <v>20</v>
      </c>
      <c r="AA194" s="14">
        <v>21</v>
      </c>
      <c r="AB194" s="14">
        <v>22</v>
      </c>
      <c r="AC194" s="14">
        <v>21</v>
      </c>
      <c r="AD194" s="14">
        <v>20</v>
      </c>
      <c r="AE194" s="14">
        <v>20</v>
      </c>
      <c r="AF194" s="14">
        <v>20</v>
      </c>
      <c r="AG194" s="14">
        <v>20</v>
      </c>
      <c r="AH194" s="14">
        <v>13</v>
      </c>
      <c r="AI194" s="14">
        <v>12</v>
      </c>
      <c r="AJ194" s="14">
        <v>12</v>
      </c>
      <c r="AK194" s="14">
        <v>11</v>
      </c>
      <c r="AL194" s="14">
        <v>11</v>
      </c>
      <c r="AM194" s="14">
        <v>11</v>
      </c>
      <c r="AN194" s="14">
        <v>10</v>
      </c>
      <c r="AO194" s="12">
        <v>0</v>
      </c>
      <c r="AP194" s="19">
        <v>1</v>
      </c>
      <c r="AQ194" s="19">
        <v>4</v>
      </c>
      <c r="AR194" s="14">
        <v>15</v>
      </c>
      <c r="AS194" s="14">
        <v>16</v>
      </c>
      <c r="AT194" s="14">
        <v>16</v>
      </c>
      <c r="AU194" s="14">
        <v>11</v>
      </c>
      <c r="AV194" s="14">
        <v>18</v>
      </c>
      <c r="AW194" s="14">
        <v>15</v>
      </c>
      <c r="AX194" s="14">
        <v>12</v>
      </c>
      <c r="AY194" s="14">
        <v>21</v>
      </c>
      <c r="AZ194" s="14">
        <v>15</v>
      </c>
      <c r="BA194" s="14">
        <v>10</v>
      </c>
      <c r="BB194" s="14">
        <v>20</v>
      </c>
      <c r="BC194" s="14">
        <v>10</v>
      </c>
      <c r="BD194" s="14">
        <v>12</v>
      </c>
      <c r="BE194" s="14">
        <v>10</v>
      </c>
      <c r="BF194" s="14">
        <v>19</v>
      </c>
      <c r="BG194" s="14">
        <v>19</v>
      </c>
      <c r="BH194" s="14">
        <v>19</v>
      </c>
      <c r="BI194" s="14">
        <v>15</v>
      </c>
      <c r="BJ194" s="15">
        <v>15</v>
      </c>
      <c r="BL194" s="26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W194" s="26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</row>
    <row r="195" spans="1:188" x14ac:dyDescent="0.3">
      <c r="A195" s="10" t="s">
        <v>41</v>
      </c>
      <c r="B195" s="16">
        <f>21+(25/60)</f>
        <v>21.416666666666668</v>
      </c>
      <c r="C195" s="14">
        <f>20+(14/60)</f>
        <v>20.233333333333334</v>
      </c>
      <c r="D195" s="14">
        <f>20</f>
        <v>20</v>
      </c>
      <c r="E195" s="14">
        <f>19+(55/60)</f>
        <v>19.916666666666668</v>
      </c>
      <c r="F195" s="14">
        <v>20</v>
      </c>
      <c r="G195" s="14">
        <v>17</v>
      </c>
      <c r="H195" s="14">
        <v>16</v>
      </c>
      <c r="I195" s="14">
        <v>15</v>
      </c>
      <c r="J195" s="14">
        <v>20</v>
      </c>
      <c r="K195" s="14">
        <v>20</v>
      </c>
      <c r="L195" s="14">
        <v>17</v>
      </c>
      <c r="M195" s="14">
        <v>16</v>
      </c>
      <c r="N195" s="14">
        <v>17</v>
      </c>
      <c r="O195" s="14">
        <v>17</v>
      </c>
      <c r="P195" s="14">
        <v>20</v>
      </c>
      <c r="Q195" s="14">
        <v>21</v>
      </c>
      <c r="R195" s="14">
        <v>22</v>
      </c>
      <c r="S195" s="14">
        <v>22</v>
      </c>
      <c r="T195" s="14">
        <v>21</v>
      </c>
      <c r="U195" s="14">
        <v>21</v>
      </c>
      <c r="V195" s="14">
        <v>21</v>
      </c>
      <c r="W195" s="14">
        <v>21</v>
      </c>
      <c r="X195" s="14">
        <v>20</v>
      </c>
      <c r="Y195" s="14">
        <v>21</v>
      </c>
      <c r="Z195" s="14">
        <v>21</v>
      </c>
      <c r="AA195" s="14">
        <v>21</v>
      </c>
      <c r="AB195" s="14">
        <v>23</v>
      </c>
      <c r="AC195" s="14">
        <v>22</v>
      </c>
      <c r="AD195" s="14">
        <v>20</v>
      </c>
      <c r="AE195" s="14">
        <v>20</v>
      </c>
      <c r="AF195" s="14">
        <v>20</v>
      </c>
      <c r="AG195" s="14">
        <v>20</v>
      </c>
      <c r="AH195" s="14">
        <v>13</v>
      </c>
      <c r="AI195" s="14">
        <v>12</v>
      </c>
      <c r="AJ195" s="14">
        <v>13</v>
      </c>
      <c r="AK195" s="14">
        <v>12</v>
      </c>
      <c r="AL195" s="14">
        <v>10</v>
      </c>
      <c r="AM195" s="14">
        <v>10</v>
      </c>
      <c r="AN195" s="14">
        <v>10</v>
      </c>
      <c r="AO195" s="13">
        <v>1</v>
      </c>
      <c r="AP195" s="12">
        <v>0</v>
      </c>
      <c r="AQ195" s="13">
        <v>5</v>
      </c>
      <c r="AR195" s="14">
        <v>15</v>
      </c>
      <c r="AS195" s="14">
        <v>17</v>
      </c>
      <c r="AT195" s="14">
        <v>16</v>
      </c>
      <c r="AU195" s="14">
        <v>11</v>
      </c>
      <c r="AV195" s="14">
        <v>18</v>
      </c>
      <c r="AW195" s="14">
        <v>15</v>
      </c>
      <c r="AX195" s="14">
        <v>11</v>
      </c>
      <c r="AY195" s="14">
        <v>22</v>
      </c>
      <c r="AZ195" s="14">
        <v>16</v>
      </c>
      <c r="BA195" s="14">
        <v>10</v>
      </c>
      <c r="BB195" s="14">
        <v>20</v>
      </c>
      <c r="BC195" s="14">
        <v>10</v>
      </c>
      <c r="BD195" s="14">
        <v>12</v>
      </c>
      <c r="BE195" s="14">
        <v>10</v>
      </c>
      <c r="BF195" s="14">
        <v>19</v>
      </c>
      <c r="BG195" s="14">
        <v>20</v>
      </c>
      <c r="BH195" s="14">
        <v>18</v>
      </c>
      <c r="BI195" s="14">
        <v>15</v>
      </c>
      <c r="BJ195" s="15">
        <v>15</v>
      </c>
      <c r="BL195" s="26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W195" s="26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</row>
    <row r="196" spans="1:188" x14ac:dyDescent="0.3">
      <c r="A196" s="10" t="s">
        <v>42</v>
      </c>
      <c r="B196" s="16">
        <f>26+(20/60)</f>
        <v>26.333333333333332</v>
      </c>
      <c r="C196" s="14">
        <f>26+(21/60)</f>
        <v>26.35</v>
      </c>
      <c r="D196" s="14">
        <f>26+(15/60)</f>
        <v>26.25</v>
      </c>
      <c r="E196" s="14">
        <f>25+(50/60)</f>
        <v>25.833333333333332</v>
      </c>
      <c r="F196" s="14">
        <v>24</v>
      </c>
      <c r="G196" s="14">
        <v>21</v>
      </c>
      <c r="H196" s="14">
        <v>19</v>
      </c>
      <c r="I196" s="14">
        <v>19</v>
      </c>
      <c r="J196" s="14">
        <v>23</v>
      </c>
      <c r="K196" s="14">
        <v>23</v>
      </c>
      <c r="L196" s="14">
        <v>20</v>
      </c>
      <c r="M196" s="14">
        <v>19</v>
      </c>
      <c r="N196" s="14">
        <v>21</v>
      </c>
      <c r="O196" s="14">
        <v>17</v>
      </c>
      <c r="P196" s="14">
        <v>19</v>
      </c>
      <c r="Q196" s="14">
        <v>19</v>
      </c>
      <c r="R196" s="14">
        <v>19</v>
      </c>
      <c r="S196" s="14">
        <v>18</v>
      </c>
      <c r="T196" s="14">
        <v>18</v>
      </c>
      <c r="U196" s="14">
        <v>18</v>
      </c>
      <c r="V196" s="14">
        <v>17</v>
      </c>
      <c r="W196" s="14">
        <v>18</v>
      </c>
      <c r="X196" s="14">
        <v>17</v>
      </c>
      <c r="Y196" s="14">
        <v>18</v>
      </c>
      <c r="Z196" s="14">
        <v>17</v>
      </c>
      <c r="AA196" s="14">
        <v>18</v>
      </c>
      <c r="AB196" s="14">
        <v>19</v>
      </c>
      <c r="AC196" s="14">
        <v>18</v>
      </c>
      <c r="AD196" s="14">
        <v>17</v>
      </c>
      <c r="AE196" s="14">
        <v>17</v>
      </c>
      <c r="AF196" s="14">
        <v>17</v>
      </c>
      <c r="AG196" s="14">
        <v>17</v>
      </c>
      <c r="AH196" s="14">
        <v>10</v>
      </c>
      <c r="AI196" s="14">
        <v>9</v>
      </c>
      <c r="AJ196" s="14">
        <v>9</v>
      </c>
      <c r="AK196" s="14">
        <v>8</v>
      </c>
      <c r="AL196" s="14">
        <v>10</v>
      </c>
      <c r="AM196" s="14">
        <v>10</v>
      </c>
      <c r="AN196" s="14">
        <v>10</v>
      </c>
      <c r="AO196" s="13">
        <v>4</v>
      </c>
      <c r="AP196" s="13">
        <v>5</v>
      </c>
      <c r="AQ196" s="12">
        <v>0</v>
      </c>
      <c r="AR196" s="14">
        <v>12</v>
      </c>
      <c r="AS196" s="14">
        <v>13</v>
      </c>
      <c r="AT196" s="14">
        <v>12</v>
      </c>
      <c r="AU196" s="14">
        <v>10</v>
      </c>
      <c r="AV196" s="14">
        <v>16</v>
      </c>
      <c r="AW196" s="14">
        <v>13</v>
      </c>
      <c r="AX196" s="14">
        <v>11</v>
      </c>
      <c r="AY196" s="14">
        <v>18</v>
      </c>
      <c r="AZ196" s="14">
        <v>12</v>
      </c>
      <c r="BA196" s="14">
        <v>7</v>
      </c>
      <c r="BB196" s="14">
        <v>17</v>
      </c>
      <c r="BC196" s="14">
        <v>8</v>
      </c>
      <c r="BD196" s="14">
        <v>10</v>
      </c>
      <c r="BE196" s="14">
        <v>9</v>
      </c>
      <c r="BF196" s="14">
        <v>16</v>
      </c>
      <c r="BG196" s="14">
        <v>16</v>
      </c>
      <c r="BH196" s="14">
        <v>21</v>
      </c>
      <c r="BI196" s="14">
        <v>16</v>
      </c>
      <c r="BJ196" s="15">
        <v>17</v>
      </c>
      <c r="BL196" s="26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W196" s="26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</row>
    <row r="197" spans="1:188" x14ac:dyDescent="0.3">
      <c r="A197" s="10" t="s">
        <v>43</v>
      </c>
      <c r="B197" s="16">
        <f>16+(30/60)</f>
        <v>16.5</v>
      </c>
      <c r="C197" s="14">
        <f>17+(25/60)</f>
        <v>17.416666666666668</v>
      </c>
      <c r="D197" s="14">
        <f>16+(5/60)</f>
        <v>16.083333333333332</v>
      </c>
      <c r="E197" s="14">
        <f>13+(25/60)</f>
        <v>13.416666666666666</v>
      </c>
      <c r="F197" s="14">
        <v>15</v>
      </c>
      <c r="G197" s="14">
        <v>16</v>
      </c>
      <c r="H197" s="14">
        <v>15</v>
      </c>
      <c r="I197" s="14">
        <v>17</v>
      </c>
      <c r="J197" s="14">
        <v>14</v>
      </c>
      <c r="K197" s="14">
        <v>14</v>
      </c>
      <c r="L197" s="14">
        <v>15</v>
      </c>
      <c r="M197" s="14">
        <v>15</v>
      </c>
      <c r="N197" s="14">
        <v>18</v>
      </c>
      <c r="O197" s="14">
        <v>16</v>
      </c>
      <c r="P197" s="14">
        <v>13</v>
      </c>
      <c r="Q197" s="14">
        <v>8</v>
      </c>
      <c r="R197" s="14">
        <v>8</v>
      </c>
      <c r="S197" s="14">
        <v>7</v>
      </c>
      <c r="T197" s="14">
        <v>7</v>
      </c>
      <c r="U197" s="14">
        <v>7</v>
      </c>
      <c r="V197" s="14">
        <v>6</v>
      </c>
      <c r="W197" s="14">
        <v>7</v>
      </c>
      <c r="X197" s="14">
        <v>6</v>
      </c>
      <c r="Y197" s="14">
        <v>7</v>
      </c>
      <c r="Z197" s="14">
        <v>6</v>
      </c>
      <c r="AA197" s="14">
        <v>7</v>
      </c>
      <c r="AB197" s="14">
        <v>8</v>
      </c>
      <c r="AC197" s="14">
        <v>7</v>
      </c>
      <c r="AD197" s="14">
        <v>6</v>
      </c>
      <c r="AE197" s="14">
        <v>6</v>
      </c>
      <c r="AF197" s="14">
        <v>6</v>
      </c>
      <c r="AG197" s="14">
        <v>6</v>
      </c>
      <c r="AH197" s="13">
        <v>3</v>
      </c>
      <c r="AI197" s="13">
        <v>5</v>
      </c>
      <c r="AJ197" s="13">
        <v>4</v>
      </c>
      <c r="AK197" s="13">
        <v>4</v>
      </c>
      <c r="AL197" s="13">
        <v>10</v>
      </c>
      <c r="AM197" s="13">
        <v>10</v>
      </c>
      <c r="AN197" s="13">
        <v>10</v>
      </c>
      <c r="AO197" s="14">
        <v>15</v>
      </c>
      <c r="AP197" s="14">
        <v>15</v>
      </c>
      <c r="AQ197" s="14">
        <v>12</v>
      </c>
      <c r="AR197" s="12">
        <v>0</v>
      </c>
      <c r="AS197" s="13">
        <v>3</v>
      </c>
      <c r="AT197" s="13">
        <v>2</v>
      </c>
      <c r="AU197" s="13">
        <v>9</v>
      </c>
      <c r="AV197" s="13">
        <v>5</v>
      </c>
      <c r="AW197" s="13">
        <v>6</v>
      </c>
      <c r="AX197" s="13">
        <v>9</v>
      </c>
      <c r="AY197" s="14">
        <v>7</v>
      </c>
      <c r="AZ197" s="14">
        <v>5</v>
      </c>
      <c r="BA197" s="13">
        <v>7</v>
      </c>
      <c r="BB197" s="14">
        <v>6</v>
      </c>
      <c r="BC197" s="13">
        <v>8</v>
      </c>
      <c r="BD197" s="13">
        <v>8</v>
      </c>
      <c r="BE197" s="13">
        <v>8</v>
      </c>
      <c r="BF197" s="14">
        <v>5</v>
      </c>
      <c r="BG197" s="14">
        <v>5</v>
      </c>
      <c r="BH197" s="14">
        <v>17</v>
      </c>
      <c r="BI197" s="14">
        <v>19</v>
      </c>
      <c r="BJ197" s="15">
        <v>18</v>
      </c>
      <c r="BL197" s="26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W197" s="26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</row>
    <row r="198" spans="1:188" x14ac:dyDescent="0.3">
      <c r="A198" s="10" t="s">
        <v>44</v>
      </c>
      <c r="B198" s="16">
        <f>17+(30/60)+(20/60)+1+(15/60)</f>
        <v>19.083333333333332</v>
      </c>
      <c r="C198" s="14">
        <f>17+(50/60)</f>
        <v>17.833333333333332</v>
      </c>
      <c r="D198" s="14">
        <f>17+(25/60)+(20/60)+1+(15/60)</f>
        <v>19</v>
      </c>
      <c r="E198" s="14">
        <f>14+(20/60)+(20/60)+1+(15/60)</f>
        <v>15.916666666666668</v>
      </c>
      <c r="F198" s="14">
        <v>14</v>
      </c>
      <c r="G198" s="14">
        <v>16</v>
      </c>
      <c r="H198" s="14">
        <v>16</v>
      </c>
      <c r="I198" s="14">
        <v>17</v>
      </c>
      <c r="J198" s="14">
        <v>14</v>
      </c>
      <c r="K198" s="14">
        <v>13</v>
      </c>
      <c r="L198" s="14">
        <v>15</v>
      </c>
      <c r="M198" s="14">
        <v>15</v>
      </c>
      <c r="N198" s="14">
        <v>17</v>
      </c>
      <c r="O198" s="14">
        <v>14</v>
      </c>
      <c r="P198" s="14">
        <v>11</v>
      </c>
      <c r="Q198" s="14">
        <v>7</v>
      </c>
      <c r="R198" s="14">
        <v>7</v>
      </c>
      <c r="S198" s="14">
        <v>6</v>
      </c>
      <c r="T198" s="14">
        <v>6</v>
      </c>
      <c r="U198" s="14">
        <v>6</v>
      </c>
      <c r="V198" s="14">
        <v>5</v>
      </c>
      <c r="W198" s="14">
        <v>6</v>
      </c>
      <c r="X198" s="14">
        <v>6</v>
      </c>
      <c r="Y198" s="14">
        <v>6</v>
      </c>
      <c r="Z198" s="14">
        <v>5</v>
      </c>
      <c r="AA198" s="14">
        <v>5</v>
      </c>
      <c r="AB198" s="14">
        <v>6</v>
      </c>
      <c r="AC198" s="14">
        <v>6</v>
      </c>
      <c r="AD198" s="14">
        <v>6</v>
      </c>
      <c r="AE198" s="14">
        <v>5</v>
      </c>
      <c r="AF198" s="14">
        <v>5</v>
      </c>
      <c r="AG198" s="14">
        <v>5</v>
      </c>
      <c r="AH198" s="13">
        <v>5</v>
      </c>
      <c r="AI198" s="13">
        <v>7</v>
      </c>
      <c r="AJ198" s="13">
        <v>6</v>
      </c>
      <c r="AK198" s="13">
        <v>6</v>
      </c>
      <c r="AL198" s="13">
        <v>12</v>
      </c>
      <c r="AM198" s="13">
        <v>12</v>
      </c>
      <c r="AN198" s="13">
        <v>11</v>
      </c>
      <c r="AO198" s="14">
        <v>16</v>
      </c>
      <c r="AP198" s="14">
        <v>17</v>
      </c>
      <c r="AQ198" s="14">
        <v>13</v>
      </c>
      <c r="AR198" s="13">
        <v>3</v>
      </c>
      <c r="AS198" s="12">
        <v>0</v>
      </c>
      <c r="AT198" s="13">
        <v>1</v>
      </c>
      <c r="AU198" s="13">
        <v>11</v>
      </c>
      <c r="AV198" s="13">
        <v>5</v>
      </c>
      <c r="AW198" s="13">
        <v>8</v>
      </c>
      <c r="AX198" s="13">
        <v>11</v>
      </c>
      <c r="AY198" s="12">
        <v>6</v>
      </c>
      <c r="AZ198" s="12">
        <v>4</v>
      </c>
      <c r="BA198" s="13">
        <v>9</v>
      </c>
      <c r="BB198" s="14">
        <v>6</v>
      </c>
      <c r="BC198" s="13">
        <v>10</v>
      </c>
      <c r="BD198" s="13">
        <v>10</v>
      </c>
      <c r="BE198" s="13">
        <v>10</v>
      </c>
      <c r="BF198" s="14">
        <v>5</v>
      </c>
      <c r="BG198" s="14">
        <v>3</v>
      </c>
      <c r="BH198" s="14">
        <v>16</v>
      </c>
      <c r="BI198" s="14">
        <v>17</v>
      </c>
      <c r="BJ198" s="15">
        <v>16</v>
      </c>
      <c r="BL198" s="26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W198" s="26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</row>
    <row r="199" spans="1:188" x14ac:dyDescent="0.3">
      <c r="A199" s="20" t="s">
        <v>45</v>
      </c>
      <c r="B199" s="21">
        <f>16+(45/60)</f>
        <v>16.75</v>
      </c>
      <c r="C199" s="22">
        <f>15+(26/60)</f>
        <v>15.433333333333334</v>
      </c>
      <c r="D199" s="22">
        <f>16+(40/60)</f>
        <v>16.666666666666668</v>
      </c>
      <c r="E199" s="22">
        <f>15+(20/60)</f>
        <v>15.333333333333334</v>
      </c>
      <c r="F199" s="22">
        <v>14</v>
      </c>
      <c r="G199" s="22">
        <v>16</v>
      </c>
      <c r="H199" s="22">
        <v>15</v>
      </c>
      <c r="I199" s="22">
        <v>17</v>
      </c>
      <c r="J199" s="22">
        <v>14</v>
      </c>
      <c r="K199" s="22">
        <v>13</v>
      </c>
      <c r="L199" s="22">
        <v>15</v>
      </c>
      <c r="M199" s="22">
        <v>16</v>
      </c>
      <c r="N199" s="22">
        <v>18</v>
      </c>
      <c r="O199" s="22">
        <v>15</v>
      </c>
      <c r="P199" s="22">
        <v>12</v>
      </c>
      <c r="Q199" s="22">
        <v>7</v>
      </c>
      <c r="R199" s="22">
        <v>7</v>
      </c>
      <c r="S199" s="22">
        <v>7</v>
      </c>
      <c r="T199" s="22">
        <v>6</v>
      </c>
      <c r="U199" s="22">
        <v>6</v>
      </c>
      <c r="V199" s="22">
        <v>5</v>
      </c>
      <c r="W199" s="22">
        <v>6</v>
      </c>
      <c r="X199" s="22">
        <v>6</v>
      </c>
      <c r="Y199" s="22">
        <v>6</v>
      </c>
      <c r="Z199" s="22">
        <v>5</v>
      </c>
      <c r="AA199" s="22">
        <v>6</v>
      </c>
      <c r="AB199" s="22">
        <v>7</v>
      </c>
      <c r="AC199" s="22">
        <v>6</v>
      </c>
      <c r="AD199" s="22">
        <v>5</v>
      </c>
      <c r="AE199" s="22">
        <v>5</v>
      </c>
      <c r="AF199" s="22">
        <v>5</v>
      </c>
      <c r="AG199" s="22">
        <v>5</v>
      </c>
      <c r="AH199" s="23">
        <v>4</v>
      </c>
      <c r="AI199" s="23">
        <v>6</v>
      </c>
      <c r="AJ199" s="23">
        <v>5</v>
      </c>
      <c r="AK199" s="23">
        <v>5</v>
      </c>
      <c r="AL199" s="23">
        <v>11</v>
      </c>
      <c r="AM199" s="23">
        <v>11</v>
      </c>
      <c r="AN199" s="23">
        <v>10</v>
      </c>
      <c r="AO199" s="22">
        <v>16</v>
      </c>
      <c r="AP199" s="22">
        <v>16</v>
      </c>
      <c r="AQ199" s="22">
        <v>12</v>
      </c>
      <c r="AR199" s="23">
        <v>2</v>
      </c>
      <c r="AS199" s="23">
        <v>1</v>
      </c>
      <c r="AT199" s="24">
        <v>0</v>
      </c>
      <c r="AU199" s="23">
        <v>10</v>
      </c>
      <c r="AV199" s="23">
        <v>5</v>
      </c>
      <c r="AW199" s="23">
        <v>7</v>
      </c>
      <c r="AX199" s="23">
        <v>10</v>
      </c>
      <c r="AY199" s="22">
        <v>6</v>
      </c>
      <c r="AZ199" s="22">
        <v>4</v>
      </c>
      <c r="BA199" s="24">
        <v>8</v>
      </c>
      <c r="BB199" s="22">
        <v>6</v>
      </c>
      <c r="BC199" s="23">
        <v>9</v>
      </c>
      <c r="BD199" s="23">
        <v>9</v>
      </c>
      <c r="BE199" s="23">
        <v>10</v>
      </c>
      <c r="BF199" s="22">
        <v>4</v>
      </c>
      <c r="BG199" s="22">
        <v>4</v>
      </c>
      <c r="BH199" s="22">
        <v>16</v>
      </c>
      <c r="BI199" s="22">
        <v>18</v>
      </c>
      <c r="BJ199" s="25">
        <v>17</v>
      </c>
      <c r="BL199" s="26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W199" s="26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</row>
  </sheetData>
  <mergeCells count="11">
    <mergeCell ref="A1:B1"/>
    <mergeCell ref="A51:B51"/>
    <mergeCell ref="BL51:BM51"/>
    <mergeCell ref="DW51:DX51"/>
    <mergeCell ref="A101:B101"/>
    <mergeCell ref="A103:B103"/>
    <mergeCell ref="BM101:BP101"/>
    <mergeCell ref="DY101:EB101"/>
    <mergeCell ref="A152:B152"/>
    <mergeCell ref="BL152:BM152"/>
    <mergeCell ref="DW152:DX1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J306"/>
  <sheetViews>
    <sheetView tabSelected="1" workbookViewId="0">
      <selection activeCell="F191" sqref="F191"/>
    </sheetView>
  </sheetViews>
  <sheetFormatPr baseColWidth="10" defaultRowHeight="14.4" x14ac:dyDescent="0.3"/>
  <cols>
    <col min="1" max="1" width="14.6640625" customWidth="1"/>
    <col min="3" max="3" width="15.88671875" customWidth="1"/>
  </cols>
  <sheetData>
    <row r="3" spans="1:62" ht="21" x14ac:dyDescent="0.3">
      <c r="A3" s="55" t="s">
        <v>131</v>
      </c>
      <c r="B3" s="56"/>
    </row>
    <row r="5" spans="1:62" x14ac:dyDescent="0.3">
      <c r="A5" s="44" t="s">
        <v>132</v>
      </c>
      <c r="B5" s="45">
        <v>1</v>
      </c>
      <c r="C5" s="46">
        <v>1</v>
      </c>
      <c r="D5" s="46">
        <v>1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2</v>
      </c>
      <c r="K5" s="46">
        <v>2</v>
      </c>
      <c r="L5" s="46">
        <v>2</v>
      </c>
      <c r="M5" s="46">
        <v>2</v>
      </c>
      <c r="N5" s="46">
        <v>2</v>
      </c>
      <c r="O5" s="46">
        <v>2</v>
      </c>
      <c r="P5" s="46">
        <v>2</v>
      </c>
      <c r="Q5" s="46">
        <v>1</v>
      </c>
      <c r="R5" s="46">
        <v>1</v>
      </c>
      <c r="S5" s="46">
        <v>1</v>
      </c>
      <c r="T5" s="46">
        <v>1</v>
      </c>
      <c r="U5" s="46">
        <v>1</v>
      </c>
      <c r="V5" s="46">
        <v>1</v>
      </c>
      <c r="W5" s="46">
        <v>1</v>
      </c>
      <c r="X5" s="46">
        <v>1</v>
      </c>
      <c r="Y5" s="46">
        <v>1</v>
      </c>
      <c r="Z5" s="46">
        <v>2</v>
      </c>
      <c r="AA5" s="46">
        <v>2</v>
      </c>
      <c r="AB5" s="46">
        <v>1</v>
      </c>
      <c r="AC5" s="46">
        <v>1</v>
      </c>
      <c r="AD5" s="46">
        <v>2</v>
      </c>
      <c r="AE5" s="46">
        <v>2</v>
      </c>
      <c r="AF5" s="46">
        <v>1</v>
      </c>
      <c r="AG5" s="46">
        <v>2</v>
      </c>
      <c r="AH5" s="46">
        <v>2</v>
      </c>
      <c r="AI5" s="46">
        <v>2</v>
      </c>
      <c r="AJ5" s="46">
        <v>2</v>
      </c>
      <c r="AK5" s="46">
        <v>2</v>
      </c>
      <c r="AL5" s="46">
        <v>1</v>
      </c>
      <c r="AM5" s="46">
        <v>1</v>
      </c>
      <c r="AN5" s="46">
        <v>1</v>
      </c>
      <c r="AO5" s="46">
        <v>2</v>
      </c>
      <c r="AP5" s="46">
        <v>2</v>
      </c>
      <c r="AQ5" s="46">
        <v>2</v>
      </c>
      <c r="AR5" s="46">
        <v>2</v>
      </c>
      <c r="AS5" s="46">
        <v>2</v>
      </c>
      <c r="AT5" s="46">
        <v>2</v>
      </c>
      <c r="AU5" s="46">
        <v>2</v>
      </c>
      <c r="AV5" s="46">
        <v>3</v>
      </c>
      <c r="AW5" s="46">
        <v>3</v>
      </c>
      <c r="AX5" s="46">
        <v>3</v>
      </c>
      <c r="AY5" s="46">
        <v>2</v>
      </c>
      <c r="AZ5" s="46">
        <v>2</v>
      </c>
      <c r="BA5" s="46">
        <v>2</v>
      </c>
      <c r="BB5" s="46">
        <v>2</v>
      </c>
      <c r="BC5" s="46">
        <v>2</v>
      </c>
      <c r="BD5" s="46">
        <v>2</v>
      </c>
      <c r="BE5" s="46">
        <v>2</v>
      </c>
      <c r="BF5" s="46">
        <v>2</v>
      </c>
      <c r="BG5" s="46">
        <v>2</v>
      </c>
      <c r="BH5" s="46">
        <v>2</v>
      </c>
      <c r="BI5" s="46">
        <v>2</v>
      </c>
      <c r="BJ5" s="47">
        <v>2</v>
      </c>
    </row>
    <row r="6" spans="1:62" x14ac:dyDescent="0.3">
      <c r="A6" s="1" t="s">
        <v>66</v>
      </c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3" t="s">
        <v>19</v>
      </c>
      <c r="U6" s="3" t="s">
        <v>20</v>
      </c>
      <c r="V6" s="3" t="s">
        <v>21</v>
      </c>
      <c r="W6" s="3" t="s">
        <v>22</v>
      </c>
      <c r="X6" s="3" t="s">
        <v>23</v>
      </c>
      <c r="Y6" s="3" t="s">
        <v>24</v>
      </c>
      <c r="Z6" s="3" t="s">
        <v>25</v>
      </c>
      <c r="AA6" s="3" t="s">
        <v>26</v>
      </c>
      <c r="AB6" s="3" t="s">
        <v>27</v>
      </c>
      <c r="AC6" s="3" t="s">
        <v>28</v>
      </c>
      <c r="AD6" s="3" t="s">
        <v>29</v>
      </c>
      <c r="AE6" s="3" t="s">
        <v>30</v>
      </c>
      <c r="AF6" s="3" t="s">
        <v>31</v>
      </c>
      <c r="AG6" s="3" t="s">
        <v>133</v>
      </c>
      <c r="AH6" s="3" t="s">
        <v>33</v>
      </c>
      <c r="AI6" s="3" t="s">
        <v>34</v>
      </c>
      <c r="AJ6" s="3" t="s">
        <v>35</v>
      </c>
      <c r="AK6" s="3" t="s">
        <v>36</v>
      </c>
      <c r="AL6" s="3" t="s">
        <v>37</v>
      </c>
      <c r="AM6" s="3" t="s">
        <v>38</v>
      </c>
      <c r="AN6" s="3" t="s">
        <v>39</v>
      </c>
      <c r="AO6" s="3" t="s">
        <v>40</v>
      </c>
      <c r="AP6" s="3" t="s">
        <v>41</v>
      </c>
      <c r="AQ6" s="3" t="s">
        <v>42</v>
      </c>
      <c r="AR6" s="3" t="s">
        <v>43</v>
      </c>
      <c r="AS6" s="3" t="s">
        <v>44</v>
      </c>
      <c r="AT6" s="3" t="s">
        <v>45</v>
      </c>
      <c r="AU6" s="3" t="s">
        <v>46</v>
      </c>
      <c r="AV6" s="3" t="s">
        <v>47</v>
      </c>
      <c r="AW6" s="3" t="s">
        <v>48</v>
      </c>
      <c r="AX6" s="3" t="s">
        <v>49</v>
      </c>
      <c r="AY6" s="3" t="s">
        <v>50</v>
      </c>
      <c r="AZ6" s="3" t="s">
        <v>51</v>
      </c>
      <c r="BA6" s="3" t="s">
        <v>52</v>
      </c>
      <c r="BB6" s="3" t="s">
        <v>53</v>
      </c>
      <c r="BC6" s="3" t="s">
        <v>54</v>
      </c>
      <c r="BD6" s="3" t="s">
        <v>55</v>
      </c>
      <c r="BE6" s="3" t="s">
        <v>56</v>
      </c>
      <c r="BF6" s="3" t="s">
        <v>57</v>
      </c>
      <c r="BG6" s="3" t="s">
        <v>58</v>
      </c>
      <c r="BH6" s="3" t="s">
        <v>59</v>
      </c>
      <c r="BI6" s="3" t="s">
        <v>60</v>
      </c>
      <c r="BJ6" s="4" t="s">
        <v>61</v>
      </c>
    </row>
    <row r="7" spans="1:62" x14ac:dyDescent="0.3">
      <c r="A7" s="5" t="s">
        <v>1</v>
      </c>
      <c r="B7" s="6">
        <f>IF(Distances!B4="N.C.",0,ROUNDUP(B5+'Délai intermédiaire'!B4/10,0))</f>
        <v>1</v>
      </c>
      <c r="C7" s="7">
        <f>IF(Distances!C4="N.C.",0,ROUNDUP(C5+'Délai intermédiaire'!C4/10,0))</f>
        <v>3</v>
      </c>
      <c r="D7" s="7">
        <f>IF(Distances!D4="N.C.",0,ROUNDUP(D5+'Délai intermédiaire'!D4/10,0))</f>
        <v>4</v>
      </c>
      <c r="E7" s="7">
        <f>IF(Distances!E4="N.C.",0,ROUNDUP(E5+'Délai intermédiaire'!E4/10,0))</f>
        <v>4</v>
      </c>
      <c r="F7" s="7">
        <f>IF(Distances!F4="N.C.",0,ROUNDUP(F5+'Délai intermédiaire'!F4/10,0))</f>
        <v>3</v>
      </c>
      <c r="G7" s="7">
        <f>IF(Distances!G4="N.C.",0,ROUNDUP(G5+'Délai intermédiaire'!G4/10,0))</f>
        <v>5</v>
      </c>
      <c r="H7" s="7">
        <f>IF(Distances!H4="N.C.",0,ROUNDUP(H5+'Délai intermédiaire'!H4/10,0))</f>
        <v>7</v>
      </c>
      <c r="I7" s="7">
        <f>IF(Distances!I4="N.C.",0,ROUNDUP(I5+'Délai intermédiaire'!I4/10,0))</f>
        <v>6</v>
      </c>
      <c r="J7" s="7">
        <f>IF(Distances!J4="N.C.",0,ROUNDUP(J5+'Délai intermédiaire'!J4/10,0))</f>
        <v>5</v>
      </c>
      <c r="K7" s="7">
        <f>IF(Distances!K4="N.C.",0,ROUNDUP(K5+'Délai intermédiaire'!K4/10,0))</f>
        <v>5</v>
      </c>
      <c r="L7" s="7">
        <f>IF(Distances!L4="N.C.",0,ROUNDUP(L5+'Délai intermédiaire'!L4/10,0))</f>
        <v>7</v>
      </c>
      <c r="M7" s="7">
        <f>IF(Distances!M4="N.C.",0,ROUNDUP(M5+'Délai intermédiaire'!M4/10,0))</f>
        <v>8</v>
      </c>
      <c r="N7" s="7">
        <f>IF(Distances!N4="N.C.",0,ROUNDUP(N5+'Délai intermédiaire'!N4/10,0))</f>
        <v>6</v>
      </c>
      <c r="O7" s="8">
        <f>IF(Distances!O4="N.C.",0,ROUNDUP(O5+'Délai intermédiaire'!O4/10,0))</f>
        <v>0</v>
      </c>
      <c r="P7" s="8">
        <f>IF(Distances!P4="N.C.",0,ROUNDUP(P5+'Délai intermédiaire'!P4/10,0))</f>
        <v>0</v>
      </c>
      <c r="Q7" s="8">
        <f>IF(Distances!Q4="N.C.",0,ROUNDUP(Q5+'Délai intermédiaire'!Q4/10,0))</f>
        <v>0</v>
      </c>
      <c r="R7" s="8">
        <f>IF(Distances!R4="N.C.",0,ROUNDUP(R5+'Délai intermédiaire'!R4/10,0))</f>
        <v>0</v>
      </c>
      <c r="S7" s="8">
        <f>IF(Distances!S4="N.C.",0,ROUNDUP(S5+'Délai intermédiaire'!S4/10,0))</f>
        <v>0</v>
      </c>
      <c r="T7" s="8">
        <f>IF(Distances!T4="N.C.",0,ROUNDUP(T5+'Délai intermédiaire'!T4/10,0))</f>
        <v>0</v>
      </c>
      <c r="U7" s="8">
        <f>IF(Distances!U4="N.C.",0,ROUNDUP(U5+'Délai intermédiaire'!U4/10,0))</f>
        <v>0</v>
      </c>
      <c r="V7" s="8">
        <f>IF(Distances!V4="N.C.",0,ROUNDUP(V5+'Délai intermédiaire'!V4/10,0))</f>
        <v>0</v>
      </c>
      <c r="W7" s="8">
        <f>IF(Distances!W4="N.C.",0,ROUNDUP(W5+'Délai intermédiaire'!W4/10,0))</f>
        <v>0</v>
      </c>
      <c r="X7" s="8">
        <f>IF(Distances!X4="N.C.",0,ROUNDUP(X5+'Délai intermédiaire'!X4/10,0))</f>
        <v>0</v>
      </c>
      <c r="Y7" s="8">
        <f>IF(Distances!Y4="N.C.",0,ROUNDUP(Y5+'Délai intermédiaire'!Y4/10,0))</f>
        <v>0</v>
      </c>
      <c r="Z7" s="8">
        <f>IF(Distances!Z4="N.C.",0,ROUNDUP(Z5+'Délai intermédiaire'!Z4/10,0))</f>
        <v>0</v>
      </c>
      <c r="AA7" s="8">
        <f>IF(Distances!AA4="N.C.",0,ROUNDUP(AA5+'Délai intermédiaire'!AA4/10,0))</f>
        <v>0</v>
      </c>
      <c r="AB7" s="8">
        <f>IF(Distances!AB4="N.C.",0,ROUNDUP(AB5+'Délai intermédiaire'!AB4/10,0))</f>
        <v>0</v>
      </c>
      <c r="AC7" s="8">
        <f>IF(Distances!AC4="N.C.",0,ROUNDUP(AC5+'Délai intermédiaire'!AC4/10,0))</f>
        <v>0</v>
      </c>
      <c r="AD7" s="8">
        <f>IF(Distances!AD4="N.C.",0,ROUNDUP(AD5+'Délai intermédiaire'!AD4/10,0))</f>
        <v>0</v>
      </c>
      <c r="AE7" s="8">
        <f>IF(Distances!AE4="N.C.",0,ROUNDUP(AE5+'Délai intermédiaire'!AE4/10,0))</f>
        <v>0</v>
      </c>
      <c r="AF7" s="8">
        <f>IF(Distances!AF4="N.C.",0,ROUNDUP(AF5+'Délai intermédiaire'!AF4/10,0))</f>
        <v>0</v>
      </c>
      <c r="AG7" s="8">
        <f>IF(Distances!AG4="N.C.",0,ROUNDUP(AG5+'Délai intermédiaire'!AG4/10,0))</f>
        <v>0</v>
      </c>
      <c r="AH7" s="8">
        <f>IF(Distances!AH4="N.C.",0,ROUNDUP(AH5+'Délai intermédiaire'!AH4/10,0))</f>
        <v>0</v>
      </c>
      <c r="AI7" s="8">
        <f>IF(Distances!AI4="N.C.",0,ROUNDUP(AI5+'Délai intermédiaire'!AI4/10,0))</f>
        <v>0</v>
      </c>
      <c r="AJ7" s="8">
        <f>IF(Distances!AJ4="N.C.",0,ROUNDUP(AJ5+'Délai intermédiaire'!AJ4/10,0))</f>
        <v>0</v>
      </c>
      <c r="AK7" s="8">
        <f>IF(Distances!AK4="N.C.",0,ROUNDUP(AK5+'Délai intermédiaire'!AK4/10,0))</f>
        <v>0</v>
      </c>
      <c r="AL7" s="8">
        <f>IF(Distances!AL4="N.C.",0,ROUNDUP(AL5+'Délai intermédiaire'!AL4/10,0))</f>
        <v>0</v>
      </c>
      <c r="AM7" s="8">
        <f>IF(Distances!AM4="N.C.",0,ROUNDUP(AM5+'Délai intermédiaire'!AM4/10,0))</f>
        <v>0</v>
      </c>
      <c r="AN7" s="8">
        <f>IF(Distances!AN4="N.C.",0,ROUNDUP(AN5+'Délai intermédiaire'!AN4/10,0))</f>
        <v>0</v>
      </c>
      <c r="AO7" s="8">
        <f>IF(Distances!AO4="N.C.",0,ROUNDUP(AO5+'Délai intermédiaire'!AO4/10,0))</f>
        <v>0</v>
      </c>
      <c r="AP7" s="8">
        <f>IF(Distances!AP4="N.C.",0,ROUNDUP(AP5+'Délai intermédiaire'!AP4/10,0))</f>
        <v>0</v>
      </c>
      <c r="AQ7" s="8">
        <f>IF(Distances!AQ4="N.C.",0,ROUNDUP(AQ5+'Délai intermédiaire'!AQ4/10,0))</f>
        <v>0</v>
      </c>
      <c r="AR7" s="8">
        <f>IF(Distances!AR4="N.C.",0,ROUNDUP(AR5+'Délai intermédiaire'!AR4/10,0))</f>
        <v>0</v>
      </c>
      <c r="AS7" s="8">
        <f>IF(Distances!AS4="N.C.",0,ROUNDUP(AS5+'Délai intermédiaire'!AS4/10,0))</f>
        <v>0</v>
      </c>
      <c r="AT7" s="8">
        <f>IF(Distances!AT4="N.C.",0,ROUNDUP(AT5+'Délai intermédiaire'!AT4/10,0))</f>
        <v>0</v>
      </c>
      <c r="AU7" s="8">
        <f>IF(Distances!AU4="N.C.",0,ROUNDUP(AU5+'Délai intermédiaire'!AU4/10,0))</f>
        <v>0</v>
      </c>
      <c r="AV7" s="8">
        <f>IF(Distances!AV4="N.C.",0,ROUNDUP(AV5+'Délai intermédiaire'!AV4/10,0))</f>
        <v>0</v>
      </c>
      <c r="AW7" s="8">
        <f>IF(Distances!AW4="N.C.",0,ROUNDUP(AW5+'Délai intermédiaire'!AW4/10,0))</f>
        <v>0</v>
      </c>
      <c r="AX7" s="8">
        <f>IF(Distances!AX4="N.C.",0,ROUNDUP(AX5+'Délai intermédiaire'!AX4/10,0))</f>
        <v>0</v>
      </c>
      <c r="AY7" s="8">
        <f>IF(Distances!AY4="N.C.",0,ROUNDUP(AY5+'Délai intermédiaire'!AY4/10,0))</f>
        <v>0</v>
      </c>
      <c r="AZ7" s="8">
        <f>IF(Distances!AZ4="N.C.",0,ROUNDUP(AZ5+'Délai intermédiaire'!AZ4/10,0))</f>
        <v>0</v>
      </c>
      <c r="BA7" s="8">
        <f>IF(Distances!BA4="N.C.",0,ROUNDUP(BA5+'Délai intermédiaire'!BA4/10,0))</f>
        <v>0</v>
      </c>
      <c r="BB7" s="8">
        <f>IF(Distances!BB4="N.C.",0,ROUNDUP(BB5+'Délai intermédiaire'!BB4/10,0))</f>
        <v>0</v>
      </c>
      <c r="BC7" s="8">
        <f>IF(Distances!BC4="N.C.",0,ROUNDUP(BC5+'Délai intermédiaire'!BC4/10,0))</f>
        <v>0</v>
      </c>
      <c r="BD7" s="8">
        <f>IF(Distances!BD4="N.C.",0,ROUNDUP(BD5+'Délai intermédiaire'!BD4/10,0))</f>
        <v>0</v>
      </c>
      <c r="BE7" s="8">
        <f>IF(Distances!BE4="N.C.",0,ROUNDUP(BE5+'Délai intermédiaire'!BE4/10,0))</f>
        <v>0</v>
      </c>
      <c r="BF7" s="8">
        <f>IF(Distances!BF4="N.C.",0,ROUNDUP(BF5+'Délai intermédiaire'!BF4/10,0))</f>
        <v>0</v>
      </c>
      <c r="BG7" s="8">
        <f>IF(Distances!BG4="N.C.",0,ROUNDUP(BG5+'Délai intermédiaire'!BG4/10,0))</f>
        <v>0</v>
      </c>
      <c r="BH7" s="8">
        <f>IF(Distances!BH4="N.C.",0,ROUNDUP(BH5+'Délai intermédiaire'!BH4/10,0))</f>
        <v>0</v>
      </c>
      <c r="BI7" s="8">
        <f>IF(Distances!BI4="N.C.",0,ROUNDUP(BI5+'Délai intermédiaire'!BI4/10,0))</f>
        <v>0</v>
      </c>
      <c r="BJ7" s="9">
        <f>IF(Distances!BJ4="N.C.",0,ROUNDUP(BJ5+'Délai intermédiaire'!BJ4/10,0))</f>
        <v>0</v>
      </c>
    </row>
    <row r="8" spans="1:62" x14ac:dyDescent="0.3">
      <c r="A8" s="10" t="s">
        <v>2</v>
      </c>
      <c r="B8" s="11">
        <f>IF(Distances!B5="N.C.",0,ROUNDUP(B5+'Délai intermédiaire'!B5/10,0))</f>
        <v>3</v>
      </c>
      <c r="C8" s="12">
        <f>IF(Distances!C5="N.C.",0,ROUNDUP(C5+'Délai intermédiaire'!C5/10,0))</f>
        <v>1</v>
      </c>
      <c r="D8" s="13">
        <f>IF(Distances!D5="N.C.",0,ROUNDUP(D5+'Délai intermédiaire'!D5/10,0))</f>
        <v>4</v>
      </c>
      <c r="E8" s="13">
        <f>IF(Distances!E5="N.C.",0,ROUNDUP(E5+'Délai intermédiaire'!E5/10,0))</f>
        <v>3</v>
      </c>
      <c r="F8" s="13">
        <f>IF(Distances!F5="N.C.",0,ROUNDUP(F5+'Délai intermédiaire'!F5/10,0))</f>
        <v>3</v>
      </c>
      <c r="G8" s="13">
        <f>IF(Distances!G5="N.C.",0,ROUNDUP(G5+'Délai intermédiaire'!G5/10,0))</f>
        <v>4</v>
      </c>
      <c r="H8" s="13">
        <f>IF(Distances!H5="N.C.",0,ROUNDUP(H5+'Délai intermédiaire'!H5/10,0))</f>
        <v>6</v>
      </c>
      <c r="I8" s="13">
        <f>IF(Distances!I5="N.C.",0,ROUNDUP(I5+'Délai intermédiaire'!I5/10,0))</f>
        <v>4</v>
      </c>
      <c r="J8" s="13">
        <f>IF(Distances!J5="N.C.",0,ROUNDUP(J5+'Délai intermédiaire'!J5/10,0))</f>
        <v>5</v>
      </c>
      <c r="K8" s="13">
        <f>IF(Distances!K5="N.C.",0,ROUNDUP(K5+'Délai intermédiaire'!K5/10,0))</f>
        <v>5</v>
      </c>
      <c r="L8" s="13">
        <f>IF(Distances!L5="N.C.",0,ROUNDUP(L5+'Délai intermédiaire'!L5/10,0))</f>
        <v>7</v>
      </c>
      <c r="M8" s="13">
        <f>IF(Distances!M5="N.C.",0,ROUNDUP(M5+'Délai intermédiaire'!M5/10,0))</f>
        <v>7</v>
      </c>
      <c r="N8" s="13">
        <f>IF(Distances!N5="N.C.",0,ROUNDUP(N5+'Délai intermédiaire'!N5/10,0))</f>
        <v>5</v>
      </c>
      <c r="O8" s="14">
        <f>IF(Distances!O5="N.C.",0,ROUNDUP(O5+'Délai intermédiaire'!O5/10,0))</f>
        <v>0</v>
      </c>
      <c r="P8" s="14">
        <f>IF(Distances!P5="N.C.",0,ROUNDUP(P5+'Délai intermédiaire'!P5/10,0))</f>
        <v>0</v>
      </c>
      <c r="Q8" s="14">
        <f>IF(Distances!Q5="N.C.",0,ROUNDUP(Q5+'Délai intermédiaire'!Q5/10,0))</f>
        <v>0</v>
      </c>
      <c r="R8" s="14">
        <f>IF(Distances!R5="N.C.",0,ROUNDUP(R5+'Délai intermédiaire'!R5/10,0))</f>
        <v>0</v>
      </c>
      <c r="S8" s="14">
        <f>IF(Distances!S5="N.C.",0,ROUNDUP(S5+'Délai intermédiaire'!S5/10,0))</f>
        <v>0</v>
      </c>
      <c r="T8" s="14">
        <f>IF(Distances!T5="N.C.",0,ROUNDUP(T5+'Délai intermédiaire'!T5/10,0))</f>
        <v>0</v>
      </c>
      <c r="U8" s="14">
        <f>IF(Distances!U5="N.C.",0,ROUNDUP(U5+'Délai intermédiaire'!U5/10,0))</f>
        <v>0</v>
      </c>
      <c r="V8" s="14">
        <f>IF(Distances!V5="N.C.",0,ROUNDUP(V5+'Délai intermédiaire'!V5/10,0))</f>
        <v>0</v>
      </c>
      <c r="W8" s="14">
        <f>IF(Distances!W5="N.C.",0,ROUNDUP(W5+'Délai intermédiaire'!W5/10,0))</f>
        <v>0</v>
      </c>
      <c r="X8" s="14">
        <f>IF(Distances!X5="N.C.",0,ROUNDUP(X5+'Délai intermédiaire'!X5/10,0))</f>
        <v>0</v>
      </c>
      <c r="Y8" s="14">
        <f>IF(Distances!Y5="N.C.",0,ROUNDUP(Y5+'Délai intermédiaire'!Y5/10,0))</f>
        <v>0</v>
      </c>
      <c r="Z8" s="14">
        <f>IF(Distances!Z5="N.C.",0,ROUNDUP(Z5+'Délai intermédiaire'!Z5/10,0))</f>
        <v>0</v>
      </c>
      <c r="AA8" s="14">
        <f>IF(Distances!AA5="N.C.",0,ROUNDUP(AA5+'Délai intermédiaire'!AA5/10,0))</f>
        <v>0</v>
      </c>
      <c r="AB8" s="14">
        <f>IF(Distances!AB5="N.C.",0,ROUNDUP(AB5+'Délai intermédiaire'!AB5/10,0))</f>
        <v>0</v>
      </c>
      <c r="AC8" s="14">
        <f>IF(Distances!AC5="N.C.",0,ROUNDUP(AC5+'Délai intermédiaire'!AC5/10,0))</f>
        <v>0</v>
      </c>
      <c r="AD8" s="14">
        <f>IF(Distances!AD5="N.C.",0,ROUNDUP(AD5+'Délai intermédiaire'!AD5/10,0))</f>
        <v>0</v>
      </c>
      <c r="AE8" s="14">
        <f>IF(Distances!AE5="N.C.",0,ROUNDUP(AE5+'Délai intermédiaire'!AE5/10,0))</f>
        <v>0</v>
      </c>
      <c r="AF8" s="14">
        <f>IF(Distances!AF5="N.C.",0,ROUNDUP(AF5+'Délai intermédiaire'!AF5/10,0))</f>
        <v>0</v>
      </c>
      <c r="AG8" s="14">
        <f>IF(Distances!AG5="N.C.",0,ROUNDUP(AG5+'Délai intermédiaire'!AG5/10,0))</f>
        <v>0</v>
      </c>
      <c r="AH8" s="14">
        <f>IF(Distances!AH5="N.C.",0,ROUNDUP(AH5+'Délai intermédiaire'!AH5/10,0))</f>
        <v>0</v>
      </c>
      <c r="AI8" s="14">
        <f>IF(Distances!AI5="N.C.",0,ROUNDUP(AI5+'Délai intermédiaire'!AI5/10,0))</f>
        <v>0</v>
      </c>
      <c r="AJ8" s="14">
        <f>IF(Distances!AJ5="N.C.",0,ROUNDUP(AJ5+'Délai intermédiaire'!AJ5/10,0))</f>
        <v>0</v>
      </c>
      <c r="AK8" s="14">
        <f>IF(Distances!AK5="N.C.",0,ROUNDUP(AK5+'Délai intermédiaire'!AK5/10,0))</f>
        <v>0</v>
      </c>
      <c r="AL8" s="14">
        <f>IF(Distances!AL5="N.C.",0,ROUNDUP(AL5+'Délai intermédiaire'!AL5/10,0))</f>
        <v>0</v>
      </c>
      <c r="AM8" s="14">
        <f>IF(Distances!AM5="N.C.",0,ROUNDUP(AM5+'Délai intermédiaire'!AM5/10,0))</f>
        <v>0</v>
      </c>
      <c r="AN8" s="14">
        <f>IF(Distances!AN5="N.C.",0,ROUNDUP(AN5+'Délai intermédiaire'!AN5/10,0))</f>
        <v>0</v>
      </c>
      <c r="AO8" s="14">
        <f>IF(Distances!AO5="N.C.",0,ROUNDUP(AO5+'Délai intermédiaire'!AO5/10,0))</f>
        <v>0</v>
      </c>
      <c r="AP8" s="14">
        <f>IF(Distances!AP5="N.C.",0,ROUNDUP(AP5+'Délai intermédiaire'!AP5/10,0))</f>
        <v>0</v>
      </c>
      <c r="AQ8" s="14">
        <f>IF(Distances!AQ5="N.C.",0,ROUNDUP(AQ5+'Délai intermédiaire'!AQ5/10,0))</f>
        <v>0</v>
      </c>
      <c r="AR8" s="14">
        <f>IF(Distances!AR5="N.C.",0,ROUNDUP(AR5+'Délai intermédiaire'!AR5/10,0))</f>
        <v>0</v>
      </c>
      <c r="AS8" s="14">
        <f>IF(Distances!AS5="N.C.",0,ROUNDUP(AS5+'Délai intermédiaire'!AS5/10,0))</f>
        <v>0</v>
      </c>
      <c r="AT8" s="14">
        <f>IF(Distances!AT5="N.C.",0,ROUNDUP(AT5+'Délai intermédiaire'!AT5/10,0))</f>
        <v>0</v>
      </c>
      <c r="AU8" s="14">
        <f>IF(Distances!AU5="N.C.",0,ROUNDUP(AU5+'Délai intermédiaire'!AU5/10,0))</f>
        <v>0</v>
      </c>
      <c r="AV8" s="14">
        <f>IF(Distances!AV5="N.C.",0,ROUNDUP(AV5+'Délai intermédiaire'!AV5/10,0))</f>
        <v>0</v>
      </c>
      <c r="AW8" s="14">
        <f>IF(Distances!AW5="N.C.",0,ROUNDUP(AW5+'Délai intermédiaire'!AW5/10,0))</f>
        <v>0</v>
      </c>
      <c r="AX8" s="14">
        <f>IF(Distances!AX5="N.C.",0,ROUNDUP(AX5+'Délai intermédiaire'!AX5/10,0))</f>
        <v>0</v>
      </c>
      <c r="AY8" s="14">
        <f>IF(Distances!AY5="N.C.",0,ROUNDUP(AY5+'Délai intermédiaire'!AY5/10,0))</f>
        <v>0</v>
      </c>
      <c r="AZ8" s="14">
        <f>IF(Distances!AZ5="N.C.",0,ROUNDUP(AZ5+'Délai intermédiaire'!AZ5/10,0))</f>
        <v>0</v>
      </c>
      <c r="BA8" s="14">
        <f>IF(Distances!BA5="N.C.",0,ROUNDUP(BA5+'Délai intermédiaire'!BA5/10,0))</f>
        <v>0</v>
      </c>
      <c r="BB8" s="14">
        <f>IF(Distances!BB5="N.C.",0,ROUNDUP(BB5+'Délai intermédiaire'!BB5/10,0))</f>
        <v>0</v>
      </c>
      <c r="BC8" s="14">
        <f>IF(Distances!BC5="N.C.",0,ROUNDUP(BC5+'Délai intermédiaire'!BC5/10,0))</f>
        <v>0</v>
      </c>
      <c r="BD8" s="14">
        <f>IF(Distances!BD5="N.C.",0,ROUNDUP(BD5+'Délai intermédiaire'!BD5/10,0))</f>
        <v>0</v>
      </c>
      <c r="BE8" s="14">
        <f>IF(Distances!BE5="N.C.",0,ROUNDUP(BE5+'Délai intermédiaire'!BE5/10,0))</f>
        <v>0</v>
      </c>
      <c r="BF8" s="14">
        <f>IF(Distances!BF5="N.C.",0,ROUNDUP(BF5+'Délai intermédiaire'!BF5/10,0))</f>
        <v>0</v>
      </c>
      <c r="BG8" s="14">
        <f>IF(Distances!BG5="N.C.",0,ROUNDUP(BG5+'Délai intermédiaire'!BG5/10,0))</f>
        <v>0</v>
      </c>
      <c r="BH8" s="14">
        <f>IF(Distances!BH5="N.C.",0,ROUNDUP(BH5+'Délai intermédiaire'!BH5/10,0))</f>
        <v>0</v>
      </c>
      <c r="BI8" s="14">
        <f>IF(Distances!BI5="N.C.",0,ROUNDUP(BI5+'Délai intermédiaire'!BI5/10,0))</f>
        <v>0</v>
      </c>
      <c r="BJ8" s="15">
        <f>IF(Distances!BJ5="N.C.",0,ROUNDUP(BJ5+'Délai intermédiaire'!BJ5/10,0))</f>
        <v>0</v>
      </c>
    </row>
    <row r="9" spans="1:62" x14ac:dyDescent="0.3">
      <c r="A9" s="10" t="s">
        <v>3</v>
      </c>
      <c r="B9" s="11">
        <f>IF(Distances!B6="N.C.",0,ROUNDUP(B5+'Délai intermédiaire'!B6/10,0))</f>
        <v>4</v>
      </c>
      <c r="C9" s="13">
        <f>IF(Distances!C6="N.C.",0,ROUNDUP(C5+'Délai intermédiaire'!C6/10,0))</f>
        <v>4</v>
      </c>
      <c r="D9" s="12">
        <f>IF(Distances!D6="N.C.",0,ROUNDUP(D5+'Délai intermédiaire'!D6/10,0))</f>
        <v>1</v>
      </c>
      <c r="E9" s="13">
        <f>IF(Distances!E6="N.C.",0,ROUNDUP(E5+'Délai intermédiaire'!E6/10,0))</f>
        <v>2</v>
      </c>
      <c r="F9" s="13">
        <f>IF(Distances!F6="N.C.",0,ROUNDUP(F5+'Délai intermédiaire'!F6/10,0))</f>
        <v>3</v>
      </c>
      <c r="G9" s="13">
        <f>IF(Distances!G6="N.C.",0,ROUNDUP(G5+'Délai intermédiaire'!G6/10,0))</f>
        <v>3</v>
      </c>
      <c r="H9" s="13">
        <f>IF(Distances!H6="N.C.",0,ROUNDUP(H5+'Délai intermédiaire'!H6/10,0))</f>
        <v>4</v>
      </c>
      <c r="I9" s="13">
        <f>IF(Distances!I6="N.C.",0,ROUNDUP(I5+'Délai intermédiaire'!I6/10,0))</f>
        <v>4</v>
      </c>
      <c r="J9" s="13">
        <f>IF(Distances!J6="N.C.",0,ROUNDUP(J5+'Délai intermédiaire'!J6/10,0))</f>
        <v>4</v>
      </c>
      <c r="K9" s="13">
        <f>IF(Distances!K6="N.C.",0,ROUNDUP(K5+'Délai intermédiaire'!K6/10,0))</f>
        <v>5</v>
      </c>
      <c r="L9" s="13">
        <f>IF(Distances!L6="N.C.",0,ROUNDUP(L5+'Délai intermédiaire'!L6/10,0))</f>
        <v>5</v>
      </c>
      <c r="M9" s="13">
        <f>IF(Distances!M6="N.C.",0,ROUNDUP(M5+'Délai intermédiaire'!M6/10,0))</f>
        <v>5</v>
      </c>
      <c r="N9" s="13">
        <f>IF(Distances!N6="N.C.",0,ROUNDUP(N5+'Délai intermédiaire'!N6/10,0))</f>
        <v>6</v>
      </c>
      <c r="O9" s="14">
        <f>IF(Distances!O6="N.C.",0,ROUNDUP(O5+'Délai intermédiaire'!O6/10,0))</f>
        <v>0</v>
      </c>
      <c r="P9" s="14">
        <f>IF(Distances!P6="N.C.",0,ROUNDUP(P5+'Délai intermédiaire'!P6/10,0))</f>
        <v>0</v>
      </c>
      <c r="Q9" s="14">
        <f>IF(Distances!Q6="N.C.",0,ROUNDUP(Q5+'Délai intermédiaire'!Q6/10,0))</f>
        <v>0</v>
      </c>
      <c r="R9" s="14">
        <f>IF(Distances!R6="N.C.",0,ROUNDUP(R5+'Délai intermédiaire'!R6/10,0))</f>
        <v>0</v>
      </c>
      <c r="S9" s="14">
        <f>IF(Distances!S6="N.C.",0,ROUNDUP(S5+'Délai intermédiaire'!S6/10,0))</f>
        <v>0</v>
      </c>
      <c r="T9" s="14">
        <f>IF(Distances!T6="N.C.",0,ROUNDUP(T5+'Délai intermédiaire'!T6/10,0))</f>
        <v>0</v>
      </c>
      <c r="U9" s="14">
        <f>IF(Distances!U6="N.C.",0,ROUNDUP(U5+'Délai intermédiaire'!U6/10,0))</f>
        <v>0</v>
      </c>
      <c r="V9" s="14">
        <f>IF(Distances!V6="N.C.",0,ROUNDUP(V5+'Délai intermédiaire'!V6/10,0))</f>
        <v>0</v>
      </c>
      <c r="W9" s="14">
        <f>IF(Distances!W6="N.C.",0,ROUNDUP(W5+'Délai intermédiaire'!W6/10,0))</f>
        <v>0</v>
      </c>
      <c r="X9" s="14">
        <f>IF(Distances!X6="N.C.",0,ROUNDUP(X5+'Délai intermédiaire'!X6/10,0))</f>
        <v>0</v>
      </c>
      <c r="Y9" s="14">
        <f>IF(Distances!Y6="N.C.",0,ROUNDUP(Y5+'Délai intermédiaire'!Y6/10,0))</f>
        <v>0</v>
      </c>
      <c r="Z9" s="14">
        <f>IF(Distances!Z6="N.C.",0,ROUNDUP(Z5+'Délai intermédiaire'!Z6/10,0))</f>
        <v>0</v>
      </c>
      <c r="AA9" s="14">
        <f>IF(Distances!AA6="N.C.",0,ROUNDUP(AA5+'Délai intermédiaire'!AA6/10,0))</f>
        <v>0</v>
      </c>
      <c r="AB9" s="14">
        <f>IF(Distances!AB6="N.C.",0,ROUNDUP(AB5+'Délai intermédiaire'!AB6/10,0))</f>
        <v>0</v>
      </c>
      <c r="AC9" s="14">
        <f>IF(Distances!AC6="N.C.",0,ROUNDUP(AC5+'Délai intermédiaire'!AC6/10,0))</f>
        <v>0</v>
      </c>
      <c r="AD9" s="14">
        <f>IF(Distances!AD6="N.C.",0,ROUNDUP(AD5+'Délai intermédiaire'!AD6/10,0))</f>
        <v>0</v>
      </c>
      <c r="AE9" s="14">
        <f>IF(Distances!AE6="N.C.",0,ROUNDUP(AE5+'Délai intermédiaire'!AE6/10,0))</f>
        <v>0</v>
      </c>
      <c r="AF9" s="14">
        <f>IF(Distances!AF6="N.C.",0,ROUNDUP(AF5+'Délai intermédiaire'!AF6/10,0))</f>
        <v>0</v>
      </c>
      <c r="AG9" s="14">
        <f>IF(Distances!AG6="N.C.",0,ROUNDUP(AG5+'Délai intermédiaire'!AG6/10,0))</f>
        <v>0</v>
      </c>
      <c r="AH9" s="14">
        <f>IF(Distances!AH6="N.C.",0,ROUNDUP(AH5+'Délai intermédiaire'!AH6/10,0))</f>
        <v>0</v>
      </c>
      <c r="AI9" s="14">
        <f>IF(Distances!AI6="N.C.",0,ROUNDUP(AI5+'Délai intermédiaire'!AI6/10,0))</f>
        <v>0</v>
      </c>
      <c r="AJ9" s="14">
        <f>IF(Distances!AJ6="N.C.",0,ROUNDUP(AJ5+'Délai intermédiaire'!AJ6/10,0))</f>
        <v>0</v>
      </c>
      <c r="AK9" s="14">
        <f>IF(Distances!AK6="N.C.",0,ROUNDUP(AK5+'Délai intermédiaire'!AK6/10,0))</f>
        <v>0</v>
      </c>
      <c r="AL9" s="14">
        <f>IF(Distances!AL6="N.C.",0,ROUNDUP(AL5+'Délai intermédiaire'!AL6/10,0))</f>
        <v>0</v>
      </c>
      <c r="AM9" s="14">
        <f>IF(Distances!AM6="N.C.",0,ROUNDUP(AM5+'Délai intermédiaire'!AM6/10,0))</f>
        <v>0</v>
      </c>
      <c r="AN9" s="14">
        <f>IF(Distances!AN6="N.C.",0,ROUNDUP(AN5+'Délai intermédiaire'!AN6/10,0))</f>
        <v>0</v>
      </c>
      <c r="AO9" s="14">
        <f>IF(Distances!AO6="N.C.",0,ROUNDUP(AO5+'Délai intermédiaire'!AO6/10,0))</f>
        <v>0</v>
      </c>
      <c r="AP9" s="14">
        <f>IF(Distances!AP6="N.C.",0,ROUNDUP(AP5+'Délai intermédiaire'!AP6/10,0))</f>
        <v>0</v>
      </c>
      <c r="AQ9" s="14">
        <f>IF(Distances!AQ6="N.C.",0,ROUNDUP(AQ5+'Délai intermédiaire'!AQ6/10,0))</f>
        <v>0</v>
      </c>
      <c r="AR9" s="14">
        <f>IF(Distances!AR6="N.C.",0,ROUNDUP(AR5+'Délai intermédiaire'!AR6/10,0))</f>
        <v>0</v>
      </c>
      <c r="AS9" s="14">
        <f>IF(Distances!AS6="N.C.",0,ROUNDUP(AS5+'Délai intermédiaire'!AS6/10,0))</f>
        <v>0</v>
      </c>
      <c r="AT9" s="14">
        <f>IF(Distances!AT6="N.C.",0,ROUNDUP(AT5+'Délai intermédiaire'!AT6/10,0))</f>
        <v>0</v>
      </c>
      <c r="AU9" s="14">
        <f>IF(Distances!AU6="N.C.",0,ROUNDUP(AU5+'Délai intermédiaire'!AU6/10,0))</f>
        <v>0</v>
      </c>
      <c r="AV9" s="14">
        <f>IF(Distances!AV6="N.C.",0,ROUNDUP(AV5+'Délai intermédiaire'!AV6/10,0))</f>
        <v>0</v>
      </c>
      <c r="AW9" s="14">
        <f>IF(Distances!AW6="N.C.",0,ROUNDUP(AW5+'Délai intermédiaire'!AW6/10,0))</f>
        <v>0</v>
      </c>
      <c r="AX9" s="14">
        <f>IF(Distances!AX6="N.C.",0,ROUNDUP(AX5+'Délai intermédiaire'!AX6/10,0))</f>
        <v>0</v>
      </c>
      <c r="AY9" s="14">
        <f>IF(Distances!AY6="N.C.",0,ROUNDUP(AY5+'Délai intermédiaire'!AY6/10,0))</f>
        <v>0</v>
      </c>
      <c r="AZ9" s="14">
        <f>IF(Distances!AZ6="N.C.",0,ROUNDUP(AZ5+'Délai intermédiaire'!AZ6/10,0))</f>
        <v>0</v>
      </c>
      <c r="BA9" s="14">
        <f>IF(Distances!BA6="N.C.",0,ROUNDUP(BA5+'Délai intermédiaire'!BA6/10,0))</f>
        <v>0</v>
      </c>
      <c r="BB9" s="14">
        <f>IF(Distances!BB6="N.C.",0,ROUNDUP(BB5+'Délai intermédiaire'!BB6/10,0))</f>
        <v>0</v>
      </c>
      <c r="BC9" s="14">
        <f>IF(Distances!BC6="N.C.",0,ROUNDUP(BC5+'Délai intermédiaire'!BC6/10,0))</f>
        <v>0</v>
      </c>
      <c r="BD9" s="14">
        <f>IF(Distances!BD6="N.C.",0,ROUNDUP(BD5+'Délai intermédiaire'!BD6/10,0))</f>
        <v>0</v>
      </c>
      <c r="BE9" s="14">
        <f>IF(Distances!BE6="N.C.",0,ROUNDUP(BE5+'Délai intermédiaire'!BE6/10,0))</f>
        <v>0</v>
      </c>
      <c r="BF9" s="14">
        <f>IF(Distances!BF6="N.C.",0,ROUNDUP(BF5+'Délai intermédiaire'!BF6/10,0))</f>
        <v>0</v>
      </c>
      <c r="BG9" s="14">
        <f>IF(Distances!BG6="N.C.",0,ROUNDUP(BG5+'Délai intermédiaire'!BG6/10,0))</f>
        <v>0</v>
      </c>
      <c r="BH9" s="14">
        <f>IF(Distances!BH6="N.C.",0,ROUNDUP(BH5+'Délai intermédiaire'!BH6/10,0))</f>
        <v>0</v>
      </c>
      <c r="BI9" s="14">
        <f>IF(Distances!BI6="N.C.",0,ROUNDUP(BI5+'Délai intermédiaire'!BI6/10,0))</f>
        <v>0</v>
      </c>
      <c r="BJ9" s="15">
        <f>IF(Distances!BJ6="N.C.",0,ROUNDUP(BJ5+'Délai intermédiaire'!BJ6/10,0))</f>
        <v>0</v>
      </c>
    </row>
    <row r="10" spans="1:62" x14ac:dyDescent="0.3">
      <c r="A10" s="10" t="s">
        <v>4</v>
      </c>
      <c r="B10" s="11">
        <f>IF(Distances!B7="N.C.",0,ROUNDUP(B5+'Délai intermédiaire'!B7/10,0))</f>
        <v>4</v>
      </c>
      <c r="C10" s="13">
        <f>IF(Distances!C7="N.C.",0,ROUNDUP(C5+'Délai intermédiaire'!C7/10,0))</f>
        <v>3</v>
      </c>
      <c r="D10" s="13">
        <f>IF(Distances!D7="N.C.",0,ROUNDUP(D5+'Délai intermédiaire'!D7/10,0))</f>
        <v>2</v>
      </c>
      <c r="E10" s="12">
        <f>IF(Distances!E7="N.C.",0,ROUNDUP(E5+'Délai intermédiaire'!E7/10,0))</f>
        <v>1</v>
      </c>
      <c r="F10" s="13">
        <f>IF(Distances!F7="N.C.",0,ROUNDUP(F5+'Délai intermédiaire'!F7/10,0))</f>
        <v>3</v>
      </c>
      <c r="G10" s="13">
        <f>IF(Distances!G7="N.C.",0,ROUNDUP(G5+'Délai intermédiaire'!G7/10,0))</f>
        <v>3</v>
      </c>
      <c r="H10" s="13">
        <f>IF(Distances!H7="N.C.",0,ROUNDUP(H5+'Délai intermédiaire'!H7/10,0))</f>
        <v>5</v>
      </c>
      <c r="I10" s="13">
        <f>IF(Distances!I7="N.C.",0,ROUNDUP(I5+'Délai intermédiaire'!I7/10,0))</f>
        <v>5</v>
      </c>
      <c r="J10" s="13">
        <f>IF(Distances!J7="N.C.",0,ROUNDUP(J5+'Délai intermédiaire'!J7/10,0))</f>
        <v>3</v>
      </c>
      <c r="K10" s="13">
        <f>IF(Distances!K7="N.C.",0,ROUNDUP(K5+'Délai intermédiaire'!K7/10,0))</f>
        <v>4</v>
      </c>
      <c r="L10" s="13">
        <f>IF(Distances!L7="N.C.",0,ROUNDUP(L5+'Délai intermédiaire'!L7/10,0))</f>
        <v>5</v>
      </c>
      <c r="M10" s="13">
        <f>IF(Distances!M7="N.C.",0,ROUNDUP(M5+'Délai intermédiaire'!M7/10,0))</f>
        <v>6</v>
      </c>
      <c r="N10" s="13">
        <f>IF(Distances!N7="N.C.",0,ROUNDUP(N5+'Délai intermédiaire'!N7/10,0))</f>
        <v>6</v>
      </c>
      <c r="O10" s="14">
        <f>IF(Distances!O7="N.C.",0,ROUNDUP(O5+'Délai intermédiaire'!O7/10,0))</f>
        <v>0</v>
      </c>
      <c r="P10" s="14">
        <f>IF(Distances!P7="N.C.",0,ROUNDUP(P5+'Délai intermédiaire'!P7/10,0))</f>
        <v>0</v>
      </c>
      <c r="Q10" s="14">
        <f>IF(Distances!Q7="N.C.",0,ROUNDUP(Q5+'Délai intermédiaire'!Q7/10,0))</f>
        <v>0</v>
      </c>
      <c r="R10" s="14">
        <f>IF(Distances!R7="N.C.",0,ROUNDUP(R5+'Délai intermédiaire'!R7/10,0))</f>
        <v>0</v>
      </c>
      <c r="S10" s="14">
        <f>IF(Distances!S7="N.C.",0,ROUNDUP(S5+'Délai intermédiaire'!S7/10,0))</f>
        <v>0</v>
      </c>
      <c r="T10" s="14">
        <f>IF(Distances!T7="N.C.",0,ROUNDUP(T5+'Délai intermédiaire'!T7/10,0))</f>
        <v>0</v>
      </c>
      <c r="U10" s="14">
        <f>IF(Distances!U7="N.C.",0,ROUNDUP(U5+'Délai intermédiaire'!U7/10,0))</f>
        <v>0</v>
      </c>
      <c r="V10" s="14">
        <f>IF(Distances!V7="N.C.",0,ROUNDUP(V5+'Délai intermédiaire'!V7/10,0))</f>
        <v>0</v>
      </c>
      <c r="W10" s="14">
        <f>IF(Distances!W7="N.C.",0,ROUNDUP(W5+'Délai intermédiaire'!W7/10,0))</f>
        <v>0</v>
      </c>
      <c r="X10" s="14">
        <f>IF(Distances!X7="N.C.",0,ROUNDUP(X5+'Délai intermédiaire'!X7/10,0))</f>
        <v>0</v>
      </c>
      <c r="Y10" s="14">
        <f>IF(Distances!Y7="N.C.",0,ROUNDUP(Y5+'Délai intermédiaire'!Y7/10,0))</f>
        <v>0</v>
      </c>
      <c r="Z10" s="14">
        <f>IF(Distances!Z7="N.C.",0,ROUNDUP(Z5+'Délai intermédiaire'!Z7/10,0))</f>
        <v>0</v>
      </c>
      <c r="AA10" s="14">
        <f>IF(Distances!AA7="N.C.",0,ROUNDUP(AA5+'Délai intermédiaire'!AA7/10,0))</f>
        <v>0</v>
      </c>
      <c r="AB10" s="14">
        <f>IF(Distances!AB7="N.C.",0,ROUNDUP(AB5+'Délai intermédiaire'!AB7/10,0))</f>
        <v>0</v>
      </c>
      <c r="AC10" s="14">
        <f>IF(Distances!AC7="N.C.",0,ROUNDUP(AC5+'Délai intermédiaire'!AC7/10,0))</f>
        <v>0</v>
      </c>
      <c r="AD10" s="14">
        <f>IF(Distances!AD7="N.C.",0,ROUNDUP(AD5+'Délai intermédiaire'!AD7/10,0))</f>
        <v>0</v>
      </c>
      <c r="AE10" s="14">
        <f>IF(Distances!AE7="N.C.",0,ROUNDUP(AE5+'Délai intermédiaire'!AE7/10,0))</f>
        <v>0</v>
      </c>
      <c r="AF10" s="14">
        <f>IF(Distances!AF7="N.C.",0,ROUNDUP(AF5+'Délai intermédiaire'!AF7/10,0))</f>
        <v>0</v>
      </c>
      <c r="AG10" s="14">
        <f>IF(Distances!AG7="N.C.",0,ROUNDUP(AG5+'Délai intermédiaire'!AG7/10,0))</f>
        <v>0</v>
      </c>
      <c r="AH10" s="14">
        <f>IF(Distances!AH7="N.C.",0,ROUNDUP(AH5+'Délai intermédiaire'!AH7/10,0))</f>
        <v>0</v>
      </c>
      <c r="AI10" s="14">
        <f>IF(Distances!AI7="N.C.",0,ROUNDUP(AI5+'Délai intermédiaire'!AI7/10,0))</f>
        <v>0</v>
      </c>
      <c r="AJ10" s="14">
        <f>IF(Distances!AJ7="N.C.",0,ROUNDUP(AJ5+'Délai intermédiaire'!AJ7/10,0))</f>
        <v>0</v>
      </c>
      <c r="AK10" s="14">
        <f>IF(Distances!AK7="N.C.",0,ROUNDUP(AK5+'Délai intermédiaire'!AK7/10,0))</f>
        <v>0</v>
      </c>
      <c r="AL10" s="14">
        <f>IF(Distances!AL7="N.C.",0,ROUNDUP(AL5+'Délai intermédiaire'!AL7/10,0))</f>
        <v>0</v>
      </c>
      <c r="AM10" s="14">
        <f>IF(Distances!AM7="N.C.",0,ROUNDUP(AM5+'Délai intermédiaire'!AM7/10,0))</f>
        <v>0</v>
      </c>
      <c r="AN10" s="14">
        <f>IF(Distances!AN7="N.C.",0,ROUNDUP(AN5+'Délai intermédiaire'!AN7/10,0))</f>
        <v>0</v>
      </c>
      <c r="AO10" s="14">
        <f>IF(Distances!AO7="N.C.",0,ROUNDUP(AO5+'Délai intermédiaire'!AO7/10,0))</f>
        <v>0</v>
      </c>
      <c r="AP10" s="14">
        <f>IF(Distances!AP7="N.C.",0,ROUNDUP(AP5+'Délai intermédiaire'!AP7/10,0))</f>
        <v>0</v>
      </c>
      <c r="AQ10" s="14">
        <f>IF(Distances!AQ7="N.C.",0,ROUNDUP(AQ5+'Délai intermédiaire'!AQ7/10,0))</f>
        <v>0</v>
      </c>
      <c r="AR10" s="14">
        <f>IF(Distances!AR7="N.C.",0,ROUNDUP(AR5+'Délai intermédiaire'!AR7/10,0))</f>
        <v>0</v>
      </c>
      <c r="AS10" s="14">
        <f>IF(Distances!AS7="N.C.",0,ROUNDUP(AS5+'Délai intermédiaire'!AS7/10,0))</f>
        <v>0</v>
      </c>
      <c r="AT10" s="14">
        <f>IF(Distances!AT7="N.C.",0,ROUNDUP(AT5+'Délai intermédiaire'!AT7/10,0))</f>
        <v>0</v>
      </c>
      <c r="AU10" s="14">
        <f>IF(Distances!AU7="N.C.",0,ROUNDUP(AU5+'Délai intermédiaire'!AU7/10,0))</f>
        <v>0</v>
      </c>
      <c r="AV10" s="14">
        <f>IF(Distances!AV7="N.C.",0,ROUNDUP(AV5+'Délai intermédiaire'!AV7/10,0))</f>
        <v>0</v>
      </c>
      <c r="AW10" s="14">
        <f>IF(Distances!AW7="N.C.",0,ROUNDUP(AW5+'Délai intermédiaire'!AW7/10,0))</f>
        <v>0</v>
      </c>
      <c r="AX10" s="14">
        <f>IF(Distances!AX7="N.C.",0,ROUNDUP(AX5+'Délai intermédiaire'!AX7/10,0))</f>
        <v>0</v>
      </c>
      <c r="AY10" s="14">
        <f>IF(Distances!AY7="N.C.",0,ROUNDUP(AY5+'Délai intermédiaire'!AY7/10,0))</f>
        <v>0</v>
      </c>
      <c r="AZ10" s="14">
        <f>IF(Distances!AZ7="N.C.",0,ROUNDUP(AZ5+'Délai intermédiaire'!AZ7/10,0))</f>
        <v>0</v>
      </c>
      <c r="BA10" s="14">
        <f>IF(Distances!BA7="N.C.",0,ROUNDUP(BA5+'Délai intermédiaire'!BA7/10,0))</f>
        <v>0</v>
      </c>
      <c r="BB10" s="14">
        <f>IF(Distances!BB7="N.C.",0,ROUNDUP(BB5+'Délai intermédiaire'!BB7/10,0))</f>
        <v>0</v>
      </c>
      <c r="BC10" s="14">
        <f>IF(Distances!BC7="N.C.",0,ROUNDUP(BC5+'Délai intermédiaire'!BC7/10,0))</f>
        <v>0</v>
      </c>
      <c r="BD10" s="14">
        <f>IF(Distances!BD7="N.C.",0,ROUNDUP(BD5+'Délai intermédiaire'!BD7/10,0))</f>
        <v>0</v>
      </c>
      <c r="BE10" s="14">
        <f>IF(Distances!BE7="N.C.",0,ROUNDUP(BE5+'Délai intermédiaire'!BE7/10,0))</f>
        <v>0</v>
      </c>
      <c r="BF10" s="14">
        <f>IF(Distances!BF7="N.C.",0,ROUNDUP(BF5+'Délai intermédiaire'!BF7/10,0))</f>
        <v>0</v>
      </c>
      <c r="BG10" s="14">
        <f>IF(Distances!BG7="N.C.",0,ROUNDUP(BG5+'Délai intermédiaire'!BG7/10,0))</f>
        <v>0</v>
      </c>
      <c r="BH10" s="14">
        <f>IF(Distances!BH7="N.C.",0,ROUNDUP(BH5+'Délai intermédiaire'!BH7/10,0))</f>
        <v>0</v>
      </c>
      <c r="BI10" s="14">
        <f>IF(Distances!BI7="N.C.",0,ROUNDUP(BI5+'Délai intermédiaire'!BI7/10,0))</f>
        <v>0</v>
      </c>
      <c r="BJ10" s="15">
        <f>IF(Distances!BJ7="N.C.",0,ROUNDUP(BJ5+'Délai intermédiaire'!BJ7/10,0))</f>
        <v>0</v>
      </c>
    </row>
    <row r="11" spans="1:62" x14ac:dyDescent="0.3">
      <c r="A11" s="10" t="s">
        <v>5</v>
      </c>
      <c r="B11" s="11">
        <f>IF(Distances!B8="N.C.",0,ROUNDUP(B5+'Délai intermédiaire'!B8/10,0))</f>
        <v>3</v>
      </c>
      <c r="C11" s="13">
        <f>IF(Distances!C8="N.C.",0,ROUNDUP(C5+'Délai intermédiaire'!C8/10,0))</f>
        <v>3</v>
      </c>
      <c r="D11" s="13">
        <f>IF(Distances!D8="N.C.",0,ROUNDUP(D5+'Délai intermédiaire'!D8/10,0))</f>
        <v>3</v>
      </c>
      <c r="E11" s="13">
        <f>IF(Distances!E8="N.C.",0,ROUNDUP(E5+'Délai intermédiaire'!E8/10,0))</f>
        <v>3</v>
      </c>
      <c r="F11" s="12">
        <f>IF(Distances!F8="N.C.",0,ROUNDUP(F5+'Délai intermédiaire'!F8/10,0))</f>
        <v>1</v>
      </c>
      <c r="G11" s="13">
        <f>IF(Distances!G8="N.C.",0,ROUNDUP(G5+'Délai intermédiaire'!G8/10,0))</f>
        <v>4</v>
      </c>
      <c r="H11" s="13">
        <f>IF(Distances!H8="N.C.",0,ROUNDUP(H5+'Délai intermédiaire'!H8/10,0))</f>
        <v>6</v>
      </c>
      <c r="I11" s="13">
        <f>IF(Distances!I8="N.C.",0,ROUNDUP(I5+'Délai intermédiaire'!I8/10,0))</f>
        <v>6</v>
      </c>
      <c r="J11" s="13">
        <f>IF(Distances!J8="N.C.",0,ROUNDUP(J5+'Délai intermédiaire'!J8/10,0))</f>
        <v>3</v>
      </c>
      <c r="K11" s="13">
        <f>IF(Distances!K8="N.C.",0,ROUNDUP(K5+'Délai intermédiaire'!K8/10,0))</f>
        <v>4</v>
      </c>
      <c r="L11" s="13">
        <f>IF(Distances!L8="N.C.",0,ROUNDUP(L5+'Délai intermédiaire'!L8/10,0))</f>
        <v>6</v>
      </c>
      <c r="M11" s="13">
        <f>IF(Distances!M8="N.C.",0,ROUNDUP(M5+'Délai intermédiaire'!M8/10,0))</f>
        <v>7</v>
      </c>
      <c r="N11" s="13">
        <f>IF(Distances!N8="N.C.",0,ROUNDUP(N5+'Délai intermédiaire'!N8/10,0))</f>
        <v>7</v>
      </c>
      <c r="O11" s="14">
        <f>IF(Distances!O8="N.C.",0,ROUNDUP(O5+'Délai intermédiaire'!O8/10,0))</f>
        <v>0</v>
      </c>
      <c r="P11" s="14">
        <f>IF(Distances!P8="N.C.",0,ROUNDUP(P5+'Délai intermédiaire'!P8/10,0))</f>
        <v>0</v>
      </c>
      <c r="Q11" s="14">
        <f>IF(Distances!Q8="N.C.",0,ROUNDUP(Q5+'Délai intermédiaire'!Q8/10,0))</f>
        <v>0</v>
      </c>
      <c r="R11" s="14">
        <f>IF(Distances!R8="N.C.",0,ROUNDUP(R5+'Délai intermédiaire'!R8/10,0))</f>
        <v>0</v>
      </c>
      <c r="S11" s="14">
        <f>IF(Distances!S8="N.C.",0,ROUNDUP(S5+'Délai intermédiaire'!S8/10,0))</f>
        <v>0</v>
      </c>
      <c r="T11" s="14">
        <f>IF(Distances!T8="N.C.",0,ROUNDUP(T5+'Délai intermédiaire'!T8/10,0))</f>
        <v>0</v>
      </c>
      <c r="U11" s="14">
        <f>IF(Distances!U8="N.C.",0,ROUNDUP(U5+'Délai intermédiaire'!U8/10,0))</f>
        <v>0</v>
      </c>
      <c r="V11" s="14">
        <f>IF(Distances!V8="N.C.",0,ROUNDUP(V5+'Délai intermédiaire'!V8/10,0))</f>
        <v>0</v>
      </c>
      <c r="W11" s="14">
        <f>IF(Distances!W8="N.C.",0,ROUNDUP(W5+'Délai intermédiaire'!W8/10,0))</f>
        <v>0</v>
      </c>
      <c r="X11" s="14">
        <f>IF(Distances!X8="N.C.",0,ROUNDUP(X5+'Délai intermédiaire'!X8/10,0))</f>
        <v>0</v>
      </c>
      <c r="Y11" s="14">
        <f>IF(Distances!Y8="N.C.",0,ROUNDUP(Y5+'Délai intermédiaire'!Y8/10,0))</f>
        <v>0</v>
      </c>
      <c r="Z11" s="14">
        <f>IF(Distances!Z8="N.C.",0,ROUNDUP(Z5+'Délai intermédiaire'!Z8/10,0))</f>
        <v>0</v>
      </c>
      <c r="AA11" s="14">
        <f>IF(Distances!AA8="N.C.",0,ROUNDUP(AA5+'Délai intermédiaire'!AA8/10,0))</f>
        <v>0</v>
      </c>
      <c r="AB11" s="14">
        <f>IF(Distances!AB8="N.C.",0,ROUNDUP(AB5+'Délai intermédiaire'!AB8/10,0))</f>
        <v>0</v>
      </c>
      <c r="AC11" s="14">
        <f>IF(Distances!AC8="N.C.",0,ROUNDUP(AC5+'Délai intermédiaire'!AC8/10,0))</f>
        <v>0</v>
      </c>
      <c r="AD11" s="14">
        <f>IF(Distances!AD8="N.C.",0,ROUNDUP(AD5+'Délai intermédiaire'!AD8/10,0))</f>
        <v>0</v>
      </c>
      <c r="AE11" s="14">
        <f>IF(Distances!AE8="N.C.",0,ROUNDUP(AE5+'Délai intermédiaire'!AE8/10,0))</f>
        <v>0</v>
      </c>
      <c r="AF11" s="14">
        <f>IF(Distances!AF8="N.C.",0,ROUNDUP(AF5+'Délai intermédiaire'!AF8/10,0))</f>
        <v>0</v>
      </c>
      <c r="AG11" s="14">
        <f>IF(Distances!AG8="N.C.",0,ROUNDUP(AG5+'Délai intermédiaire'!AG8/10,0))</f>
        <v>0</v>
      </c>
      <c r="AH11" s="14">
        <f>IF(Distances!AH8="N.C.",0,ROUNDUP(AH5+'Délai intermédiaire'!AH8/10,0))</f>
        <v>0</v>
      </c>
      <c r="AI11" s="14">
        <f>IF(Distances!AI8="N.C.",0,ROUNDUP(AI5+'Délai intermédiaire'!AI8/10,0))</f>
        <v>0</v>
      </c>
      <c r="AJ11" s="14">
        <f>IF(Distances!AJ8="N.C.",0,ROUNDUP(AJ5+'Délai intermédiaire'!AJ8/10,0))</f>
        <v>0</v>
      </c>
      <c r="AK11" s="14">
        <f>IF(Distances!AK8="N.C.",0,ROUNDUP(AK5+'Délai intermédiaire'!AK8/10,0))</f>
        <v>0</v>
      </c>
      <c r="AL11" s="14">
        <f>IF(Distances!AL8="N.C.",0,ROUNDUP(AL5+'Délai intermédiaire'!AL8/10,0))</f>
        <v>0</v>
      </c>
      <c r="AM11" s="14">
        <f>IF(Distances!AM8="N.C.",0,ROUNDUP(AM5+'Délai intermédiaire'!AM8/10,0))</f>
        <v>0</v>
      </c>
      <c r="AN11" s="14">
        <f>IF(Distances!AN8="N.C.",0,ROUNDUP(AN5+'Délai intermédiaire'!AN8/10,0))</f>
        <v>0</v>
      </c>
      <c r="AO11" s="14">
        <f>IF(Distances!AO8="N.C.",0,ROUNDUP(AO5+'Délai intermédiaire'!AO8/10,0))</f>
        <v>0</v>
      </c>
      <c r="AP11" s="14">
        <f>IF(Distances!AP8="N.C.",0,ROUNDUP(AP5+'Délai intermédiaire'!AP8/10,0))</f>
        <v>0</v>
      </c>
      <c r="AQ11" s="14">
        <f>IF(Distances!AQ8="N.C.",0,ROUNDUP(AQ5+'Délai intermédiaire'!AQ8/10,0))</f>
        <v>0</v>
      </c>
      <c r="AR11" s="14">
        <f>IF(Distances!AR8="N.C.",0,ROUNDUP(AR5+'Délai intermédiaire'!AR8/10,0))</f>
        <v>0</v>
      </c>
      <c r="AS11" s="14">
        <f>IF(Distances!AS8="N.C.",0,ROUNDUP(AS5+'Délai intermédiaire'!AS8/10,0))</f>
        <v>0</v>
      </c>
      <c r="AT11" s="14">
        <f>IF(Distances!AT8="N.C.",0,ROUNDUP(AT5+'Délai intermédiaire'!AT8/10,0))</f>
        <v>0</v>
      </c>
      <c r="AU11" s="14">
        <f>IF(Distances!AU8="N.C.",0,ROUNDUP(AU5+'Délai intermédiaire'!AU8/10,0))</f>
        <v>0</v>
      </c>
      <c r="AV11" s="14">
        <f>IF(Distances!AV8="N.C.",0,ROUNDUP(AV5+'Délai intermédiaire'!AV8/10,0))</f>
        <v>0</v>
      </c>
      <c r="AW11" s="14">
        <f>IF(Distances!AW8="N.C.",0,ROUNDUP(AW5+'Délai intermédiaire'!AW8/10,0))</f>
        <v>0</v>
      </c>
      <c r="AX11" s="14">
        <f>IF(Distances!AX8="N.C.",0,ROUNDUP(AX5+'Délai intermédiaire'!AX8/10,0))</f>
        <v>0</v>
      </c>
      <c r="AY11" s="14">
        <f>IF(Distances!AY8="N.C.",0,ROUNDUP(AY5+'Délai intermédiaire'!AY8/10,0))</f>
        <v>0</v>
      </c>
      <c r="AZ11" s="14">
        <f>IF(Distances!AZ8="N.C.",0,ROUNDUP(AZ5+'Délai intermédiaire'!AZ8/10,0))</f>
        <v>0</v>
      </c>
      <c r="BA11" s="14">
        <f>IF(Distances!BA8="N.C.",0,ROUNDUP(BA5+'Délai intermédiaire'!BA8/10,0))</f>
        <v>0</v>
      </c>
      <c r="BB11" s="14">
        <f>IF(Distances!BB8="N.C.",0,ROUNDUP(BB5+'Délai intermédiaire'!BB8/10,0))</f>
        <v>0</v>
      </c>
      <c r="BC11" s="14">
        <f>IF(Distances!BC8="N.C.",0,ROUNDUP(BC5+'Délai intermédiaire'!BC8/10,0))</f>
        <v>0</v>
      </c>
      <c r="BD11" s="14">
        <f>IF(Distances!BD8="N.C.",0,ROUNDUP(BD5+'Délai intermédiaire'!BD8/10,0))</f>
        <v>0</v>
      </c>
      <c r="BE11" s="14">
        <f>IF(Distances!BE8="N.C.",0,ROUNDUP(BE5+'Délai intermédiaire'!BE8/10,0))</f>
        <v>0</v>
      </c>
      <c r="BF11" s="14">
        <f>IF(Distances!BF8="N.C.",0,ROUNDUP(BF5+'Délai intermédiaire'!BF8/10,0))</f>
        <v>0</v>
      </c>
      <c r="BG11" s="14">
        <f>IF(Distances!BG8="N.C.",0,ROUNDUP(BG5+'Délai intermédiaire'!BG8/10,0))</f>
        <v>0</v>
      </c>
      <c r="BH11" s="14">
        <f>IF(Distances!BH8="N.C.",0,ROUNDUP(BH5+'Délai intermédiaire'!BH8/10,0))</f>
        <v>0</v>
      </c>
      <c r="BI11" s="14">
        <f>IF(Distances!BI8="N.C.",0,ROUNDUP(BI5+'Délai intermédiaire'!BI8/10,0))</f>
        <v>0</v>
      </c>
      <c r="BJ11" s="15">
        <f>IF(Distances!BJ8="N.C.",0,ROUNDUP(BJ5+'Délai intermédiaire'!BJ8/10,0))</f>
        <v>0</v>
      </c>
    </row>
    <row r="12" spans="1:62" x14ac:dyDescent="0.3">
      <c r="A12" s="10" t="s">
        <v>6</v>
      </c>
      <c r="B12" s="11">
        <f>IF(Distances!B9="N.C.",0,ROUNDUP(B5+'Délai intermédiaire'!B9/10,0))</f>
        <v>5</v>
      </c>
      <c r="C12" s="13">
        <f>IF(Distances!C9="N.C.",0,ROUNDUP(C5+'Délai intermédiaire'!C9/10,0))</f>
        <v>4</v>
      </c>
      <c r="D12" s="13">
        <f>IF(Distances!D9="N.C.",0,ROUNDUP(D5+'Délai intermédiaire'!D9/10,0))</f>
        <v>3</v>
      </c>
      <c r="E12" s="13">
        <f>IF(Distances!E9="N.C.",0,ROUNDUP(E5+'Délai intermédiaire'!E9/10,0))</f>
        <v>3</v>
      </c>
      <c r="F12" s="13">
        <f>IF(Distances!F9="N.C.",0,ROUNDUP(F5+'Délai intermédiaire'!F9/10,0))</f>
        <v>4</v>
      </c>
      <c r="G12" s="12">
        <f>IF(Distances!G9="N.C.",0,ROUNDUP(G5+'Délai intermédiaire'!G9/10,0))</f>
        <v>1</v>
      </c>
      <c r="H12" s="13">
        <f>IF(Distances!H9="N.C.",0,ROUNDUP(H5+'Délai intermédiaire'!H9/10,0))</f>
        <v>4</v>
      </c>
      <c r="I12" s="13">
        <f>IF(Distances!I9="N.C.",0,ROUNDUP(I5+'Délai intermédiaire'!I9/10,0))</f>
        <v>3</v>
      </c>
      <c r="J12" s="13">
        <f>IF(Distances!J9="N.C.",0,ROUNDUP(J5+'Délai intermédiaire'!J9/10,0))</f>
        <v>5</v>
      </c>
      <c r="K12" s="13">
        <f>IF(Distances!K9="N.C.",0,ROUNDUP(K5+'Délai intermédiaire'!K9/10,0))</f>
        <v>6</v>
      </c>
      <c r="L12" s="13">
        <f>IF(Distances!L9="N.C.",0,ROUNDUP(L5+'Délai intermédiaire'!L9/10,0))</f>
        <v>4</v>
      </c>
      <c r="M12" s="13">
        <f>IF(Distances!M9="N.C.",0,ROUNDUP(M5+'Délai intermédiaire'!M9/10,0))</f>
        <v>5</v>
      </c>
      <c r="N12" s="13">
        <f>IF(Distances!N9="N.C.",0,ROUNDUP(N5+'Délai intermédiaire'!N9/10,0))</f>
        <v>6</v>
      </c>
      <c r="O12" s="14">
        <f>IF(Distances!O9="N.C.",0,ROUNDUP(O5+'Délai intermédiaire'!O9/10,0))</f>
        <v>0</v>
      </c>
      <c r="P12" s="14">
        <f>IF(Distances!P9="N.C.",0,ROUNDUP(P5+'Délai intermédiaire'!P9/10,0))</f>
        <v>0</v>
      </c>
      <c r="Q12" s="14">
        <f>IF(Distances!Q9="N.C.",0,ROUNDUP(Q5+'Délai intermédiaire'!Q9/10,0))</f>
        <v>0</v>
      </c>
      <c r="R12" s="14">
        <f>IF(Distances!R9="N.C.",0,ROUNDUP(R5+'Délai intermédiaire'!R9/10,0))</f>
        <v>0</v>
      </c>
      <c r="S12" s="14">
        <f>IF(Distances!S9="N.C.",0,ROUNDUP(S5+'Délai intermédiaire'!S9/10,0))</f>
        <v>0</v>
      </c>
      <c r="T12" s="14">
        <f>IF(Distances!T9="N.C.",0,ROUNDUP(T5+'Délai intermédiaire'!T9/10,0))</f>
        <v>0</v>
      </c>
      <c r="U12" s="14">
        <f>IF(Distances!U9="N.C.",0,ROUNDUP(U5+'Délai intermédiaire'!U9/10,0))</f>
        <v>0</v>
      </c>
      <c r="V12" s="14">
        <f>IF(Distances!V9="N.C.",0,ROUNDUP(V5+'Délai intermédiaire'!V9/10,0))</f>
        <v>0</v>
      </c>
      <c r="W12" s="14">
        <f>IF(Distances!W9="N.C.",0,ROUNDUP(W5+'Délai intermédiaire'!W9/10,0))</f>
        <v>0</v>
      </c>
      <c r="X12" s="14">
        <f>IF(Distances!X9="N.C.",0,ROUNDUP(X5+'Délai intermédiaire'!X9/10,0))</f>
        <v>0</v>
      </c>
      <c r="Y12" s="14">
        <f>IF(Distances!Y9="N.C.",0,ROUNDUP(Y5+'Délai intermédiaire'!Y9/10,0))</f>
        <v>0</v>
      </c>
      <c r="Z12" s="14">
        <f>IF(Distances!Z9="N.C.",0,ROUNDUP(Z5+'Délai intermédiaire'!Z9/10,0))</f>
        <v>0</v>
      </c>
      <c r="AA12" s="14">
        <f>IF(Distances!AA9="N.C.",0,ROUNDUP(AA5+'Délai intermédiaire'!AA9/10,0))</f>
        <v>0</v>
      </c>
      <c r="AB12" s="14">
        <f>IF(Distances!AB9="N.C.",0,ROUNDUP(AB5+'Délai intermédiaire'!AB9/10,0))</f>
        <v>0</v>
      </c>
      <c r="AC12" s="14">
        <f>IF(Distances!AC9="N.C.",0,ROUNDUP(AC5+'Délai intermédiaire'!AC9/10,0))</f>
        <v>0</v>
      </c>
      <c r="AD12" s="14">
        <f>IF(Distances!AD9="N.C.",0,ROUNDUP(AD5+'Délai intermédiaire'!AD9/10,0))</f>
        <v>0</v>
      </c>
      <c r="AE12" s="14">
        <f>IF(Distances!AE9="N.C.",0,ROUNDUP(AE5+'Délai intermédiaire'!AE9/10,0))</f>
        <v>0</v>
      </c>
      <c r="AF12" s="14">
        <f>IF(Distances!AF9="N.C.",0,ROUNDUP(AF5+'Délai intermédiaire'!AF9/10,0))</f>
        <v>0</v>
      </c>
      <c r="AG12" s="14">
        <f>IF(Distances!AG9="N.C.",0,ROUNDUP(AG5+'Délai intermédiaire'!AG9/10,0))</f>
        <v>0</v>
      </c>
      <c r="AH12" s="14">
        <f>IF(Distances!AH9="N.C.",0,ROUNDUP(AH5+'Délai intermédiaire'!AH9/10,0))</f>
        <v>0</v>
      </c>
      <c r="AI12" s="14">
        <f>IF(Distances!AI9="N.C.",0,ROUNDUP(AI5+'Délai intermédiaire'!AI9/10,0))</f>
        <v>0</v>
      </c>
      <c r="AJ12" s="14">
        <f>IF(Distances!AJ9="N.C.",0,ROUNDUP(AJ5+'Délai intermédiaire'!AJ9/10,0))</f>
        <v>0</v>
      </c>
      <c r="AK12" s="14">
        <f>IF(Distances!AK9="N.C.",0,ROUNDUP(AK5+'Délai intermédiaire'!AK9/10,0))</f>
        <v>0</v>
      </c>
      <c r="AL12" s="14">
        <f>IF(Distances!AL9="N.C.",0,ROUNDUP(AL5+'Délai intermédiaire'!AL9/10,0))</f>
        <v>0</v>
      </c>
      <c r="AM12" s="14">
        <f>IF(Distances!AM9="N.C.",0,ROUNDUP(AM5+'Délai intermédiaire'!AM9/10,0))</f>
        <v>0</v>
      </c>
      <c r="AN12" s="14">
        <f>IF(Distances!AN9="N.C.",0,ROUNDUP(AN5+'Délai intermédiaire'!AN9/10,0))</f>
        <v>0</v>
      </c>
      <c r="AO12" s="14">
        <f>IF(Distances!AO9="N.C.",0,ROUNDUP(AO5+'Délai intermédiaire'!AO9/10,0))</f>
        <v>0</v>
      </c>
      <c r="AP12" s="14">
        <f>IF(Distances!AP9="N.C.",0,ROUNDUP(AP5+'Délai intermédiaire'!AP9/10,0))</f>
        <v>0</v>
      </c>
      <c r="AQ12" s="14">
        <f>IF(Distances!AQ9="N.C.",0,ROUNDUP(AQ5+'Délai intermédiaire'!AQ9/10,0))</f>
        <v>0</v>
      </c>
      <c r="AR12" s="14">
        <f>IF(Distances!AR9="N.C.",0,ROUNDUP(AR5+'Délai intermédiaire'!AR9/10,0))</f>
        <v>0</v>
      </c>
      <c r="AS12" s="14">
        <f>IF(Distances!AS9="N.C.",0,ROUNDUP(AS5+'Délai intermédiaire'!AS9/10,0))</f>
        <v>0</v>
      </c>
      <c r="AT12" s="14">
        <f>IF(Distances!AT9="N.C.",0,ROUNDUP(AT5+'Délai intermédiaire'!AT9/10,0))</f>
        <v>0</v>
      </c>
      <c r="AU12" s="14">
        <f>IF(Distances!AU9="N.C.",0,ROUNDUP(AU5+'Délai intermédiaire'!AU9/10,0))</f>
        <v>0</v>
      </c>
      <c r="AV12" s="14">
        <f>IF(Distances!AV9="N.C.",0,ROUNDUP(AV5+'Délai intermédiaire'!AV9/10,0))</f>
        <v>0</v>
      </c>
      <c r="AW12" s="14">
        <f>IF(Distances!AW9="N.C.",0,ROUNDUP(AW5+'Délai intermédiaire'!AW9/10,0))</f>
        <v>0</v>
      </c>
      <c r="AX12" s="14">
        <f>IF(Distances!AX9="N.C.",0,ROUNDUP(AX5+'Délai intermédiaire'!AX9/10,0))</f>
        <v>0</v>
      </c>
      <c r="AY12" s="14">
        <f>IF(Distances!AY9="N.C.",0,ROUNDUP(AY5+'Délai intermédiaire'!AY9/10,0))</f>
        <v>0</v>
      </c>
      <c r="AZ12" s="14">
        <f>IF(Distances!AZ9="N.C.",0,ROUNDUP(AZ5+'Délai intermédiaire'!AZ9/10,0))</f>
        <v>0</v>
      </c>
      <c r="BA12" s="14">
        <f>IF(Distances!BA9="N.C.",0,ROUNDUP(BA5+'Délai intermédiaire'!BA9/10,0))</f>
        <v>0</v>
      </c>
      <c r="BB12" s="14">
        <f>IF(Distances!BB9="N.C.",0,ROUNDUP(BB5+'Délai intermédiaire'!BB9/10,0))</f>
        <v>0</v>
      </c>
      <c r="BC12" s="14">
        <f>IF(Distances!BC9="N.C.",0,ROUNDUP(BC5+'Délai intermédiaire'!BC9/10,0))</f>
        <v>0</v>
      </c>
      <c r="BD12" s="14">
        <f>IF(Distances!BD9="N.C.",0,ROUNDUP(BD5+'Délai intermédiaire'!BD9/10,0))</f>
        <v>0</v>
      </c>
      <c r="BE12" s="14">
        <f>IF(Distances!BE9="N.C.",0,ROUNDUP(BE5+'Délai intermédiaire'!BE9/10,0))</f>
        <v>0</v>
      </c>
      <c r="BF12" s="14">
        <f>IF(Distances!BF9="N.C.",0,ROUNDUP(BF5+'Délai intermédiaire'!BF9/10,0))</f>
        <v>0</v>
      </c>
      <c r="BG12" s="14">
        <f>IF(Distances!BG9="N.C.",0,ROUNDUP(BG5+'Délai intermédiaire'!BG9/10,0))</f>
        <v>0</v>
      </c>
      <c r="BH12" s="14">
        <f>IF(Distances!BH9="N.C.",0,ROUNDUP(BH5+'Délai intermédiaire'!BH9/10,0))</f>
        <v>0</v>
      </c>
      <c r="BI12" s="14">
        <f>IF(Distances!BI9="N.C.",0,ROUNDUP(BI5+'Délai intermédiaire'!BI9/10,0))</f>
        <v>0</v>
      </c>
      <c r="BJ12" s="15">
        <f>IF(Distances!BJ9="N.C.",0,ROUNDUP(BJ5+'Délai intermédiaire'!BJ9/10,0))</f>
        <v>0</v>
      </c>
    </row>
    <row r="13" spans="1:62" x14ac:dyDescent="0.3">
      <c r="A13" s="10" t="s">
        <v>63</v>
      </c>
      <c r="B13" s="11">
        <f>IF(Distances!B10="N.C.",0,ROUNDUP(B5+'Délai intermédiaire'!B10/10,0))</f>
        <v>7</v>
      </c>
      <c r="C13" s="13">
        <f>IF(Distances!C10="N.C.",0,ROUNDUP(C5+'Délai intermédiaire'!C10/10,0))</f>
        <v>6</v>
      </c>
      <c r="D13" s="13">
        <f>IF(Distances!D10="N.C.",0,ROUNDUP(D5+'Délai intermédiaire'!D10/10,0))</f>
        <v>4</v>
      </c>
      <c r="E13" s="13">
        <f>IF(Distances!E10="N.C.",0,ROUNDUP(E5+'Délai intermédiaire'!E10/10,0))</f>
        <v>5</v>
      </c>
      <c r="F13" s="13">
        <f>IF(Distances!F10="N.C.",0,ROUNDUP(F5+'Délai intermédiaire'!F10/10,0))</f>
        <v>6</v>
      </c>
      <c r="G13" s="13">
        <f>IF(Distances!G10="N.C.",0,ROUNDUP(G5+'Délai intermédiaire'!G10/10,0))</f>
        <v>4</v>
      </c>
      <c r="H13" s="12">
        <f>IF(Distances!H10="N.C.",0,ROUNDUP(H5+'Délai intermédiaire'!H10/10,0))</f>
        <v>1</v>
      </c>
      <c r="I13" s="13">
        <f>IF(Distances!I10="N.C.",0,ROUNDUP(I5+'Délai intermédiaire'!I10/10,0))</f>
        <v>3</v>
      </c>
      <c r="J13" s="13">
        <f>IF(Distances!J10="N.C.",0,ROUNDUP(J5+'Délai intermédiaire'!J10/10,0))</f>
        <v>7</v>
      </c>
      <c r="K13" s="13">
        <f>IF(Distances!K10="N.C.",0,ROUNDUP(K5+'Délai intermédiaire'!K10/10,0))</f>
        <v>7</v>
      </c>
      <c r="L13" s="13">
        <f>IF(Distances!L10="N.C.",0,ROUNDUP(L5+'Délai intermédiaire'!L10/10,0))</f>
        <v>4</v>
      </c>
      <c r="M13" s="13">
        <f>IF(Distances!M10="N.C.",0,ROUNDUP(M5+'Délai intermédiaire'!M10/10,0))</f>
        <v>3</v>
      </c>
      <c r="N13" s="13">
        <f>IF(Distances!N10="N.C.",0,ROUNDUP(N5+'Délai intermédiaire'!N10/10,0))</f>
        <v>7</v>
      </c>
      <c r="O13" s="14">
        <f>IF(Distances!O10="N.C.",0,ROUNDUP(O5+'Délai intermédiaire'!O10/10,0))</f>
        <v>0</v>
      </c>
      <c r="P13" s="14">
        <f>IF(Distances!P10="N.C.",0,ROUNDUP(P5+'Délai intermédiaire'!P10/10,0))</f>
        <v>0</v>
      </c>
      <c r="Q13" s="14">
        <f>IF(Distances!Q10="N.C.",0,ROUNDUP(Q5+'Délai intermédiaire'!Q10/10,0))</f>
        <v>0</v>
      </c>
      <c r="R13" s="14">
        <f>IF(Distances!R10="N.C.",0,ROUNDUP(R5+'Délai intermédiaire'!R10/10,0))</f>
        <v>0</v>
      </c>
      <c r="S13" s="14">
        <f>IF(Distances!S10="N.C.",0,ROUNDUP(S5+'Délai intermédiaire'!S10/10,0))</f>
        <v>0</v>
      </c>
      <c r="T13" s="14">
        <f>IF(Distances!T10="N.C.",0,ROUNDUP(T5+'Délai intermédiaire'!T10/10,0))</f>
        <v>0</v>
      </c>
      <c r="U13" s="14">
        <f>IF(Distances!U10="N.C.",0,ROUNDUP(U5+'Délai intermédiaire'!U10/10,0))</f>
        <v>0</v>
      </c>
      <c r="V13" s="14">
        <f>IF(Distances!V10="N.C.",0,ROUNDUP(V5+'Délai intermédiaire'!V10/10,0))</f>
        <v>0</v>
      </c>
      <c r="W13" s="14">
        <f>IF(Distances!W10="N.C.",0,ROUNDUP(W5+'Délai intermédiaire'!W10/10,0))</f>
        <v>0</v>
      </c>
      <c r="X13" s="14">
        <f>IF(Distances!X10="N.C.",0,ROUNDUP(X5+'Délai intermédiaire'!X10/10,0))</f>
        <v>0</v>
      </c>
      <c r="Y13" s="14">
        <f>IF(Distances!Y10="N.C.",0,ROUNDUP(Y5+'Délai intermédiaire'!Y10/10,0))</f>
        <v>0</v>
      </c>
      <c r="Z13" s="14">
        <f>IF(Distances!Z10="N.C.",0,ROUNDUP(Z5+'Délai intermédiaire'!Z10/10,0))</f>
        <v>0</v>
      </c>
      <c r="AA13" s="14">
        <f>IF(Distances!AA10="N.C.",0,ROUNDUP(AA5+'Délai intermédiaire'!AA10/10,0))</f>
        <v>0</v>
      </c>
      <c r="AB13" s="14">
        <f>IF(Distances!AB10="N.C.",0,ROUNDUP(AB5+'Délai intermédiaire'!AB10/10,0))</f>
        <v>0</v>
      </c>
      <c r="AC13" s="14">
        <f>IF(Distances!AC10="N.C.",0,ROUNDUP(AC5+'Délai intermédiaire'!AC10/10,0))</f>
        <v>0</v>
      </c>
      <c r="AD13" s="14">
        <f>IF(Distances!AD10="N.C.",0,ROUNDUP(AD5+'Délai intermédiaire'!AD10/10,0))</f>
        <v>0</v>
      </c>
      <c r="AE13" s="14">
        <f>IF(Distances!AE10="N.C.",0,ROUNDUP(AE5+'Délai intermédiaire'!AE10/10,0))</f>
        <v>0</v>
      </c>
      <c r="AF13" s="14">
        <f>IF(Distances!AF10="N.C.",0,ROUNDUP(AF5+'Délai intermédiaire'!AF10/10,0))</f>
        <v>0</v>
      </c>
      <c r="AG13" s="14">
        <f>IF(Distances!AG10="N.C.",0,ROUNDUP(AG5+'Délai intermédiaire'!AG10/10,0))</f>
        <v>0</v>
      </c>
      <c r="AH13" s="14">
        <f>IF(Distances!AH10="N.C.",0,ROUNDUP(AH5+'Délai intermédiaire'!AH10/10,0))</f>
        <v>0</v>
      </c>
      <c r="AI13" s="14">
        <f>IF(Distances!AI10="N.C.",0,ROUNDUP(AI5+'Délai intermédiaire'!AI10/10,0))</f>
        <v>0</v>
      </c>
      <c r="AJ13" s="14">
        <f>IF(Distances!AJ10="N.C.",0,ROUNDUP(AJ5+'Délai intermédiaire'!AJ10/10,0))</f>
        <v>0</v>
      </c>
      <c r="AK13" s="14">
        <f>IF(Distances!AK10="N.C.",0,ROUNDUP(AK5+'Délai intermédiaire'!AK10/10,0))</f>
        <v>0</v>
      </c>
      <c r="AL13" s="14">
        <f>IF(Distances!AL10="N.C.",0,ROUNDUP(AL5+'Délai intermédiaire'!AL10/10,0))</f>
        <v>0</v>
      </c>
      <c r="AM13" s="14">
        <f>IF(Distances!AM10="N.C.",0,ROUNDUP(AM5+'Délai intermédiaire'!AM10/10,0))</f>
        <v>0</v>
      </c>
      <c r="AN13" s="14">
        <f>IF(Distances!AN10="N.C.",0,ROUNDUP(AN5+'Délai intermédiaire'!AN10/10,0))</f>
        <v>0</v>
      </c>
      <c r="AO13" s="14">
        <f>IF(Distances!AO10="N.C.",0,ROUNDUP(AO5+'Délai intermédiaire'!AO10/10,0))</f>
        <v>0</v>
      </c>
      <c r="AP13" s="14">
        <f>IF(Distances!AP10="N.C.",0,ROUNDUP(AP5+'Délai intermédiaire'!AP10/10,0))</f>
        <v>0</v>
      </c>
      <c r="AQ13" s="14">
        <f>IF(Distances!AQ10="N.C.",0,ROUNDUP(AQ5+'Délai intermédiaire'!AQ10/10,0))</f>
        <v>0</v>
      </c>
      <c r="AR13" s="14">
        <f>IF(Distances!AR10="N.C.",0,ROUNDUP(AR5+'Délai intermédiaire'!AR10/10,0))</f>
        <v>0</v>
      </c>
      <c r="AS13" s="14">
        <f>IF(Distances!AS10="N.C.",0,ROUNDUP(AS5+'Délai intermédiaire'!AS10/10,0))</f>
        <v>0</v>
      </c>
      <c r="AT13" s="14">
        <f>IF(Distances!AT10="N.C.",0,ROUNDUP(AT5+'Délai intermédiaire'!AT10/10,0))</f>
        <v>0</v>
      </c>
      <c r="AU13" s="14">
        <f>IF(Distances!AU10="N.C.",0,ROUNDUP(AU5+'Délai intermédiaire'!AU10/10,0))</f>
        <v>0</v>
      </c>
      <c r="AV13" s="14">
        <f>IF(Distances!AV10="N.C.",0,ROUNDUP(AV5+'Délai intermédiaire'!AV10/10,0))</f>
        <v>0</v>
      </c>
      <c r="AW13" s="14">
        <f>IF(Distances!AW10="N.C.",0,ROUNDUP(AW5+'Délai intermédiaire'!AW10/10,0))</f>
        <v>0</v>
      </c>
      <c r="AX13" s="14">
        <f>IF(Distances!AX10="N.C.",0,ROUNDUP(AX5+'Délai intermédiaire'!AX10/10,0))</f>
        <v>0</v>
      </c>
      <c r="AY13" s="14">
        <f>IF(Distances!AY10="N.C.",0,ROUNDUP(AY5+'Délai intermédiaire'!AY10/10,0))</f>
        <v>0</v>
      </c>
      <c r="AZ13" s="14">
        <f>IF(Distances!AZ10="N.C.",0,ROUNDUP(AZ5+'Délai intermédiaire'!AZ10/10,0))</f>
        <v>0</v>
      </c>
      <c r="BA13" s="14">
        <f>IF(Distances!BA10="N.C.",0,ROUNDUP(BA5+'Délai intermédiaire'!BA10/10,0))</f>
        <v>0</v>
      </c>
      <c r="BB13" s="14">
        <f>IF(Distances!BB10="N.C.",0,ROUNDUP(BB5+'Délai intermédiaire'!BB10/10,0))</f>
        <v>0</v>
      </c>
      <c r="BC13" s="14">
        <f>IF(Distances!BC10="N.C.",0,ROUNDUP(BC5+'Délai intermédiaire'!BC10/10,0))</f>
        <v>0</v>
      </c>
      <c r="BD13" s="14">
        <f>IF(Distances!BD10="N.C.",0,ROUNDUP(BD5+'Délai intermédiaire'!BD10/10,0))</f>
        <v>0</v>
      </c>
      <c r="BE13" s="14">
        <f>IF(Distances!BE10="N.C.",0,ROUNDUP(BE5+'Délai intermédiaire'!BE10/10,0))</f>
        <v>0</v>
      </c>
      <c r="BF13" s="14">
        <f>IF(Distances!BF10="N.C.",0,ROUNDUP(BF5+'Délai intermédiaire'!BF10/10,0))</f>
        <v>0</v>
      </c>
      <c r="BG13" s="14">
        <f>IF(Distances!BG10="N.C.",0,ROUNDUP(BG5+'Délai intermédiaire'!BG10/10,0))</f>
        <v>0</v>
      </c>
      <c r="BH13" s="14">
        <f>IF(Distances!BH10="N.C.",0,ROUNDUP(BH5+'Délai intermédiaire'!BH10/10,0))</f>
        <v>0</v>
      </c>
      <c r="BI13" s="14">
        <f>IF(Distances!BI10="N.C.",0,ROUNDUP(BI5+'Délai intermédiaire'!BI10/10,0))</f>
        <v>0</v>
      </c>
      <c r="BJ13" s="15">
        <f>IF(Distances!BJ10="N.C.",0,ROUNDUP(BJ5+'Délai intermédiaire'!BJ10/10,0))</f>
        <v>0</v>
      </c>
    </row>
    <row r="14" spans="1:62" x14ac:dyDescent="0.3">
      <c r="A14" s="10" t="s">
        <v>8</v>
      </c>
      <c r="B14" s="11">
        <f>IF(Distances!B11="N.C.",0,ROUNDUP(B5+'Délai intermédiaire'!B11/10,0))</f>
        <v>6</v>
      </c>
      <c r="C14" s="13">
        <f>IF(Distances!C11="N.C.",0,ROUNDUP(C5+'Délai intermédiaire'!C11/10,0))</f>
        <v>4</v>
      </c>
      <c r="D14" s="13">
        <f>IF(Distances!D11="N.C.",0,ROUNDUP(D5+'Délai intermédiaire'!D11/10,0))</f>
        <v>4</v>
      </c>
      <c r="E14" s="13">
        <f>IF(Distances!E11="N.C.",0,ROUNDUP(E5+'Délai intermédiaire'!E11/10,0))</f>
        <v>5</v>
      </c>
      <c r="F14" s="13">
        <f>IF(Distances!F11="N.C.",0,ROUNDUP(F5+'Délai intermédiaire'!F11/10,0))</f>
        <v>6</v>
      </c>
      <c r="G14" s="13">
        <f>IF(Distances!G11="N.C.",0,ROUNDUP(G5+'Délai intermédiaire'!G11/10,0))</f>
        <v>3</v>
      </c>
      <c r="H14" s="13">
        <f>IF(Distances!H11="N.C.",0,ROUNDUP(H5+'Délai intermédiaire'!H11/10,0))</f>
        <v>3</v>
      </c>
      <c r="I14" s="12">
        <f>IF(Distances!I11="N.C.",0,ROUNDUP(I5+'Délai intermédiaire'!I11/10,0))</f>
        <v>1</v>
      </c>
      <c r="J14" s="13">
        <f>IF(Distances!J11="N.C.",0,ROUNDUP(J5+'Délai intermédiaire'!J11/10,0))</f>
        <v>6</v>
      </c>
      <c r="K14" s="13">
        <f>IF(Distances!K11="N.C.",0,ROUNDUP(K5+'Délai intermédiaire'!K11/10,0))</f>
        <v>7</v>
      </c>
      <c r="L14" s="13">
        <f>IF(Distances!L11="N.C.",0,ROUNDUP(L5+'Délai intermédiaire'!L11/10,0))</f>
        <v>5</v>
      </c>
      <c r="M14" s="13">
        <f>IF(Distances!M11="N.C.",0,ROUNDUP(M5+'Délai intermédiaire'!M11/10,0))</f>
        <v>5</v>
      </c>
      <c r="N14" s="13">
        <f>IF(Distances!N11="N.C.",0,ROUNDUP(N5+'Délai intermédiaire'!N11/10,0))</f>
        <v>6</v>
      </c>
      <c r="O14" s="14">
        <f>IF(Distances!O11="N.C.",0,ROUNDUP(O5+'Délai intermédiaire'!O11/10,0))</f>
        <v>0</v>
      </c>
      <c r="P14" s="14">
        <f>IF(Distances!P11="N.C.",0,ROUNDUP(P5+'Délai intermédiaire'!P11/10,0))</f>
        <v>0</v>
      </c>
      <c r="Q14" s="14">
        <f>IF(Distances!Q11="N.C.",0,ROUNDUP(Q5+'Délai intermédiaire'!Q11/10,0))</f>
        <v>0</v>
      </c>
      <c r="R14" s="14">
        <f>IF(Distances!R11="N.C.",0,ROUNDUP(R5+'Délai intermédiaire'!R11/10,0))</f>
        <v>0</v>
      </c>
      <c r="S14" s="14">
        <f>IF(Distances!S11="N.C.",0,ROUNDUP(S5+'Délai intermédiaire'!S11/10,0))</f>
        <v>0</v>
      </c>
      <c r="T14" s="14">
        <f>IF(Distances!T11="N.C.",0,ROUNDUP(T5+'Délai intermédiaire'!T11/10,0))</f>
        <v>0</v>
      </c>
      <c r="U14" s="14">
        <f>IF(Distances!U11="N.C.",0,ROUNDUP(U5+'Délai intermédiaire'!U11/10,0))</f>
        <v>0</v>
      </c>
      <c r="V14" s="14">
        <f>IF(Distances!V11="N.C.",0,ROUNDUP(V5+'Délai intermédiaire'!V11/10,0))</f>
        <v>0</v>
      </c>
      <c r="W14" s="14">
        <f>IF(Distances!W11="N.C.",0,ROUNDUP(W5+'Délai intermédiaire'!W11/10,0))</f>
        <v>0</v>
      </c>
      <c r="X14" s="14">
        <f>IF(Distances!X11="N.C.",0,ROUNDUP(X5+'Délai intermédiaire'!X11/10,0))</f>
        <v>0</v>
      </c>
      <c r="Y14" s="14">
        <f>IF(Distances!Y11="N.C.",0,ROUNDUP(Y5+'Délai intermédiaire'!Y11/10,0))</f>
        <v>0</v>
      </c>
      <c r="Z14" s="14">
        <f>IF(Distances!Z11="N.C.",0,ROUNDUP(Z5+'Délai intermédiaire'!Z11/10,0))</f>
        <v>0</v>
      </c>
      <c r="AA14" s="14">
        <f>IF(Distances!AA11="N.C.",0,ROUNDUP(AA5+'Délai intermédiaire'!AA11/10,0))</f>
        <v>0</v>
      </c>
      <c r="AB14" s="14">
        <f>IF(Distances!AB11="N.C.",0,ROUNDUP(AB5+'Délai intermédiaire'!AB11/10,0))</f>
        <v>0</v>
      </c>
      <c r="AC14" s="14">
        <f>IF(Distances!AC11="N.C.",0,ROUNDUP(AC5+'Délai intermédiaire'!AC11/10,0))</f>
        <v>0</v>
      </c>
      <c r="AD14" s="14">
        <f>IF(Distances!AD11="N.C.",0,ROUNDUP(AD5+'Délai intermédiaire'!AD11/10,0))</f>
        <v>0</v>
      </c>
      <c r="AE14" s="14">
        <f>IF(Distances!AE11="N.C.",0,ROUNDUP(AE5+'Délai intermédiaire'!AE11/10,0))</f>
        <v>0</v>
      </c>
      <c r="AF14" s="14">
        <f>IF(Distances!AF11="N.C.",0,ROUNDUP(AF5+'Délai intermédiaire'!AF11/10,0))</f>
        <v>0</v>
      </c>
      <c r="AG14" s="14">
        <f>IF(Distances!AG11="N.C.",0,ROUNDUP(AG5+'Délai intermédiaire'!AG11/10,0))</f>
        <v>0</v>
      </c>
      <c r="AH14" s="14">
        <f>IF(Distances!AH11="N.C.",0,ROUNDUP(AH5+'Délai intermédiaire'!AH11/10,0))</f>
        <v>0</v>
      </c>
      <c r="AI14" s="14">
        <f>IF(Distances!AI11="N.C.",0,ROUNDUP(AI5+'Délai intermédiaire'!AI11/10,0))</f>
        <v>0</v>
      </c>
      <c r="AJ14" s="14">
        <f>IF(Distances!AJ11="N.C.",0,ROUNDUP(AJ5+'Délai intermédiaire'!AJ11/10,0))</f>
        <v>0</v>
      </c>
      <c r="AK14" s="14">
        <f>IF(Distances!AK11="N.C.",0,ROUNDUP(AK5+'Délai intermédiaire'!AK11/10,0))</f>
        <v>0</v>
      </c>
      <c r="AL14" s="14">
        <f>IF(Distances!AL11="N.C.",0,ROUNDUP(AL5+'Délai intermédiaire'!AL11/10,0))</f>
        <v>0</v>
      </c>
      <c r="AM14" s="14">
        <f>IF(Distances!AM11="N.C.",0,ROUNDUP(AM5+'Délai intermédiaire'!AM11/10,0))</f>
        <v>0</v>
      </c>
      <c r="AN14" s="14">
        <f>IF(Distances!AN11="N.C.",0,ROUNDUP(AN5+'Délai intermédiaire'!AN11/10,0))</f>
        <v>0</v>
      </c>
      <c r="AO14" s="14">
        <f>IF(Distances!AO11="N.C.",0,ROUNDUP(AO5+'Délai intermédiaire'!AO11/10,0))</f>
        <v>0</v>
      </c>
      <c r="AP14" s="14">
        <f>IF(Distances!AP11="N.C.",0,ROUNDUP(AP5+'Délai intermédiaire'!AP11/10,0))</f>
        <v>0</v>
      </c>
      <c r="AQ14" s="14">
        <f>IF(Distances!AQ11="N.C.",0,ROUNDUP(AQ5+'Délai intermédiaire'!AQ11/10,0))</f>
        <v>0</v>
      </c>
      <c r="AR14" s="14">
        <f>IF(Distances!AR11="N.C.",0,ROUNDUP(AR5+'Délai intermédiaire'!AR11/10,0))</f>
        <v>0</v>
      </c>
      <c r="AS14" s="14">
        <f>IF(Distances!AS11="N.C.",0,ROUNDUP(AS5+'Délai intermédiaire'!AS11/10,0))</f>
        <v>0</v>
      </c>
      <c r="AT14" s="14">
        <f>IF(Distances!AT11="N.C.",0,ROUNDUP(AT5+'Délai intermédiaire'!AT11/10,0))</f>
        <v>0</v>
      </c>
      <c r="AU14" s="14">
        <f>IF(Distances!AU11="N.C.",0,ROUNDUP(AU5+'Délai intermédiaire'!AU11/10,0))</f>
        <v>0</v>
      </c>
      <c r="AV14" s="14">
        <f>IF(Distances!AV11="N.C.",0,ROUNDUP(AV5+'Délai intermédiaire'!AV11/10,0))</f>
        <v>0</v>
      </c>
      <c r="AW14" s="14">
        <f>IF(Distances!AW11="N.C.",0,ROUNDUP(AW5+'Délai intermédiaire'!AW11/10,0))</f>
        <v>0</v>
      </c>
      <c r="AX14" s="14">
        <f>IF(Distances!AX11="N.C.",0,ROUNDUP(AX5+'Délai intermédiaire'!AX11/10,0))</f>
        <v>0</v>
      </c>
      <c r="AY14" s="14">
        <f>IF(Distances!AY11="N.C.",0,ROUNDUP(AY5+'Délai intermédiaire'!AY11/10,0))</f>
        <v>0</v>
      </c>
      <c r="AZ14" s="14">
        <f>IF(Distances!AZ11="N.C.",0,ROUNDUP(AZ5+'Délai intermédiaire'!AZ11/10,0))</f>
        <v>0</v>
      </c>
      <c r="BA14" s="14">
        <f>IF(Distances!BA11="N.C.",0,ROUNDUP(BA5+'Délai intermédiaire'!BA11/10,0))</f>
        <v>0</v>
      </c>
      <c r="BB14" s="14">
        <f>IF(Distances!BB11="N.C.",0,ROUNDUP(BB5+'Délai intermédiaire'!BB11/10,0))</f>
        <v>0</v>
      </c>
      <c r="BC14" s="14">
        <f>IF(Distances!BC11="N.C.",0,ROUNDUP(BC5+'Délai intermédiaire'!BC11/10,0))</f>
        <v>0</v>
      </c>
      <c r="BD14" s="14">
        <f>IF(Distances!BD11="N.C.",0,ROUNDUP(BD5+'Délai intermédiaire'!BD11/10,0))</f>
        <v>0</v>
      </c>
      <c r="BE14" s="14">
        <f>IF(Distances!BE11="N.C.",0,ROUNDUP(BE5+'Délai intermédiaire'!BE11/10,0))</f>
        <v>0</v>
      </c>
      <c r="BF14" s="14">
        <f>IF(Distances!BF11="N.C.",0,ROUNDUP(BF5+'Délai intermédiaire'!BF11/10,0))</f>
        <v>0</v>
      </c>
      <c r="BG14" s="14">
        <f>IF(Distances!BG11="N.C.",0,ROUNDUP(BG5+'Délai intermédiaire'!BG11/10,0))</f>
        <v>0</v>
      </c>
      <c r="BH14" s="14">
        <f>IF(Distances!BH11="N.C.",0,ROUNDUP(BH5+'Délai intermédiaire'!BH11/10,0))</f>
        <v>0</v>
      </c>
      <c r="BI14" s="14">
        <f>IF(Distances!BI11="N.C.",0,ROUNDUP(BI5+'Délai intermédiaire'!BI11/10,0))</f>
        <v>0</v>
      </c>
      <c r="BJ14" s="15">
        <f>IF(Distances!BJ11="N.C.",0,ROUNDUP(BJ5+'Délai intermédiaire'!BJ11/10,0))</f>
        <v>0</v>
      </c>
    </row>
    <row r="15" spans="1:62" x14ac:dyDescent="0.3">
      <c r="A15" s="10" t="s">
        <v>64</v>
      </c>
      <c r="B15" s="11">
        <f>IF(Distances!B12="N.C.",0,ROUNDUP(B5+'Délai intermédiaire'!B12/10,0))</f>
        <v>4</v>
      </c>
      <c r="C15" s="13">
        <f>IF(Distances!C12="N.C.",0,ROUNDUP(C5+'Délai intermédiaire'!C12/10,0))</f>
        <v>4</v>
      </c>
      <c r="D15" s="13">
        <f>IF(Distances!D12="N.C.",0,ROUNDUP(D5+'Délai intermédiaire'!D12/10,0))</f>
        <v>3</v>
      </c>
      <c r="E15" s="13">
        <f>IF(Distances!E12="N.C.",0,ROUNDUP(E5+'Délai intermédiaire'!E12/10,0))</f>
        <v>2</v>
      </c>
      <c r="F15" s="13">
        <f>IF(Distances!F12="N.C.",0,ROUNDUP(F5+'Délai intermédiaire'!F12/10,0))</f>
        <v>2</v>
      </c>
      <c r="G15" s="13">
        <f>IF(Distances!G12="N.C.",0,ROUNDUP(G5+'Délai intermédiaire'!G12/10,0))</f>
        <v>4</v>
      </c>
      <c r="H15" s="13">
        <f>IF(Distances!H12="N.C.",0,ROUNDUP(H5+'Délai intermédiaire'!H12/10,0))</f>
        <v>6</v>
      </c>
      <c r="I15" s="13">
        <f>IF(Distances!I12="N.C.",0,ROUNDUP(I5+'Délai intermédiaire'!I12/10,0))</f>
        <v>5</v>
      </c>
      <c r="J15" s="12">
        <f>IF(Distances!J12="N.C.",0,ROUNDUP(J5+'Délai intermédiaire'!J12/10,0))</f>
        <v>2</v>
      </c>
      <c r="K15" s="13">
        <f>IF(Distances!K12="N.C.",0,ROUNDUP(K5+'Délai intermédiaire'!K12/10,0))</f>
        <v>3</v>
      </c>
      <c r="L15" s="13">
        <f>IF(Distances!L12="N.C.",0,ROUNDUP(L5+'Délai intermédiaire'!L12/10,0))</f>
        <v>6</v>
      </c>
      <c r="M15" s="13">
        <f>IF(Distances!M12="N.C.",0,ROUNDUP(M5+'Délai intermédiaire'!M12/10,0))</f>
        <v>7</v>
      </c>
      <c r="N15" s="13">
        <f>IF(Distances!N12="N.C.",0,ROUNDUP(N5+'Délai intermédiaire'!N12/10,0))</f>
        <v>7</v>
      </c>
      <c r="O15" s="14">
        <f>IF(Distances!O12="N.C.",0,ROUNDUP(O5+'Délai intermédiaire'!O12/10,0))</f>
        <v>0</v>
      </c>
      <c r="P15" s="14">
        <f>IF(Distances!P12="N.C.",0,ROUNDUP(P5+'Délai intermédiaire'!P12/10,0))</f>
        <v>0</v>
      </c>
      <c r="Q15" s="14">
        <f>IF(Distances!Q12="N.C.",0,ROUNDUP(Q5+'Délai intermédiaire'!Q12/10,0))</f>
        <v>0</v>
      </c>
      <c r="R15" s="14">
        <f>IF(Distances!R12="N.C.",0,ROUNDUP(R5+'Délai intermédiaire'!R12/10,0))</f>
        <v>0</v>
      </c>
      <c r="S15" s="14">
        <f>IF(Distances!S12="N.C.",0,ROUNDUP(S5+'Délai intermédiaire'!S12/10,0))</f>
        <v>0</v>
      </c>
      <c r="T15" s="14">
        <f>IF(Distances!T12="N.C.",0,ROUNDUP(T5+'Délai intermédiaire'!T12/10,0))</f>
        <v>0</v>
      </c>
      <c r="U15" s="14">
        <f>IF(Distances!U12="N.C.",0,ROUNDUP(U5+'Délai intermédiaire'!U12/10,0))</f>
        <v>0</v>
      </c>
      <c r="V15" s="14">
        <f>IF(Distances!V12="N.C.",0,ROUNDUP(V5+'Délai intermédiaire'!V12/10,0))</f>
        <v>0</v>
      </c>
      <c r="W15" s="14">
        <f>IF(Distances!W12="N.C.",0,ROUNDUP(W5+'Délai intermédiaire'!W12/10,0))</f>
        <v>0</v>
      </c>
      <c r="X15" s="14">
        <f>IF(Distances!X12="N.C.",0,ROUNDUP(X5+'Délai intermédiaire'!X12/10,0))</f>
        <v>0</v>
      </c>
      <c r="Y15" s="14">
        <f>IF(Distances!Y12="N.C.",0,ROUNDUP(Y5+'Délai intermédiaire'!Y12/10,0))</f>
        <v>0</v>
      </c>
      <c r="Z15" s="14">
        <f>IF(Distances!Z12="N.C.",0,ROUNDUP(Z5+'Délai intermédiaire'!Z12/10,0))</f>
        <v>0</v>
      </c>
      <c r="AA15" s="14">
        <f>IF(Distances!AA12="N.C.",0,ROUNDUP(AA5+'Délai intermédiaire'!AA12/10,0))</f>
        <v>0</v>
      </c>
      <c r="AB15" s="14">
        <f>IF(Distances!AB12="N.C.",0,ROUNDUP(AB5+'Délai intermédiaire'!AB12/10,0))</f>
        <v>0</v>
      </c>
      <c r="AC15" s="14">
        <f>IF(Distances!AC12="N.C.",0,ROUNDUP(AC5+'Délai intermédiaire'!AC12/10,0))</f>
        <v>0</v>
      </c>
      <c r="AD15" s="14">
        <f>IF(Distances!AD12="N.C.",0,ROUNDUP(AD5+'Délai intermédiaire'!AD12/10,0))</f>
        <v>0</v>
      </c>
      <c r="AE15" s="14">
        <f>IF(Distances!AE12="N.C.",0,ROUNDUP(AE5+'Délai intermédiaire'!AE12/10,0))</f>
        <v>0</v>
      </c>
      <c r="AF15" s="14">
        <f>IF(Distances!AF12="N.C.",0,ROUNDUP(AF5+'Délai intermédiaire'!AF12/10,0))</f>
        <v>0</v>
      </c>
      <c r="AG15" s="14">
        <f>IF(Distances!AG12="N.C.",0,ROUNDUP(AG5+'Délai intermédiaire'!AG12/10,0))</f>
        <v>0</v>
      </c>
      <c r="AH15" s="14">
        <f>IF(Distances!AH12="N.C.",0,ROUNDUP(AH5+'Délai intermédiaire'!AH12/10,0))</f>
        <v>0</v>
      </c>
      <c r="AI15" s="14">
        <f>IF(Distances!AI12="N.C.",0,ROUNDUP(AI5+'Délai intermédiaire'!AI12/10,0))</f>
        <v>0</v>
      </c>
      <c r="AJ15" s="14">
        <f>IF(Distances!AJ12="N.C.",0,ROUNDUP(AJ5+'Délai intermédiaire'!AJ12/10,0))</f>
        <v>0</v>
      </c>
      <c r="AK15" s="14">
        <f>IF(Distances!AK12="N.C.",0,ROUNDUP(AK5+'Délai intermédiaire'!AK12/10,0))</f>
        <v>0</v>
      </c>
      <c r="AL15" s="14">
        <f>IF(Distances!AL12="N.C.",0,ROUNDUP(AL5+'Délai intermédiaire'!AL12/10,0))</f>
        <v>0</v>
      </c>
      <c r="AM15" s="14">
        <f>IF(Distances!AM12="N.C.",0,ROUNDUP(AM5+'Délai intermédiaire'!AM12/10,0))</f>
        <v>0</v>
      </c>
      <c r="AN15" s="14">
        <f>IF(Distances!AN12="N.C.",0,ROUNDUP(AN5+'Délai intermédiaire'!AN12/10,0))</f>
        <v>0</v>
      </c>
      <c r="AO15" s="14">
        <f>IF(Distances!AO12="N.C.",0,ROUNDUP(AO5+'Délai intermédiaire'!AO12/10,0))</f>
        <v>0</v>
      </c>
      <c r="AP15" s="14">
        <f>IF(Distances!AP12="N.C.",0,ROUNDUP(AP5+'Délai intermédiaire'!AP12/10,0))</f>
        <v>0</v>
      </c>
      <c r="AQ15" s="14">
        <f>IF(Distances!AQ12="N.C.",0,ROUNDUP(AQ5+'Délai intermédiaire'!AQ12/10,0))</f>
        <v>0</v>
      </c>
      <c r="AR15" s="14">
        <f>IF(Distances!AR12="N.C.",0,ROUNDUP(AR5+'Délai intermédiaire'!AR12/10,0))</f>
        <v>0</v>
      </c>
      <c r="AS15" s="14">
        <f>IF(Distances!AS12="N.C.",0,ROUNDUP(AS5+'Délai intermédiaire'!AS12/10,0))</f>
        <v>0</v>
      </c>
      <c r="AT15" s="14">
        <f>IF(Distances!AT12="N.C.",0,ROUNDUP(AT5+'Délai intermédiaire'!AT12/10,0))</f>
        <v>0</v>
      </c>
      <c r="AU15" s="14">
        <f>IF(Distances!AU12="N.C.",0,ROUNDUP(AU5+'Délai intermédiaire'!AU12/10,0))</f>
        <v>0</v>
      </c>
      <c r="AV15" s="14">
        <f>IF(Distances!AV12="N.C.",0,ROUNDUP(AV5+'Délai intermédiaire'!AV12/10,0))</f>
        <v>0</v>
      </c>
      <c r="AW15" s="14">
        <f>IF(Distances!AW12="N.C.",0,ROUNDUP(AW5+'Délai intermédiaire'!AW12/10,0))</f>
        <v>0</v>
      </c>
      <c r="AX15" s="14">
        <f>IF(Distances!AX12="N.C.",0,ROUNDUP(AX5+'Délai intermédiaire'!AX12/10,0))</f>
        <v>0</v>
      </c>
      <c r="AY15" s="14">
        <f>IF(Distances!AY12="N.C.",0,ROUNDUP(AY5+'Délai intermédiaire'!AY12/10,0))</f>
        <v>0</v>
      </c>
      <c r="AZ15" s="14">
        <f>IF(Distances!AZ12="N.C.",0,ROUNDUP(AZ5+'Délai intermédiaire'!AZ12/10,0))</f>
        <v>0</v>
      </c>
      <c r="BA15" s="14">
        <f>IF(Distances!BA12="N.C.",0,ROUNDUP(BA5+'Délai intermédiaire'!BA12/10,0))</f>
        <v>0</v>
      </c>
      <c r="BB15" s="14">
        <f>IF(Distances!BB12="N.C.",0,ROUNDUP(BB5+'Délai intermédiaire'!BB12/10,0))</f>
        <v>0</v>
      </c>
      <c r="BC15" s="14">
        <f>IF(Distances!BC12="N.C.",0,ROUNDUP(BC5+'Délai intermédiaire'!BC12/10,0))</f>
        <v>0</v>
      </c>
      <c r="BD15" s="14">
        <f>IF(Distances!BD12="N.C.",0,ROUNDUP(BD5+'Délai intermédiaire'!BD12/10,0))</f>
        <v>0</v>
      </c>
      <c r="BE15" s="14">
        <f>IF(Distances!BE12="N.C.",0,ROUNDUP(BE5+'Délai intermédiaire'!BE12/10,0))</f>
        <v>0</v>
      </c>
      <c r="BF15" s="14">
        <f>IF(Distances!BF12="N.C.",0,ROUNDUP(BF5+'Délai intermédiaire'!BF12/10,0))</f>
        <v>0</v>
      </c>
      <c r="BG15" s="14">
        <f>IF(Distances!BG12="N.C.",0,ROUNDUP(BG5+'Délai intermédiaire'!BG12/10,0))</f>
        <v>0</v>
      </c>
      <c r="BH15" s="14">
        <f>IF(Distances!BH12="N.C.",0,ROUNDUP(BH5+'Délai intermédiaire'!BH12/10,0))</f>
        <v>0</v>
      </c>
      <c r="BI15" s="14">
        <f>IF(Distances!BI12="N.C.",0,ROUNDUP(BI5+'Délai intermédiaire'!BI12/10,0))</f>
        <v>0</v>
      </c>
      <c r="BJ15" s="15">
        <f>IF(Distances!BJ12="N.C.",0,ROUNDUP(BJ5+'Délai intermédiaire'!BJ12/10,0))</f>
        <v>0</v>
      </c>
    </row>
    <row r="16" spans="1:62" x14ac:dyDescent="0.3">
      <c r="A16" s="10" t="s">
        <v>10</v>
      </c>
      <c r="B16" s="11">
        <f>IF(Distances!B13="N.C.",0,ROUNDUP(B5+'Délai intermédiaire'!B13/10,0))</f>
        <v>4</v>
      </c>
      <c r="C16" s="13">
        <f>IF(Distances!C13="N.C.",0,ROUNDUP(C5+'Délai intermédiaire'!C13/10,0))</f>
        <v>4</v>
      </c>
      <c r="D16" s="13">
        <f>IF(Distances!D13="N.C.",0,ROUNDUP(D5+'Délai intermédiaire'!D13/10,0))</f>
        <v>4</v>
      </c>
      <c r="E16" s="13">
        <f>IF(Distances!E13="N.C.",0,ROUNDUP(E5+'Délai intermédiaire'!E13/10,0))</f>
        <v>3</v>
      </c>
      <c r="F16" s="13">
        <f>IF(Distances!F13="N.C.",0,ROUNDUP(F5+'Délai intermédiaire'!F13/10,0))</f>
        <v>3</v>
      </c>
      <c r="G16" s="13">
        <f>IF(Distances!G13="N.C.",0,ROUNDUP(G5+'Délai intermédiaire'!G13/10,0))</f>
        <v>5</v>
      </c>
      <c r="H16" s="13">
        <f>IF(Distances!H13="N.C.",0,ROUNDUP(H5+'Délai intermédiaire'!H13/10,0))</f>
        <v>6</v>
      </c>
      <c r="I16" s="13">
        <f>IF(Distances!I13="N.C.",0,ROUNDUP(I5+'Délai intermédiaire'!I13/10,0))</f>
        <v>6</v>
      </c>
      <c r="J16" s="13">
        <f>IF(Distances!J13="N.C.",0,ROUNDUP(J5+'Délai intermédiaire'!J13/10,0))</f>
        <v>3</v>
      </c>
      <c r="K16" s="12">
        <f>IF(Distances!K13="N.C.",0,ROUNDUP(K5+'Délai intermédiaire'!K13/10,0))</f>
        <v>2</v>
      </c>
      <c r="L16" s="13">
        <f>IF(Distances!L13="N.C.",0,ROUNDUP(L5+'Délai intermédiaire'!L13/10,0))</f>
        <v>7</v>
      </c>
      <c r="M16" s="13">
        <f>IF(Distances!M13="N.C.",0,ROUNDUP(M5+'Délai intermédiaire'!M13/10,0))</f>
        <v>7</v>
      </c>
      <c r="N16" s="13">
        <f>IF(Distances!N13="N.C.",0,ROUNDUP(N5+'Délai intermédiaire'!N13/10,0))</f>
        <v>7</v>
      </c>
      <c r="O16" s="14">
        <f>IF(Distances!O13="N.C.",0,ROUNDUP(O5+'Délai intermédiaire'!O13/10,0))</f>
        <v>0</v>
      </c>
      <c r="P16" s="14">
        <f>IF(Distances!P13="N.C.",0,ROUNDUP(P5+'Délai intermédiaire'!P13/10,0))</f>
        <v>0</v>
      </c>
      <c r="Q16" s="14">
        <f>IF(Distances!Q13="N.C.",0,ROUNDUP(Q5+'Délai intermédiaire'!Q13/10,0))</f>
        <v>0</v>
      </c>
      <c r="R16" s="14">
        <f>IF(Distances!R13="N.C.",0,ROUNDUP(R5+'Délai intermédiaire'!R13/10,0))</f>
        <v>0</v>
      </c>
      <c r="S16" s="14">
        <f>IF(Distances!S13="N.C.",0,ROUNDUP(S5+'Délai intermédiaire'!S13/10,0))</f>
        <v>0</v>
      </c>
      <c r="T16" s="14">
        <f>IF(Distances!T13="N.C.",0,ROUNDUP(T5+'Délai intermédiaire'!T13/10,0))</f>
        <v>0</v>
      </c>
      <c r="U16" s="14">
        <f>IF(Distances!U13="N.C.",0,ROUNDUP(U5+'Délai intermédiaire'!U13/10,0))</f>
        <v>0</v>
      </c>
      <c r="V16" s="14">
        <f>IF(Distances!V13="N.C.",0,ROUNDUP(V5+'Délai intermédiaire'!V13/10,0))</f>
        <v>0</v>
      </c>
      <c r="W16" s="14">
        <f>IF(Distances!W13="N.C.",0,ROUNDUP(W5+'Délai intermédiaire'!W13/10,0))</f>
        <v>0</v>
      </c>
      <c r="X16" s="14">
        <f>IF(Distances!X13="N.C.",0,ROUNDUP(X5+'Délai intermédiaire'!X13/10,0))</f>
        <v>0</v>
      </c>
      <c r="Y16" s="14">
        <f>IF(Distances!Y13="N.C.",0,ROUNDUP(Y5+'Délai intermédiaire'!Y13/10,0))</f>
        <v>0</v>
      </c>
      <c r="Z16" s="14">
        <f>IF(Distances!Z13="N.C.",0,ROUNDUP(Z5+'Délai intermédiaire'!Z13/10,0))</f>
        <v>0</v>
      </c>
      <c r="AA16" s="14">
        <f>IF(Distances!AA13="N.C.",0,ROUNDUP(AA5+'Délai intermédiaire'!AA13/10,0))</f>
        <v>0</v>
      </c>
      <c r="AB16" s="14">
        <f>IF(Distances!AB13="N.C.",0,ROUNDUP(AB5+'Délai intermédiaire'!AB13/10,0))</f>
        <v>0</v>
      </c>
      <c r="AC16" s="14">
        <f>IF(Distances!AC13="N.C.",0,ROUNDUP(AC5+'Délai intermédiaire'!AC13/10,0))</f>
        <v>0</v>
      </c>
      <c r="AD16" s="14">
        <f>IF(Distances!AD13="N.C.",0,ROUNDUP(AD5+'Délai intermédiaire'!AD13/10,0))</f>
        <v>0</v>
      </c>
      <c r="AE16" s="14">
        <f>IF(Distances!AE13="N.C.",0,ROUNDUP(AE5+'Délai intermédiaire'!AE13/10,0))</f>
        <v>0</v>
      </c>
      <c r="AF16" s="14">
        <f>IF(Distances!AF13="N.C.",0,ROUNDUP(AF5+'Délai intermédiaire'!AF13/10,0))</f>
        <v>0</v>
      </c>
      <c r="AG16" s="14">
        <f>IF(Distances!AG13="N.C.",0,ROUNDUP(AG5+'Délai intermédiaire'!AG13/10,0))</f>
        <v>0</v>
      </c>
      <c r="AH16" s="14">
        <f>IF(Distances!AH13="N.C.",0,ROUNDUP(AH5+'Délai intermédiaire'!AH13/10,0))</f>
        <v>0</v>
      </c>
      <c r="AI16" s="14">
        <f>IF(Distances!AI13="N.C.",0,ROUNDUP(AI5+'Délai intermédiaire'!AI13/10,0))</f>
        <v>0</v>
      </c>
      <c r="AJ16" s="14">
        <f>IF(Distances!AJ13="N.C.",0,ROUNDUP(AJ5+'Délai intermédiaire'!AJ13/10,0))</f>
        <v>0</v>
      </c>
      <c r="AK16" s="14">
        <f>IF(Distances!AK13="N.C.",0,ROUNDUP(AK5+'Délai intermédiaire'!AK13/10,0))</f>
        <v>0</v>
      </c>
      <c r="AL16" s="14">
        <f>IF(Distances!AL13="N.C.",0,ROUNDUP(AL5+'Délai intermédiaire'!AL13/10,0))</f>
        <v>0</v>
      </c>
      <c r="AM16" s="14">
        <f>IF(Distances!AM13="N.C.",0,ROUNDUP(AM5+'Délai intermédiaire'!AM13/10,0))</f>
        <v>0</v>
      </c>
      <c r="AN16" s="14">
        <f>IF(Distances!AN13="N.C.",0,ROUNDUP(AN5+'Délai intermédiaire'!AN13/10,0))</f>
        <v>0</v>
      </c>
      <c r="AO16" s="14">
        <f>IF(Distances!AO13="N.C.",0,ROUNDUP(AO5+'Délai intermédiaire'!AO13/10,0))</f>
        <v>0</v>
      </c>
      <c r="AP16" s="14">
        <f>IF(Distances!AP13="N.C.",0,ROUNDUP(AP5+'Délai intermédiaire'!AP13/10,0))</f>
        <v>0</v>
      </c>
      <c r="AQ16" s="14">
        <f>IF(Distances!AQ13="N.C.",0,ROUNDUP(AQ5+'Délai intermédiaire'!AQ13/10,0))</f>
        <v>0</v>
      </c>
      <c r="AR16" s="14">
        <f>IF(Distances!AR13="N.C.",0,ROUNDUP(AR5+'Délai intermédiaire'!AR13/10,0))</f>
        <v>0</v>
      </c>
      <c r="AS16" s="14">
        <f>IF(Distances!AS13="N.C.",0,ROUNDUP(AS5+'Délai intermédiaire'!AS13/10,0))</f>
        <v>0</v>
      </c>
      <c r="AT16" s="14">
        <f>IF(Distances!AT13="N.C.",0,ROUNDUP(AT5+'Délai intermédiaire'!AT13/10,0))</f>
        <v>0</v>
      </c>
      <c r="AU16" s="14">
        <f>IF(Distances!AU13="N.C.",0,ROUNDUP(AU5+'Délai intermédiaire'!AU13/10,0))</f>
        <v>0</v>
      </c>
      <c r="AV16" s="14">
        <f>IF(Distances!AV13="N.C.",0,ROUNDUP(AV5+'Délai intermédiaire'!AV13/10,0))</f>
        <v>0</v>
      </c>
      <c r="AW16" s="14">
        <f>IF(Distances!AW13="N.C.",0,ROUNDUP(AW5+'Délai intermédiaire'!AW13/10,0))</f>
        <v>0</v>
      </c>
      <c r="AX16" s="14">
        <f>IF(Distances!AX13="N.C.",0,ROUNDUP(AX5+'Délai intermédiaire'!AX13/10,0))</f>
        <v>0</v>
      </c>
      <c r="AY16" s="14">
        <f>IF(Distances!AY13="N.C.",0,ROUNDUP(AY5+'Délai intermédiaire'!AY13/10,0))</f>
        <v>0</v>
      </c>
      <c r="AZ16" s="14">
        <f>IF(Distances!AZ13="N.C.",0,ROUNDUP(AZ5+'Délai intermédiaire'!AZ13/10,0))</f>
        <v>0</v>
      </c>
      <c r="BA16" s="14">
        <f>IF(Distances!BA13="N.C.",0,ROUNDUP(BA5+'Délai intermédiaire'!BA13/10,0))</f>
        <v>0</v>
      </c>
      <c r="BB16" s="14">
        <f>IF(Distances!BB13="N.C.",0,ROUNDUP(BB5+'Délai intermédiaire'!BB13/10,0))</f>
        <v>0</v>
      </c>
      <c r="BC16" s="14">
        <f>IF(Distances!BC13="N.C.",0,ROUNDUP(BC5+'Délai intermédiaire'!BC13/10,0))</f>
        <v>0</v>
      </c>
      <c r="BD16" s="14">
        <f>IF(Distances!BD13="N.C.",0,ROUNDUP(BD5+'Délai intermédiaire'!BD13/10,0))</f>
        <v>0</v>
      </c>
      <c r="BE16" s="14">
        <f>IF(Distances!BE13="N.C.",0,ROUNDUP(BE5+'Délai intermédiaire'!BE13/10,0))</f>
        <v>0</v>
      </c>
      <c r="BF16" s="14">
        <f>IF(Distances!BF13="N.C.",0,ROUNDUP(BF5+'Délai intermédiaire'!BF13/10,0))</f>
        <v>0</v>
      </c>
      <c r="BG16" s="14">
        <f>IF(Distances!BG13="N.C.",0,ROUNDUP(BG5+'Délai intermédiaire'!BG13/10,0))</f>
        <v>0</v>
      </c>
      <c r="BH16" s="14">
        <f>IF(Distances!BH13="N.C.",0,ROUNDUP(BH5+'Délai intermédiaire'!BH13/10,0))</f>
        <v>0</v>
      </c>
      <c r="BI16" s="14">
        <f>IF(Distances!BI13="N.C.",0,ROUNDUP(BI5+'Délai intermédiaire'!BI13/10,0))</f>
        <v>0</v>
      </c>
      <c r="BJ16" s="15">
        <f>IF(Distances!BJ13="N.C.",0,ROUNDUP(BJ5+'Délai intermédiaire'!BJ13/10,0))</f>
        <v>0</v>
      </c>
    </row>
    <row r="17" spans="1:62" x14ac:dyDescent="0.3">
      <c r="A17" s="10" t="s">
        <v>11</v>
      </c>
      <c r="B17" s="11">
        <f>IF(Distances!B14="N.C.",0,ROUNDUP(B5+'Délai intermédiaire'!B14/10,0))</f>
        <v>6</v>
      </c>
      <c r="C17" s="13">
        <f>IF(Distances!C14="N.C.",0,ROUNDUP(C5+'Délai intermédiaire'!C14/10,0))</f>
        <v>6</v>
      </c>
      <c r="D17" s="13">
        <f>IF(Distances!D14="N.C.",0,ROUNDUP(D5+'Délai intermédiaire'!D14/10,0))</f>
        <v>4</v>
      </c>
      <c r="E17" s="13">
        <f>IF(Distances!E14="N.C.",0,ROUNDUP(E5+'Délai intermédiaire'!E14/10,0))</f>
        <v>4</v>
      </c>
      <c r="F17" s="13">
        <f>IF(Distances!F14="N.C.",0,ROUNDUP(F5+'Délai intermédiaire'!F14/10,0))</f>
        <v>5</v>
      </c>
      <c r="G17" s="13">
        <f>IF(Distances!G14="N.C.",0,ROUNDUP(G5+'Délai intermédiaire'!G14/10,0))</f>
        <v>3</v>
      </c>
      <c r="H17" s="13">
        <f>IF(Distances!H14="N.C.",0,ROUNDUP(H5+'Délai intermédiaire'!H14/10,0))</f>
        <v>3</v>
      </c>
      <c r="I17" s="13">
        <f>IF(Distances!I14="N.C.",0,ROUNDUP(I5+'Délai intermédiaire'!I14/10,0))</f>
        <v>4</v>
      </c>
      <c r="J17" s="13">
        <f>IF(Distances!J14="N.C.",0,ROUNDUP(J5+'Délai intermédiaire'!J14/10,0))</f>
        <v>6</v>
      </c>
      <c r="K17" s="13">
        <f>IF(Distances!K14="N.C.",0,ROUNDUP(K5+'Délai intermédiaire'!K14/10,0))</f>
        <v>7</v>
      </c>
      <c r="L17" s="12">
        <f>IF(Distances!L14="N.C.",0,ROUNDUP(L5+'Délai intermédiaire'!L14/10,0))</f>
        <v>2</v>
      </c>
      <c r="M17" s="13">
        <f>IF(Distances!M14="N.C.",0,ROUNDUP(M5+'Délai intermédiaire'!M14/10,0))</f>
        <v>4</v>
      </c>
      <c r="N17" s="13">
        <f>IF(Distances!N14="N.C.",0,ROUNDUP(N5+'Délai intermédiaire'!N14/10,0))</f>
        <v>7</v>
      </c>
      <c r="O17" s="14">
        <f>IF(Distances!O14="N.C.",0,ROUNDUP(O5+'Délai intermédiaire'!O14/10,0))</f>
        <v>0</v>
      </c>
      <c r="P17" s="14">
        <f>IF(Distances!P14="N.C.",0,ROUNDUP(P5+'Délai intermédiaire'!P14/10,0))</f>
        <v>0</v>
      </c>
      <c r="Q17" s="14">
        <f>IF(Distances!Q14="N.C.",0,ROUNDUP(Q5+'Délai intermédiaire'!Q14/10,0))</f>
        <v>0</v>
      </c>
      <c r="R17" s="14">
        <f>IF(Distances!R14="N.C.",0,ROUNDUP(R5+'Délai intermédiaire'!R14/10,0))</f>
        <v>0</v>
      </c>
      <c r="S17" s="14">
        <f>IF(Distances!S14="N.C.",0,ROUNDUP(S5+'Délai intermédiaire'!S14/10,0))</f>
        <v>0</v>
      </c>
      <c r="T17" s="14">
        <f>IF(Distances!T14="N.C.",0,ROUNDUP(T5+'Délai intermédiaire'!T14/10,0))</f>
        <v>0</v>
      </c>
      <c r="U17" s="14">
        <f>IF(Distances!U14="N.C.",0,ROUNDUP(U5+'Délai intermédiaire'!U14/10,0))</f>
        <v>0</v>
      </c>
      <c r="V17" s="14">
        <f>IF(Distances!V14="N.C.",0,ROUNDUP(V5+'Délai intermédiaire'!V14/10,0))</f>
        <v>0</v>
      </c>
      <c r="W17" s="14">
        <f>IF(Distances!W14="N.C.",0,ROUNDUP(W5+'Délai intermédiaire'!W14/10,0))</f>
        <v>0</v>
      </c>
      <c r="X17" s="14">
        <f>IF(Distances!X14="N.C.",0,ROUNDUP(X5+'Délai intermédiaire'!X14/10,0))</f>
        <v>0</v>
      </c>
      <c r="Y17" s="14">
        <f>IF(Distances!Y14="N.C.",0,ROUNDUP(Y5+'Délai intermédiaire'!Y14/10,0))</f>
        <v>0</v>
      </c>
      <c r="Z17" s="14">
        <f>IF(Distances!Z14="N.C.",0,ROUNDUP(Z5+'Délai intermédiaire'!Z14/10,0))</f>
        <v>0</v>
      </c>
      <c r="AA17" s="14">
        <f>IF(Distances!AA14="N.C.",0,ROUNDUP(AA5+'Délai intermédiaire'!AA14/10,0))</f>
        <v>0</v>
      </c>
      <c r="AB17" s="14">
        <f>IF(Distances!AB14="N.C.",0,ROUNDUP(AB5+'Délai intermédiaire'!AB14/10,0))</f>
        <v>0</v>
      </c>
      <c r="AC17" s="14">
        <f>IF(Distances!AC14="N.C.",0,ROUNDUP(AC5+'Délai intermédiaire'!AC14/10,0))</f>
        <v>0</v>
      </c>
      <c r="AD17" s="14">
        <f>IF(Distances!AD14="N.C.",0,ROUNDUP(AD5+'Délai intermédiaire'!AD14/10,0))</f>
        <v>0</v>
      </c>
      <c r="AE17" s="14">
        <f>IF(Distances!AE14="N.C.",0,ROUNDUP(AE5+'Délai intermédiaire'!AE14/10,0))</f>
        <v>0</v>
      </c>
      <c r="AF17" s="14">
        <f>IF(Distances!AF14="N.C.",0,ROUNDUP(AF5+'Délai intermédiaire'!AF14/10,0))</f>
        <v>0</v>
      </c>
      <c r="AG17" s="14">
        <f>IF(Distances!AG14="N.C.",0,ROUNDUP(AG5+'Délai intermédiaire'!AG14/10,0))</f>
        <v>0</v>
      </c>
      <c r="AH17" s="14">
        <f>IF(Distances!AH14="N.C.",0,ROUNDUP(AH5+'Délai intermédiaire'!AH14/10,0))</f>
        <v>0</v>
      </c>
      <c r="AI17" s="14">
        <f>IF(Distances!AI14="N.C.",0,ROUNDUP(AI5+'Délai intermédiaire'!AI14/10,0))</f>
        <v>0</v>
      </c>
      <c r="AJ17" s="14">
        <f>IF(Distances!AJ14="N.C.",0,ROUNDUP(AJ5+'Délai intermédiaire'!AJ14/10,0))</f>
        <v>0</v>
      </c>
      <c r="AK17" s="14">
        <f>IF(Distances!AK14="N.C.",0,ROUNDUP(AK5+'Délai intermédiaire'!AK14/10,0))</f>
        <v>0</v>
      </c>
      <c r="AL17" s="14">
        <f>IF(Distances!AL14="N.C.",0,ROUNDUP(AL5+'Délai intermédiaire'!AL14/10,0))</f>
        <v>0</v>
      </c>
      <c r="AM17" s="14">
        <f>IF(Distances!AM14="N.C.",0,ROUNDUP(AM5+'Délai intermédiaire'!AM14/10,0))</f>
        <v>0</v>
      </c>
      <c r="AN17" s="14">
        <f>IF(Distances!AN14="N.C.",0,ROUNDUP(AN5+'Délai intermédiaire'!AN14/10,0))</f>
        <v>0</v>
      </c>
      <c r="AO17" s="14">
        <f>IF(Distances!AO14="N.C.",0,ROUNDUP(AO5+'Délai intermédiaire'!AO14/10,0))</f>
        <v>0</v>
      </c>
      <c r="AP17" s="14">
        <f>IF(Distances!AP14="N.C.",0,ROUNDUP(AP5+'Délai intermédiaire'!AP14/10,0))</f>
        <v>0</v>
      </c>
      <c r="AQ17" s="14">
        <f>IF(Distances!AQ14="N.C.",0,ROUNDUP(AQ5+'Délai intermédiaire'!AQ14/10,0))</f>
        <v>0</v>
      </c>
      <c r="AR17" s="14">
        <f>IF(Distances!AR14="N.C.",0,ROUNDUP(AR5+'Délai intermédiaire'!AR14/10,0))</f>
        <v>0</v>
      </c>
      <c r="AS17" s="14">
        <f>IF(Distances!AS14="N.C.",0,ROUNDUP(AS5+'Délai intermédiaire'!AS14/10,0))</f>
        <v>0</v>
      </c>
      <c r="AT17" s="14">
        <f>IF(Distances!AT14="N.C.",0,ROUNDUP(AT5+'Délai intermédiaire'!AT14/10,0))</f>
        <v>0</v>
      </c>
      <c r="AU17" s="14">
        <f>IF(Distances!AU14="N.C.",0,ROUNDUP(AU5+'Délai intermédiaire'!AU14/10,0))</f>
        <v>0</v>
      </c>
      <c r="AV17" s="14">
        <f>IF(Distances!AV14="N.C.",0,ROUNDUP(AV5+'Délai intermédiaire'!AV14/10,0))</f>
        <v>0</v>
      </c>
      <c r="AW17" s="14">
        <f>IF(Distances!AW14="N.C.",0,ROUNDUP(AW5+'Délai intermédiaire'!AW14/10,0))</f>
        <v>0</v>
      </c>
      <c r="AX17" s="14">
        <f>IF(Distances!AX14="N.C.",0,ROUNDUP(AX5+'Délai intermédiaire'!AX14/10,0))</f>
        <v>0</v>
      </c>
      <c r="AY17" s="14">
        <f>IF(Distances!AY14="N.C.",0,ROUNDUP(AY5+'Délai intermédiaire'!AY14/10,0))</f>
        <v>0</v>
      </c>
      <c r="AZ17" s="14">
        <f>IF(Distances!AZ14="N.C.",0,ROUNDUP(AZ5+'Délai intermédiaire'!AZ14/10,0))</f>
        <v>0</v>
      </c>
      <c r="BA17" s="14">
        <f>IF(Distances!BA14="N.C.",0,ROUNDUP(BA5+'Délai intermédiaire'!BA14/10,0))</f>
        <v>0</v>
      </c>
      <c r="BB17" s="14">
        <f>IF(Distances!BB14="N.C.",0,ROUNDUP(BB5+'Délai intermédiaire'!BB14/10,0))</f>
        <v>0</v>
      </c>
      <c r="BC17" s="14">
        <f>IF(Distances!BC14="N.C.",0,ROUNDUP(BC5+'Délai intermédiaire'!BC14/10,0))</f>
        <v>0</v>
      </c>
      <c r="BD17" s="14">
        <f>IF(Distances!BD14="N.C.",0,ROUNDUP(BD5+'Délai intermédiaire'!BD14/10,0))</f>
        <v>0</v>
      </c>
      <c r="BE17" s="14">
        <f>IF(Distances!BE14="N.C.",0,ROUNDUP(BE5+'Délai intermédiaire'!BE14/10,0))</f>
        <v>0</v>
      </c>
      <c r="BF17" s="14">
        <f>IF(Distances!BF14="N.C.",0,ROUNDUP(BF5+'Délai intermédiaire'!BF14/10,0))</f>
        <v>0</v>
      </c>
      <c r="BG17" s="14">
        <f>IF(Distances!BG14="N.C.",0,ROUNDUP(BG5+'Délai intermédiaire'!BG14/10,0))</f>
        <v>0</v>
      </c>
      <c r="BH17" s="14">
        <f>IF(Distances!BH14="N.C.",0,ROUNDUP(BH5+'Délai intermédiaire'!BH14/10,0))</f>
        <v>0</v>
      </c>
      <c r="BI17" s="14">
        <f>IF(Distances!BI14="N.C.",0,ROUNDUP(BI5+'Délai intermédiaire'!BI14/10,0))</f>
        <v>0</v>
      </c>
      <c r="BJ17" s="15">
        <f>IF(Distances!BJ14="N.C.",0,ROUNDUP(BJ5+'Délai intermédiaire'!BJ14/10,0))</f>
        <v>0</v>
      </c>
    </row>
    <row r="18" spans="1:62" x14ac:dyDescent="0.3">
      <c r="A18" s="10" t="s">
        <v>12</v>
      </c>
      <c r="B18" s="11">
        <f>IF(Distances!B15="N.C.",0,ROUNDUP(B5+'Délai intermédiaire'!B15/10,0))</f>
        <v>7</v>
      </c>
      <c r="C18" s="13">
        <f>IF(Distances!C15="N.C.",0,ROUNDUP(C5+'Délai intermédiaire'!C15/10,0))</f>
        <v>6</v>
      </c>
      <c r="D18" s="13">
        <f>IF(Distances!D15="N.C.",0,ROUNDUP(D5+'Délai intermédiaire'!D15/10,0))</f>
        <v>4</v>
      </c>
      <c r="E18" s="13">
        <f>IF(Distances!E15="N.C.",0,ROUNDUP(E5+'Délai intermédiaire'!E15/10,0))</f>
        <v>5</v>
      </c>
      <c r="F18" s="13">
        <f>IF(Distances!F15="N.C.",0,ROUNDUP(F5+'Délai intermédiaire'!F15/10,0))</f>
        <v>6</v>
      </c>
      <c r="G18" s="13">
        <f>IF(Distances!G15="N.C.",0,ROUNDUP(G5+'Délai intermédiaire'!G15/10,0))</f>
        <v>4</v>
      </c>
      <c r="H18" s="13">
        <f>IF(Distances!H15="N.C.",0,ROUNDUP(H5+'Délai intermédiaire'!H15/10,0))</f>
        <v>2</v>
      </c>
      <c r="I18" s="13">
        <f>IF(Distances!I15="N.C.",0,ROUNDUP(I5+'Délai intermédiaire'!I15/10,0))</f>
        <v>4</v>
      </c>
      <c r="J18" s="13">
        <f>IF(Distances!J15="N.C.",0,ROUNDUP(J5+'Délai intermédiaire'!J15/10,0))</f>
        <v>7</v>
      </c>
      <c r="K18" s="13">
        <f>IF(Distances!K15="N.C.",0,ROUNDUP(K5+'Délai intermédiaire'!K15/10,0))</f>
        <v>7</v>
      </c>
      <c r="L18" s="13">
        <f>IF(Distances!L15="N.C.",0,ROUNDUP(L5+'Délai intermédiaire'!L15/10,0))</f>
        <v>4</v>
      </c>
      <c r="M18" s="12">
        <f>IF(Distances!M15="N.C.",0,ROUNDUP(M5+'Délai intermédiaire'!M15/10,0))</f>
        <v>2</v>
      </c>
      <c r="N18" s="13">
        <f>IF(Distances!N15="N.C.",0,ROUNDUP(N5+'Délai intermédiaire'!N15/10,0))</f>
        <v>7</v>
      </c>
      <c r="O18" s="14">
        <f>IF(Distances!O15="N.C.",0,ROUNDUP(O5+'Délai intermédiaire'!O15/10,0))</f>
        <v>0</v>
      </c>
      <c r="P18" s="14">
        <f>IF(Distances!P15="N.C.",0,ROUNDUP(P5+'Délai intermédiaire'!P15/10,0))</f>
        <v>0</v>
      </c>
      <c r="Q18" s="14">
        <f>IF(Distances!Q15="N.C.",0,ROUNDUP(Q5+'Délai intermédiaire'!Q15/10,0))</f>
        <v>0</v>
      </c>
      <c r="R18" s="14">
        <f>IF(Distances!R15="N.C.",0,ROUNDUP(R5+'Délai intermédiaire'!R15/10,0))</f>
        <v>0</v>
      </c>
      <c r="S18" s="14">
        <f>IF(Distances!S15="N.C.",0,ROUNDUP(S5+'Délai intermédiaire'!S15/10,0))</f>
        <v>0</v>
      </c>
      <c r="T18" s="14">
        <f>IF(Distances!T15="N.C.",0,ROUNDUP(T5+'Délai intermédiaire'!T15/10,0))</f>
        <v>0</v>
      </c>
      <c r="U18" s="14">
        <f>IF(Distances!U15="N.C.",0,ROUNDUP(U5+'Délai intermédiaire'!U15/10,0))</f>
        <v>0</v>
      </c>
      <c r="V18" s="14">
        <f>IF(Distances!V15="N.C.",0,ROUNDUP(V5+'Délai intermédiaire'!V15/10,0))</f>
        <v>0</v>
      </c>
      <c r="W18" s="14">
        <f>IF(Distances!W15="N.C.",0,ROUNDUP(W5+'Délai intermédiaire'!W15/10,0))</f>
        <v>0</v>
      </c>
      <c r="X18" s="14">
        <f>IF(Distances!X15="N.C.",0,ROUNDUP(X5+'Délai intermédiaire'!X15/10,0))</f>
        <v>0</v>
      </c>
      <c r="Y18" s="14">
        <f>IF(Distances!Y15="N.C.",0,ROUNDUP(Y5+'Délai intermédiaire'!Y15/10,0))</f>
        <v>0</v>
      </c>
      <c r="Z18" s="14">
        <f>IF(Distances!Z15="N.C.",0,ROUNDUP(Z5+'Délai intermédiaire'!Z15/10,0))</f>
        <v>0</v>
      </c>
      <c r="AA18" s="14">
        <f>IF(Distances!AA15="N.C.",0,ROUNDUP(AA5+'Délai intermédiaire'!AA15/10,0))</f>
        <v>0</v>
      </c>
      <c r="AB18" s="14">
        <f>IF(Distances!AB15="N.C.",0,ROUNDUP(AB5+'Délai intermédiaire'!AB15/10,0))</f>
        <v>0</v>
      </c>
      <c r="AC18" s="14">
        <f>IF(Distances!AC15="N.C.",0,ROUNDUP(AC5+'Délai intermédiaire'!AC15/10,0))</f>
        <v>0</v>
      </c>
      <c r="AD18" s="14">
        <f>IF(Distances!AD15="N.C.",0,ROUNDUP(AD5+'Délai intermédiaire'!AD15/10,0))</f>
        <v>0</v>
      </c>
      <c r="AE18" s="14">
        <f>IF(Distances!AE15="N.C.",0,ROUNDUP(AE5+'Délai intermédiaire'!AE15/10,0))</f>
        <v>0</v>
      </c>
      <c r="AF18" s="14">
        <f>IF(Distances!AF15="N.C.",0,ROUNDUP(AF5+'Délai intermédiaire'!AF15/10,0))</f>
        <v>0</v>
      </c>
      <c r="AG18" s="14">
        <f>IF(Distances!AG15="N.C.",0,ROUNDUP(AG5+'Délai intermédiaire'!AG15/10,0))</f>
        <v>0</v>
      </c>
      <c r="AH18" s="14">
        <f>IF(Distances!AH15="N.C.",0,ROUNDUP(AH5+'Délai intermédiaire'!AH15/10,0))</f>
        <v>0</v>
      </c>
      <c r="AI18" s="14">
        <f>IF(Distances!AI15="N.C.",0,ROUNDUP(AI5+'Délai intermédiaire'!AI15/10,0))</f>
        <v>0</v>
      </c>
      <c r="AJ18" s="14">
        <f>IF(Distances!AJ15="N.C.",0,ROUNDUP(AJ5+'Délai intermédiaire'!AJ15/10,0))</f>
        <v>0</v>
      </c>
      <c r="AK18" s="14">
        <f>IF(Distances!AK15="N.C.",0,ROUNDUP(AK5+'Délai intermédiaire'!AK15/10,0))</f>
        <v>0</v>
      </c>
      <c r="AL18" s="14">
        <f>IF(Distances!AL15="N.C.",0,ROUNDUP(AL5+'Délai intermédiaire'!AL15/10,0))</f>
        <v>0</v>
      </c>
      <c r="AM18" s="14">
        <f>IF(Distances!AM15="N.C.",0,ROUNDUP(AM5+'Délai intermédiaire'!AM15/10,0))</f>
        <v>0</v>
      </c>
      <c r="AN18" s="14">
        <f>IF(Distances!AN15="N.C.",0,ROUNDUP(AN5+'Délai intermédiaire'!AN15/10,0))</f>
        <v>0</v>
      </c>
      <c r="AO18" s="14">
        <f>IF(Distances!AO15="N.C.",0,ROUNDUP(AO5+'Délai intermédiaire'!AO15/10,0))</f>
        <v>0</v>
      </c>
      <c r="AP18" s="14">
        <f>IF(Distances!AP15="N.C.",0,ROUNDUP(AP5+'Délai intermédiaire'!AP15/10,0))</f>
        <v>0</v>
      </c>
      <c r="AQ18" s="14">
        <f>IF(Distances!AQ15="N.C.",0,ROUNDUP(AQ5+'Délai intermédiaire'!AQ15/10,0))</f>
        <v>0</v>
      </c>
      <c r="AR18" s="14">
        <f>IF(Distances!AR15="N.C.",0,ROUNDUP(AR5+'Délai intermédiaire'!AR15/10,0))</f>
        <v>0</v>
      </c>
      <c r="AS18" s="14">
        <f>IF(Distances!AS15="N.C.",0,ROUNDUP(AS5+'Délai intermédiaire'!AS15/10,0))</f>
        <v>0</v>
      </c>
      <c r="AT18" s="14">
        <f>IF(Distances!AT15="N.C.",0,ROUNDUP(AT5+'Délai intermédiaire'!AT15/10,0))</f>
        <v>0</v>
      </c>
      <c r="AU18" s="14">
        <f>IF(Distances!AU15="N.C.",0,ROUNDUP(AU5+'Délai intermédiaire'!AU15/10,0))</f>
        <v>0</v>
      </c>
      <c r="AV18" s="14">
        <f>IF(Distances!AV15="N.C.",0,ROUNDUP(AV5+'Délai intermédiaire'!AV15/10,0))</f>
        <v>0</v>
      </c>
      <c r="AW18" s="14">
        <f>IF(Distances!AW15="N.C.",0,ROUNDUP(AW5+'Délai intermédiaire'!AW15/10,0))</f>
        <v>0</v>
      </c>
      <c r="AX18" s="14">
        <f>IF(Distances!AX15="N.C.",0,ROUNDUP(AX5+'Délai intermédiaire'!AX15/10,0))</f>
        <v>0</v>
      </c>
      <c r="AY18" s="14">
        <f>IF(Distances!AY15="N.C.",0,ROUNDUP(AY5+'Délai intermédiaire'!AY15/10,0))</f>
        <v>0</v>
      </c>
      <c r="AZ18" s="14">
        <f>IF(Distances!AZ15="N.C.",0,ROUNDUP(AZ5+'Délai intermédiaire'!AZ15/10,0))</f>
        <v>0</v>
      </c>
      <c r="BA18" s="14">
        <f>IF(Distances!BA15="N.C.",0,ROUNDUP(BA5+'Délai intermédiaire'!BA15/10,0))</f>
        <v>0</v>
      </c>
      <c r="BB18" s="14">
        <f>IF(Distances!BB15="N.C.",0,ROUNDUP(BB5+'Délai intermédiaire'!BB15/10,0))</f>
        <v>0</v>
      </c>
      <c r="BC18" s="14">
        <f>IF(Distances!BC15="N.C.",0,ROUNDUP(BC5+'Délai intermédiaire'!BC15/10,0))</f>
        <v>0</v>
      </c>
      <c r="BD18" s="14">
        <f>IF(Distances!BD15="N.C.",0,ROUNDUP(BD5+'Délai intermédiaire'!BD15/10,0))</f>
        <v>0</v>
      </c>
      <c r="BE18" s="14">
        <f>IF(Distances!BE15="N.C.",0,ROUNDUP(BE5+'Délai intermédiaire'!BE15/10,0))</f>
        <v>0</v>
      </c>
      <c r="BF18" s="14">
        <f>IF(Distances!BF15="N.C.",0,ROUNDUP(BF5+'Délai intermédiaire'!BF15/10,0))</f>
        <v>0</v>
      </c>
      <c r="BG18" s="14">
        <f>IF(Distances!BG15="N.C.",0,ROUNDUP(BG5+'Délai intermédiaire'!BG15/10,0))</f>
        <v>0</v>
      </c>
      <c r="BH18" s="14">
        <f>IF(Distances!BH15="N.C.",0,ROUNDUP(BH5+'Délai intermédiaire'!BH15/10,0))</f>
        <v>0</v>
      </c>
      <c r="BI18" s="14">
        <f>IF(Distances!BI15="N.C.",0,ROUNDUP(BI5+'Délai intermédiaire'!BI15/10,0))</f>
        <v>0</v>
      </c>
      <c r="BJ18" s="15">
        <f>IF(Distances!BJ15="N.C.",0,ROUNDUP(BJ5+'Délai intermédiaire'!BJ15/10,0))</f>
        <v>0</v>
      </c>
    </row>
    <row r="19" spans="1:62" x14ac:dyDescent="0.3">
      <c r="A19" s="10" t="s">
        <v>13</v>
      </c>
      <c r="B19" s="11">
        <f>IF(Distances!B16="N.C.",0,ROUNDUP(B5+'Délai intermédiaire'!B16/10,0))</f>
        <v>5</v>
      </c>
      <c r="C19" s="13">
        <f>IF(Distances!C16="N.C.",0,ROUNDUP(C5+'Délai intermédiaire'!C16/10,0))</f>
        <v>4</v>
      </c>
      <c r="D19" s="13">
        <f>IF(Distances!D16="N.C.",0,ROUNDUP(D5+'Délai intermédiaire'!D16/10,0))</f>
        <v>5</v>
      </c>
      <c r="E19" s="13">
        <f>IF(Distances!E16="N.C.",0,ROUNDUP(E5+'Délai intermédiaire'!E16/10,0))</f>
        <v>5</v>
      </c>
      <c r="F19" s="13">
        <f>IF(Distances!F16="N.C.",0,ROUNDUP(F5+'Délai intermédiaire'!F16/10,0))</f>
        <v>6</v>
      </c>
      <c r="G19" s="13">
        <f>IF(Distances!G16="N.C.",0,ROUNDUP(G5+'Délai intermédiaire'!G16/10,0))</f>
        <v>5</v>
      </c>
      <c r="H19" s="13">
        <f>IF(Distances!H16="N.C.",0,ROUNDUP(H5+'Délai intermédiaire'!H16/10,0))</f>
        <v>6</v>
      </c>
      <c r="I19" s="13">
        <f>IF(Distances!I16="N.C.",0,ROUNDUP(I5+'Délai intermédiaire'!I16/10,0))</f>
        <v>5</v>
      </c>
      <c r="J19" s="13">
        <f>IF(Distances!J16="N.C.",0,ROUNDUP(J5+'Délai intermédiaire'!J16/10,0))</f>
        <v>7</v>
      </c>
      <c r="K19" s="13">
        <f>IF(Distances!K16="N.C.",0,ROUNDUP(K5+'Délai intermédiaire'!K16/10,0))</f>
        <v>7</v>
      </c>
      <c r="L19" s="13">
        <f>IF(Distances!L16="N.C.",0,ROUNDUP(L5+'Délai intermédiaire'!L16/10,0))</f>
        <v>7</v>
      </c>
      <c r="M19" s="13">
        <f>IF(Distances!M16="N.C.",0,ROUNDUP(M5+'Délai intermédiaire'!M16/10,0))</f>
        <v>7</v>
      </c>
      <c r="N19" s="12">
        <f>IF(Distances!N16="N.C.",0,ROUNDUP(N5+'Délai intermédiaire'!N16/10,0))</f>
        <v>2</v>
      </c>
      <c r="O19" s="14">
        <f>IF(Distances!O16="N.C.",0,ROUNDUP(O5+'Délai intermédiaire'!O16/10,0))</f>
        <v>0</v>
      </c>
      <c r="P19" s="14">
        <f>IF(Distances!P16="N.C.",0,ROUNDUP(P5+'Délai intermédiaire'!P16/10,0))</f>
        <v>0</v>
      </c>
      <c r="Q19" s="14">
        <f>IF(Distances!Q16="N.C.",0,ROUNDUP(Q5+'Délai intermédiaire'!Q16/10,0))</f>
        <v>0</v>
      </c>
      <c r="R19" s="14">
        <f>IF(Distances!R16="N.C.",0,ROUNDUP(R5+'Délai intermédiaire'!R16/10,0))</f>
        <v>0</v>
      </c>
      <c r="S19" s="14">
        <f>IF(Distances!S16="N.C.",0,ROUNDUP(S5+'Délai intermédiaire'!S16/10,0))</f>
        <v>0</v>
      </c>
      <c r="T19" s="14">
        <f>IF(Distances!T16="N.C.",0,ROUNDUP(T5+'Délai intermédiaire'!T16/10,0))</f>
        <v>0</v>
      </c>
      <c r="U19" s="14">
        <f>IF(Distances!U16="N.C.",0,ROUNDUP(U5+'Délai intermédiaire'!U16/10,0))</f>
        <v>0</v>
      </c>
      <c r="V19" s="14">
        <f>IF(Distances!V16="N.C.",0,ROUNDUP(V5+'Délai intermédiaire'!V16/10,0))</f>
        <v>0</v>
      </c>
      <c r="W19" s="14">
        <f>IF(Distances!W16="N.C.",0,ROUNDUP(W5+'Délai intermédiaire'!W16/10,0))</f>
        <v>0</v>
      </c>
      <c r="X19" s="14">
        <f>IF(Distances!X16="N.C.",0,ROUNDUP(X5+'Délai intermédiaire'!X16/10,0))</f>
        <v>0</v>
      </c>
      <c r="Y19" s="14">
        <f>IF(Distances!Y16="N.C.",0,ROUNDUP(Y5+'Délai intermédiaire'!Y16/10,0))</f>
        <v>0</v>
      </c>
      <c r="Z19" s="14">
        <f>IF(Distances!Z16="N.C.",0,ROUNDUP(Z5+'Délai intermédiaire'!Z16/10,0))</f>
        <v>0</v>
      </c>
      <c r="AA19" s="14">
        <f>IF(Distances!AA16="N.C.",0,ROUNDUP(AA5+'Délai intermédiaire'!AA16/10,0))</f>
        <v>0</v>
      </c>
      <c r="AB19" s="14">
        <f>IF(Distances!AB16="N.C.",0,ROUNDUP(AB5+'Délai intermédiaire'!AB16/10,0))</f>
        <v>0</v>
      </c>
      <c r="AC19" s="14">
        <f>IF(Distances!AC16="N.C.",0,ROUNDUP(AC5+'Délai intermédiaire'!AC16/10,0))</f>
        <v>0</v>
      </c>
      <c r="AD19" s="14">
        <f>IF(Distances!AD16="N.C.",0,ROUNDUP(AD5+'Délai intermédiaire'!AD16/10,0))</f>
        <v>0</v>
      </c>
      <c r="AE19" s="14">
        <f>IF(Distances!AE16="N.C.",0,ROUNDUP(AE5+'Délai intermédiaire'!AE16/10,0))</f>
        <v>0</v>
      </c>
      <c r="AF19" s="14">
        <f>IF(Distances!AF16="N.C.",0,ROUNDUP(AF5+'Délai intermédiaire'!AF16/10,0))</f>
        <v>0</v>
      </c>
      <c r="AG19" s="14">
        <f>IF(Distances!AG16="N.C.",0,ROUNDUP(AG5+'Délai intermédiaire'!AG16/10,0))</f>
        <v>0</v>
      </c>
      <c r="AH19" s="14">
        <f>IF(Distances!AH16="N.C.",0,ROUNDUP(AH5+'Délai intermédiaire'!AH16/10,0))</f>
        <v>0</v>
      </c>
      <c r="AI19" s="14">
        <f>IF(Distances!AI16="N.C.",0,ROUNDUP(AI5+'Délai intermédiaire'!AI16/10,0))</f>
        <v>0</v>
      </c>
      <c r="AJ19" s="14">
        <f>IF(Distances!AJ16="N.C.",0,ROUNDUP(AJ5+'Délai intermédiaire'!AJ16/10,0))</f>
        <v>0</v>
      </c>
      <c r="AK19" s="14">
        <f>IF(Distances!AK16="N.C.",0,ROUNDUP(AK5+'Délai intermédiaire'!AK16/10,0))</f>
        <v>0</v>
      </c>
      <c r="AL19" s="14">
        <f>IF(Distances!AL16="N.C.",0,ROUNDUP(AL5+'Délai intermédiaire'!AL16/10,0))</f>
        <v>0</v>
      </c>
      <c r="AM19" s="14">
        <f>IF(Distances!AM16="N.C.",0,ROUNDUP(AM5+'Délai intermédiaire'!AM16/10,0))</f>
        <v>0</v>
      </c>
      <c r="AN19" s="14">
        <f>IF(Distances!AN16="N.C.",0,ROUNDUP(AN5+'Délai intermédiaire'!AN16/10,0))</f>
        <v>0</v>
      </c>
      <c r="AO19" s="14">
        <f>IF(Distances!AO16="N.C.",0,ROUNDUP(AO5+'Délai intermédiaire'!AO16/10,0))</f>
        <v>0</v>
      </c>
      <c r="AP19" s="14">
        <f>IF(Distances!AP16="N.C.",0,ROUNDUP(AP5+'Délai intermédiaire'!AP16/10,0))</f>
        <v>0</v>
      </c>
      <c r="AQ19" s="14">
        <f>IF(Distances!AQ16="N.C.",0,ROUNDUP(AQ5+'Délai intermédiaire'!AQ16/10,0))</f>
        <v>0</v>
      </c>
      <c r="AR19" s="14">
        <f>IF(Distances!AR16="N.C.",0,ROUNDUP(AR5+'Délai intermédiaire'!AR16/10,0))</f>
        <v>0</v>
      </c>
      <c r="AS19" s="14">
        <f>IF(Distances!AS16="N.C.",0,ROUNDUP(AS5+'Délai intermédiaire'!AS16/10,0))</f>
        <v>0</v>
      </c>
      <c r="AT19" s="14">
        <f>IF(Distances!AT16="N.C.",0,ROUNDUP(AT5+'Délai intermédiaire'!AT16/10,0))</f>
        <v>0</v>
      </c>
      <c r="AU19" s="14">
        <f>IF(Distances!AU16="N.C.",0,ROUNDUP(AU5+'Délai intermédiaire'!AU16/10,0))</f>
        <v>0</v>
      </c>
      <c r="AV19" s="14">
        <f>IF(Distances!AV16="N.C.",0,ROUNDUP(AV5+'Délai intermédiaire'!AV16/10,0))</f>
        <v>0</v>
      </c>
      <c r="AW19" s="14">
        <f>IF(Distances!AW16="N.C.",0,ROUNDUP(AW5+'Délai intermédiaire'!AW16/10,0))</f>
        <v>0</v>
      </c>
      <c r="AX19" s="14">
        <f>IF(Distances!AX16="N.C.",0,ROUNDUP(AX5+'Délai intermédiaire'!AX16/10,0))</f>
        <v>0</v>
      </c>
      <c r="AY19" s="14">
        <f>IF(Distances!AY16="N.C.",0,ROUNDUP(AY5+'Délai intermédiaire'!AY16/10,0))</f>
        <v>0</v>
      </c>
      <c r="AZ19" s="14">
        <f>IF(Distances!AZ16="N.C.",0,ROUNDUP(AZ5+'Délai intermédiaire'!AZ16/10,0))</f>
        <v>0</v>
      </c>
      <c r="BA19" s="14">
        <f>IF(Distances!BA16="N.C.",0,ROUNDUP(BA5+'Délai intermédiaire'!BA16/10,0))</f>
        <v>0</v>
      </c>
      <c r="BB19" s="14">
        <f>IF(Distances!BB16="N.C.",0,ROUNDUP(BB5+'Délai intermédiaire'!BB16/10,0))</f>
        <v>0</v>
      </c>
      <c r="BC19" s="14">
        <f>IF(Distances!BC16="N.C.",0,ROUNDUP(BC5+'Délai intermédiaire'!BC16/10,0))</f>
        <v>0</v>
      </c>
      <c r="BD19" s="14">
        <f>IF(Distances!BD16="N.C.",0,ROUNDUP(BD5+'Délai intermédiaire'!BD16/10,0))</f>
        <v>0</v>
      </c>
      <c r="BE19" s="14">
        <f>IF(Distances!BE16="N.C.",0,ROUNDUP(BE5+'Délai intermédiaire'!BE16/10,0))</f>
        <v>0</v>
      </c>
      <c r="BF19" s="14">
        <f>IF(Distances!BF16="N.C.",0,ROUNDUP(BF5+'Délai intermédiaire'!BF16/10,0))</f>
        <v>0</v>
      </c>
      <c r="BG19" s="14">
        <f>IF(Distances!BG16="N.C.",0,ROUNDUP(BG5+'Délai intermédiaire'!BG16/10,0))</f>
        <v>0</v>
      </c>
      <c r="BH19" s="14">
        <f>IF(Distances!BH16="N.C.",0,ROUNDUP(BH5+'Délai intermédiaire'!BH16/10,0))</f>
        <v>0</v>
      </c>
      <c r="BI19" s="14">
        <f>IF(Distances!BI16="N.C.",0,ROUNDUP(BI5+'Délai intermédiaire'!BI16/10,0))</f>
        <v>0</v>
      </c>
      <c r="BJ19" s="15">
        <f>IF(Distances!BJ16="N.C.",0,ROUNDUP(BJ5+'Délai intermédiaire'!BJ16/10,0))</f>
        <v>0</v>
      </c>
    </row>
    <row r="20" spans="1:62" x14ac:dyDescent="0.3">
      <c r="A20" s="10" t="s">
        <v>14</v>
      </c>
      <c r="B20" s="16">
        <f>IF(Distances!B17="N.C.",0,ROUNDUP(B5+'Délai intermédiaire'!B17/10,0))</f>
        <v>0</v>
      </c>
      <c r="C20" s="14">
        <f>IF(Distances!C17="N.C.",0,ROUNDUP(C5+'Délai intermédiaire'!C17/10,0))</f>
        <v>0</v>
      </c>
      <c r="D20" s="14">
        <f>IF(Distances!D17="N.C.",0,ROUNDUP(D5+'Délai intermédiaire'!D17/10,0))</f>
        <v>0</v>
      </c>
      <c r="E20" s="14">
        <f>IF(Distances!E17="N.C.",0,ROUNDUP(E5+'Délai intermédiaire'!E17/10,0))</f>
        <v>0</v>
      </c>
      <c r="F20" s="14">
        <f>IF(Distances!F17="N.C.",0,ROUNDUP(F5+'Délai intermédiaire'!F17/10,0))</f>
        <v>0</v>
      </c>
      <c r="G20" s="14">
        <f>IF(Distances!G17="N.C.",0,ROUNDUP(G5+'Délai intermédiaire'!G17/10,0))</f>
        <v>0</v>
      </c>
      <c r="H20" s="14">
        <f>IF(Distances!H17="N.C.",0,ROUNDUP(H5+'Délai intermédiaire'!H17/10,0))</f>
        <v>0</v>
      </c>
      <c r="I20" s="14">
        <f>IF(Distances!I17="N.C.",0,ROUNDUP(I5+'Délai intermédiaire'!I17/10,0))</f>
        <v>0</v>
      </c>
      <c r="J20" s="14">
        <f>IF(Distances!J17="N.C.",0,ROUNDUP(J5+'Délai intermédiaire'!J17/10,0))</f>
        <v>0</v>
      </c>
      <c r="K20" s="14">
        <f>IF(Distances!K17="N.C.",0,ROUNDUP(K5+'Délai intermédiaire'!K17/10,0))</f>
        <v>0</v>
      </c>
      <c r="L20" s="14">
        <f>IF(Distances!L17="N.C.",0,ROUNDUP(L5+'Délai intermédiaire'!L17/10,0))</f>
        <v>0</v>
      </c>
      <c r="M20" s="14">
        <f>IF(Distances!M17="N.C.",0,ROUNDUP(M5+'Délai intermédiaire'!M17/10,0))</f>
        <v>0</v>
      </c>
      <c r="N20" s="14">
        <f>IF(Distances!N17="N.C.",0,ROUNDUP(N5+'Délai intermédiaire'!N17/10,0))</f>
        <v>0</v>
      </c>
      <c r="O20" s="12">
        <f>IF(Distances!O17="N.C.",0,ROUNDUP(O5+'Délai intermédiaire'!O17/10,0))</f>
        <v>2</v>
      </c>
      <c r="P20" s="13">
        <f>IF(Distances!P17="N.C.",0,ROUNDUP(P5+'Délai intermédiaire'!P17/10,0))</f>
        <v>6</v>
      </c>
      <c r="Q20" s="14">
        <f>IF(Distances!Q17="N.C.",0,ROUNDUP(Q5+'Délai intermédiaire'!Q17/10,0))</f>
        <v>0</v>
      </c>
      <c r="R20" s="14">
        <f>IF(Distances!R17="N.C.",0,ROUNDUP(R5+'Délai intermédiaire'!R17/10,0))</f>
        <v>0</v>
      </c>
      <c r="S20" s="14">
        <f>IF(Distances!S17="N.C.",0,ROUNDUP(S5+'Délai intermédiaire'!S17/10,0))</f>
        <v>0</v>
      </c>
      <c r="T20" s="14">
        <f>IF(Distances!T17="N.C.",0,ROUNDUP(T5+'Délai intermédiaire'!T17/10,0))</f>
        <v>0</v>
      </c>
      <c r="U20" s="14">
        <f>IF(Distances!U17="N.C.",0,ROUNDUP(U5+'Délai intermédiaire'!U17/10,0))</f>
        <v>0</v>
      </c>
      <c r="V20" s="14">
        <f>IF(Distances!V17="N.C.",0,ROUNDUP(V5+'Délai intermédiaire'!V17/10,0))</f>
        <v>0</v>
      </c>
      <c r="W20" s="14">
        <f>IF(Distances!W17="N.C.",0,ROUNDUP(W5+'Délai intermédiaire'!W17/10,0))</f>
        <v>0</v>
      </c>
      <c r="X20" s="14">
        <f>IF(Distances!X17="N.C.",0,ROUNDUP(X5+'Délai intermédiaire'!X17/10,0))</f>
        <v>0</v>
      </c>
      <c r="Y20" s="14">
        <f>IF(Distances!Y17="N.C.",0,ROUNDUP(Y5+'Délai intermédiaire'!Y17/10,0))</f>
        <v>0</v>
      </c>
      <c r="Z20" s="14">
        <f>IF(Distances!Z17="N.C.",0,ROUNDUP(Z5+'Délai intermédiaire'!Z17/10,0))</f>
        <v>0</v>
      </c>
      <c r="AA20" s="14">
        <f>IF(Distances!AA17="N.C.",0,ROUNDUP(AA5+'Délai intermédiaire'!AA17/10,0))</f>
        <v>0</v>
      </c>
      <c r="AB20" s="14">
        <f>IF(Distances!AB17="N.C.",0,ROUNDUP(AB5+'Délai intermédiaire'!AB17/10,0))</f>
        <v>0</v>
      </c>
      <c r="AC20" s="14">
        <f>IF(Distances!AC17="N.C.",0,ROUNDUP(AC5+'Délai intermédiaire'!AC17/10,0))</f>
        <v>0</v>
      </c>
      <c r="AD20" s="14">
        <f>IF(Distances!AD17="N.C.",0,ROUNDUP(AD5+'Délai intermédiaire'!AD17/10,0))</f>
        <v>0</v>
      </c>
      <c r="AE20" s="14">
        <f>IF(Distances!AE17="N.C.",0,ROUNDUP(AE5+'Délai intermédiaire'!AE17/10,0))</f>
        <v>0</v>
      </c>
      <c r="AF20" s="14">
        <f>IF(Distances!AF17="N.C.",0,ROUNDUP(AF5+'Délai intermédiaire'!AF17/10,0))</f>
        <v>0</v>
      </c>
      <c r="AG20" s="14">
        <f>IF(Distances!AG17="N.C.",0,ROUNDUP(AG5+'Délai intermédiaire'!AG17/10,0))</f>
        <v>0</v>
      </c>
      <c r="AH20" s="14">
        <f>IF(Distances!AH17="N.C.",0,ROUNDUP(AH5+'Délai intermédiaire'!AH17/10,0))</f>
        <v>0</v>
      </c>
      <c r="AI20" s="14">
        <f>IF(Distances!AI17="N.C.",0,ROUNDUP(AI5+'Délai intermédiaire'!AI17/10,0))</f>
        <v>0</v>
      </c>
      <c r="AJ20" s="14">
        <f>IF(Distances!AJ17="N.C.",0,ROUNDUP(AJ5+'Délai intermédiaire'!AJ17/10,0))</f>
        <v>0</v>
      </c>
      <c r="AK20" s="14">
        <f>IF(Distances!AK17="N.C.",0,ROUNDUP(AK5+'Délai intermédiaire'!AK17/10,0))</f>
        <v>0</v>
      </c>
      <c r="AL20" s="14">
        <f>IF(Distances!AL17="N.C.",0,ROUNDUP(AL5+'Délai intermédiaire'!AL17/10,0))</f>
        <v>0</v>
      </c>
      <c r="AM20" s="14">
        <f>IF(Distances!AM17="N.C.",0,ROUNDUP(AM5+'Délai intermédiaire'!AM17/10,0))</f>
        <v>0</v>
      </c>
      <c r="AN20" s="14">
        <f>IF(Distances!AN17="N.C.",0,ROUNDUP(AN5+'Délai intermédiaire'!AN17/10,0))</f>
        <v>0</v>
      </c>
      <c r="AO20" s="14">
        <f>IF(Distances!AO17="N.C.",0,ROUNDUP(AO5+'Délai intermédiaire'!AO17/10,0))</f>
        <v>0</v>
      </c>
      <c r="AP20" s="14">
        <f>IF(Distances!AP17="N.C.",0,ROUNDUP(AP5+'Délai intermédiaire'!AP17/10,0))</f>
        <v>0</v>
      </c>
      <c r="AQ20" s="14">
        <f>IF(Distances!AQ17="N.C.",0,ROUNDUP(AQ5+'Délai intermédiaire'!AQ17/10,0))</f>
        <v>0</v>
      </c>
      <c r="AR20" s="14">
        <f>IF(Distances!AR17="N.C.",0,ROUNDUP(AR5+'Délai intermédiaire'!AR17/10,0))</f>
        <v>0</v>
      </c>
      <c r="AS20" s="14">
        <f>IF(Distances!AS17="N.C.",0,ROUNDUP(AS5+'Délai intermédiaire'!AS17/10,0))</f>
        <v>0</v>
      </c>
      <c r="AT20" s="14">
        <f>IF(Distances!AT17="N.C.",0,ROUNDUP(AT5+'Délai intermédiaire'!AT17/10,0))</f>
        <v>0</v>
      </c>
      <c r="AU20" s="14">
        <f>IF(Distances!AU17="N.C.",0,ROUNDUP(AU5+'Délai intermédiaire'!AU17/10,0))</f>
        <v>0</v>
      </c>
      <c r="AV20" s="14">
        <f>IF(Distances!AV17="N.C.",0,ROUNDUP(AV5+'Délai intermédiaire'!AV17/10,0))</f>
        <v>0</v>
      </c>
      <c r="AW20" s="14">
        <f>IF(Distances!AW17="N.C.",0,ROUNDUP(AW5+'Délai intermédiaire'!AW17/10,0))</f>
        <v>0</v>
      </c>
      <c r="AX20" s="14">
        <f>IF(Distances!AX17="N.C.",0,ROUNDUP(AX5+'Délai intermédiaire'!AX17/10,0))</f>
        <v>0</v>
      </c>
      <c r="AY20" s="14">
        <f>IF(Distances!AY17="N.C.",0,ROUNDUP(AY5+'Délai intermédiaire'!AY17/10,0))</f>
        <v>0</v>
      </c>
      <c r="AZ20" s="14">
        <f>IF(Distances!AZ17="N.C.",0,ROUNDUP(AZ5+'Délai intermédiaire'!AZ17/10,0))</f>
        <v>0</v>
      </c>
      <c r="BA20" s="14">
        <f>IF(Distances!BA17="N.C.",0,ROUNDUP(BA5+'Délai intermédiaire'!BA17/10,0))</f>
        <v>0</v>
      </c>
      <c r="BB20" s="14">
        <f>IF(Distances!BB17="N.C.",0,ROUNDUP(BB5+'Délai intermédiaire'!BB17/10,0))</f>
        <v>0</v>
      </c>
      <c r="BC20" s="14">
        <f>IF(Distances!BC17="N.C.",0,ROUNDUP(BC5+'Délai intermédiaire'!BC17/10,0))</f>
        <v>0</v>
      </c>
      <c r="BD20" s="14">
        <f>IF(Distances!BD17="N.C.",0,ROUNDUP(BD5+'Délai intermédiaire'!BD17/10,0))</f>
        <v>0</v>
      </c>
      <c r="BE20" s="14">
        <f>IF(Distances!BE17="N.C.",0,ROUNDUP(BE5+'Délai intermédiaire'!BE17/10,0))</f>
        <v>0</v>
      </c>
      <c r="BF20" s="14">
        <f>IF(Distances!BF17="N.C.",0,ROUNDUP(BF5+'Délai intermédiaire'!BF17/10,0))</f>
        <v>0</v>
      </c>
      <c r="BG20" s="14">
        <f>IF(Distances!BG17="N.C.",0,ROUNDUP(BG5+'Délai intermédiaire'!BG17/10,0))</f>
        <v>0</v>
      </c>
      <c r="BH20" s="12">
        <f>IF(Distances!BH17="N.C.",0,ROUNDUP(BH5+'Délai intermédiaire'!BH17/10,0))</f>
        <v>12</v>
      </c>
      <c r="BI20" s="12">
        <f>IF(Distances!BI17="N.C.",0,ROUNDUP(BI5+'Délai intermédiaire'!BI17/10,0))</f>
        <v>7</v>
      </c>
      <c r="BJ20" s="17">
        <f>IF(Distances!BJ17="N.C.",0,ROUNDUP(BJ5+'Délai intermédiaire'!BJ17/10,0))</f>
        <v>6</v>
      </c>
    </row>
    <row r="21" spans="1:62" x14ac:dyDescent="0.3">
      <c r="A21" s="10" t="s">
        <v>15</v>
      </c>
      <c r="B21" s="16">
        <f>IF(Distances!B18="N.C.",0,ROUNDUP(B5+'Délai intermédiaire'!B18/10,0))</f>
        <v>0</v>
      </c>
      <c r="C21" s="14">
        <f>IF(Distances!C18="N.C.",0,ROUNDUP(C5+'Délai intermédiaire'!C18/10,0))</f>
        <v>0</v>
      </c>
      <c r="D21" s="14">
        <f>IF(Distances!D18="N.C.",0,ROUNDUP(D5+'Délai intermédiaire'!D18/10,0))</f>
        <v>0</v>
      </c>
      <c r="E21" s="14">
        <f>IF(Distances!E18="N.C.",0,ROUNDUP(E5+'Délai intermédiaire'!E18/10,0))</f>
        <v>0</v>
      </c>
      <c r="F21" s="14">
        <f>IF(Distances!F18="N.C.",0,ROUNDUP(F5+'Délai intermédiaire'!F18/10,0))</f>
        <v>0</v>
      </c>
      <c r="G21" s="14">
        <f>IF(Distances!G18="N.C.",0,ROUNDUP(G5+'Délai intermédiaire'!G18/10,0))</f>
        <v>0</v>
      </c>
      <c r="H21" s="14">
        <f>IF(Distances!H18="N.C.",0,ROUNDUP(H5+'Délai intermédiaire'!H18/10,0))</f>
        <v>0</v>
      </c>
      <c r="I21" s="14">
        <f>IF(Distances!I18="N.C.",0,ROUNDUP(I5+'Délai intermédiaire'!I18/10,0))</f>
        <v>0</v>
      </c>
      <c r="J21" s="14">
        <f>IF(Distances!J18="N.C.",0,ROUNDUP(J5+'Délai intermédiaire'!J18/10,0))</f>
        <v>0</v>
      </c>
      <c r="K21" s="14">
        <f>IF(Distances!K18="N.C.",0,ROUNDUP(K5+'Délai intermédiaire'!K18/10,0))</f>
        <v>0</v>
      </c>
      <c r="L21" s="14">
        <f>IF(Distances!L18="N.C.",0,ROUNDUP(L5+'Délai intermédiaire'!L18/10,0))</f>
        <v>0</v>
      </c>
      <c r="M21" s="14">
        <f>IF(Distances!M18="N.C.",0,ROUNDUP(M5+'Délai intermédiaire'!M18/10,0))</f>
        <v>0</v>
      </c>
      <c r="N21" s="14">
        <f>IF(Distances!N18="N.C.",0,ROUNDUP(N5+'Délai intermédiaire'!N18/10,0))</f>
        <v>0</v>
      </c>
      <c r="O21" s="13">
        <f>IF(Distances!O18="N.C.",0,ROUNDUP(O5+'Délai intermédiaire'!O18/10,0))</f>
        <v>6</v>
      </c>
      <c r="P21" s="12">
        <f>IF(Distances!P18="N.C.",0,ROUNDUP(P5+'Délai intermédiaire'!P18/10,0))</f>
        <v>2</v>
      </c>
      <c r="Q21" s="14">
        <f>IF(Distances!Q18="N.C.",0,ROUNDUP(Q5+'Délai intermédiaire'!Q18/10,0))</f>
        <v>0</v>
      </c>
      <c r="R21" s="14">
        <f>IF(Distances!R18="N.C.",0,ROUNDUP(R5+'Délai intermédiaire'!R18/10,0))</f>
        <v>0</v>
      </c>
      <c r="S21" s="14">
        <f>IF(Distances!S18="N.C.",0,ROUNDUP(S5+'Délai intermédiaire'!S18/10,0))</f>
        <v>0</v>
      </c>
      <c r="T21" s="14">
        <f>IF(Distances!T18="N.C.",0,ROUNDUP(T5+'Délai intermédiaire'!T18/10,0))</f>
        <v>0</v>
      </c>
      <c r="U21" s="14">
        <f>IF(Distances!U18="N.C.",0,ROUNDUP(U5+'Délai intermédiaire'!U18/10,0))</f>
        <v>0</v>
      </c>
      <c r="V21" s="14">
        <f>IF(Distances!V18="N.C.",0,ROUNDUP(V5+'Délai intermédiaire'!V18/10,0))</f>
        <v>0</v>
      </c>
      <c r="W21" s="14">
        <f>IF(Distances!W18="N.C.",0,ROUNDUP(W5+'Délai intermédiaire'!W18/10,0))</f>
        <v>0</v>
      </c>
      <c r="X21" s="14">
        <f>IF(Distances!X18="N.C.",0,ROUNDUP(X5+'Délai intermédiaire'!X18/10,0))</f>
        <v>0</v>
      </c>
      <c r="Y21" s="14">
        <f>IF(Distances!Y18="N.C.",0,ROUNDUP(Y5+'Délai intermédiaire'!Y18/10,0))</f>
        <v>0</v>
      </c>
      <c r="Z21" s="14">
        <f>IF(Distances!Z18="N.C.",0,ROUNDUP(Z5+'Délai intermédiaire'!Z18/10,0))</f>
        <v>0</v>
      </c>
      <c r="AA21" s="14">
        <f>IF(Distances!AA18="N.C.",0,ROUNDUP(AA5+'Délai intermédiaire'!AA18/10,0))</f>
        <v>0</v>
      </c>
      <c r="AB21" s="14">
        <f>IF(Distances!AB18="N.C.",0,ROUNDUP(AB5+'Délai intermédiaire'!AB18/10,0))</f>
        <v>0</v>
      </c>
      <c r="AC21" s="14">
        <f>IF(Distances!AC18="N.C.",0,ROUNDUP(AC5+'Délai intermédiaire'!AC18/10,0))</f>
        <v>0</v>
      </c>
      <c r="AD21" s="14">
        <f>IF(Distances!AD18="N.C.",0,ROUNDUP(AD5+'Délai intermédiaire'!AD18/10,0))</f>
        <v>0</v>
      </c>
      <c r="AE21" s="14">
        <f>IF(Distances!AE18="N.C.",0,ROUNDUP(AE5+'Délai intermédiaire'!AE18/10,0))</f>
        <v>0</v>
      </c>
      <c r="AF21" s="14">
        <f>IF(Distances!AF18="N.C.",0,ROUNDUP(AF5+'Délai intermédiaire'!AF18/10,0))</f>
        <v>0</v>
      </c>
      <c r="AG21" s="14">
        <f>IF(Distances!AG18="N.C.",0,ROUNDUP(AG5+'Délai intermédiaire'!AG18/10,0))</f>
        <v>0</v>
      </c>
      <c r="AH21" s="14">
        <f>IF(Distances!AH18="N.C.",0,ROUNDUP(AH5+'Délai intermédiaire'!AH18/10,0))</f>
        <v>0</v>
      </c>
      <c r="AI21" s="14">
        <f>IF(Distances!AI18="N.C.",0,ROUNDUP(AI5+'Délai intermédiaire'!AI18/10,0))</f>
        <v>0</v>
      </c>
      <c r="AJ21" s="14">
        <f>IF(Distances!AJ18="N.C.",0,ROUNDUP(AJ5+'Délai intermédiaire'!AJ18/10,0))</f>
        <v>0</v>
      </c>
      <c r="AK21" s="14">
        <f>IF(Distances!AK18="N.C.",0,ROUNDUP(AK5+'Délai intermédiaire'!AK18/10,0))</f>
        <v>0</v>
      </c>
      <c r="AL21" s="14">
        <f>IF(Distances!AL18="N.C.",0,ROUNDUP(AL5+'Délai intermédiaire'!AL18/10,0))</f>
        <v>0</v>
      </c>
      <c r="AM21" s="14">
        <f>IF(Distances!AM18="N.C.",0,ROUNDUP(AM5+'Délai intermédiaire'!AM18/10,0))</f>
        <v>0</v>
      </c>
      <c r="AN21" s="14">
        <f>IF(Distances!AN18="N.C.",0,ROUNDUP(AN5+'Délai intermédiaire'!AN18/10,0))</f>
        <v>0</v>
      </c>
      <c r="AO21" s="14">
        <f>IF(Distances!AO18="N.C.",0,ROUNDUP(AO5+'Délai intermédiaire'!AO18/10,0))</f>
        <v>0</v>
      </c>
      <c r="AP21" s="14">
        <f>IF(Distances!AP18="N.C.",0,ROUNDUP(AP5+'Délai intermédiaire'!AP18/10,0))</f>
        <v>0</v>
      </c>
      <c r="AQ21" s="14">
        <f>IF(Distances!AQ18="N.C.",0,ROUNDUP(AQ5+'Délai intermédiaire'!AQ18/10,0))</f>
        <v>0</v>
      </c>
      <c r="AR21" s="14">
        <f>IF(Distances!AR18="N.C.",0,ROUNDUP(AR5+'Délai intermédiaire'!AR18/10,0))</f>
        <v>0</v>
      </c>
      <c r="AS21" s="14">
        <f>IF(Distances!AS18="N.C.",0,ROUNDUP(AS5+'Délai intermédiaire'!AS18/10,0))</f>
        <v>0</v>
      </c>
      <c r="AT21" s="14">
        <f>IF(Distances!AT18="N.C.",0,ROUNDUP(AT5+'Délai intermédiaire'!AT18/10,0))</f>
        <v>0</v>
      </c>
      <c r="AU21" s="14">
        <f>IF(Distances!AU18="N.C.",0,ROUNDUP(AU5+'Délai intermédiaire'!AU18/10,0))</f>
        <v>0</v>
      </c>
      <c r="AV21" s="14">
        <f>IF(Distances!AV18="N.C.",0,ROUNDUP(AV5+'Délai intermédiaire'!AV18/10,0))</f>
        <v>0</v>
      </c>
      <c r="AW21" s="14">
        <f>IF(Distances!AW18="N.C.",0,ROUNDUP(AW5+'Délai intermédiaire'!AW18/10,0))</f>
        <v>0</v>
      </c>
      <c r="AX21" s="14">
        <f>IF(Distances!AX18="N.C.",0,ROUNDUP(AX5+'Délai intermédiaire'!AX18/10,0))</f>
        <v>0</v>
      </c>
      <c r="AY21" s="14">
        <f>IF(Distances!AY18="N.C.",0,ROUNDUP(AY5+'Délai intermédiaire'!AY18/10,0))</f>
        <v>0</v>
      </c>
      <c r="AZ21" s="14">
        <f>IF(Distances!AZ18="N.C.",0,ROUNDUP(AZ5+'Délai intermédiaire'!AZ18/10,0))</f>
        <v>0</v>
      </c>
      <c r="BA21" s="14">
        <f>IF(Distances!BA18="N.C.",0,ROUNDUP(BA5+'Délai intermédiaire'!BA18/10,0))</f>
        <v>0</v>
      </c>
      <c r="BB21" s="14">
        <f>IF(Distances!BB18="N.C.",0,ROUNDUP(BB5+'Délai intermédiaire'!BB18/10,0))</f>
        <v>0</v>
      </c>
      <c r="BC21" s="14">
        <f>IF(Distances!BC18="N.C.",0,ROUNDUP(BC5+'Délai intermédiaire'!BC18/10,0))</f>
        <v>0</v>
      </c>
      <c r="BD21" s="14">
        <f>IF(Distances!BD18="N.C.",0,ROUNDUP(BD5+'Délai intermédiaire'!BD18/10,0))</f>
        <v>0</v>
      </c>
      <c r="BE21" s="14">
        <f>IF(Distances!BE18="N.C.",0,ROUNDUP(BE5+'Délai intermédiaire'!BE18/10,0))</f>
        <v>0</v>
      </c>
      <c r="BF21" s="14">
        <f>IF(Distances!BF18="N.C.",0,ROUNDUP(BF5+'Délai intermédiaire'!BF18/10,0))</f>
        <v>0</v>
      </c>
      <c r="BG21" s="14">
        <f>IF(Distances!BG18="N.C.",0,ROUNDUP(BG5+'Délai intermédiaire'!BG18/10,0))</f>
        <v>0</v>
      </c>
      <c r="BH21" s="13">
        <f>IF(Distances!BH18="N.C.",0,ROUNDUP(BH5+'Délai intermédiaire'!BH18/10,0))</f>
        <v>15</v>
      </c>
      <c r="BI21" s="13">
        <f>IF(Distances!BI18="N.C.",0,ROUNDUP(BI5+'Délai intermédiaire'!BI18/10,0))</f>
        <v>10</v>
      </c>
      <c r="BJ21" s="18">
        <f>IF(Distances!BJ18="N.C.",0,ROUNDUP(BJ5+'Délai intermédiaire'!BJ18/10,0))</f>
        <v>9</v>
      </c>
    </row>
    <row r="22" spans="1:62" x14ac:dyDescent="0.3">
      <c r="A22" s="10" t="s">
        <v>16</v>
      </c>
      <c r="B22" s="16">
        <f>IF(Distances!B19="N.C.",0,ROUNDUP(B5+'Délai intermédiaire'!B19/10,0))</f>
        <v>0</v>
      </c>
      <c r="C22" s="14">
        <f>IF(Distances!C19="N.C.",0,ROUNDUP(C5+'Délai intermédiaire'!C19/10,0))</f>
        <v>0</v>
      </c>
      <c r="D22" s="14">
        <f>IF(Distances!D19="N.C.",0,ROUNDUP(D5+'Délai intermédiaire'!D19/10,0))</f>
        <v>0</v>
      </c>
      <c r="E22" s="14">
        <f>IF(Distances!E19="N.C.",0,ROUNDUP(E5+'Délai intermédiaire'!E19/10,0))</f>
        <v>0</v>
      </c>
      <c r="F22" s="14">
        <f>IF(Distances!F19="N.C.",0,ROUNDUP(F5+'Délai intermédiaire'!F19/10,0))</f>
        <v>0</v>
      </c>
      <c r="G22" s="14">
        <f>IF(Distances!G19="N.C.",0,ROUNDUP(G5+'Délai intermédiaire'!G19/10,0))</f>
        <v>0</v>
      </c>
      <c r="H22" s="14">
        <f>IF(Distances!H19="N.C.",0,ROUNDUP(H5+'Délai intermédiaire'!H19/10,0))</f>
        <v>0</v>
      </c>
      <c r="I22" s="14">
        <f>IF(Distances!I19="N.C.",0,ROUNDUP(I5+'Délai intermédiaire'!I19/10,0))</f>
        <v>0</v>
      </c>
      <c r="J22" s="14">
        <f>IF(Distances!J19="N.C.",0,ROUNDUP(J5+'Délai intermédiaire'!J19/10,0))</f>
        <v>0</v>
      </c>
      <c r="K22" s="14">
        <f>IF(Distances!K19="N.C.",0,ROUNDUP(K5+'Délai intermédiaire'!K19/10,0))</f>
        <v>0</v>
      </c>
      <c r="L22" s="14">
        <f>IF(Distances!L19="N.C.",0,ROUNDUP(L5+'Délai intermédiaire'!L19/10,0))</f>
        <v>0</v>
      </c>
      <c r="M22" s="14">
        <f>IF(Distances!M19="N.C.",0,ROUNDUP(M5+'Délai intermédiaire'!M19/10,0))</f>
        <v>0</v>
      </c>
      <c r="N22" s="14">
        <f>IF(Distances!N19="N.C.",0,ROUNDUP(N5+'Délai intermédiaire'!N19/10,0))</f>
        <v>0</v>
      </c>
      <c r="O22" s="14">
        <f>IF(Distances!O19="N.C.",0,ROUNDUP(O5+'Délai intermédiaire'!O19/10,0))</f>
        <v>0</v>
      </c>
      <c r="P22" s="14">
        <f>IF(Distances!P19="N.C.",0,ROUNDUP(P5+'Délai intermédiaire'!P19/10,0))</f>
        <v>0</v>
      </c>
      <c r="Q22" s="12">
        <f>IF(Distances!Q19="N.C.",0,ROUNDUP(Q5+'Délai intermédiaire'!Q19/10,0))</f>
        <v>1</v>
      </c>
      <c r="R22" s="13">
        <f>IF(Distances!R19="N.C.",0,ROUNDUP(R5+'Délai intermédiaire'!R19/10,0))</f>
        <v>2</v>
      </c>
      <c r="S22" s="13">
        <f>IF(Distances!S19="N.C.",0,ROUNDUP(S5+'Délai intermédiaire'!S19/10,0))</f>
        <v>2</v>
      </c>
      <c r="T22" s="13">
        <f>IF(Distances!T19="N.C.",0,ROUNDUP(T5+'Délai intermédiaire'!T19/10,0))</f>
        <v>0</v>
      </c>
      <c r="U22" s="13">
        <f>IF(Distances!U19="N.C.",0,ROUNDUP(U5+'Délai intermédiaire'!U19/10,0))</f>
        <v>0</v>
      </c>
      <c r="V22" s="13">
        <f>IF(Distances!V19="N.C.",0,ROUNDUP(V5+'Délai intermédiaire'!V19/10,0))</f>
        <v>0</v>
      </c>
      <c r="W22" s="13">
        <f>IF(Distances!W19="N.C.",0,ROUNDUP(W5+'Délai intermédiaire'!W19/10,0))</f>
        <v>0</v>
      </c>
      <c r="X22" s="13">
        <f>IF(Distances!X19="N.C.",0,ROUNDUP(X5+'Délai intermédiaire'!X19/10,0))</f>
        <v>0</v>
      </c>
      <c r="Y22" s="13">
        <f>IF(Distances!Y19="N.C.",0,ROUNDUP(Y5+'Délai intermédiaire'!Y19/10,0))</f>
        <v>0</v>
      </c>
      <c r="Z22" s="13">
        <f>IF(Distances!Z19="N.C.",0,ROUNDUP(Z5+'Délai intermédiaire'!Z19/10,0))</f>
        <v>0</v>
      </c>
      <c r="AA22" s="13">
        <f>IF(Distances!AA19="N.C.",0,ROUNDUP(AA5+'Délai intermédiaire'!AA19/10,0))</f>
        <v>0</v>
      </c>
      <c r="AB22" s="13">
        <f>IF(Distances!AB19="N.C.",0,ROUNDUP(AB5+'Délai intermédiaire'!AB19/10,0))</f>
        <v>0</v>
      </c>
      <c r="AC22" s="13">
        <f>IF(Distances!AC19="N.C.",0,ROUNDUP(AC5+'Délai intermédiaire'!AC19/10,0))</f>
        <v>0</v>
      </c>
      <c r="AD22" s="13">
        <f>IF(Distances!AD19="N.C.",0,ROUNDUP(AD5+'Délai intermédiaire'!AD19/10,0))</f>
        <v>0</v>
      </c>
      <c r="AE22" s="13">
        <f>IF(Distances!AE19="N.C.",0,ROUNDUP(AE5+'Délai intermédiaire'!AE19/10,0))</f>
        <v>0</v>
      </c>
      <c r="AF22" s="13">
        <f>IF(Distances!AF19="N.C.",0,ROUNDUP(AF5+'Délai intermédiaire'!AF19/10,0))</f>
        <v>0</v>
      </c>
      <c r="AG22" s="13">
        <f>IF(Distances!AG19="N.C.",0,ROUNDUP(AG5+'Délai intermédiaire'!AG19/10,0))</f>
        <v>0</v>
      </c>
      <c r="AH22" s="14">
        <f>IF(Distances!AH19="N.C.",0,ROUNDUP(AH5+'Délai intermédiaire'!AH19/10,0))</f>
        <v>0</v>
      </c>
      <c r="AI22" s="14">
        <f>IF(Distances!AI19="N.C.",0,ROUNDUP(AI5+'Délai intermédiaire'!AI19/10,0))</f>
        <v>0</v>
      </c>
      <c r="AJ22" s="14">
        <f>IF(Distances!AJ19="N.C.",0,ROUNDUP(AJ5+'Délai intermédiaire'!AJ19/10,0))</f>
        <v>0</v>
      </c>
      <c r="AK22" s="14">
        <f>IF(Distances!AK19="N.C.",0,ROUNDUP(AK5+'Délai intermédiaire'!AK19/10,0))</f>
        <v>0</v>
      </c>
      <c r="AL22" s="14">
        <f>IF(Distances!AL19="N.C.",0,ROUNDUP(AL5+'Délai intermédiaire'!AL19/10,0))</f>
        <v>0</v>
      </c>
      <c r="AM22" s="14">
        <f>IF(Distances!AM19="N.C.",0,ROUNDUP(AM5+'Délai intermédiaire'!AM19/10,0))</f>
        <v>0</v>
      </c>
      <c r="AN22" s="14">
        <f>IF(Distances!AN19="N.C.",0,ROUNDUP(AN5+'Délai intermédiaire'!AN19/10,0))</f>
        <v>0</v>
      </c>
      <c r="AO22" s="14">
        <f>IF(Distances!AO19="N.C.",0,ROUNDUP(AO5+'Délai intermédiaire'!AO19/10,0))</f>
        <v>0</v>
      </c>
      <c r="AP22" s="14">
        <f>IF(Distances!AP19="N.C.",0,ROUNDUP(AP5+'Délai intermédiaire'!AP19/10,0))</f>
        <v>0</v>
      </c>
      <c r="AQ22" s="14">
        <f>IF(Distances!AQ19="N.C.",0,ROUNDUP(AQ5+'Délai intermédiaire'!AQ19/10,0))</f>
        <v>0</v>
      </c>
      <c r="AR22" s="14">
        <f>IF(Distances!AR19="N.C.",0,ROUNDUP(AR5+'Délai intermédiaire'!AR19/10,0))</f>
        <v>0</v>
      </c>
      <c r="AS22" s="14">
        <f>IF(Distances!AS19="N.C.",0,ROUNDUP(AS5+'Délai intermédiaire'!AS19/10,0))</f>
        <v>0</v>
      </c>
      <c r="AT22" s="14">
        <f>IF(Distances!AT19="N.C.",0,ROUNDUP(AT5+'Délai intermédiaire'!AT19/10,0))</f>
        <v>0</v>
      </c>
      <c r="AU22" s="14">
        <f>IF(Distances!AU19="N.C.",0,ROUNDUP(AU5+'Délai intermédiaire'!AU19/10,0))</f>
        <v>0</v>
      </c>
      <c r="AV22" s="14">
        <f>IF(Distances!AV19="N.C.",0,ROUNDUP(AV5+'Délai intermédiaire'!AV19/10,0))</f>
        <v>0</v>
      </c>
      <c r="AW22" s="14">
        <f>IF(Distances!AW19="N.C.",0,ROUNDUP(AW5+'Délai intermédiaire'!AW19/10,0))</f>
        <v>0</v>
      </c>
      <c r="AX22" s="14">
        <f>IF(Distances!AX19="N.C.",0,ROUNDUP(AX5+'Délai intermédiaire'!AX19/10,0))</f>
        <v>0</v>
      </c>
      <c r="AY22" s="14">
        <f>IF(Distances!AY19="N.C.",0,ROUNDUP(AY5+'Délai intermédiaire'!AY19/10,0))</f>
        <v>0</v>
      </c>
      <c r="AZ22" s="14">
        <f>IF(Distances!AZ19="N.C.",0,ROUNDUP(AZ5+'Délai intermédiaire'!AZ19/10,0))</f>
        <v>0</v>
      </c>
      <c r="BA22" s="14">
        <f>IF(Distances!BA19="N.C.",0,ROUNDUP(BA5+'Délai intermédiaire'!BA19/10,0))</f>
        <v>0</v>
      </c>
      <c r="BB22" s="13">
        <f>IF(Distances!BB19="N.C.",0,ROUNDUP(BB5+'Délai intermédiaire'!BB19/10,0))</f>
        <v>0</v>
      </c>
      <c r="BC22" s="14">
        <f>IF(Distances!BC19="N.C.",0,ROUNDUP(BC5+'Délai intermédiaire'!BC19/10,0))</f>
        <v>0</v>
      </c>
      <c r="BD22" s="14">
        <f>IF(Distances!BD19="N.C.",0,ROUNDUP(BD5+'Délai intermédiaire'!BD19/10,0))</f>
        <v>0</v>
      </c>
      <c r="BE22" s="14">
        <f>IF(Distances!BE19="N.C.",0,ROUNDUP(BE5+'Délai intermédiaire'!BE19/10,0))</f>
        <v>0</v>
      </c>
      <c r="BF22" s="13">
        <f>IF(Distances!BF19="N.C.",0,ROUNDUP(BF5+'Délai intermédiaire'!BF19/10,0))</f>
        <v>0</v>
      </c>
      <c r="BG22" s="13">
        <f>IF(Distances!BG19="N.C.",0,ROUNDUP(BG5+'Délai intermédiaire'!BG19/10,0))</f>
        <v>0</v>
      </c>
      <c r="BH22" s="14">
        <f>IF(Distances!BH19="N.C.",0,ROUNDUP(BH5+'Délai intermédiaire'!BH19/10,0))</f>
        <v>0</v>
      </c>
      <c r="BI22" s="14">
        <f>IF(Distances!BI19="N.C.",0,ROUNDUP(BI5+'Délai intermédiaire'!BI19/10,0))</f>
        <v>0</v>
      </c>
      <c r="BJ22" s="15">
        <f>IF(Distances!BJ19="N.C.",0,ROUNDUP(BJ5+'Délai intermédiaire'!BJ19/10,0))</f>
        <v>0</v>
      </c>
    </row>
    <row r="23" spans="1:62" x14ac:dyDescent="0.3">
      <c r="A23" s="10" t="s">
        <v>17</v>
      </c>
      <c r="B23" s="16">
        <f>IF(Distances!B20="N.C.",0,ROUNDUP(B5+'Délai intermédiaire'!B20/10,0))</f>
        <v>0</v>
      </c>
      <c r="C23" s="14">
        <f>IF(Distances!C20="N.C.",0,ROUNDUP(C5+'Délai intermédiaire'!C20/10,0))</f>
        <v>0</v>
      </c>
      <c r="D23" s="14">
        <f>IF(Distances!D20="N.C.",0,ROUNDUP(D5+'Délai intermédiaire'!D20/10,0))</f>
        <v>0</v>
      </c>
      <c r="E23" s="14">
        <f>IF(Distances!E20="N.C.",0,ROUNDUP(E5+'Délai intermédiaire'!E20/10,0))</f>
        <v>0</v>
      </c>
      <c r="F23" s="14">
        <f>IF(Distances!F20="N.C.",0,ROUNDUP(F5+'Délai intermédiaire'!F20/10,0))</f>
        <v>0</v>
      </c>
      <c r="G23" s="14">
        <f>IF(Distances!G20="N.C.",0,ROUNDUP(G5+'Délai intermédiaire'!G20/10,0))</f>
        <v>0</v>
      </c>
      <c r="H23" s="14">
        <f>IF(Distances!H20="N.C.",0,ROUNDUP(H5+'Délai intermédiaire'!H20/10,0))</f>
        <v>0</v>
      </c>
      <c r="I23" s="14">
        <f>IF(Distances!I20="N.C.",0,ROUNDUP(I5+'Délai intermédiaire'!I20/10,0))</f>
        <v>0</v>
      </c>
      <c r="J23" s="14">
        <f>IF(Distances!J20="N.C.",0,ROUNDUP(J5+'Délai intermédiaire'!J20/10,0))</f>
        <v>0</v>
      </c>
      <c r="K23" s="14">
        <f>IF(Distances!K20="N.C.",0,ROUNDUP(K5+'Délai intermédiaire'!K20/10,0))</f>
        <v>0</v>
      </c>
      <c r="L23" s="14">
        <f>IF(Distances!L20="N.C.",0,ROUNDUP(L5+'Délai intermédiaire'!L20/10,0))</f>
        <v>0</v>
      </c>
      <c r="M23" s="14">
        <f>IF(Distances!M20="N.C.",0,ROUNDUP(M5+'Délai intermédiaire'!M20/10,0))</f>
        <v>0</v>
      </c>
      <c r="N23" s="14">
        <f>IF(Distances!N20="N.C.",0,ROUNDUP(N5+'Délai intermédiaire'!N20/10,0))</f>
        <v>0</v>
      </c>
      <c r="O23" s="14">
        <f>IF(Distances!O20="N.C.",0,ROUNDUP(O5+'Délai intermédiaire'!O20/10,0))</f>
        <v>0</v>
      </c>
      <c r="P23" s="14">
        <f>IF(Distances!P20="N.C.",0,ROUNDUP(P5+'Délai intermédiaire'!P20/10,0))</f>
        <v>0</v>
      </c>
      <c r="Q23" s="13">
        <f>IF(Distances!Q20="N.C.",0,ROUNDUP(Q5+'Délai intermédiaire'!Q20/10,0))</f>
        <v>2</v>
      </c>
      <c r="R23" s="12">
        <f>IF(Distances!R20="N.C.",0,ROUNDUP(R5+'Délai intermédiaire'!R20/10,0))</f>
        <v>1</v>
      </c>
      <c r="S23" s="13">
        <f>IF(Distances!S20="N.C.",0,ROUNDUP(S5+'Délai intermédiaire'!S20/10,0))</f>
        <v>2</v>
      </c>
      <c r="T23" s="13">
        <f>IF(Distances!T20="N.C.",0,ROUNDUP(T5+'Délai intermédiaire'!T20/10,0))</f>
        <v>0</v>
      </c>
      <c r="U23" s="13">
        <f>IF(Distances!U20="N.C.",0,ROUNDUP(U5+'Délai intermédiaire'!U20/10,0))</f>
        <v>0</v>
      </c>
      <c r="V23" s="13">
        <f>IF(Distances!V20="N.C.",0,ROUNDUP(V5+'Délai intermédiaire'!V20/10,0))</f>
        <v>0</v>
      </c>
      <c r="W23" s="13">
        <f>IF(Distances!W20="N.C.",0,ROUNDUP(W5+'Délai intermédiaire'!W20/10,0))</f>
        <v>0</v>
      </c>
      <c r="X23" s="13">
        <f>IF(Distances!X20="N.C.",0,ROUNDUP(X5+'Délai intermédiaire'!X20/10,0))</f>
        <v>0</v>
      </c>
      <c r="Y23" s="13">
        <f>IF(Distances!Y20="N.C.",0,ROUNDUP(Y5+'Délai intermédiaire'!Y20/10,0))</f>
        <v>0</v>
      </c>
      <c r="Z23" s="13">
        <f>IF(Distances!Z20="N.C.",0,ROUNDUP(Z5+'Délai intermédiaire'!Z20/10,0))</f>
        <v>0</v>
      </c>
      <c r="AA23" s="13">
        <f>IF(Distances!AA20="N.C.",0,ROUNDUP(AA5+'Délai intermédiaire'!AA20/10,0))</f>
        <v>0</v>
      </c>
      <c r="AB23" s="13">
        <f>IF(Distances!AB20="N.C.",0,ROUNDUP(AB5+'Délai intermédiaire'!AB20/10,0))</f>
        <v>0</v>
      </c>
      <c r="AC23" s="13">
        <f>IF(Distances!AC20="N.C.",0,ROUNDUP(AC5+'Délai intermédiaire'!AC20/10,0))</f>
        <v>0</v>
      </c>
      <c r="AD23" s="13">
        <f>IF(Distances!AD20="N.C.",0,ROUNDUP(AD5+'Délai intermédiaire'!AD20/10,0))</f>
        <v>0</v>
      </c>
      <c r="AE23" s="13">
        <f>IF(Distances!AE20="N.C.",0,ROUNDUP(AE5+'Délai intermédiaire'!AE20/10,0))</f>
        <v>0</v>
      </c>
      <c r="AF23" s="13">
        <f>IF(Distances!AF20="N.C.",0,ROUNDUP(AF5+'Délai intermédiaire'!AF20/10,0))</f>
        <v>0</v>
      </c>
      <c r="AG23" s="13">
        <f>IF(Distances!AG20="N.C.",0,ROUNDUP(AG5+'Délai intermédiaire'!AG20/10,0))</f>
        <v>0</v>
      </c>
      <c r="AH23" s="14">
        <f>IF(Distances!AH20="N.C.",0,ROUNDUP(AH5+'Délai intermédiaire'!AH20/10,0))</f>
        <v>0</v>
      </c>
      <c r="AI23" s="14">
        <f>IF(Distances!AI20="N.C.",0,ROUNDUP(AI5+'Délai intermédiaire'!AI20/10,0))</f>
        <v>0</v>
      </c>
      <c r="AJ23" s="14">
        <f>IF(Distances!AJ20="N.C.",0,ROUNDUP(AJ5+'Délai intermédiaire'!AJ20/10,0))</f>
        <v>0</v>
      </c>
      <c r="AK23" s="14">
        <f>IF(Distances!AK20="N.C.",0,ROUNDUP(AK5+'Délai intermédiaire'!AK20/10,0))</f>
        <v>0</v>
      </c>
      <c r="AL23" s="14">
        <f>IF(Distances!AL20="N.C.",0,ROUNDUP(AL5+'Délai intermédiaire'!AL20/10,0))</f>
        <v>0</v>
      </c>
      <c r="AM23" s="14">
        <f>IF(Distances!AM20="N.C.",0,ROUNDUP(AM5+'Délai intermédiaire'!AM20/10,0))</f>
        <v>0</v>
      </c>
      <c r="AN23" s="14">
        <f>IF(Distances!AN20="N.C.",0,ROUNDUP(AN5+'Délai intermédiaire'!AN20/10,0))</f>
        <v>0</v>
      </c>
      <c r="AO23" s="14">
        <f>IF(Distances!AO20="N.C.",0,ROUNDUP(AO5+'Délai intermédiaire'!AO20/10,0))</f>
        <v>0</v>
      </c>
      <c r="AP23" s="14">
        <f>IF(Distances!AP20="N.C.",0,ROUNDUP(AP5+'Délai intermédiaire'!AP20/10,0))</f>
        <v>0</v>
      </c>
      <c r="AQ23" s="14">
        <f>IF(Distances!AQ20="N.C.",0,ROUNDUP(AQ5+'Délai intermédiaire'!AQ20/10,0))</f>
        <v>0</v>
      </c>
      <c r="AR23" s="14">
        <f>IF(Distances!AR20="N.C.",0,ROUNDUP(AR5+'Délai intermédiaire'!AR20/10,0))</f>
        <v>0</v>
      </c>
      <c r="AS23" s="14">
        <f>IF(Distances!AS20="N.C.",0,ROUNDUP(AS5+'Délai intermédiaire'!AS20/10,0))</f>
        <v>0</v>
      </c>
      <c r="AT23" s="14">
        <f>IF(Distances!AT20="N.C.",0,ROUNDUP(AT5+'Délai intermédiaire'!AT20/10,0))</f>
        <v>0</v>
      </c>
      <c r="AU23" s="14">
        <f>IF(Distances!AU20="N.C.",0,ROUNDUP(AU5+'Délai intermédiaire'!AU20/10,0))</f>
        <v>0</v>
      </c>
      <c r="AV23" s="14">
        <f>IF(Distances!AV20="N.C.",0,ROUNDUP(AV5+'Délai intermédiaire'!AV20/10,0))</f>
        <v>0</v>
      </c>
      <c r="AW23" s="14">
        <f>IF(Distances!AW20="N.C.",0,ROUNDUP(AW5+'Délai intermédiaire'!AW20/10,0))</f>
        <v>0</v>
      </c>
      <c r="AX23" s="14">
        <f>IF(Distances!AX20="N.C.",0,ROUNDUP(AX5+'Délai intermédiaire'!AX20/10,0))</f>
        <v>0</v>
      </c>
      <c r="AY23" s="14">
        <f>IF(Distances!AY20="N.C.",0,ROUNDUP(AY5+'Délai intermédiaire'!AY20/10,0))</f>
        <v>0</v>
      </c>
      <c r="AZ23" s="14">
        <f>IF(Distances!AZ20="N.C.",0,ROUNDUP(AZ5+'Délai intermédiaire'!AZ20/10,0))</f>
        <v>0</v>
      </c>
      <c r="BA23" s="14">
        <f>IF(Distances!BA20="N.C.",0,ROUNDUP(BA5+'Délai intermédiaire'!BA20/10,0))</f>
        <v>0</v>
      </c>
      <c r="BB23" s="13">
        <f>IF(Distances!BB20="N.C.",0,ROUNDUP(BB5+'Délai intermédiaire'!BB20/10,0))</f>
        <v>0</v>
      </c>
      <c r="BC23" s="14">
        <f>IF(Distances!BC20="N.C.",0,ROUNDUP(BC5+'Délai intermédiaire'!BC20/10,0))</f>
        <v>0</v>
      </c>
      <c r="BD23" s="14">
        <f>IF(Distances!BD20="N.C.",0,ROUNDUP(BD5+'Délai intermédiaire'!BD20/10,0))</f>
        <v>0</v>
      </c>
      <c r="BE23" s="14">
        <f>IF(Distances!BE20="N.C.",0,ROUNDUP(BE5+'Délai intermédiaire'!BE20/10,0))</f>
        <v>0</v>
      </c>
      <c r="BF23" s="13">
        <f>IF(Distances!BF20="N.C.",0,ROUNDUP(BF5+'Délai intermédiaire'!BF20/10,0))</f>
        <v>0</v>
      </c>
      <c r="BG23" s="13">
        <f>IF(Distances!BG20="N.C.",0,ROUNDUP(BG5+'Délai intermédiaire'!BG20/10,0))</f>
        <v>0</v>
      </c>
      <c r="BH23" s="14">
        <f>IF(Distances!BH20="N.C.",0,ROUNDUP(BH5+'Délai intermédiaire'!BH20/10,0))</f>
        <v>0</v>
      </c>
      <c r="BI23" s="14">
        <f>IF(Distances!BI20="N.C.",0,ROUNDUP(BI5+'Délai intermédiaire'!BI20/10,0))</f>
        <v>0</v>
      </c>
      <c r="BJ23" s="15">
        <f>IF(Distances!BJ20="N.C.",0,ROUNDUP(BJ5+'Délai intermédiaire'!BJ20/10,0))</f>
        <v>0</v>
      </c>
    </row>
    <row r="24" spans="1:62" x14ac:dyDescent="0.3">
      <c r="A24" s="10" t="s">
        <v>18</v>
      </c>
      <c r="B24" s="16">
        <f>IF(Distances!B21="N.C.",0,ROUNDUP(B5+'Délai intermédiaire'!B21/10,0))</f>
        <v>0</v>
      </c>
      <c r="C24" s="14">
        <f>IF(Distances!C21="N.C.",0,ROUNDUP(C5+'Délai intermédiaire'!C21/10,0))</f>
        <v>0</v>
      </c>
      <c r="D24" s="14">
        <f>IF(Distances!D21="N.C.",0,ROUNDUP(D5+'Délai intermédiaire'!D21/10,0))</f>
        <v>0</v>
      </c>
      <c r="E24" s="14">
        <f>IF(Distances!E21="N.C.",0,ROUNDUP(E5+'Délai intermédiaire'!E21/10,0))</f>
        <v>0</v>
      </c>
      <c r="F24" s="14">
        <f>IF(Distances!F21="N.C.",0,ROUNDUP(F5+'Délai intermédiaire'!F21/10,0))</f>
        <v>0</v>
      </c>
      <c r="G24" s="14">
        <f>IF(Distances!G21="N.C.",0,ROUNDUP(G5+'Délai intermédiaire'!G21/10,0))</f>
        <v>0</v>
      </c>
      <c r="H24" s="14">
        <f>IF(Distances!H21="N.C.",0,ROUNDUP(H5+'Délai intermédiaire'!H21/10,0))</f>
        <v>0</v>
      </c>
      <c r="I24" s="14">
        <f>IF(Distances!I21="N.C.",0,ROUNDUP(I5+'Délai intermédiaire'!I21/10,0))</f>
        <v>0</v>
      </c>
      <c r="J24" s="14">
        <f>IF(Distances!J21="N.C.",0,ROUNDUP(J5+'Délai intermédiaire'!J21/10,0))</f>
        <v>0</v>
      </c>
      <c r="K24" s="14">
        <f>IF(Distances!K21="N.C.",0,ROUNDUP(K5+'Délai intermédiaire'!K21/10,0))</f>
        <v>0</v>
      </c>
      <c r="L24" s="14">
        <f>IF(Distances!L21="N.C.",0,ROUNDUP(L5+'Délai intermédiaire'!L21/10,0))</f>
        <v>0</v>
      </c>
      <c r="M24" s="14">
        <f>IF(Distances!M21="N.C.",0,ROUNDUP(M5+'Délai intermédiaire'!M21/10,0))</f>
        <v>0</v>
      </c>
      <c r="N24" s="14">
        <f>IF(Distances!N21="N.C.",0,ROUNDUP(N5+'Délai intermédiaire'!N21/10,0))</f>
        <v>0</v>
      </c>
      <c r="O24" s="14">
        <f>IF(Distances!O21="N.C.",0,ROUNDUP(O5+'Délai intermédiaire'!O21/10,0))</f>
        <v>0</v>
      </c>
      <c r="P24" s="14">
        <f>IF(Distances!P21="N.C.",0,ROUNDUP(P5+'Délai intermédiaire'!P21/10,0))</f>
        <v>0</v>
      </c>
      <c r="Q24" s="13">
        <f>IF(Distances!Q21="N.C.",0,ROUNDUP(Q5+'Délai intermédiaire'!Q21/10,0))</f>
        <v>2</v>
      </c>
      <c r="R24" s="13">
        <f>IF(Distances!R21="N.C.",0,ROUNDUP(R5+'Délai intermédiaire'!R21/10,0))</f>
        <v>2</v>
      </c>
      <c r="S24" s="12">
        <f>IF(Distances!S21="N.C.",0,ROUNDUP(S5+'Délai intermédiaire'!S21/10,0))</f>
        <v>1</v>
      </c>
      <c r="T24" s="13">
        <f>IF(Distances!T21="N.C.",0,ROUNDUP(T5+'Délai intermédiaire'!T21/10,0))</f>
        <v>0</v>
      </c>
      <c r="U24" s="13">
        <f>IF(Distances!U21="N.C.",0,ROUNDUP(U5+'Délai intermédiaire'!U21/10,0))</f>
        <v>0</v>
      </c>
      <c r="V24" s="13">
        <f>IF(Distances!V21="N.C.",0,ROUNDUP(V5+'Délai intermédiaire'!V21/10,0))</f>
        <v>0</v>
      </c>
      <c r="W24" s="13">
        <f>IF(Distances!W21="N.C.",0,ROUNDUP(W5+'Délai intermédiaire'!W21/10,0))</f>
        <v>0</v>
      </c>
      <c r="X24" s="13">
        <f>IF(Distances!X21="N.C.",0,ROUNDUP(X5+'Délai intermédiaire'!X21/10,0))</f>
        <v>0</v>
      </c>
      <c r="Y24" s="13">
        <f>IF(Distances!Y21="N.C.",0,ROUNDUP(Y5+'Délai intermédiaire'!Y21/10,0))</f>
        <v>0</v>
      </c>
      <c r="Z24" s="13">
        <f>IF(Distances!Z21="N.C.",0,ROUNDUP(Z5+'Délai intermédiaire'!Z21/10,0))</f>
        <v>0</v>
      </c>
      <c r="AA24" s="13">
        <f>IF(Distances!AA21="N.C.",0,ROUNDUP(AA5+'Délai intermédiaire'!AA21/10,0))</f>
        <v>0</v>
      </c>
      <c r="AB24" s="13">
        <f>IF(Distances!AB21="N.C.",0,ROUNDUP(AB5+'Délai intermédiaire'!AB21/10,0))</f>
        <v>0</v>
      </c>
      <c r="AC24" s="13">
        <f>IF(Distances!AC21="N.C.",0,ROUNDUP(AC5+'Délai intermédiaire'!AC21/10,0))</f>
        <v>0</v>
      </c>
      <c r="AD24" s="13">
        <f>IF(Distances!AD21="N.C.",0,ROUNDUP(AD5+'Délai intermédiaire'!AD21/10,0))</f>
        <v>0</v>
      </c>
      <c r="AE24" s="13">
        <f>IF(Distances!AE21="N.C.",0,ROUNDUP(AE5+'Délai intermédiaire'!AE21/10,0))</f>
        <v>0</v>
      </c>
      <c r="AF24" s="13">
        <f>IF(Distances!AF21="N.C.",0,ROUNDUP(AF5+'Délai intermédiaire'!AF21/10,0))</f>
        <v>0</v>
      </c>
      <c r="AG24" s="13">
        <f>IF(Distances!AG21="N.C.",0,ROUNDUP(AG5+'Délai intermédiaire'!AG21/10,0))</f>
        <v>0</v>
      </c>
      <c r="AH24" s="14">
        <f>IF(Distances!AH21="N.C.",0,ROUNDUP(AH5+'Délai intermédiaire'!AH21/10,0))</f>
        <v>0</v>
      </c>
      <c r="AI24" s="14">
        <f>IF(Distances!AI21="N.C.",0,ROUNDUP(AI5+'Délai intermédiaire'!AI21/10,0))</f>
        <v>0</v>
      </c>
      <c r="AJ24" s="14">
        <f>IF(Distances!AJ21="N.C.",0,ROUNDUP(AJ5+'Délai intermédiaire'!AJ21/10,0))</f>
        <v>0</v>
      </c>
      <c r="AK24" s="14">
        <f>IF(Distances!AK21="N.C.",0,ROUNDUP(AK5+'Délai intermédiaire'!AK21/10,0))</f>
        <v>0</v>
      </c>
      <c r="AL24" s="14">
        <f>IF(Distances!AL21="N.C.",0,ROUNDUP(AL5+'Délai intermédiaire'!AL21/10,0))</f>
        <v>0</v>
      </c>
      <c r="AM24" s="14">
        <f>IF(Distances!AM21="N.C.",0,ROUNDUP(AM5+'Délai intermédiaire'!AM21/10,0))</f>
        <v>0</v>
      </c>
      <c r="AN24" s="14">
        <f>IF(Distances!AN21="N.C.",0,ROUNDUP(AN5+'Délai intermédiaire'!AN21/10,0))</f>
        <v>0</v>
      </c>
      <c r="AO24" s="14">
        <f>IF(Distances!AO21="N.C.",0,ROUNDUP(AO5+'Délai intermédiaire'!AO21/10,0))</f>
        <v>0</v>
      </c>
      <c r="AP24" s="14">
        <f>IF(Distances!AP21="N.C.",0,ROUNDUP(AP5+'Délai intermédiaire'!AP21/10,0))</f>
        <v>0</v>
      </c>
      <c r="AQ24" s="14">
        <f>IF(Distances!AQ21="N.C.",0,ROUNDUP(AQ5+'Délai intermédiaire'!AQ21/10,0))</f>
        <v>0</v>
      </c>
      <c r="AR24" s="14">
        <f>IF(Distances!AR21="N.C.",0,ROUNDUP(AR5+'Délai intermédiaire'!AR21/10,0))</f>
        <v>0</v>
      </c>
      <c r="AS24" s="14">
        <f>IF(Distances!AS21="N.C.",0,ROUNDUP(AS5+'Délai intermédiaire'!AS21/10,0))</f>
        <v>0</v>
      </c>
      <c r="AT24" s="14">
        <f>IF(Distances!AT21="N.C.",0,ROUNDUP(AT5+'Délai intermédiaire'!AT21/10,0))</f>
        <v>0</v>
      </c>
      <c r="AU24" s="14">
        <f>IF(Distances!AU21="N.C.",0,ROUNDUP(AU5+'Délai intermédiaire'!AU21/10,0))</f>
        <v>0</v>
      </c>
      <c r="AV24" s="14">
        <f>IF(Distances!AV21="N.C.",0,ROUNDUP(AV5+'Délai intermédiaire'!AV21/10,0))</f>
        <v>0</v>
      </c>
      <c r="AW24" s="14">
        <f>IF(Distances!AW21="N.C.",0,ROUNDUP(AW5+'Délai intermédiaire'!AW21/10,0))</f>
        <v>0</v>
      </c>
      <c r="AX24" s="14">
        <f>IF(Distances!AX21="N.C.",0,ROUNDUP(AX5+'Délai intermédiaire'!AX21/10,0))</f>
        <v>0</v>
      </c>
      <c r="AY24" s="14">
        <f>IF(Distances!AY21="N.C.",0,ROUNDUP(AY5+'Délai intermédiaire'!AY21/10,0))</f>
        <v>0</v>
      </c>
      <c r="AZ24" s="14">
        <f>IF(Distances!AZ21="N.C.",0,ROUNDUP(AZ5+'Délai intermédiaire'!AZ21/10,0))</f>
        <v>0</v>
      </c>
      <c r="BA24" s="14">
        <f>IF(Distances!BA21="N.C.",0,ROUNDUP(BA5+'Délai intermédiaire'!BA21/10,0))</f>
        <v>0</v>
      </c>
      <c r="BB24" s="13">
        <f>IF(Distances!BB21="N.C.",0,ROUNDUP(BB5+'Délai intermédiaire'!BB21/10,0))</f>
        <v>0</v>
      </c>
      <c r="BC24" s="14">
        <f>IF(Distances!BC21="N.C.",0,ROUNDUP(BC5+'Délai intermédiaire'!BC21/10,0))</f>
        <v>0</v>
      </c>
      <c r="BD24" s="14">
        <f>IF(Distances!BD21="N.C.",0,ROUNDUP(BD5+'Délai intermédiaire'!BD21/10,0))</f>
        <v>0</v>
      </c>
      <c r="BE24" s="14">
        <f>IF(Distances!BE21="N.C.",0,ROUNDUP(BE5+'Délai intermédiaire'!BE21/10,0))</f>
        <v>0</v>
      </c>
      <c r="BF24" s="13">
        <f>IF(Distances!BF21="N.C.",0,ROUNDUP(BF5+'Délai intermédiaire'!BF21/10,0))</f>
        <v>0</v>
      </c>
      <c r="BG24" s="13">
        <f>IF(Distances!BG21="N.C.",0,ROUNDUP(BG5+'Délai intermédiaire'!BG21/10,0))</f>
        <v>0</v>
      </c>
      <c r="BH24" s="14">
        <f>IF(Distances!BH21="N.C.",0,ROUNDUP(BH5+'Délai intermédiaire'!BH21/10,0))</f>
        <v>0</v>
      </c>
      <c r="BI24" s="14">
        <f>IF(Distances!BI21="N.C.",0,ROUNDUP(BI5+'Délai intermédiaire'!BI21/10,0))</f>
        <v>0</v>
      </c>
      <c r="BJ24" s="15">
        <f>IF(Distances!BJ21="N.C.",0,ROUNDUP(BJ5+'Délai intermédiaire'!BJ21/10,0))</f>
        <v>0</v>
      </c>
    </row>
    <row r="25" spans="1:62" x14ac:dyDescent="0.3">
      <c r="A25" s="10" t="s">
        <v>19</v>
      </c>
      <c r="B25" s="16">
        <f>IF(Distances!B22="N.C.",0,ROUNDUP(B5+'Délai intermédiaire'!B22/10,0))</f>
        <v>0</v>
      </c>
      <c r="C25" s="14">
        <f>IF(Distances!C22="N.C.",0,ROUNDUP(C5+'Délai intermédiaire'!C22/10,0))</f>
        <v>0</v>
      </c>
      <c r="D25" s="14">
        <f>IF(Distances!D22="N.C.",0,ROUNDUP(D5+'Délai intermédiaire'!D22/10,0))</f>
        <v>0</v>
      </c>
      <c r="E25" s="14">
        <f>IF(Distances!E22="N.C.",0,ROUNDUP(E5+'Délai intermédiaire'!E22/10,0))</f>
        <v>0</v>
      </c>
      <c r="F25" s="14">
        <f>IF(Distances!F22="N.C.",0,ROUNDUP(F5+'Délai intermédiaire'!F22/10,0))</f>
        <v>0</v>
      </c>
      <c r="G25" s="14">
        <f>IF(Distances!G22="N.C.",0,ROUNDUP(G5+'Délai intermédiaire'!G22/10,0))</f>
        <v>0</v>
      </c>
      <c r="H25" s="14">
        <f>IF(Distances!H22="N.C.",0,ROUNDUP(H5+'Délai intermédiaire'!H22/10,0))</f>
        <v>0</v>
      </c>
      <c r="I25" s="14">
        <f>IF(Distances!I22="N.C.",0,ROUNDUP(I5+'Délai intermédiaire'!I22/10,0))</f>
        <v>0</v>
      </c>
      <c r="J25" s="14">
        <f>IF(Distances!J22="N.C.",0,ROUNDUP(J5+'Délai intermédiaire'!J22/10,0))</f>
        <v>0</v>
      </c>
      <c r="K25" s="14">
        <f>IF(Distances!K22="N.C.",0,ROUNDUP(K5+'Délai intermédiaire'!K22/10,0))</f>
        <v>0</v>
      </c>
      <c r="L25" s="14">
        <f>IF(Distances!L22="N.C.",0,ROUNDUP(L5+'Délai intermédiaire'!L22/10,0))</f>
        <v>0</v>
      </c>
      <c r="M25" s="14">
        <f>IF(Distances!M22="N.C.",0,ROUNDUP(M5+'Délai intermédiaire'!M22/10,0))</f>
        <v>0</v>
      </c>
      <c r="N25" s="14">
        <f>IF(Distances!N22="N.C.",0,ROUNDUP(N5+'Délai intermédiaire'!N22/10,0))</f>
        <v>0</v>
      </c>
      <c r="O25" s="14">
        <f>IF(Distances!O22="N.C.",0,ROUNDUP(O5+'Délai intermédiaire'!O22/10,0))</f>
        <v>0</v>
      </c>
      <c r="P25" s="14">
        <f>IF(Distances!P22="N.C.",0,ROUNDUP(P5+'Délai intermédiaire'!P22/10,0))</f>
        <v>0</v>
      </c>
      <c r="Q25" s="13">
        <f>IF(Distances!Q22="N.C.",0,ROUNDUP(Q5+'Délai intermédiaire'!Q22/10,0))</f>
        <v>0</v>
      </c>
      <c r="R25" s="13">
        <f>IF(Distances!R22="N.C.",0,ROUNDUP(R5+'Délai intermédiaire'!R22/10,0))</f>
        <v>0</v>
      </c>
      <c r="S25" s="13">
        <f>IF(Distances!S22="N.C.",0,ROUNDUP(S5+'Délai intermédiaire'!S22/10,0))</f>
        <v>0</v>
      </c>
      <c r="T25" s="12">
        <f>IF(Distances!T22="N.C.",0,ROUNDUP(T5+'Délai intermédiaire'!T22/10,0))</f>
        <v>1</v>
      </c>
      <c r="U25" s="13">
        <f>IF(Distances!U22="N.C.",0,ROUNDUP(U5+'Délai intermédiaire'!U22/10,0))</f>
        <v>2</v>
      </c>
      <c r="V25" s="13">
        <f>IF(Distances!V22="N.C.",0,ROUNDUP(V5+'Délai intermédiaire'!V22/10,0))</f>
        <v>2</v>
      </c>
      <c r="W25" s="13">
        <f>IF(Distances!W22="N.C.",0,ROUNDUP(W5+'Délai intermédiaire'!W22/10,0))</f>
        <v>2</v>
      </c>
      <c r="X25" s="13">
        <f>IF(Distances!X22="N.C.",0,ROUNDUP(X5+'Délai intermédiaire'!X22/10,0))</f>
        <v>2</v>
      </c>
      <c r="Y25" s="13">
        <f>IF(Distances!Y22="N.C.",0,ROUNDUP(Y5+'Délai intermédiaire'!Y22/10,0))</f>
        <v>2</v>
      </c>
      <c r="Z25" s="13">
        <f>IF(Distances!Z22="N.C.",0,ROUNDUP(Z5+'Délai intermédiaire'!Z22/10,0))</f>
        <v>4</v>
      </c>
      <c r="AA25" s="13">
        <f>IF(Distances!AA22="N.C.",0,ROUNDUP(AA5+'Délai intermédiaire'!AA22/10,0))</f>
        <v>3</v>
      </c>
      <c r="AB25" s="13">
        <f>IF(Distances!AB22="N.C.",0,ROUNDUP(AB5+'Délai intermédiaire'!AB22/10,0))</f>
        <v>3</v>
      </c>
      <c r="AC25" s="13">
        <f>IF(Distances!AC22="N.C.",0,ROUNDUP(AC5+'Délai intermédiaire'!AC22/10,0))</f>
        <v>2</v>
      </c>
      <c r="AD25" s="13">
        <f>IF(Distances!AD22="N.C.",0,ROUNDUP(AD5+'Délai intermédiaire'!AD22/10,0))</f>
        <v>4</v>
      </c>
      <c r="AE25" s="13">
        <f>IF(Distances!AE22="N.C.",0,ROUNDUP(AE5+'Délai intermédiaire'!AE22/10,0))</f>
        <v>4</v>
      </c>
      <c r="AF25" s="13">
        <f>IF(Distances!AF22="N.C.",0,ROUNDUP(AF5+'Délai intermédiaire'!AF22/10,0))</f>
        <v>2</v>
      </c>
      <c r="AG25" s="13">
        <f>IF(Distances!AG22="N.C.",0,ROUNDUP(AG5+'Délai intermédiaire'!AG22/10,0))</f>
        <v>4</v>
      </c>
      <c r="AH25" s="14">
        <f>IF(Distances!AH22="N.C.",0,ROUNDUP(AH5+'Délai intermédiaire'!AH22/10,0))</f>
        <v>0</v>
      </c>
      <c r="AI25" s="14">
        <f>IF(Distances!AI22="N.C.",0,ROUNDUP(AI5+'Délai intermédiaire'!AI22/10,0))</f>
        <v>14</v>
      </c>
      <c r="AJ25" s="14">
        <f>IF(Distances!AJ22="N.C.",0,ROUNDUP(AJ5+'Délai intermédiaire'!AJ22/10,0))</f>
        <v>0</v>
      </c>
      <c r="AK25" s="14">
        <f>IF(Distances!AK22="N.C.",0,ROUNDUP(AK5+'Délai intermédiaire'!AK22/10,0))</f>
        <v>15</v>
      </c>
      <c r="AL25" s="14">
        <f>IF(Distances!AL22="N.C.",0,ROUNDUP(AL5+'Délai intermédiaire'!AL22/10,0))</f>
        <v>0</v>
      </c>
      <c r="AM25" s="14">
        <f>IF(Distances!AM22="N.C.",0,ROUNDUP(AM5+'Délai intermédiaire'!AM22/10,0))</f>
        <v>0</v>
      </c>
      <c r="AN25" s="14">
        <f>IF(Distances!AN22="N.C.",0,ROUNDUP(AN5+'Délai intermédiaire'!AN22/10,0))</f>
        <v>0</v>
      </c>
      <c r="AO25" s="14">
        <f>IF(Distances!AO22="N.C.",0,ROUNDUP(AO5+'Délai intermédiaire'!AO22/10,0))</f>
        <v>0</v>
      </c>
      <c r="AP25" s="14">
        <f>IF(Distances!AP22="N.C.",0,ROUNDUP(AP5+'Délai intermédiaire'!AP22/10,0))</f>
        <v>0</v>
      </c>
      <c r="AQ25" s="14">
        <f>IF(Distances!AQ22="N.C.",0,ROUNDUP(AQ5+'Délai intermédiaire'!AQ22/10,0))</f>
        <v>0</v>
      </c>
      <c r="AR25" s="14">
        <f>IF(Distances!AR22="N.C.",0,ROUNDUP(AR5+'Délai intermédiaire'!AR22/10,0))</f>
        <v>0</v>
      </c>
      <c r="AS25" s="14">
        <f>IF(Distances!AS22="N.C.",0,ROUNDUP(AS5+'Délai intermédiaire'!AS22/10,0))</f>
        <v>9</v>
      </c>
      <c r="AT25" s="14">
        <f>IF(Distances!AT22="N.C.",0,ROUNDUP(AT5+'Délai intermédiaire'!AT22/10,0))</f>
        <v>8</v>
      </c>
      <c r="AU25" s="14">
        <f>IF(Distances!AU22="N.C.",0,ROUNDUP(AU5+'Délai intermédiaire'!AU22/10,0))</f>
        <v>16</v>
      </c>
      <c r="AV25" s="14">
        <f>IF(Distances!AV22="N.C.",0,ROUNDUP(AV5+'Délai intermédiaire'!AV22/10,0))</f>
        <v>6</v>
      </c>
      <c r="AW25" s="14">
        <f>IF(Distances!AW22="N.C.",0,ROUNDUP(AW5+'Délai intermédiaire'!AW22/10,0))</f>
        <v>12</v>
      </c>
      <c r="AX25" s="14">
        <f>IF(Distances!AX22="N.C.",0,ROUNDUP(AX5+'Délai intermédiaire'!AX22/10,0))</f>
        <v>17</v>
      </c>
      <c r="AY25" s="14">
        <f>IF(Distances!AY22="N.C.",0,ROUNDUP(AY5+'Délai intermédiaire'!AY22/10,0))</f>
        <v>13</v>
      </c>
      <c r="AZ25" s="14">
        <f>IF(Distances!AZ22="N.C.",0,ROUNDUP(AZ5+'Délai intermédiaire'!AZ22/10,0))</f>
        <v>14</v>
      </c>
      <c r="BA25" s="14">
        <f>IF(Distances!BA22="N.C.",0,ROUNDUP(BA5+'Délai intermédiaire'!BA22/10,0))</f>
        <v>17</v>
      </c>
      <c r="BB25" s="13">
        <f>IF(Distances!BB22="N.C.",0,ROUNDUP(BB5+'Délai intermédiaire'!BB22/10,0))</f>
        <v>4</v>
      </c>
      <c r="BC25" s="14">
        <f>IF(Distances!BC22="N.C.",0,ROUNDUP(BC5+'Délai intermédiaire'!BC22/10,0))</f>
        <v>16</v>
      </c>
      <c r="BD25" s="14">
        <f>IF(Distances!BD22="N.C.",0,ROUNDUP(BD5+'Délai intermédiaire'!BD22/10,0))</f>
        <v>14</v>
      </c>
      <c r="BE25" s="14">
        <f>IF(Distances!BE22="N.C.",0,ROUNDUP(BE5+'Délai intermédiaire'!BE22/10,0))</f>
        <v>15</v>
      </c>
      <c r="BF25" s="13">
        <f>IF(Distances!BF22="N.C.",0,ROUNDUP(BF5+'Délai intermédiaire'!BF22/10,0))</f>
        <v>5</v>
      </c>
      <c r="BG25" s="13">
        <f>IF(Distances!BG22="N.C.",0,ROUNDUP(BG5+'Délai intermédiaire'!BG22/10,0))</f>
        <v>5</v>
      </c>
      <c r="BH25" s="14">
        <f>IF(Distances!BH22="N.C.",0,ROUNDUP(BH5+'Délai intermédiaire'!BH22/10,0))</f>
        <v>0</v>
      </c>
      <c r="BI25" s="14">
        <f>IF(Distances!BI22="N.C.",0,ROUNDUP(BI5+'Délai intermédiaire'!BI22/10,0))</f>
        <v>0</v>
      </c>
      <c r="BJ25" s="15">
        <f>IF(Distances!BJ22="N.C.",0,ROUNDUP(BJ5+'Délai intermédiaire'!BJ22/10,0))</f>
        <v>0</v>
      </c>
    </row>
    <row r="26" spans="1:62" x14ac:dyDescent="0.3">
      <c r="A26" s="10" t="s">
        <v>20</v>
      </c>
      <c r="B26" s="16">
        <f>IF(Distances!B23="N.C.",0,ROUNDUP(B5+'Délai intermédiaire'!B23/10,0))</f>
        <v>0</v>
      </c>
      <c r="C26" s="14">
        <f>IF(Distances!C23="N.C.",0,ROUNDUP(C5+'Délai intermédiaire'!C23/10,0))</f>
        <v>0</v>
      </c>
      <c r="D26" s="14">
        <f>IF(Distances!D23="N.C.",0,ROUNDUP(D5+'Délai intermédiaire'!D23/10,0))</f>
        <v>0</v>
      </c>
      <c r="E26" s="14">
        <f>IF(Distances!E23="N.C.",0,ROUNDUP(E5+'Délai intermédiaire'!E23/10,0))</f>
        <v>0</v>
      </c>
      <c r="F26" s="14">
        <f>IF(Distances!F23="N.C.",0,ROUNDUP(F5+'Délai intermédiaire'!F23/10,0))</f>
        <v>0</v>
      </c>
      <c r="G26" s="14">
        <f>IF(Distances!G23="N.C.",0,ROUNDUP(G5+'Délai intermédiaire'!G23/10,0))</f>
        <v>0</v>
      </c>
      <c r="H26" s="14">
        <f>IF(Distances!H23="N.C.",0,ROUNDUP(H5+'Délai intermédiaire'!H23/10,0))</f>
        <v>0</v>
      </c>
      <c r="I26" s="14">
        <f>IF(Distances!I23="N.C.",0,ROUNDUP(I5+'Délai intermédiaire'!I23/10,0))</f>
        <v>0</v>
      </c>
      <c r="J26" s="14">
        <f>IF(Distances!J23="N.C.",0,ROUNDUP(J5+'Délai intermédiaire'!J23/10,0))</f>
        <v>0</v>
      </c>
      <c r="K26" s="14">
        <f>IF(Distances!K23="N.C.",0,ROUNDUP(K5+'Délai intermédiaire'!K23/10,0))</f>
        <v>0</v>
      </c>
      <c r="L26" s="14">
        <f>IF(Distances!L23="N.C.",0,ROUNDUP(L5+'Délai intermédiaire'!L23/10,0))</f>
        <v>0</v>
      </c>
      <c r="M26" s="14">
        <f>IF(Distances!M23="N.C.",0,ROUNDUP(M5+'Délai intermédiaire'!M23/10,0))</f>
        <v>0</v>
      </c>
      <c r="N26" s="14">
        <f>IF(Distances!N23="N.C.",0,ROUNDUP(N5+'Délai intermédiaire'!N23/10,0))</f>
        <v>0</v>
      </c>
      <c r="O26" s="14">
        <f>IF(Distances!O23="N.C.",0,ROUNDUP(O5+'Délai intermédiaire'!O23/10,0))</f>
        <v>0</v>
      </c>
      <c r="P26" s="14">
        <f>IF(Distances!P23="N.C.",0,ROUNDUP(P5+'Délai intermédiaire'!P23/10,0))</f>
        <v>0</v>
      </c>
      <c r="Q26" s="13">
        <f>IF(Distances!Q23="N.C.",0,ROUNDUP(Q5+'Délai intermédiaire'!Q23/10,0))</f>
        <v>0</v>
      </c>
      <c r="R26" s="13">
        <f>IF(Distances!R23="N.C.",0,ROUNDUP(R5+'Délai intermédiaire'!R23/10,0))</f>
        <v>0</v>
      </c>
      <c r="S26" s="13">
        <f>IF(Distances!S23="N.C.",0,ROUNDUP(S5+'Délai intermédiaire'!S23/10,0))</f>
        <v>0</v>
      </c>
      <c r="T26" s="13">
        <f>IF(Distances!T23="N.C.",0,ROUNDUP(T5+'Délai intermédiaire'!T23/10,0))</f>
        <v>2</v>
      </c>
      <c r="U26" s="12">
        <f>IF(Distances!U23="N.C.",0,ROUNDUP(U5+'Délai intermédiaire'!U23/10,0))</f>
        <v>1</v>
      </c>
      <c r="V26" s="13">
        <f>IF(Distances!V23="N.C.",0,ROUNDUP(V5+'Délai intermédiaire'!V23/10,0))</f>
        <v>2</v>
      </c>
      <c r="W26" s="13">
        <f>IF(Distances!W23="N.C.",0,ROUNDUP(W5+'Délai intermédiaire'!W23/10,0))</f>
        <v>3</v>
      </c>
      <c r="X26" s="13">
        <f>IF(Distances!X23="N.C.",0,ROUNDUP(X5+'Délai intermédiaire'!X23/10,0))</f>
        <v>3</v>
      </c>
      <c r="Y26" s="13">
        <f>IF(Distances!Y23="N.C.",0,ROUNDUP(Y5+'Délai intermédiaire'!Y23/10,0))</f>
        <v>2</v>
      </c>
      <c r="Z26" s="13">
        <f>IF(Distances!Z23="N.C.",0,ROUNDUP(Z5+'Délai intermédiaire'!Z23/10,0))</f>
        <v>3</v>
      </c>
      <c r="AA26" s="13">
        <f>IF(Distances!AA23="N.C.",0,ROUNDUP(AA5+'Délai intermédiaire'!AA23/10,0))</f>
        <v>3</v>
      </c>
      <c r="AB26" s="13">
        <f>IF(Distances!AB23="N.C.",0,ROUNDUP(AB5+'Délai intermédiaire'!AB23/10,0))</f>
        <v>3</v>
      </c>
      <c r="AC26" s="13">
        <f>IF(Distances!AC23="N.C.",0,ROUNDUP(AC5+'Délai intermédiaire'!AC23/10,0))</f>
        <v>2</v>
      </c>
      <c r="AD26" s="13">
        <f>IF(Distances!AD23="N.C.",0,ROUNDUP(AD5+'Délai intermédiaire'!AD23/10,0))</f>
        <v>4</v>
      </c>
      <c r="AE26" s="13">
        <f>IF(Distances!AE23="N.C.",0,ROUNDUP(AE5+'Délai intermédiaire'!AE23/10,0))</f>
        <v>4</v>
      </c>
      <c r="AF26" s="13">
        <f>IF(Distances!AF23="N.C.",0,ROUNDUP(AF5+'Délai intermédiaire'!AF23/10,0))</f>
        <v>2</v>
      </c>
      <c r="AG26" s="13">
        <f>IF(Distances!AG23="N.C.",0,ROUNDUP(AG5+'Délai intermédiaire'!AG23/10,0))</f>
        <v>4</v>
      </c>
      <c r="AH26" s="14">
        <f>IF(Distances!AH23="N.C.",0,ROUNDUP(AH5+'Délai intermédiaire'!AH23/10,0))</f>
        <v>0</v>
      </c>
      <c r="AI26" s="14">
        <f>IF(Distances!AI23="N.C.",0,ROUNDUP(AI5+'Délai intermédiaire'!AI23/10,0))</f>
        <v>0</v>
      </c>
      <c r="AJ26" s="14">
        <f>IF(Distances!AJ23="N.C.",0,ROUNDUP(AJ5+'Délai intermédiaire'!AJ23/10,0))</f>
        <v>0</v>
      </c>
      <c r="AK26" s="14">
        <f>IF(Distances!AK23="N.C.",0,ROUNDUP(AK5+'Délai intermédiaire'!AK23/10,0))</f>
        <v>15</v>
      </c>
      <c r="AL26" s="14">
        <f>IF(Distances!AL23="N.C.",0,ROUNDUP(AL5+'Délai intermédiaire'!AL23/10,0))</f>
        <v>0</v>
      </c>
      <c r="AM26" s="14">
        <f>IF(Distances!AM23="N.C.",0,ROUNDUP(AM5+'Délai intermédiaire'!AM23/10,0))</f>
        <v>0</v>
      </c>
      <c r="AN26" s="14">
        <f>IF(Distances!AN23="N.C.",0,ROUNDUP(AN5+'Délai intermédiaire'!AN23/10,0))</f>
        <v>0</v>
      </c>
      <c r="AO26" s="14">
        <f>IF(Distances!AO23="N.C.",0,ROUNDUP(AO5+'Délai intermédiaire'!AO23/10,0))</f>
        <v>0</v>
      </c>
      <c r="AP26" s="14">
        <f>IF(Distances!AP23="N.C.",0,ROUNDUP(AP5+'Délai intermédiaire'!AP23/10,0))</f>
        <v>0</v>
      </c>
      <c r="AQ26" s="14">
        <f>IF(Distances!AQ23="N.C.",0,ROUNDUP(AQ5+'Délai intermédiaire'!AQ23/10,0))</f>
        <v>0</v>
      </c>
      <c r="AR26" s="14">
        <f>IF(Distances!AR23="N.C.",0,ROUNDUP(AR5+'Délai intermédiaire'!AR23/10,0))</f>
        <v>0</v>
      </c>
      <c r="AS26" s="14">
        <f>IF(Distances!AS23="N.C.",0,ROUNDUP(AS5+'Délai intermédiaire'!AS23/10,0))</f>
        <v>8</v>
      </c>
      <c r="AT26" s="14">
        <f>IF(Distances!AT23="N.C.",0,ROUNDUP(AT5+'Délai intermédiaire'!AT23/10,0))</f>
        <v>8</v>
      </c>
      <c r="AU26" s="14">
        <f>IF(Distances!AU23="N.C.",0,ROUNDUP(AU5+'Délai intermédiaire'!AU23/10,0))</f>
        <v>16</v>
      </c>
      <c r="AV26" s="14">
        <f>IF(Distances!AV23="N.C.",0,ROUNDUP(AV5+'Délai intermédiaire'!AV23/10,0))</f>
        <v>6</v>
      </c>
      <c r="AW26" s="14">
        <f>IF(Distances!AW23="N.C.",0,ROUNDUP(AW5+'Délai intermédiaire'!AW23/10,0))</f>
        <v>12</v>
      </c>
      <c r="AX26" s="14">
        <f>IF(Distances!AX23="N.C.",0,ROUNDUP(AX5+'Délai intermédiaire'!AX23/10,0))</f>
        <v>17</v>
      </c>
      <c r="AY26" s="14">
        <f>IF(Distances!AY23="N.C.",0,ROUNDUP(AY5+'Délai intermédiaire'!AY23/10,0))</f>
        <v>12</v>
      </c>
      <c r="AZ26" s="14">
        <f>IF(Distances!AZ23="N.C.",0,ROUNDUP(AZ5+'Délai intermédiaire'!AZ23/10,0))</f>
        <v>14</v>
      </c>
      <c r="BA26" s="14">
        <f>IF(Distances!BA23="N.C.",0,ROUNDUP(BA5+'Délai intermédiaire'!BA23/10,0))</f>
        <v>0</v>
      </c>
      <c r="BB26" s="13">
        <f>IF(Distances!BB23="N.C.",0,ROUNDUP(BB5+'Délai intermédiaire'!BB23/10,0))</f>
        <v>5</v>
      </c>
      <c r="BC26" s="14">
        <f>IF(Distances!BC23="N.C.",0,ROUNDUP(BC5+'Délai intermédiaire'!BC23/10,0))</f>
        <v>16</v>
      </c>
      <c r="BD26" s="14">
        <f>IF(Distances!BD23="N.C.",0,ROUNDUP(BD5+'Délai intermédiaire'!BD23/10,0))</f>
        <v>14</v>
      </c>
      <c r="BE26" s="14">
        <f>IF(Distances!BE23="N.C.",0,ROUNDUP(BE5+'Délai intermédiaire'!BE23/10,0))</f>
        <v>15</v>
      </c>
      <c r="BF26" s="13">
        <f>IF(Distances!BF23="N.C.",0,ROUNDUP(BF5+'Délai intermédiaire'!BF23/10,0))</f>
        <v>5</v>
      </c>
      <c r="BG26" s="13">
        <f>IF(Distances!BG23="N.C.",0,ROUNDUP(BG5+'Délai intermédiaire'!BG23/10,0))</f>
        <v>5</v>
      </c>
      <c r="BH26" s="14">
        <f>IF(Distances!BH23="N.C.",0,ROUNDUP(BH5+'Délai intermédiaire'!BH23/10,0))</f>
        <v>0</v>
      </c>
      <c r="BI26" s="14">
        <f>IF(Distances!BI23="N.C.",0,ROUNDUP(BI5+'Délai intermédiaire'!BI23/10,0))</f>
        <v>0</v>
      </c>
      <c r="BJ26" s="15">
        <f>IF(Distances!BJ23="N.C.",0,ROUNDUP(BJ5+'Délai intermédiaire'!BJ23/10,0))</f>
        <v>0</v>
      </c>
    </row>
    <row r="27" spans="1:62" x14ac:dyDescent="0.3">
      <c r="A27" s="10" t="s">
        <v>21</v>
      </c>
      <c r="B27" s="16">
        <f>IF(Distances!B24="N.C.",0,ROUNDUP(B5+'Délai intermédiaire'!B24/10,0))</f>
        <v>0</v>
      </c>
      <c r="C27" s="14">
        <f>IF(Distances!C24="N.C.",0,ROUNDUP(C5+'Délai intermédiaire'!C24/10,0))</f>
        <v>0</v>
      </c>
      <c r="D27" s="14">
        <f>IF(Distances!D24="N.C.",0,ROUNDUP(D5+'Délai intermédiaire'!D24/10,0))</f>
        <v>0</v>
      </c>
      <c r="E27" s="14">
        <f>IF(Distances!E24="N.C.",0,ROUNDUP(E5+'Délai intermédiaire'!E24/10,0))</f>
        <v>0</v>
      </c>
      <c r="F27" s="14">
        <f>IF(Distances!F24="N.C.",0,ROUNDUP(F5+'Délai intermédiaire'!F24/10,0))</f>
        <v>0</v>
      </c>
      <c r="G27" s="14">
        <f>IF(Distances!G24="N.C.",0,ROUNDUP(G5+'Délai intermédiaire'!G24/10,0))</f>
        <v>0</v>
      </c>
      <c r="H27" s="14">
        <f>IF(Distances!H24="N.C.",0,ROUNDUP(H5+'Délai intermédiaire'!H24/10,0))</f>
        <v>0</v>
      </c>
      <c r="I27" s="14">
        <f>IF(Distances!I24="N.C.",0,ROUNDUP(I5+'Délai intermédiaire'!I24/10,0))</f>
        <v>0</v>
      </c>
      <c r="J27" s="14">
        <f>IF(Distances!J24="N.C.",0,ROUNDUP(J5+'Délai intermédiaire'!J24/10,0))</f>
        <v>0</v>
      </c>
      <c r="K27" s="14">
        <f>IF(Distances!K24="N.C.",0,ROUNDUP(K5+'Délai intermédiaire'!K24/10,0))</f>
        <v>0</v>
      </c>
      <c r="L27" s="14">
        <f>IF(Distances!L24="N.C.",0,ROUNDUP(L5+'Délai intermédiaire'!L24/10,0))</f>
        <v>0</v>
      </c>
      <c r="M27" s="14">
        <f>IF(Distances!M24="N.C.",0,ROUNDUP(M5+'Délai intermédiaire'!M24/10,0))</f>
        <v>0</v>
      </c>
      <c r="N27" s="14">
        <f>IF(Distances!N24="N.C.",0,ROUNDUP(N5+'Délai intermédiaire'!N24/10,0))</f>
        <v>0</v>
      </c>
      <c r="O27" s="14">
        <f>IF(Distances!O24="N.C.",0,ROUNDUP(O5+'Délai intermédiaire'!O24/10,0))</f>
        <v>0</v>
      </c>
      <c r="P27" s="14">
        <f>IF(Distances!P24="N.C.",0,ROUNDUP(P5+'Délai intermédiaire'!P24/10,0))</f>
        <v>0</v>
      </c>
      <c r="Q27" s="13">
        <f>IF(Distances!Q24="N.C.",0,ROUNDUP(Q5+'Délai intermédiaire'!Q24/10,0))</f>
        <v>0</v>
      </c>
      <c r="R27" s="13">
        <f>IF(Distances!R24="N.C.",0,ROUNDUP(R5+'Délai intermédiaire'!R24/10,0))</f>
        <v>0</v>
      </c>
      <c r="S27" s="13">
        <f>IF(Distances!S24="N.C.",0,ROUNDUP(S5+'Délai intermédiaire'!S24/10,0))</f>
        <v>0</v>
      </c>
      <c r="T27" s="13">
        <f>IF(Distances!T24="N.C.",0,ROUNDUP(T5+'Délai intermédiaire'!T24/10,0))</f>
        <v>2</v>
      </c>
      <c r="U27" s="13">
        <f>IF(Distances!U24="N.C.",0,ROUNDUP(U5+'Délai intermédiaire'!U24/10,0))</f>
        <v>2</v>
      </c>
      <c r="V27" s="12">
        <f>IF(Distances!V24="N.C.",0,ROUNDUP(V5+'Délai intermédiaire'!V24/10,0))</f>
        <v>1</v>
      </c>
      <c r="W27" s="13">
        <f>IF(Distances!W24="N.C.",0,ROUNDUP(W5+'Délai intermédiaire'!W24/10,0))</f>
        <v>2</v>
      </c>
      <c r="X27" s="13">
        <f>IF(Distances!X24="N.C.",0,ROUNDUP(X5+'Délai intermédiaire'!X24/10,0))</f>
        <v>2</v>
      </c>
      <c r="Y27" s="13">
        <f>IF(Distances!Y24="N.C.",0,ROUNDUP(Y5+'Délai intermédiaire'!Y24/10,0))</f>
        <v>2</v>
      </c>
      <c r="Z27" s="13">
        <f>IF(Distances!Z24="N.C.",0,ROUNDUP(Z5+'Délai intermédiaire'!Z24/10,0))</f>
        <v>3</v>
      </c>
      <c r="AA27" s="13">
        <f>IF(Distances!AA24="N.C.",0,ROUNDUP(AA5+'Délai intermédiaire'!AA24/10,0))</f>
        <v>3</v>
      </c>
      <c r="AB27" s="13">
        <f>IF(Distances!AB24="N.C.",0,ROUNDUP(AB5+'Délai intermédiaire'!AB24/10,0))</f>
        <v>3</v>
      </c>
      <c r="AC27" s="13">
        <f>IF(Distances!AC24="N.C.",0,ROUNDUP(AC5+'Délai intermédiaire'!AC24/10,0))</f>
        <v>3</v>
      </c>
      <c r="AD27" s="13">
        <f>IF(Distances!AD24="N.C.",0,ROUNDUP(AD5+'Délai intermédiaire'!AD24/10,0))</f>
        <v>3</v>
      </c>
      <c r="AE27" s="13">
        <f>IF(Distances!AE24="N.C.",0,ROUNDUP(AE5+'Délai intermédiaire'!AE24/10,0))</f>
        <v>3</v>
      </c>
      <c r="AF27" s="13">
        <f>IF(Distances!AF24="N.C.",0,ROUNDUP(AF5+'Délai intermédiaire'!AF24/10,0))</f>
        <v>2</v>
      </c>
      <c r="AG27" s="13">
        <f>IF(Distances!AG24="N.C.",0,ROUNDUP(AG5+'Délai intermédiaire'!AG24/10,0))</f>
        <v>3</v>
      </c>
      <c r="AH27" s="14">
        <f>IF(Distances!AH24="N.C.",0,ROUNDUP(AH5+'Délai intermédiaire'!AH24/10,0))</f>
        <v>0</v>
      </c>
      <c r="AI27" s="14">
        <f>IF(Distances!AI24="N.C.",0,ROUNDUP(AI5+'Délai intermédiaire'!AI24/10,0))</f>
        <v>0</v>
      </c>
      <c r="AJ27" s="14">
        <f>IF(Distances!AJ24="N.C.",0,ROUNDUP(AJ5+'Délai intermédiaire'!AJ24/10,0))</f>
        <v>0</v>
      </c>
      <c r="AK27" s="14">
        <f>IF(Distances!AK24="N.C.",0,ROUNDUP(AK5+'Délai intermédiaire'!AK24/10,0))</f>
        <v>14</v>
      </c>
      <c r="AL27" s="14">
        <f>IF(Distances!AL24="N.C.",0,ROUNDUP(AL5+'Délai intermédiaire'!AL24/10,0))</f>
        <v>0</v>
      </c>
      <c r="AM27" s="14">
        <f>IF(Distances!AM24="N.C.",0,ROUNDUP(AM5+'Délai intermédiaire'!AM24/10,0))</f>
        <v>0</v>
      </c>
      <c r="AN27" s="14">
        <f>IF(Distances!AN24="N.C.",0,ROUNDUP(AN5+'Délai intermédiaire'!AN24/10,0))</f>
        <v>0</v>
      </c>
      <c r="AO27" s="14">
        <f>IF(Distances!AO24="N.C.",0,ROUNDUP(AO5+'Délai intermédiaire'!AO24/10,0))</f>
        <v>0</v>
      </c>
      <c r="AP27" s="14">
        <f>IF(Distances!AP24="N.C.",0,ROUNDUP(AP5+'Délai intermédiaire'!AP24/10,0))</f>
        <v>0</v>
      </c>
      <c r="AQ27" s="14">
        <f>IF(Distances!AQ24="N.C.",0,ROUNDUP(AQ5+'Délai intermédiaire'!AQ24/10,0))</f>
        <v>0</v>
      </c>
      <c r="AR27" s="14">
        <f>IF(Distances!AR24="N.C.",0,ROUNDUP(AR5+'Délai intermédiaire'!AR24/10,0))</f>
        <v>0</v>
      </c>
      <c r="AS27" s="14">
        <f>IF(Distances!AS24="N.C.",0,ROUNDUP(AS5+'Délai intermédiaire'!AS24/10,0))</f>
        <v>8</v>
      </c>
      <c r="AT27" s="14">
        <f>IF(Distances!AT24="N.C.",0,ROUNDUP(AT5+'Délai intermédiaire'!AT24/10,0))</f>
        <v>7</v>
      </c>
      <c r="AU27" s="14">
        <f>IF(Distances!AU24="N.C.",0,ROUNDUP(AU5+'Délai intermédiaire'!AU24/10,0))</f>
        <v>15</v>
      </c>
      <c r="AV27" s="14">
        <f>IF(Distances!AV24="N.C.",0,ROUNDUP(AV5+'Délai intermédiaire'!AV24/10,0))</f>
        <v>6</v>
      </c>
      <c r="AW27" s="14">
        <f>IF(Distances!AW24="N.C.",0,ROUNDUP(AW5+'Délai intermédiaire'!AW24/10,0))</f>
        <v>11</v>
      </c>
      <c r="AX27" s="14">
        <f>IF(Distances!AX24="N.C.",0,ROUNDUP(AX5+'Délai intermédiaire'!AX24/10,0))</f>
        <v>17</v>
      </c>
      <c r="AY27" s="14">
        <f>IF(Distances!AY24="N.C.",0,ROUNDUP(AY5+'Délai intermédiaire'!AY24/10,0))</f>
        <v>12</v>
      </c>
      <c r="AZ27" s="14">
        <f>IF(Distances!AZ24="N.C.",0,ROUNDUP(AZ5+'Délai intermédiaire'!AZ24/10,0))</f>
        <v>13</v>
      </c>
      <c r="BA27" s="14">
        <f>IF(Distances!BA24="N.C.",0,ROUNDUP(BA5+'Délai intermédiaire'!BA24/10,0))</f>
        <v>0</v>
      </c>
      <c r="BB27" s="13">
        <f>IF(Distances!BB24="N.C.",0,ROUNDUP(BB5+'Délai intermédiaire'!BB24/10,0))</f>
        <v>4</v>
      </c>
      <c r="BC27" s="14">
        <f>IF(Distances!BC24="N.C.",0,ROUNDUP(BC5+'Délai intermédiaire'!BC24/10,0))</f>
        <v>15</v>
      </c>
      <c r="BD27" s="14">
        <f>IF(Distances!BD24="N.C.",0,ROUNDUP(BD5+'Délai intermédiaire'!BD24/10,0))</f>
        <v>14</v>
      </c>
      <c r="BE27" s="14">
        <f>IF(Distances!BE24="N.C.",0,ROUNDUP(BE5+'Délai intermédiaire'!BE24/10,0))</f>
        <v>15</v>
      </c>
      <c r="BF27" s="13">
        <f>IF(Distances!BF24="N.C.",0,ROUNDUP(BF5+'Délai intermédiaire'!BF24/10,0))</f>
        <v>4</v>
      </c>
      <c r="BG27" s="13">
        <f>IF(Distances!BG24="N.C.",0,ROUNDUP(BG5+'Délai intermédiaire'!BG24/10,0))</f>
        <v>4</v>
      </c>
      <c r="BH27" s="14">
        <f>IF(Distances!BH24="N.C.",0,ROUNDUP(BH5+'Délai intermédiaire'!BH24/10,0))</f>
        <v>0</v>
      </c>
      <c r="BI27" s="14">
        <f>IF(Distances!BI24="N.C.",0,ROUNDUP(BI5+'Délai intermédiaire'!BI24/10,0))</f>
        <v>0</v>
      </c>
      <c r="BJ27" s="15">
        <f>IF(Distances!BJ24="N.C.",0,ROUNDUP(BJ5+'Délai intermédiaire'!BJ24/10,0))</f>
        <v>0</v>
      </c>
    </row>
    <row r="28" spans="1:62" x14ac:dyDescent="0.3">
      <c r="A28" s="10" t="s">
        <v>22</v>
      </c>
      <c r="B28" s="16">
        <f>IF(Distances!B25="N.C.",0,ROUNDUP(B5+'Délai intermédiaire'!B25/10,0))</f>
        <v>0</v>
      </c>
      <c r="C28" s="14">
        <f>IF(Distances!C25="N.C.",0,ROUNDUP(C5+'Délai intermédiaire'!C25/10,0))</f>
        <v>0</v>
      </c>
      <c r="D28" s="14">
        <f>IF(Distances!D25="N.C.",0,ROUNDUP(D5+'Délai intermédiaire'!D25/10,0))</f>
        <v>0</v>
      </c>
      <c r="E28" s="14">
        <f>IF(Distances!E25="N.C.",0,ROUNDUP(E5+'Délai intermédiaire'!E25/10,0))</f>
        <v>0</v>
      </c>
      <c r="F28" s="14">
        <f>IF(Distances!F25="N.C.",0,ROUNDUP(F5+'Délai intermédiaire'!F25/10,0))</f>
        <v>0</v>
      </c>
      <c r="G28" s="14">
        <f>IF(Distances!G25="N.C.",0,ROUNDUP(G5+'Délai intermédiaire'!G25/10,0))</f>
        <v>0</v>
      </c>
      <c r="H28" s="14">
        <f>IF(Distances!H25="N.C.",0,ROUNDUP(H5+'Délai intermédiaire'!H25/10,0))</f>
        <v>0</v>
      </c>
      <c r="I28" s="14">
        <f>IF(Distances!I25="N.C.",0,ROUNDUP(I5+'Délai intermédiaire'!I25/10,0))</f>
        <v>0</v>
      </c>
      <c r="J28" s="14">
        <f>IF(Distances!J25="N.C.",0,ROUNDUP(J5+'Délai intermédiaire'!J25/10,0))</f>
        <v>0</v>
      </c>
      <c r="K28" s="14">
        <f>IF(Distances!K25="N.C.",0,ROUNDUP(K5+'Délai intermédiaire'!K25/10,0))</f>
        <v>0</v>
      </c>
      <c r="L28" s="14">
        <f>IF(Distances!L25="N.C.",0,ROUNDUP(L5+'Délai intermédiaire'!L25/10,0))</f>
        <v>0</v>
      </c>
      <c r="M28" s="14">
        <f>IF(Distances!M25="N.C.",0,ROUNDUP(M5+'Délai intermédiaire'!M25/10,0))</f>
        <v>0</v>
      </c>
      <c r="N28" s="14">
        <f>IF(Distances!N25="N.C.",0,ROUNDUP(N5+'Délai intermédiaire'!N25/10,0))</f>
        <v>0</v>
      </c>
      <c r="O28" s="14">
        <f>IF(Distances!O25="N.C.",0,ROUNDUP(O5+'Délai intermédiaire'!O25/10,0))</f>
        <v>0</v>
      </c>
      <c r="P28" s="14">
        <f>IF(Distances!P25="N.C.",0,ROUNDUP(P5+'Délai intermédiaire'!P25/10,0))</f>
        <v>0</v>
      </c>
      <c r="Q28" s="13">
        <f>IF(Distances!Q25="N.C.",0,ROUNDUP(Q5+'Délai intermédiaire'!Q25/10,0))</f>
        <v>0</v>
      </c>
      <c r="R28" s="13">
        <f>IF(Distances!R25="N.C.",0,ROUNDUP(R5+'Délai intermédiaire'!R25/10,0))</f>
        <v>0</v>
      </c>
      <c r="S28" s="13">
        <f>IF(Distances!S25="N.C.",0,ROUNDUP(S5+'Délai intermédiaire'!S25/10,0))</f>
        <v>0</v>
      </c>
      <c r="T28" s="13">
        <f>IF(Distances!T25="N.C.",0,ROUNDUP(T5+'Délai intermédiaire'!T25/10,0))</f>
        <v>2</v>
      </c>
      <c r="U28" s="13">
        <f>IF(Distances!U25="N.C.",0,ROUNDUP(U5+'Délai intermédiaire'!U25/10,0))</f>
        <v>3</v>
      </c>
      <c r="V28" s="13">
        <f>IF(Distances!V25="N.C.",0,ROUNDUP(V5+'Délai intermédiaire'!V25/10,0))</f>
        <v>2</v>
      </c>
      <c r="W28" s="12">
        <f>IF(Distances!W25="N.C.",0,ROUNDUP(W5+'Délai intermédiaire'!W25/10,0))</f>
        <v>1</v>
      </c>
      <c r="X28" s="13">
        <f>IF(Distances!X25="N.C.",0,ROUNDUP(X5+'Délai intermédiaire'!X25/10,0))</f>
        <v>2</v>
      </c>
      <c r="Y28" s="13">
        <f>IF(Distances!Y25="N.C.",0,ROUNDUP(Y5+'Délai intermédiaire'!Y25/10,0))</f>
        <v>2</v>
      </c>
      <c r="Z28" s="13">
        <f>IF(Distances!Z25="N.C.",0,ROUNDUP(Z5+'Délai intermédiaire'!Z25/10,0))</f>
        <v>4</v>
      </c>
      <c r="AA28" s="13">
        <f>IF(Distances!AA25="N.C.",0,ROUNDUP(AA5+'Délai intermédiaire'!AA25/10,0))</f>
        <v>4</v>
      </c>
      <c r="AB28" s="13">
        <f>IF(Distances!AB25="N.C.",0,ROUNDUP(AB5+'Délai intermédiaire'!AB25/10,0))</f>
        <v>3</v>
      </c>
      <c r="AC28" s="13">
        <f>IF(Distances!AC25="N.C.",0,ROUNDUP(AC5+'Délai intermédiaire'!AC25/10,0))</f>
        <v>3</v>
      </c>
      <c r="AD28" s="13">
        <f>IF(Distances!AD25="N.C.",0,ROUNDUP(AD5+'Délai intermédiaire'!AD25/10,0))</f>
        <v>3</v>
      </c>
      <c r="AE28" s="13">
        <f>IF(Distances!AE25="N.C.",0,ROUNDUP(AE5+'Délai intermédiaire'!AE25/10,0))</f>
        <v>3</v>
      </c>
      <c r="AF28" s="13">
        <f>IF(Distances!AF25="N.C.",0,ROUNDUP(AF5+'Délai intermédiaire'!AF25/10,0))</f>
        <v>2</v>
      </c>
      <c r="AG28" s="13">
        <f>IF(Distances!AG25="N.C.",0,ROUNDUP(AG5+'Délai intermédiaire'!AG25/10,0))</f>
        <v>3</v>
      </c>
      <c r="AH28" s="14">
        <f>IF(Distances!AH25="N.C.",0,ROUNDUP(AH5+'Délai intermédiaire'!AH25/10,0))</f>
        <v>0</v>
      </c>
      <c r="AI28" s="14">
        <f>IF(Distances!AI25="N.C.",0,ROUNDUP(AI5+'Délai intermédiaire'!AI25/10,0))</f>
        <v>14</v>
      </c>
      <c r="AJ28" s="14">
        <f>IF(Distances!AJ25="N.C.",0,ROUNDUP(AJ5+'Délai intermédiaire'!AJ25/10,0))</f>
        <v>0</v>
      </c>
      <c r="AK28" s="14">
        <f>IF(Distances!AK25="N.C.",0,ROUNDUP(AK5+'Délai intermédiaire'!AK25/10,0))</f>
        <v>0</v>
      </c>
      <c r="AL28" s="14">
        <f>IF(Distances!AL25="N.C.",0,ROUNDUP(AL5+'Délai intermédiaire'!AL25/10,0))</f>
        <v>0</v>
      </c>
      <c r="AM28" s="14">
        <f>IF(Distances!AM25="N.C.",0,ROUNDUP(AM5+'Délai intermédiaire'!AM25/10,0))</f>
        <v>0</v>
      </c>
      <c r="AN28" s="14">
        <f>IF(Distances!AN25="N.C.",0,ROUNDUP(AN5+'Délai intermédiaire'!AN25/10,0))</f>
        <v>0</v>
      </c>
      <c r="AO28" s="14">
        <f>IF(Distances!AO25="N.C.",0,ROUNDUP(AO5+'Délai intermédiaire'!AO25/10,0))</f>
        <v>0</v>
      </c>
      <c r="AP28" s="14">
        <f>IF(Distances!AP25="N.C.",0,ROUNDUP(AP5+'Délai intermédiaire'!AP25/10,0))</f>
        <v>0</v>
      </c>
      <c r="AQ28" s="14">
        <f>IF(Distances!AQ25="N.C.",0,ROUNDUP(AQ5+'Délai intermédiaire'!AQ25/10,0))</f>
        <v>0</v>
      </c>
      <c r="AR28" s="14">
        <f>IF(Distances!AR25="N.C.",0,ROUNDUP(AR5+'Délai intermédiaire'!AR25/10,0))</f>
        <v>9</v>
      </c>
      <c r="AS28" s="14">
        <f>IF(Distances!AS25="N.C.",0,ROUNDUP(AS5+'Délai intermédiaire'!AS25/10,0))</f>
        <v>8</v>
      </c>
      <c r="AT28" s="14">
        <f>IF(Distances!AT25="N.C.",0,ROUNDUP(AT5+'Délai intermédiaire'!AT25/10,0))</f>
        <v>8</v>
      </c>
      <c r="AU28" s="14">
        <f>IF(Distances!AU25="N.C.",0,ROUNDUP(AU5+'Délai intermédiaire'!AU25/10,0))</f>
        <v>15</v>
      </c>
      <c r="AV28" s="14">
        <f>IF(Distances!AV25="N.C.",0,ROUNDUP(AV5+'Délai intermédiaire'!AV25/10,0))</f>
        <v>6</v>
      </c>
      <c r="AW28" s="14">
        <f>IF(Distances!AW25="N.C.",0,ROUNDUP(AW5+'Délai intermédiaire'!AW25/10,0))</f>
        <v>11</v>
      </c>
      <c r="AX28" s="14">
        <f>IF(Distances!AX25="N.C.",0,ROUNDUP(AX5+'Délai intermédiaire'!AX25/10,0))</f>
        <v>16</v>
      </c>
      <c r="AY28" s="14">
        <f>IF(Distances!AY25="N.C.",0,ROUNDUP(AY5+'Délai intermédiaire'!AY25/10,0))</f>
        <v>12</v>
      </c>
      <c r="AZ28" s="14">
        <f>IF(Distances!AZ25="N.C.",0,ROUNDUP(AZ5+'Délai intermédiaire'!AZ25/10,0))</f>
        <v>14</v>
      </c>
      <c r="BA28" s="14">
        <f>IF(Distances!BA25="N.C.",0,ROUNDUP(BA5+'Délai intermédiaire'!BA25/10,0))</f>
        <v>17</v>
      </c>
      <c r="BB28" s="12">
        <f>IF(Distances!BB25="N.C.",0,ROUNDUP(BB5+'Délai intermédiaire'!BB25/10,0))</f>
        <v>4</v>
      </c>
      <c r="BC28" s="14">
        <f>IF(Distances!BC25="N.C.",0,ROUNDUP(BC5+'Délai intermédiaire'!BC25/10,0))</f>
        <v>15</v>
      </c>
      <c r="BD28" s="14">
        <f>IF(Distances!BD25="N.C.",0,ROUNDUP(BD5+'Délai intermédiaire'!BD25/10,0))</f>
        <v>13</v>
      </c>
      <c r="BE28" s="14">
        <f>IF(Distances!BE25="N.C.",0,ROUNDUP(BE5+'Délai intermédiaire'!BE25/10,0))</f>
        <v>15</v>
      </c>
      <c r="BF28" s="13">
        <f>IF(Distances!BF25="N.C.",0,ROUNDUP(BF5+'Délai intermédiaire'!BF25/10,0))</f>
        <v>4</v>
      </c>
      <c r="BG28" s="13">
        <f>IF(Distances!BG25="N.C.",0,ROUNDUP(BG5+'Délai intermédiaire'!BG25/10,0))</f>
        <v>5</v>
      </c>
      <c r="BH28" s="14">
        <f>IF(Distances!BH25="N.C.",0,ROUNDUP(BH5+'Délai intermédiaire'!BH25/10,0))</f>
        <v>0</v>
      </c>
      <c r="BI28" s="14">
        <f>IF(Distances!BI25="N.C.",0,ROUNDUP(BI5+'Délai intermédiaire'!BI25/10,0))</f>
        <v>0</v>
      </c>
      <c r="BJ28" s="15">
        <f>IF(Distances!BJ25="N.C.",0,ROUNDUP(BJ5+'Délai intermédiaire'!BJ25/10,0))</f>
        <v>0</v>
      </c>
    </row>
    <row r="29" spans="1:62" x14ac:dyDescent="0.3">
      <c r="A29" s="10" t="s">
        <v>23</v>
      </c>
      <c r="B29" s="16">
        <f>IF(Distances!B26="N.C.",0,ROUNDUP(B5+'Délai intermédiaire'!B26/10,0))</f>
        <v>0</v>
      </c>
      <c r="C29" s="14">
        <f>IF(Distances!C26="N.C.",0,ROUNDUP(C5+'Délai intermédiaire'!C26/10,0))</f>
        <v>0</v>
      </c>
      <c r="D29" s="14">
        <f>IF(Distances!D26="N.C.",0,ROUNDUP(D5+'Délai intermédiaire'!D26/10,0))</f>
        <v>0</v>
      </c>
      <c r="E29" s="14">
        <f>IF(Distances!E26="N.C.",0,ROUNDUP(E5+'Délai intermédiaire'!E26/10,0))</f>
        <v>0</v>
      </c>
      <c r="F29" s="14">
        <f>IF(Distances!F26="N.C.",0,ROUNDUP(F5+'Délai intermédiaire'!F26/10,0))</f>
        <v>0</v>
      </c>
      <c r="G29" s="14">
        <f>IF(Distances!G26="N.C.",0,ROUNDUP(G5+'Délai intermédiaire'!G26/10,0))</f>
        <v>0</v>
      </c>
      <c r="H29" s="14">
        <f>IF(Distances!H26="N.C.",0,ROUNDUP(H5+'Délai intermédiaire'!H26/10,0))</f>
        <v>0</v>
      </c>
      <c r="I29" s="14">
        <f>IF(Distances!I26="N.C.",0,ROUNDUP(I5+'Délai intermédiaire'!I26/10,0))</f>
        <v>0</v>
      </c>
      <c r="J29" s="14">
        <f>IF(Distances!J26="N.C.",0,ROUNDUP(J5+'Délai intermédiaire'!J26/10,0))</f>
        <v>0</v>
      </c>
      <c r="K29" s="14">
        <f>IF(Distances!K26="N.C.",0,ROUNDUP(K5+'Délai intermédiaire'!K26/10,0))</f>
        <v>0</v>
      </c>
      <c r="L29" s="14">
        <f>IF(Distances!L26="N.C.",0,ROUNDUP(L5+'Délai intermédiaire'!L26/10,0))</f>
        <v>0</v>
      </c>
      <c r="M29" s="14">
        <f>IF(Distances!M26="N.C.",0,ROUNDUP(M5+'Délai intermédiaire'!M26/10,0))</f>
        <v>0</v>
      </c>
      <c r="N29" s="14">
        <f>IF(Distances!N26="N.C.",0,ROUNDUP(N5+'Délai intermédiaire'!N26/10,0))</f>
        <v>0</v>
      </c>
      <c r="O29" s="14">
        <f>IF(Distances!O26="N.C.",0,ROUNDUP(O5+'Délai intermédiaire'!O26/10,0))</f>
        <v>0</v>
      </c>
      <c r="P29" s="14">
        <f>IF(Distances!P26="N.C.",0,ROUNDUP(P5+'Délai intermédiaire'!P26/10,0))</f>
        <v>0</v>
      </c>
      <c r="Q29" s="13">
        <f>IF(Distances!Q26="N.C.",0,ROUNDUP(Q5+'Délai intermédiaire'!Q26/10,0))</f>
        <v>0</v>
      </c>
      <c r="R29" s="13">
        <f>IF(Distances!R26="N.C.",0,ROUNDUP(R5+'Délai intermédiaire'!R26/10,0))</f>
        <v>0</v>
      </c>
      <c r="S29" s="13">
        <f>IF(Distances!S26="N.C.",0,ROUNDUP(S5+'Délai intermédiaire'!S26/10,0))</f>
        <v>0</v>
      </c>
      <c r="T29" s="13">
        <f>IF(Distances!T26="N.C.",0,ROUNDUP(T5+'Délai intermédiaire'!T26/10,0))</f>
        <v>2</v>
      </c>
      <c r="U29" s="13">
        <f>IF(Distances!U26="N.C.",0,ROUNDUP(U5+'Délai intermédiaire'!U26/10,0))</f>
        <v>3</v>
      </c>
      <c r="V29" s="13">
        <f>IF(Distances!V26="N.C.",0,ROUNDUP(V5+'Délai intermédiaire'!V26/10,0))</f>
        <v>2</v>
      </c>
      <c r="W29" s="13">
        <f>IF(Distances!W26="N.C.",0,ROUNDUP(W5+'Délai intermédiaire'!W26/10,0))</f>
        <v>2</v>
      </c>
      <c r="X29" s="12">
        <f>IF(Distances!X26="N.C.",0,ROUNDUP(X5+'Délai intermédiaire'!X26/10,0))</f>
        <v>1</v>
      </c>
      <c r="Y29" s="13">
        <f>IF(Distances!Y26="N.C.",0,ROUNDUP(Y5+'Délai intermédiaire'!Y26/10,0))</f>
        <v>2</v>
      </c>
      <c r="Z29" s="13">
        <f>IF(Distances!Z26="N.C.",0,ROUNDUP(Z5+'Délai intermédiaire'!Z26/10,0))</f>
        <v>4</v>
      </c>
      <c r="AA29" s="13">
        <f>IF(Distances!AA26="N.C.",0,ROUNDUP(AA5+'Délai intermédiaire'!AA26/10,0))</f>
        <v>3</v>
      </c>
      <c r="AB29" s="13">
        <f>IF(Distances!AB26="N.C.",0,ROUNDUP(AB5+'Délai intermédiaire'!AB26/10,0))</f>
        <v>4</v>
      </c>
      <c r="AC29" s="13">
        <f>IF(Distances!AC26="N.C.",0,ROUNDUP(AC5+'Délai intermédiaire'!AC26/10,0))</f>
        <v>3</v>
      </c>
      <c r="AD29" s="13">
        <f>IF(Distances!AD26="N.C.",0,ROUNDUP(AD5+'Délai intermédiaire'!AD26/10,0))</f>
        <v>3</v>
      </c>
      <c r="AE29" s="13">
        <f>IF(Distances!AE26="N.C.",0,ROUNDUP(AE5+'Délai intermédiaire'!AE26/10,0))</f>
        <v>3</v>
      </c>
      <c r="AF29" s="13">
        <f>IF(Distances!AF26="N.C.",0,ROUNDUP(AF5+'Délai intermédiaire'!AF26/10,0))</f>
        <v>2</v>
      </c>
      <c r="AG29" s="13">
        <f>IF(Distances!AG26="N.C.",0,ROUNDUP(AG5+'Délai intermédiaire'!AG26/10,0))</f>
        <v>3</v>
      </c>
      <c r="AH29" s="14">
        <f>IF(Distances!AH26="N.C.",0,ROUNDUP(AH5+'Délai intermédiaire'!AH26/10,0))</f>
        <v>0</v>
      </c>
      <c r="AI29" s="14">
        <f>IF(Distances!AI26="N.C.",0,ROUNDUP(AI5+'Délai intermédiaire'!AI26/10,0))</f>
        <v>13</v>
      </c>
      <c r="AJ29" s="14">
        <f>IF(Distances!AJ26="N.C.",0,ROUNDUP(AJ5+'Délai intermédiaire'!AJ26/10,0))</f>
        <v>0</v>
      </c>
      <c r="AK29" s="14">
        <f>IF(Distances!AK26="N.C.",0,ROUNDUP(AK5+'Délai intermédiaire'!AK26/10,0))</f>
        <v>0</v>
      </c>
      <c r="AL29" s="14">
        <f>IF(Distances!AL26="N.C.",0,ROUNDUP(AL5+'Délai intermédiaire'!AL26/10,0))</f>
        <v>0</v>
      </c>
      <c r="AM29" s="14">
        <f>IF(Distances!AM26="N.C.",0,ROUNDUP(AM5+'Délai intermédiaire'!AM26/10,0))</f>
        <v>0</v>
      </c>
      <c r="AN29" s="14">
        <f>IF(Distances!AN26="N.C.",0,ROUNDUP(AN5+'Délai intermédiaire'!AN26/10,0))</f>
        <v>0</v>
      </c>
      <c r="AO29" s="14">
        <f>IF(Distances!AO26="N.C.",0,ROUNDUP(AO5+'Délai intermédiaire'!AO26/10,0))</f>
        <v>0</v>
      </c>
      <c r="AP29" s="14">
        <f>IF(Distances!AP26="N.C.",0,ROUNDUP(AP5+'Délai intermédiaire'!AP26/10,0))</f>
        <v>0</v>
      </c>
      <c r="AQ29" s="14">
        <f>IF(Distances!AQ26="N.C.",0,ROUNDUP(AQ5+'Délai intermédiaire'!AQ26/10,0))</f>
        <v>0</v>
      </c>
      <c r="AR29" s="14">
        <f>IF(Distances!AR26="N.C.",0,ROUNDUP(AR5+'Délai intermédiaire'!AR26/10,0))</f>
        <v>9</v>
      </c>
      <c r="AS29" s="14">
        <f>IF(Distances!AS26="N.C.",0,ROUNDUP(AS5+'Délai intermédiaire'!AS26/10,0))</f>
        <v>8</v>
      </c>
      <c r="AT29" s="14">
        <f>IF(Distances!AT26="N.C.",0,ROUNDUP(AT5+'Délai intermédiaire'!AT26/10,0))</f>
        <v>8</v>
      </c>
      <c r="AU29" s="14">
        <f>IF(Distances!AU26="N.C.",0,ROUNDUP(AU5+'Délai intermédiaire'!AU26/10,0))</f>
        <v>15</v>
      </c>
      <c r="AV29" s="14">
        <f>IF(Distances!AV26="N.C.",0,ROUNDUP(AV5+'Délai intermédiaire'!AV26/10,0))</f>
        <v>5</v>
      </c>
      <c r="AW29" s="14">
        <f>IF(Distances!AW26="N.C.",0,ROUNDUP(AW5+'Délai intermédiaire'!AW26/10,0))</f>
        <v>11</v>
      </c>
      <c r="AX29" s="14">
        <f>IF(Distances!AX26="N.C.",0,ROUNDUP(AX5+'Délai intermédiaire'!AX26/10,0))</f>
        <v>16</v>
      </c>
      <c r="AY29" s="14">
        <f>IF(Distances!AY26="N.C.",0,ROUNDUP(AY5+'Délai intermédiaire'!AY26/10,0))</f>
        <v>12</v>
      </c>
      <c r="AZ29" s="14">
        <f>IF(Distances!AZ26="N.C.",0,ROUNDUP(AZ5+'Délai intermédiaire'!AZ26/10,0))</f>
        <v>14</v>
      </c>
      <c r="BA29" s="14">
        <f>IF(Distances!BA26="N.C.",0,ROUNDUP(BA5+'Délai intermédiaire'!BA26/10,0))</f>
        <v>16</v>
      </c>
      <c r="BB29" s="13">
        <f>IF(Distances!BB26="N.C.",0,ROUNDUP(BB5+'Délai intermédiaire'!BB26/10,0))</f>
        <v>4</v>
      </c>
      <c r="BC29" s="14">
        <f>IF(Distances!BC26="N.C.",0,ROUNDUP(BC5+'Délai intermédiaire'!BC26/10,0))</f>
        <v>15</v>
      </c>
      <c r="BD29" s="14">
        <f>IF(Distances!BD26="N.C.",0,ROUNDUP(BD5+'Délai intermédiaire'!BD26/10,0))</f>
        <v>13</v>
      </c>
      <c r="BE29" s="14">
        <f>IF(Distances!BE26="N.C.",0,ROUNDUP(BE5+'Délai intermédiaire'!BE26/10,0))</f>
        <v>14</v>
      </c>
      <c r="BF29" s="13">
        <f>IF(Distances!BF26="N.C.",0,ROUNDUP(BF5+'Délai intermédiaire'!BF26/10,0))</f>
        <v>4</v>
      </c>
      <c r="BG29" s="13">
        <f>IF(Distances!BG26="N.C.",0,ROUNDUP(BG5+'Délai intermédiaire'!BG26/10,0))</f>
        <v>5</v>
      </c>
      <c r="BH29" s="14">
        <f>IF(Distances!BH26="N.C.",0,ROUNDUP(BH5+'Délai intermédiaire'!BH26/10,0))</f>
        <v>0</v>
      </c>
      <c r="BI29" s="14">
        <f>IF(Distances!BI26="N.C.",0,ROUNDUP(BI5+'Délai intermédiaire'!BI26/10,0))</f>
        <v>0</v>
      </c>
      <c r="BJ29" s="15">
        <f>IF(Distances!BJ26="N.C.",0,ROUNDUP(BJ5+'Délai intermédiaire'!BJ26/10,0))</f>
        <v>0</v>
      </c>
    </row>
    <row r="30" spans="1:62" x14ac:dyDescent="0.3">
      <c r="A30" s="10" t="s">
        <v>24</v>
      </c>
      <c r="B30" s="16">
        <f>IF(Distances!B27="N.C.",0,ROUNDUP(B5+'Délai intermédiaire'!B27/10,0))</f>
        <v>0</v>
      </c>
      <c r="C30" s="14">
        <f>IF(Distances!C27="N.C.",0,ROUNDUP(C5+'Délai intermédiaire'!C27/10,0))</f>
        <v>0</v>
      </c>
      <c r="D30" s="14">
        <f>IF(Distances!D27="N.C.",0,ROUNDUP(D5+'Délai intermédiaire'!D27/10,0))</f>
        <v>0</v>
      </c>
      <c r="E30" s="14">
        <f>IF(Distances!E27="N.C.",0,ROUNDUP(E5+'Délai intermédiaire'!E27/10,0))</f>
        <v>0</v>
      </c>
      <c r="F30" s="14">
        <f>IF(Distances!F27="N.C.",0,ROUNDUP(F5+'Délai intermédiaire'!F27/10,0))</f>
        <v>0</v>
      </c>
      <c r="G30" s="14">
        <f>IF(Distances!G27="N.C.",0,ROUNDUP(G5+'Délai intermédiaire'!G27/10,0))</f>
        <v>0</v>
      </c>
      <c r="H30" s="14">
        <f>IF(Distances!H27="N.C.",0,ROUNDUP(H5+'Délai intermédiaire'!H27/10,0))</f>
        <v>0</v>
      </c>
      <c r="I30" s="14">
        <f>IF(Distances!I27="N.C.",0,ROUNDUP(I5+'Délai intermédiaire'!I27/10,0))</f>
        <v>0</v>
      </c>
      <c r="J30" s="14">
        <f>IF(Distances!J27="N.C.",0,ROUNDUP(J5+'Délai intermédiaire'!J27/10,0))</f>
        <v>0</v>
      </c>
      <c r="K30" s="14">
        <f>IF(Distances!K27="N.C.",0,ROUNDUP(K5+'Délai intermédiaire'!K27/10,0))</f>
        <v>0</v>
      </c>
      <c r="L30" s="14">
        <f>IF(Distances!L27="N.C.",0,ROUNDUP(L5+'Délai intermédiaire'!L27/10,0))</f>
        <v>0</v>
      </c>
      <c r="M30" s="14">
        <f>IF(Distances!M27="N.C.",0,ROUNDUP(M5+'Délai intermédiaire'!M27/10,0))</f>
        <v>0</v>
      </c>
      <c r="N30" s="14">
        <f>IF(Distances!N27="N.C.",0,ROUNDUP(N5+'Délai intermédiaire'!N27/10,0))</f>
        <v>0</v>
      </c>
      <c r="O30" s="14">
        <f>IF(Distances!O27="N.C.",0,ROUNDUP(O5+'Délai intermédiaire'!O27/10,0))</f>
        <v>0</v>
      </c>
      <c r="P30" s="14">
        <f>IF(Distances!P27="N.C.",0,ROUNDUP(P5+'Délai intermédiaire'!P27/10,0))</f>
        <v>0</v>
      </c>
      <c r="Q30" s="13">
        <f>IF(Distances!Q27="N.C.",0,ROUNDUP(Q5+'Délai intermédiaire'!Q27/10,0))</f>
        <v>0</v>
      </c>
      <c r="R30" s="13">
        <f>IF(Distances!R27="N.C.",0,ROUNDUP(R5+'Délai intermédiaire'!R27/10,0))</f>
        <v>0</v>
      </c>
      <c r="S30" s="13">
        <f>IF(Distances!S27="N.C.",0,ROUNDUP(S5+'Délai intermédiaire'!S27/10,0))</f>
        <v>0</v>
      </c>
      <c r="T30" s="13">
        <f>IF(Distances!T27="N.C.",0,ROUNDUP(T5+'Délai intermédiaire'!T27/10,0))</f>
        <v>2</v>
      </c>
      <c r="U30" s="13">
        <f>IF(Distances!U27="N.C.",0,ROUNDUP(U5+'Délai intermédiaire'!U27/10,0))</f>
        <v>2</v>
      </c>
      <c r="V30" s="13">
        <f>IF(Distances!V27="N.C.",0,ROUNDUP(V5+'Délai intermédiaire'!V27/10,0))</f>
        <v>2</v>
      </c>
      <c r="W30" s="13">
        <f>IF(Distances!W27="N.C.",0,ROUNDUP(W5+'Délai intermédiaire'!W27/10,0))</f>
        <v>2</v>
      </c>
      <c r="X30" s="13">
        <f>IF(Distances!X27="N.C.",0,ROUNDUP(X5+'Délai intermédiaire'!X27/10,0))</f>
        <v>2</v>
      </c>
      <c r="Y30" s="12">
        <f>IF(Distances!Y27="N.C.",0,ROUNDUP(Y5+'Délai intermédiaire'!Y27/10,0))</f>
        <v>1</v>
      </c>
      <c r="Z30" s="13">
        <f>IF(Distances!Z27="N.C.",0,ROUNDUP(Z5+'Délai intermédiaire'!Z27/10,0))</f>
        <v>4</v>
      </c>
      <c r="AA30" s="13">
        <f>IF(Distances!AA27="N.C.",0,ROUNDUP(AA5+'Délai intermédiaire'!AA27/10,0))</f>
        <v>3</v>
      </c>
      <c r="AB30" s="13">
        <f>IF(Distances!AB27="N.C.",0,ROUNDUP(AB5+'Délai intermédiaire'!AB27/10,0))</f>
        <v>3</v>
      </c>
      <c r="AC30" s="13">
        <f>IF(Distances!AC27="N.C.",0,ROUNDUP(AC5+'Délai intermédiaire'!AC27/10,0))</f>
        <v>3</v>
      </c>
      <c r="AD30" s="13">
        <f>IF(Distances!AD27="N.C.",0,ROUNDUP(AD5+'Délai intermédiaire'!AD27/10,0))</f>
        <v>3</v>
      </c>
      <c r="AE30" s="13">
        <f>IF(Distances!AE27="N.C.",0,ROUNDUP(AE5+'Délai intermédiaire'!AE27/10,0))</f>
        <v>3</v>
      </c>
      <c r="AF30" s="13">
        <f>IF(Distances!AF27="N.C.",0,ROUNDUP(AF5+'Délai intermédiaire'!AF27/10,0))</f>
        <v>2</v>
      </c>
      <c r="AG30" s="13">
        <f>IF(Distances!AG27="N.C.",0,ROUNDUP(AG5+'Délai intermédiaire'!AG27/10,0))</f>
        <v>3</v>
      </c>
      <c r="AH30" s="14">
        <f>IF(Distances!AH27="N.C.",0,ROUNDUP(AH5+'Délai intermédiaire'!AH27/10,0))</f>
        <v>0</v>
      </c>
      <c r="AI30" s="14">
        <f>IF(Distances!AI27="N.C.",0,ROUNDUP(AI5+'Délai intermédiaire'!AI27/10,0))</f>
        <v>14</v>
      </c>
      <c r="AJ30" s="14">
        <f>IF(Distances!AJ27="N.C.",0,ROUNDUP(AJ5+'Délai intermédiaire'!AJ27/10,0))</f>
        <v>0</v>
      </c>
      <c r="AK30" s="14">
        <f>IF(Distances!AK27="N.C.",0,ROUNDUP(AK5+'Délai intermédiaire'!AK27/10,0))</f>
        <v>15</v>
      </c>
      <c r="AL30" s="14">
        <f>IF(Distances!AL27="N.C.",0,ROUNDUP(AL5+'Délai intermédiaire'!AL27/10,0))</f>
        <v>0</v>
      </c>
      <c r="AM30" s="14">
        <f>IF(Distances!AM27="N.C.",0,ROUNDUP(AM5+'Délai intermédiaire'!AM27/10,0))</f>
        <v>0</v>
      </c>
      <c r="AN30" s="14">
        <f>IF(Distances!AN27="N.C.",0,ROUNDUP(AN5+'Délai intermédiaire'!AN27/10,0))</f>
        <v>0</v>
      </c>
      <c r="AO30" s="14">
        <f>IF(Distances!AO27="N.C.",0,ROUNDUP(AO5+'Délai intermédiaire'!AO27/10,0))</f>
        <v>0</v>
      </c>
      <c r="AP30" s="14">
        <f>IF(Distances!AP27="N.C.",0,ROUNDUP(AP5+'Délai intermédiaire'!AP27/10,0))</f>
        <v>0</v>
      </c>
      <c r="AQ30" s="14">
        <f>IF(Distances!AQ27="N.C.",0,ROUNDUP(AQ5+'Délai intermédiaire'!AQ27/10,0))</f>
        <v>0</v>
      </c>
      <c r="AR30" s="14">
        <f>IF(Distances!AR27="N.C.",0,ROUNDUP(AR5+'Délai intermédiaire'!AR27/10,0))</f>
        <v>9</v>
      </c>
      <c r="AS30" s="14">
        <f>IF(Distances!AS27="N.C.",0,ROUNDUP(AS5+'Délai intermédiaire'!AS27/10,0))</f>
        <v>8</v>
      </c>
      <c r="AT30" s="14">
        <f>IF(Distances!AT27="N.C.",0,ROUNDUP(AT5+'Délai intermédiaire'!AT27/10,0))</f>
        <v>8</v>
      </c>
      <c r="AU30" s="14">
        <f>IF(Distances!AU27="N.C.",0,ROUNDUP(AU5+'Délai intermédiaire'!AU27/10,0))</f>
        <v>15</v>
      </c>
      <c r="AV30" s="14">
        <f>IF(Distances!AV27="N.C.",0,ROUNDUP(AV5+'Délai intermédiaire'!AV27/10,0))</f>
        <v>6</v>
      </c>
      <c r="AW30" s="14">
        <f>IF(Distances!AW27="N.C.",0,ROUNDUP(AW5+'Délai intermédiaire'!AW27/10,0))</f>
        <v>11</v>
      </c>
      <c r="AX30" s="14">
        <f>IF(Distances!AX27="N.C.",0,ROUNDUP(AX5+'Délai intermédiaire'!AX27/10,0))</f>
        <v>16</v>
      </c>
      <c r="AY30" s="14">
        <f>IF(Distances!AY27="N.C.",0,ROUNDUP(AY5+'Délai intermédiaire'!AY27/10,0))</f>
        <v>12</v>
      </c>
      <c r="AZ30" s="14">
        <f>IF(Distances!AZ27="N.C.",0,ROUNDUP(AZ5+'Délai intermédiaire'!AZ27/10,0))</f>
        <v>14</v>
      </c>
      <c r="BA30" s="14">
        <f>IF(Distances!BA27="N.C.",0,ROUNDUP(BA5+'Délai intermédiaire'!BA27/10,0))</f>
        <v>17</v>
      </c>
      <c r="BB30" s="13">
        <f>IF(Distances!BB27="N.C.",0,ROUNDUP(BB5+'Délai intermédiaire'!BB27/10,0))</f>
        <v>4</v>
      </c>
      <c r="BC30" s="14">
        <f>IF(Distances!BC27="N.C.",0,ROUNDUP(BC5+'Délai intermédiaire'!BC27/10,0))</f>
        <v>15</v>
      </c>
      <c r="BD30" s="14">
        <f>IF(Distances!BD27="N.C.",0,ROUNDUP(BD5+'Délai intermédiaire'!BD27/10,0))</f>
        <v>14</v>
      </c>
      <c r="BE30" s="14">
        <f>IF(Distances!BE27="N.C.",0,ROUNDUP(BE5+'Délai intermédiaire'!BE27/10,0))</f>
        <v>15</v>
      </c>
      <c r="BF30" s="13">
        <f>IF(Distances!BF27="N.C.",0,ROUNDUP(BF5+'Délai intermédiaire'!BF27/10,0))</f>
        <v>4</v>
      </c>
      <c r="BG30" s="13">
        <f>IF(Distances!BG27="N.C.",0,ROUNDUP(BG5+'Délai intermédiaire'!BG27/10,0))</f>
        <v>5</v>
      </c>
      <c r="BH30" s="14">
        <f>IF(Distances!BH27="N.C.",0,ROUNDUP(BH5+'Délai intermédiaire'!BH27/10,0))</f>
        <v>0</v>
      </c>
      <c r="BI30" s="14">
        <f>IF(Distances!BI27="N.C.",0,ROUNDUP(BI5+'Délai intermédiaire'!BI27/10,0))</f>
        <v>0</v>
      </c>
      <c r="BJ30" s="15">
        <f>IF(Distances!BJ27="N.C.",0,ROUNDUP(BJ5+'Délai intermédiaire'!BJ27/10,0))</f>
        <v>0</v>
      </c>
    </row>
    <row r="31" spans="1:62" x14ac:dyDescent="0.3">
      <c r="A31" s="10" t="s">
        <v>25</v>
      </c>
      <c r="B31" s="16">
        <f>IF(Distances!B28="N.C.",0,ROUNDUP(B5+'Délai intermédiaire'!B28/10,0))</f>
        <v>0</v>
      </c>
      <c r="C31" s="14">
        <f>IF(Distances!C28="N.C.",0,ROUNDUP(C5+'Délai intermédiaire'!C28/10,0))</f>
        <v>0</v>
      </c>
      <c r="D31" s="14">
        <f>IF(Distances!D28="N.C.",0,ROUNDUP(D5+'Délai intermédiaire'!D28/10,0))</f>
        <v>0</v>
      </c>
      <c r="E31" s="14">
        <f>IF(Distances!E28="N.C.",0,ROUNDUP(E5+'Délai intermédiaire'!E28/10,0))</f>
        <v>0</v>
      </c>
      <c r="F31" s="14">
        <f>IF(Distances!F28="N.C.",0,ROUNDUP(F5+'Délai intermédiaire'!F28/10,0))</f>
        <v>0</v>
      </c>
      <c r="G31" s="14">
        <f>IF(Distances!G28="N.C.",0,ROUNDUP(G5+'Délai intermédiaire'!G28/10,0))</f>
        <v>0</v>
      </c>
      <c r="H31" s="14">
        <f>IF(Distances!H28="N.C.",0,ROUNDUP(H5+'Délai intermédiaire'!H28/10,0))</f>
        <v>0</v>
      </c>
      <c r="I31" s="14">
        <f>IF(Distances!I28="N.C.",0,ROUNDUP(I5+'Délai intermédiaire'!I28/10,0))</f>
        <v>0</v>
      </c>
      <c r="J31" s="14">
        <f>IF(Distances!J28="N.C.",0,ROUNDUP(J5+'Délai intermédiaire'!J28/10,0))</f>
        <v>0</v>
      </c>
      <c r="K31" s="14">
        <f>IF(Distances!K28="N.C.",0,ROUNDUP(K5+'Délai intermédiaire'!K28/10,0))</f>
        <v>0</v>
      </c>
      <c r="L31" s="14">
        <f>IF(Distances!L28="N.C.",0,ROUNDUP(L5+'Délai intermédiaire'!L28/10,0))</f>
        <v>0</v>
      </c>
      <c r="M31" s="14">
        <f>IF(Distances!M28="N.C.",0,ROUNDUP(M5+'Délai intermédiaire'!M28/10,0))</f>
        <v>0</v>
      </c>
      <c r="N31" s="14">
        <f>IF(Distances!N28="N.C.",0,ROUNDUP(N5+'Délai intermédiaire'!N28/10,0))</f>
        <v>0</v>
      </c>
      <c r="O31" s="14">
        <f>IF(Distances!O28="N.C.",0,ROUNDUP(O5+'Délai intermédiaire'!O28/10,0))</f>
        <v>0</v>
      </c>
      <c r="P31" s="14">
        <f>IF(Distances!P28="N.C.",0,ROUNDUP(P5+'Délai intermédiaire'!P28/10,0))</f>
        <v>0</v>
      </c>
      <c r="Q31" s="13">
        <f>IF(Distances!Q28="N.C.",0,ROUNDUP(Q5+'Délai intermédiaire'!Q28/10,0))</f>
        <v>0</v>
      </c>
      <c r="R31" s="13">
        <f>IF(Distances!R28="N.C.",0,ROUNDUP(R5+'Délai intermédiaire'!R28/10,0))</f>
        <v>0</v>
      </c>
      <c r="S31" s="13">
        <f>IF(Distances!S28="N.C.",0,ROUNDUP(S5+'Délai intermédiaire'!S28/10,0))</f>
        <v>0</v>
      </c>
      <c r="T31" s="13">
        <f>IF(Distances!T28="N.C.",0,ROUNDUP(T5+'Délai intermédiaire'!T28/10,0))</f>
        <v>3</v>
      </c>
      <c r="U31" s="13">
        <f>IF(Distances!U28="N.C.",0,ROUNDUP(U5+'Délai intermédiaire'!U28/10,0))</f>
        <v>2</v>
      </c>
      <c r="V31" s="13">
        <f>IF(Distances!V28="N.C.",0,ROUNDUP(V5+'Délai intermédiaire'!V28/10,0))</f>
        <v>2</v>
      </c>
      <c r="W31" s="13">
        <f>IF(Distances!W28="N.C.",0,ROUNDUP(W5+'Délai intermédiaire'!W28/10,0))</f>
        <v>3</v>
      </c>
      <c r="X31" s="13">
        <f>IF(Distances!X28="N.C.",0,ROUNDUP(X5+'Délai intermédiaire'!X28/10,0))</f>
        <v>3</v>
      </c>
      <c r="Y31" s="13">
        <f>IF(Distances!Y28="N.C.",0,ROUNDUP(Y5+'Délai intermédiaire'!Y28/10,0))</f>
        <v>3</v>
      </c>
      <c r="Z31" s="12">
        <f>IF(Distances!Z28="N.C.",0,ROUNDUP(Z5+'Délai intermédiaire'!Z28/10,0))</f>
        <v>2</v>
      </c>
      <c r="AA31" s="13">
        <f>IF(Distances!AA28="N.C.",0,ROUNDUP(AA5+'Délai intermédiaire'!AA28/10,0))</f>
        <v>3</v>
      </c>
      <c r="AB31" s="13">
        <f>IF(Distances!AB28="N.C.",0,ROUNDUP(AB5+'Délai intermédiaire'!AB28/10,0))</f>
        <v>3</v>
      </c>
      <c r="AC31" s="13">
        <f>IF(Distances!AC28="N.C.",0,ROUNDUP(AC5+'Délai intermédiaire'!AC28/10,0))</f>
        <v>3</v>
      </c>
      <c r="AD31" s="13">
        <f>IF(Distances!AD28="N.C.",0,ROUNDUP(AD5+'Délai intermédiaire'!AD28/10,0))</f>
        <v>4</v>
      </c>
      <c r="AE31" s="13">
        <f>IF(Distances!AE28="N.C.",0,ROUNDUP(AE5+'Délai intermédiaire'!AE28/10,0))</f>
        <v>4</v>
      </c>
      <c r="AF31" s="13">
        <f>IF(Distances!AF28="N.C.",0,ROUNDUP(AF5+'Délai intermédiaire'!AF28/10,0))</f>
        <v>3</v>
      </c>
      <c r="AG31" s="13">
        <f>IF(Distances!AG28="N.C.",0,ROUNDUP(AG5+'Délai intermédiaire'!AG28/10,0))</f>
        <v>4</v>
      </c>
      <c r="AH31" s="14">
        <f>IF(Distances!AH28="N.C.",0,ROUNDUP(AH5+'Délai intermédiaire'!AH28/10,0))</f>
        <v>0</v>
      </c>
      <c r="AI31" s="14">
        <f>IF(Distances!AI28="N.C.",0,ROUNDUP(AI5+'Délai intermédiaire'!AI28/10,0))</f>
        <v>0</v>
      </c>
      <c r="AJ31" s="14">
        <f>IF(Distances!AJ28="N.C.",0,ROUNDUP(AJ5+'Délai intermédiaire'!AJ28/10,0))</f>
        <v>0</v>
      </c>
      <c r="AK31" s="14">
        <f>IF(Distances!AK28="N.C.",0,ROUNDUP(AK5+'Délai intermédiaire'!AK28/10,0))</f>
        <v>0</v>
      </c>
      <c r="AL31" s="14">
        <f>IF(Distances!AL28="N.C.",0,ROUNDUP(AL5+'Délai intermédiaire'!AL28/10,0))</f>
        <v>0</v>
      </c>
      <c r="AM31" s="14">
        <f>IF(Distances!AM28="N.C.",0,ROUNDUP(AM5+'Délai intermédiaire'!AM28/10,0))</f>
        <v>0</v>
      </c>
      <c r="AN31" s="14">
        <f>IF(Distances!AN28="N.C.",0,ROUNDUP(AN5+'Délai intermédiaire'!AN28/10,0))</f>
        <v>0</v>
      </c>
      <c r="AO31" s="14">
        <f>IF(Distances!AO28="N.C.",0,ROUNDUP(AO5+'Délai intermédiaire'!AO28/10,0))</f>
        <v>0</v>
      </c>
      <c r="AP31" s="14">
        <f>IF(Distances!AP28="N.C.",0,ROUNDUP(AP5+'Délai intermédiaire'!AP28/10,0))</f>
        <v>0</v>
      </c>
      <c r="AQ31" s="14">
        <f>IF(Distances!AQ28="N.C.",0,ROUNDUP(AQ5+'Délai intermédiaire'!AQ28/10,0))</f>
        <v>0</v>
      </c>
      <c r="AR31" s="14">
        <f>IF(Distances!AR28="N.C.",0,ROUNDUP(AR5+'Délai intermédiaire'!AR28/10,0))</f>
        <v>0</v>
      </c>
      <c r="AS31" s="14">
        <f>IF(Distances!AS28="N.C.",0,ROUNDUP(AS5+'Délai intermédiaire'!AS28/10,0))</f>
        <v>8</v>
      </c>
      <c r="AT31" s="14">
        <f>IF(Distances!AT28="N.C.",0,ROUNDUP(AT5+'Délai intermédiaire'!AT28/10,0))</f>
        <v>0</v>
      </c>
      <c r="AU31" s="14">
        <f>IF(Distances!AU28="N.C.",0,ROUNDUP(AU5+'Délai intermédiaire'!AU28/10,0))</f>
        <v>16</v>
      </c>
      <c r="AV31" s="14">
        <f>IF(Distances!AV28="N.C.",0,ROUNDUP(AV5+'Délai intermédiaire'!AV28/10,0))</f>
        <v>7</v>
      </c>
      <c r="AW31" s="14">
        <f>IF(Distances!AW28="N.C.",0,ROUNDUP(AW5+'Délai intermédiaire'!AW28/10,0))</f>
        <v>12</v>
      </c>
      <c r="AX31" s="14">
        <f>IF(Distances!AX28="N.C.",0,ROUNDUP(AX5+'Délai intermédiaire'!AX28/10,0))</f>
        <v>17</v>
      </c>
      <c r="AY31" s="14">
        <f>IF(Distances!AY28="N.C.",0,ROUNDUP(AY5+'Délai intermédiaire'!AY28/10,0))</f>
        <v>12</v>
      </c>
      <c r="AZ31" s="14">
        <f>IF(Distances!AZ28="N.C.",0,ROUNDUP(AZ5+'Délai intermédiaire'!AZ28/10,0))</f>
        <v>14</v>
      </c>
      <c r="BA31" s="14">
        <f>IF(Distances!BA28="N.C.",0,ROUNDUP(BA5+'Délai intermédiaire'!BA28/10,0))</f>
        <v>0</v>
      </c>
      <c r="BB31" s="13">
        <f>IF(Distances!BB28="N.C.",0,ROUNDUP(BB5+'Délai intermédiaire'!BB28/10,0))</f>
        <v>5</v>
      </c>
      <c r="BC31" s="14">
        <f>IF(Distances!BC28="N.C.",0,ROUNDUP(BC5+'Délai intermédiaire'!BC28/10,0))</f>
        <v>16</v>
      </c>
      <c r="BD31" s="14">
        <f>IF(Distances!BD28="N.C.",0,ROUNDUP(BD5+'Délai intermédiaire'!BD28/10,0))</f>
        <v>14</v>
      </c>
      <c r="BE31" s="14">
        <f>IF(Distances!BE28="N.C.",0,ROUNDUP(BE5+'Délai intermédiaire'!BE28/10,0))</f>
        <v>16</v>
      </c>
      <c r="BF31" s="13">
        <f>IF(Distances!BF28="N.C.",0,ROUNDUP(BF5+'Délai intermédiaire'!BF28/10,0))</f>
        <v>5</v>
      </c>
      <c r="BG31" s="13">
        <f>IF(Distances!BG28="N.C.",0,ROUNDUP(BG5+'Délai intermédiaire'!BG28/10,0))</f>
        <v>0</v>
      </c>
      <c r="BH31" s="14">
        <f>IF(Distances!BH28="N.C.",0,ROUNDUP(BH5+'Délai intermédiaire'!BH28/10,0))</f>
        <v>0</v>
      </c>
      <c r="BI31" s="14">
        <f>IF(Distances!BI28="N.C.",0,ROUNDUP(BI5+'Délai intermédiaire'!BI28/10,0))</f>
        <v>0</v>
      </c>
      <c r="BJ31" s="15">
        <f>IF(Distances!BJ28="N.C.",0,ROUNDUP(BJ5+'Délai intermédiaire'!BJ28/10,0))</f>
        <v>0</v>
      </c>
    </row>
    <row r="32" spans="1:62" x14ac:dyDescent="0.3">
      <c r="A32" s="10" t="s">
        <v>26</v>
      </c>
      <c r="B32" s="16">
        <f>IF(Distances!B29="N.C.",0,ROUNDUP(B5+'Délai intermédiaire'!B29/10,0))</f>
        <v>0</v>
      </c>
      <c r="C32" s="14">
        <f>IF(Distances!C29="N.C.",0,ROUNDUP(C5+'Délai intermédiaire'!C29/10,0))</f>
        <v>0</v>
      </c>
      <c r="D32" s="14">
        <f>IF(Distances!D29="N.C.",0,ROUNDUP(D5+'Délai intermédiaire'!D29/10,0))</f>
        <v>0</v>
      </c>
      <c r="E32" s="14">
        <f>IF(Distances!E29="N.C.",0,ROUNDUP(E5+'Délai intermédiaire'!E29/10,0))</f>
        <v>0</v>
      </c>
      <c r="F32" s="14">
        <f>IF(Distances!F29="N.C.",0,ROUNDUP(F5+'Délai intermédiaire'!F29/10,0))</f>
        <v>0</v>
      </c>
      <c r="G32" s="14">
        <f>IF(Distances!G29="N.C.",0,ROUNDUP(G5+'Délai intermédiaire'!G29/10,0))</f>
        <v>0</v>
      </c>
      <c r="H32" s="14">
        <f>IF(Distances!H29="N.C.",0,ROUNDUP(H5+'Délai intermédiaire'!H29/10,0))</f>
        <v>0</v>
      </c>
      <c r="I32" s="14">
        <f>IF(Distances!I29="N.C.",0,ROUNDUP(I5+'Délai intermédiaire'!I29/10,0))</f>
        <v>0</v>
      </c>
      <c r="J32" s="14">
        <f>IF(Distances!J29="N.C.",0,ROUNDUP(J5+'Délai intermédiaire'!J29/10,0))</f>
        <v>0</v>
      </c>
      <c r="K32" s="14">
        <f>IF(Distances!K29="N.C.",0,ROUNDUP(K5+'Délai intermédiaire'!K29/10,0))</f>
        <v>0</v>
      </c>
      <c r="L32" s="14">
        <f>IF(Distances!L29="N.C.",0,ROUNDUP(L5+'Délai intermédiaire'!L29/10,0))</f>
        <v>0</v>
      </c>
      <c r="M32" s="14">
        <f>IF(Distances!M29="N.C.",0,ROUNDUP(M5+'Délai intermédiaire'!M29/10,0))</f>
        <v>0</v>
      </c>
      <c r="N32" s="14">
        <f>IF(Distances!N29="N.C.",0,ROUNDUP(N5+'Délai intermédiaire'!N29/10,0))</f>
        <v>0</v>
      </c>
      <c r="O32" s="14">
        <f>IF(Distances!O29="N.C.",0,ROUNDUP(O5+'Délai intermédiaire'!O29/10,0))</f>
        <v>0</v>
      </c>
      <c r="P32" s="14">
        <f>IF(Distances!P29="N.C.",0,ROUNDUP(P5+'Délai intermédiaire'!P29/10,0))</f>
        <v>0</v>
      </c>
      <c r="Q32" s="13">
        <f>IF(Distances!Q29="N.C.",0,ROUNDUP(Q5+'Délai intermédiaire'!Q29/10,0))</f>
        <v>0</v>
      </c>
      <c r="R32" s="13">
        <f>IF(Distances!R29="N.C.",0,ROUNDUP(R5+'Délai intermédiaire'!R29/10,0))</f>
        <v>0</v>
      </c>
      <c r="S32" s="13">
        <f>IF(Distances!S29="N.C.",0,ROUNDUP(S5+'Délai intermédiaire'!S29/10,0))</f>
        <v>0</v>
      </c>
      <c r="T32" s="13">
        <f>IF(Distances!T29="N.C.",0,ROUNDUP(T5+'Délai intermédiaire'!T29/10,0))</f>
        <v>2</v>
      </c>
      <c r="U32" s="13">
        <f>IF(Distances!U29="N.C.",0,ROUNDUP(U5+'Délai intermédiaire'!U29/10,0))</f>
        <v>2</v>
      </c>
      <c r="V32" s="13">
        <f>IF(Distances!V29="N.C.",0,ROUNDUP(V5+'Délai intermédiaire'!V29/10,0))</f>
        <v>2</v>
      </c>
      <c r="W32" s="13">
        <f>IF(Distances!W29="N.C.",0,ROUNDUP(W5+'Délai intermédiaire'!W29/10,0))</f>
        <v>3</v>
      </c>
      <c r="X32" s="13">
        <f>IF(Distances!X29="N.C.",0,ROUNDUP(X5+'Délai intermédiaire'!X29/10,0))</f>
        <v>2</v>
      </c>
      <c r="Y32" s="13">
        <f>IF(Distances!Y29="N.C.",0,ROUNDUP(Y5+'Délai intermédiaire'!Y29/10,0))</f>
        <v>2</v>
      </c>
      <c r="Z32" s="13">
        <f>IF(Distances!Z29="N.C.",0,ROUNDUP(Z5+'Délai intermédiaire'!Z29/10,0))</f>
        <v>3</v>
      </c>
      <c r="AA32" s="12">
        <f>IF(Distances!AA29="N.C.",0,ROUNDUP(AA5+'Délai intermédiaire'!AA29/10,0))</f>
        <v>2</v>
      </c>
      <c r="AB32" s="13">
        <f>IF(Distances!AB29="N.C.",0,ROUNDUP(AB5+'Délai intermédiaire'!AB29/10,0))</f>
        <v>3</v>
      </c>
      <c r="AC32" s="13">
        <f>IF(Distances!AC29="N.C.",0,ROUNDUP(AC5+'Délai intermédiaire'!AC29/10,0))</f>
        <v>2</v>
      </c>
      <c r="AD32" s="13">
        <f>IF(Distances!AD29="N.C.",0,ROUNDUP(AD5+'Délai intermédiaire'!AD29/10,0))</f>
        <v>4</v>
      </c>
      <c r="AE32" s="13">
        <f>IF(Distances!AE29="N.C.",0,ROUNDUP(AE5+'Délai intermédiaire'!AE29/10,0))</f>
        <v>4</v>
      </c>
      <c r="AF32" s="13">
        <f>IF(Distances!AF29="N.C.",0,ROUNDUP(AF5+'Délai intermédiaire'!AF29/10,0))</f>
        <v>2</v>
      </c>
      <c r="AG32" s="13">
        <f>IF(Distances!AG29="N.C.",0,ROUNDUP(AG5+'Délai intermédiaire'!AG29/10,0))</f>
        <v>3</v>
      </c>
      <c r="AH32" s="14">
        <f>IF(Distances!AH29="N.C.",0,ROUNDUP(AH5+'Délai intermédiaire'!AH29/10,0))</f>
        <v>0</v>
      </c>
      <c r="AI32" s="14">
        <f>IF(Distances!AI29="N.C.",0,ROUNDUP(AI5+'Délai intermédiaire'!AI29/10,0))</f>
        <v>0</v>
      </c>
      <c r="AJ32" s="14">
        <f>IF(Distances!AJ29="N.C.",0,ROUNDUP(AJ5+'Délai intermédiaire'!AJ29/10,0))</f>
        <v>0</v>
      </c>
      <c r="AK32" s="14">
        <f>IF(Distances!AK29="N.C.",0,ROUNDUP(AK5+'Délai intermédiaire'!AK29/10,0))</f>
        <v>15</v>
      </c>
      <c r="AL32" s="14">
        <f>IF(Distances!AL29="N.C.",0,ROUNDUP(AL5+'Délai intermédiaire'!AL29/10,0))</f>
        <v>0</v>
      </c>
      <c r="AM32" s="14">
        <f>IF(Distances!AM29="N.C.",0,ROUNDUP(AM5+'Délai intermédiaire'!AM29/10,0))</f>
        <v>0</v>
      </c>
      <c r="AN32" s="14">
        <f>IF(Distances!AN29="N.C.",0,ROUNDUP(AN5+'Délai intermédiaire'!AN29/10,0))</f>
        <v>0</v>
      </c>
      <c r="AO32" s="14">
        <f>IF(Distances!AO29="N.C.",0,ROUNDUP(AO5+'Délai intermédiaire'!AO29/10,0))</f>
        <v>0</v>
      </c>
      <c r="AP32" s="14">
        <f>IF(Distances!AP29="N.C.",0,ROUNDUP(AP5+'Délai intermédiaire'!AP29/10,0))</f>
        <v>0</v>
      </c>
      <c r="AQ32" s="14">
        <f>IF(Distances!AQ29="N.C.",0,ROUNDUP(AQ5+'Délai intermédiaire'!AQ29/10,0))</f>
        <v>0</v>
      </c>
      <c r="AR32" s="14">
        <f>IF(Distances!AR29="N.C.",0,ROUNDUP(AR5+'Délai intermédiaire'!AR29/10,0))</f>
        <v>0</v>
      </c>
      <c r="AS32" s="14">
        <f>IF(Distances!AS29="N.C.",0,ROUNDUP(AS5+'Délai intermédiaire'!AS29/10,0))</f>
        <v>8</v>
      </c>
      <c r="AT32" s="14">
        <f>IF(Distances!AT29="N.C.",0,ROUNDUP(AT5+'Délai intermédiaire'!AT29/10,0))</f>
        <v>8</v>
      </c>
      <c r="AU32" s="14">
        <f>IF(Distances!AU29="N.C.",0,ROUNDUP(AU5+'Délai intermédiaire'!AU29/10,0))</f>
        <v>16</v>
      </c>
      <c r="AV32" s="14">
        <f>IF(Distances!AV29="N.C.",0,ROUNDUP(AV5+'Délai intermédiaire'!AV29/10,0))</f>
        <v>6</v>
      </c>
      <c r="AW32" s="14">
        <f>IF(Distances!AW29="N.C.",0,ROUNDUP(AW5+'Délai intermédiaire'!AW29/10,0))</f>
        <v>12</v>
      </c>
      <c r="AX32" s="14">
        <f>IF(Distances!AX29="N.C.",0,ROUNDUP(AX5+'Délai intermédiaire'!AX29/10,0))</f>
        <v>17</v>
      </c>
      <c r="AY32" s="14">
        <f>IF(Distances!AY29="N.C.",0,ROUNDUP(AY5+'Délai intermédiaire'!AY29/10,0))</f>
        <v>12</v>
      </c>
      <c r="AZ32" s="14">
        <f>IF(Distances!AZ29="N.C.",0,ROUNDUP(AZ5+'Délai intermédiaire'!AZ29/10,0))</f>
        <v>14</v>
      </c>
      <c r="BA32" s="14">
        <f>IF(Distances!BA29="N.C.",0,ROUNDUP(BA5+'Délai intermédiaire'!BA29/10,0))</f>
        <v>0</v>
      </c>
      <c r="BB32" s="13">
        <f>IF(Distances!BB29="N.C.",0,ROUNDUP(BB5+'Délai intermédiaire'!BB29/10,0))</f>
        <v>5</v>
      </c>
      <c r="BC32" s="14">
        <f>IF(Distances!BC29="N.C.",0,ROUNDUP(BC5+'Délai intermédiaire'!BC29/10,0))</f>
        <v>16</v>
      </c>
      <c r="BD32" s="14">
        <f>IF(Distances!BD29="N.C.",0,ROUNDUP(BD5+'Délai intermédiaire'!BD29/10,0))</f>
        <v>14</v>
      </c>
      <c r="BE32" s="14">
        <f>IF(Distances!BE29="N.C.",0,ROUNDUP(BE5+'Délai intermédiaire'!BE29/10,0))</f>
        <v>15</v>
      </c>
      <c r="BF32" s="13">
        <f>IF(Distances!BF29="N.C.",0,ROUNDUP(BF5+'Délai intermédiaire'!BF29/10,0))</f>
        <v>5</v>
      </c>
      <c r="BG32" s="13">
        <f>IF(Distances!BG29="N.C.",0,ROUNDUP(BG5+'Délai intermédiaire'!BG29/10,0))</f>
        <v>5</v>
      </c>
      <c r="BH32" s="14">
        <f>IF(Distances!BH29="N.C.",0,ROUNDUP(BH5+'Délai intermédiaire'!BH29/10,0))</f>
        <v>0</v>
      </c>
      <c r="BI32" s="14">
        <f>IF(Distances!BI29="N.C.",0,ROUNDUP(BI5+'Délai intermédiaire'!BI29/10,0))</f>
        <v>0</v>
      </c>
      <c r="BJ32" s="15">
        <f>IF(Distances!BJ29="N.C.",0,ROUNDUP(BJ5+'Délai intermédiaire'!BJ29/10,0))</f>
        <v>0</v>
      </c>
    </row>
    <row r="33" spans="1:62" x14ac:dyDescent="0.3">
      <c r="A33" s="10" t="s">
        <v>27</v>
      </c>
      <c r="B33" s="16">
        <f>IF(Distances!B30="N.C.",0,ROUNDUP(B5+'Délai intermédiaire'!B30/10,0))</f>
        <v>0</v>
      </c>
      <c r="C33" s="14">
        <f>IF(Distances!C30="N.C.",0,ROUNDUP(C5+'Délai intermédiaire'!C30/10,0))</f>
        <v>0</v>
      </c>
      <c r="D33" s="14">
        <f>IF(Distances!D30="N.C.",0,ROUNDUP(D5+'Délai intermédiaire'!D30/10,0))</f>
        <v>0</v>
      </c>
      <c r="E33" s="14">
        <f>IF(Distances!E30="N.C.",0,ROUNDUP(E5+'Délai intermédiaire'!E30/10,0))</f>
        <v>0</v>
      </c>
      <c r="F33" s="14">
        <f>IF(Distances!F30="N.C.",0,ROUNDUP(F5+'Délai intermédiaire'!F30/10,0))</f>
        <v>0</v>
      </c>
      <c r="G33" s="14">
        <f>IF(Distances!G30="N.C.",0,ROUNDUP(G5+'Délai intermédiaire'!G30/10,0))</f>
        <v>0</v>
      </c>
      <c r="H33" s="14">
        <f>IF(Distances!H30="N.C.",0,ROUNDUP(H5+'Délai intermédiaire'!H30/10,0))</f>
        <v>0</v>
      </c>
      <c r="I33" s="14">
        <f>IF(Distances!I30="N.C.",0,ROUNDUP(I5+'Délai intermédiaire'!I30/10,0))</f>
        <v>0</v>
      </c>
      <c r="J33" s="14">
        <f>IF(Distances!J30="N.C.",0,ROUNDUP(J5+'Délai intermédiaire'!J30/10,0))</f>
        <v>0</v>
      </c>
      <c r="K33" s="14">
        <f>IF(Distances!K30="N.C.",0,ROUNDUP(K5+'Délai intermédiaire'!K30/10,0))</f>
        <v>0</v>
      </c>
      <c r="L33" s="14">
        <f>IF(Distances!L30="N.C.",0,ROUNDUP(L5+'Délai intermédiaire'!L30/10,0))</f>
        <v>0</v>
      </c>
      <c r="M33" s="14">
        <f>IF(Distances!M30="N.C.",0,ROUNDUP(M5+'Délai intermédiaire'!M30/10,0))</f>
        <v>0</v>
      </c>
      <c r="N33" s="14">
        <f>IF(Distances!N30="N.C.",0,ROUNDUP(N5+'Délai intermédiaire'!N30/10,0))</f>
        <v>0</v>
      </c>
      <c r="O33" s="14">
        <f>IF(Distances!O30="N.C.",0,ROUNDUP(O5+'Délai intermédiaire'!O30/10,0))</f>
        <v>0</v>
      </c>
      <c r="P33" s="14">
        <f>IF(Distances!P30="N.C.",0,ROUNDUP(P5+'Délai intermédiaire'!P30/10,0))</f>
        <v>0</v>
      </c>
      <c r="Q33" s="13">
        <f>IF(Distances!Q30="N.C.",0,ROUNDUP(Q5+'Délai intermédiaire'!Q30/10,0))</f>
        <v>0</v>
      </c>
      <c r="R33" s="13">
        <f>IF(Distances!R30="N.C.",0,ROUNDUP(R5+'Délai intermédiaire'!R30/10,0))</f>
        <v>0</v>
      </c>
      <c r="S33" s="13">
        <f>IF(Distances!S30="N.C.",0,ROUNDUP(S5+'Délai intermédiaire'!S30/10,0))</f>
        <v>0</v>
      </c>
      <c r="T33" s="13">
        <f>IF(Distances!T30="N.C.",0,ROUNDUP(T5+'Délai intermédiaire'!T30/10,0))</f>
        <v>3</v>
      </c>
      <c r="U33" s="13">
        <f>IF(Distances!U30="N.C.",0,ROUNDUP(U5+'Délai intermédiaire'!U30/10,0))</f>
        <v>3</v>
      </c>
      <c r="V33" s="13">
        <f>IF(Distances!V30="N.C.",0,ROUNDUP(V5+'Délai intermédiaire'!V30/10,0))</f>
        <v>3</v>
      </c>
      <c r="W33" s="13">
        <f>IF(Distances!W30="N.C.",0,ROUNDUP(W5+'Délai intermédiaire'!W30/10,0))</f>
        <v>3</v>
      </c>
      <c r="X33" s="13">
        <f>IF(Distances!X30="N.C.",0,ROUNDUP(X5+'Délai intermédiaire'!X30/10,0))</f>
        <v>4</v>
      </c>
      <c r="Y33" s="13">
        <f>IF(Distances!Y30="N.C.",0,ROUNDUP(Y5+'Délai intermédiaire'!Y30/10,0))</f>
        <v>3</v>
      </c>
      <c r="Z33" s="13">
        <f>IF(Distances!Z30="N.C.",0,ROUNDUP(Z5+'Délai intermédiaire'!Z30/10,0))</f>
        <v>4</v>
      </c>
      <c r="AA33" s="13">
        <f>IF(Distances!AA30="N.C.",0,ROUNDUP(AA5+'Délai intermédiaire'!AA30/10,0))</f>
        <v>4</v>
      </c>
      <c r="AB33" s="12">
        <f>IF(Distances!AB30="N.C.",0,ROUNDUP(AB5+'Délai intermédiaire'!AB30/10,0))</f>
        <v>1</v>
      </c>
      <c r="AC33" s="13">
        <f>IF(Distances!AC30="N.C.",0,ROUNDUP(AC5+'Délai intermédiaire'!AC30/10,0))</f>
        <v>2</v>
      </c>
      <c r="AD33" s="13">
        <f>IF(Distances!AD30="N.C.",0,ROUNDUP(AD5+'Délai intermédiaire'!AD30/10,0))</f>
        <v>5</v>
      </c>
      <c r="AE33" s="13">
        <f>IF(Distances!AE30="N.C.",0,ROUNDUP(AE5+'Délai intermédiaire'!AE30/10,0))</f>
        <v>5</v>
      </c>
      <c r="AF33" s="13">
        <f>IF(Distances!AF30="N.C.",0,ROUNDUP(AF5+'Délai intermédiaire'!AF30/10,0))</f>
        <v>4</v>
      </c>
      <c r="AG33" s="13">
        <f>IF(Distances!AG30="N.C.",0,ROUNDUP(AG5+'Délai intermédiaire'!AG30/10,0))</f>
        <v>5</v>
      </c>
      <c r="AH33" s="14">
        <f>IF(Distances!AH30="N.C.",0,ROUNDUP(AH5+'Délai intermédiaire'!AH30/10,0))</f>
        <v>0</v>
      </c>
      <c r="AI33" s="14">
        <f>IF(Distances!AI30="N.C.",0,ROUNDUP(AI5+'Délai intermédiaire'!AI30/10,0))</f>
        <v>0</v>
      </c>
      <c r="AJ33" s="14">
        <f>IF(Distances!AJ30="N.C.",0,ROUNDUP(AJ5+'Délai intermédiaire'!AJ30/10,0))</f>
        <v>0</v>
      </c>
      <c r="AK33" s="14">
        <f>IF(Distances!AK30="N.C.",0,ROUNDUP(AK5+'Délai intermédiaire'!AK30/10,0))</f>
        <v>16</v>
      </c>
      <c r="AL33" s="14">
        <f>IF(Distances!AL30="N.C.",0,ROUNDUP(AL5+'Délai intermédiaire'!AL30/10,0))</f>
        <v>0</v>
      </c>
      <c r="AM33" s="14">
        <f>IF(Distances!AM30="N.C.",0,ROUNDUP(AM5+'Délai intermédiaire'!AM30/10,0))</f>
        <v>0</v>
      </c>
      <c r="AN33" s="14">
        <f>IF(Distances!AN30="N.C.",0,ROUNDUP(AN5+'Délai intermédiaire'!AN30/10,0))</f>
        <v>0</v>
      </c>
      <c r="AO33" s="14">
        <f>IF(Distances!AO30="N.C.",0,ROUNDUP(AO5+'Délai intermédiaire'!AO30/10,0))</f>
        <v>0</v>
      </c>
      <c r="AP33" s="14">
        <f>IF(Distances!AP30="N.C.",0,ROUNDUP(AP5+'Délai intermédiaire'!AP30/10,0))</f>
        <v>0</v>
      </c>
      <c r="AQ33" s="14">
        <f>IF(Distances!AQ30="N.C.",0,ROUNDUP(AQ5+'Délai intermédiaire'!AQ30/10,0))</f>
        <v>0</v>
      </c>
      <c r="AR33" s="14">
        <f>IF(Distances!AR30="N.C.",0,ROUNDUP(AR5+'Délai intermédiaire'!AR30/10,0))</f>
        <v>0</v>
      </c>
      <c r="AS33" s="14">
        <f>IF(Distances!AS30="N.C.",0,ROUNDUP(AS5+'Délai intermédiaire'!AS30/10,0))</f>
        <v>9</v>
      </c>
      <c r="AT33" s="14">
        <f>IF(Distances!AT30="N.C.",0,ROUNDUP(AT5+'Délai intermédiaire'!AT30/10,0))</f>
        <v>9</v>
      </c>
      <c r="AU33" s="14">
        <f>IF(Distances!AU30="N.C.",0,ROUNDUP(AU5+'Délai intermédiaire'!AU30/10,0))</f>
        <v>17</v>
      </c>
      <c r="AV33" s="14">
        <f>IF(Distances!AV30="N.C.",0,ROUNDUP(AV5+'Délai intermédiaire'!AV30/10,0))</f>
        <v>7</v>
      </c>
      <c r="AW33" s="14">
        <f>IF(Distances!AW30="N.C.",0,ROUNDUP(AW5+'Délai intermédiaire'!AW30/10,0))</f>
        <v>13</v>
      </c>
      <c r="AX33" s="14">
        <f>IF(Distances!AX30="N.C.",0,ROUNDUP(AX5+'Délai intermédiaire'!AX30/10,0))</f>
        <v>18</v>
      </c>
      <c r="AY33" s="14">
        <f>IF(Distances!AY30="N.C.",0,ROUNDUP(AY5+'Délai intermédiaire'!AY30/10,0))</f>
        <v>0</v>
      </c>
      <c r="AZ33" s="14">
        <f>IF(Distances!AZ30="N.C.",0,ROUNDUP(AZ5+'Délai intermédiaire'!AZ30/10,0))</f>
        <v>15</v>
      </c>
      <c r="BA33" s="14">
        <f>IF(Distances!BA30="N.C.",0,ROUNDUP(BA5+'Délai intermédiaire'!BA30/10,0))</f>
        <v>0</v>
      </c>
      <c r="BB33" s="13">
        <f>IF(Distances!BB30="N.C.",0,ROUNDUP(BB5+'Délai intermédiaire'!BB30/10,0))</f>
        <v>6</v>
      </c>
      <c r="BC33" s="14">
        <f>IF(Distances!BC30="N.C.",0,ROUNDUP(BC5+'Délai intermédiaire'!BC30/10,0))</f>
        <v>17</v>
      </c>
      <c r="BD33" s="14">
        <f>IF(Distances!BD30="N.C.",0,ROUNDUP(BD5+'Délai intermédiaire'!BD30/10,0))</f>
        <v>15</v>
      </c>
      <c r="BE33" s="14">
        <f>IF(Distances!BE30="N.C.",0,ROUNDUP(BE5+'Délai intermédiaire'!BE30/10,0))</f>
        <v>16</v>
      </c>
      <c r="BF33" s="13">
        <f>IF(Distances!BF30="N.C.",0,ROUNDUP(BF5+'Délai intermédiaire'!BF30/10,0))</f>
        <v>6</v>
      </c>
      <c r="BG33" s="13">
        <f>IF(Distances!BG30="N.C.",0,ROUNDUP(BG5+'Délai intermédiaire'!BG30/10,0))</f>
        <v>6</v>
      </c>
      <c r="BH33" s="14">
        <f>IF(Distances!BH30="N.C.",0,ROUNDUP(BH5+'Délai intermédiaire'!BH30/10,0))</f>
        <v>0</v>
      </c>
      <c r="BI33" s="14">
        <f>IF(Distances!BI30="N.C.",0,ROUNDUP(BI5+'Délai intermédiaire'!BI30/10,0))</f>
        <v>0</v>
      </c>
      <c r="BJ33" s="15">
        <f>IF(Distances!BJ30="N.C.",0,ROUNDUP(BJ5+'Délai intermédiaire'!BJ30/10,0))</f>
        <v>0</v>
      </c>
    </row>
    <row r="34" spans="1:62" x14ac:dyDescent="0.3">
      <c r="A34" s="10" t="s">
        <v>65</v>
      </c>
      <c r="B34" s="16">
        <f>IF(Distances!B31="N.C.",0,ROUNDUP(B5+'Délai intermédiaire'!B31/10,0))</f>
        <v>0</v>
      </c>
      <c r="C34" s="14">
        <f>IF(Distances!C31="N.C.",0,ROUNDUP(C5+'Délai intermédiaire'!C31/10,0))</f>
        <v>0</v>
      </c>
      <c r="D34" s="14">
        <f>IF(Distances!D31="N.C.",0,ROUNDUP(D5+'Délai intermédiaire'!D31/10,0))</f>
        <v>0</v>
      </c>
      <c r="E34" s="14">
        <f>IF(Distances!E31="N.C.",0,ROUNDUP(E5+'Délai intermédiaire'!E31/10,0))</f>
        <v>0</v>
      </c>
      <c r="F34" s="14">
        <f>IF(Distances!F31="N.C.",0,ROUNDUP(F5+'Délai intermédiaire'!F31/10,0))</f>
        <v>0</v>
      </c>
      <c r="G34" s="14">
        <f>IF(Distances!G31="N.C.",0,ROUNDUP(G5+'Délai intermédiaire'!G31/10,0))</f>
        <v>0</v>
      </c>
      <c r="H34" s="14">
        <f>IF(Distances!H31="N.C.",0,ROUNDUP(H5+'Délai intermédiaire'!H31/10,0))</f>
        <v>0</v>
      </c>
      <c r="I34" s="14">
        <f>IF(Distances!I31="N.C.",0,ROUNDUP(I5+'Délai intermédiaire'!I31/10,0))</f>
        <v>0</v>
      </c>
      <c r="J34" s="14">
        <f>IF(Distances!J31="N.C.",0,ROUNDUP(J5+'Délai intermédiaire'!J31/10,0))</f>
        <v>0</v>
      </c>
      <c r="K34" s="14">
        <f>IF(Distances!K31="N.C.",0,ROUNDUP(K5+'Délai intermédiaire'!K31/10,0))</f>
        <v>0</v>
      </c>
      <c r="L34" s="14">
        <f>IF(Distances!L31="N.C.",0,ROUNDUP(L5+'Délai intermédiaire'!L31/10,0))</f>
        <v>0</v>
      </c>
      <c r="M34" s="14">
        <f>IF(Distances!M31="N.C.",0,ROUNDUP(M5+'Délai intermédiaire'!M31/10,0))</f>
        <v>0</v>
      </c>
      <c r="N34" s="14">
        <f>IF(Distances!N31="N.C.",0,ROUNDUP(N5+'Délai intermédiaire'!N31/10,0))</f>
        <v>0</v>
      </c>
      <c r="O34" s="14">
        <f>IF(Distances!O31="N.C.",0,ROUNDUP(O5+'Délai intermédiaire'!O31/10,0))</f>
        <v>0</v>
      </c>
      <c r="P34" s="14">
        <f>IF(Distances!P31="N.C.",0,ROUNDUP(P5+'Délai intermédiaire'!P31/10,0))</f>
        <v>0</v>
      </c>
      <c r="Q34" s="13">
        <f>IF(Distances!Q31="N.C.",0,ROUNDUP(Q5+'Délai intermédiaire'!Q31/10,0))</f>
        <v>0</v>
      </c>
      <c r="R34" s="13">
        <f>IF(Distances!R31="N.C.",0,ROUNDUP(R5+'Délai intermédiaire'!R31/10,0))</f>
        <v>0</v>
      </c>
      <c r="S34" s="13">
        <f>IF(Distances!S31="N.C.",0,ROUNDUP(S5+'Délai intermédiaire'!S31/10,0))</f>
        <v>0</v>
      </c>
      <c r="T34" s="13">
        <f>IF(Distances!T31="N.C.",0,ROUNDUP(T5+'Délai intermédiaire'!T31/10,0))</f>
        <v>2</v>
      </c>
      <c r="U34" s="13">
        <f>IF(Distances!U31="N.C.",0,ROUNDUP(U5+'Délai intermédiaire'!U31/10,0))</f>
        <v>2</v>
      </c>
      <c r="V34" s="13">
        <f>IF(Distances!V31="N.C.",0,ROUNDUP(V5+'Délai intermédiaire'!V31/10,0))</f>
        <v>3</v>
      </c>
      <c r="W34" s="13">
        <f>IF(Distances!W31="N.C.",0,ROUNDUP(W5+'Délai intermédiaire'!W31/10,0))</f>
        <v>3</v>
      </c>
      <c r="X34" s="13">
        <f>IF(Distances!X31="N.C.",0,ROUNDUP(X5+'Délai intermédiaire'!X31/10,0))</f>
        <v>3</v>
      </c>
      <c r="Y34" s="13">
        <f>IF(Distances!Y31="N.C.",0,ROUNDUP(Y5+'Délai intermédiaire'!Y31/10,0))</f>
        <v>3</v>
      </c>
      <c r="Z34" s="13">
        <f>IF(Distances!Z31="N.C.",0,ROUNDUP(Z5+'Délai intermédiaire'!Z31/10,0))</f>
        <v>4</v>
      </c>
      <c r="AA34" s="13">
        <f>IF(Distances!AA31="N.C.",0,ROUNDUP(AA5+'Délai intermédiaire'!AA31/10,0))</f>
        <v>3</v>
      </c>
      <c r="AB34" s="13">
        <f>IF(Distances!AB31="N.C.",0,ROUNDUP(AB5+'Délai intermédiaire'!AB31/10,0))</f>
        <v>2</v>
      </c>
      <c r="AC34" s="12">
        <f>IF(Distances!AC31="N.C.",0,ROUNDUP(AC5+'Délai intermédiaire'!AC31/10,0))</f>
        <v>1</v>
      </c>
      <c r="AD34" s="13">
        <f>IF(Distances!AD31="N.C.",0,ROUNDUP(AD5+'Délai intermédiaire'!AD31/10,0))</f>
        <v>4</v>
      </c>
      <c r="AE34" s="13">
        <f>IF(Distances!AE31="N.C.",0,ROUNDUP(AE5+'Délai intermédiaire'!AE31/10,0))</f>
        <v>4</v>
      </c>
      <c r="AF34" s="13">
        <f>IF(Distances!AF31="N.C.",0,ROUNDUP(AF5+'Délai intermédiaire'!AF31/10,0))</f>
        <v>3</v>
      </c>
      <c r="AG34" s="13">
        <f>IF(Distances!AG31="N.C.",0,ROUNDUP(AG5+'Délai intermédiaire'!AG31/10,0))</f>
        <v>4</v>
      </c>
      <c r="AH34" s="14">
        <f>IF(Distances!AH31="N.C.",0,ROUNDUP(AH5+'Délai intermédiaire'!AH31/10,0))</f>
        <v>0</v>
      </c>
      <c r="AI34" s="14">
        <f>IF(Distances!AI31="N.C.",0,ROUNDUP(AI5+'Délai intermédiaire'!AI31/10,0))</f>
        <v>0</v>
      </c>
      <c r="AJ34" s="14">
        <f>IF(Distances!AJ31="N.C.",0,ROUNDUP(AJ5+'Délai intermédiaire'!AJ31/10,0))</f>
        <v>0</v>
      </c>
      <c r="AK34" s="14">
        <f>IF(Distances!AK31="N.C.",0,ROUNDUP(AK5+'Délai intermédiaire'!AK31/10,0))</f>
        <v>0</v>
      </c>
      <c r="AL34" s="14">
        <f>IF(Distances!AL31="N.C.",0,ROUNDUP(AL5+'Délai intermédiaire'!AL31/10,0))</f>
        <v>0</v>
      </c>
      <c r="AM34" s="14">
        <f>IF(Distances!AM31="N.C.",0,ROUNDUP(AM5+'Délai intermédiaire'!AM31/10,0))</f>
        <v>0</v>
      </c>
      <c r="AN34" s="14">
        <f>IF(Distances!AN31="N.C.",0,ROUNDUP(AN5+'Délai intermédiaire'!AN31/10,0))</f>
        <v>0</v>
      </c>
      <c r="AO34" s="14">
        <f>IF(Distances!AO31="N.C.",0,ROUNDUP(AO5+'Délai intermédiaire'!AO31/10,0))</f>
        <v>0</v>
      </c>
      <c r="AP34" s="14">
        <f>IF(Distances!AP31="N.C.",0,ROUNDUP(AP5+'Délai intermédiaire'!AP31/10,0))</f>
        <v>0</v>
      </c>
      <c r="AQ34" s="14">
        <f>IF(Distances!AQ31="N.C.",0,ROUNDUP(AQ5+'Délai intermédiaire'!AQ31/10,0))</f>
        <v>0</v>
      </c>
      <c r="AR34" s="14">
        <f>IF(Distances!AR31="N.C.",0,ROUNDUP(AR5+'Délai intermédiaire'!AR31/10,0))</f>
        <v>0</v>
      </c>
      <c r="AS34" s="14">
        <f>IF(Distances!AS31="N.C.",0,ROUNDUP(AS5+'Délai intermédiaire'!AS31/10,0))</f>
        <v>9</v>
      </c>
      <c r="AT34" s="14">
        <f>IF(Distances!AT31="N.C.",0,ROUNDUP(AT5+'Délai intermédiaire'!AT31/10,0))</f>
        <v>8</v>
      </c>
      <c r="AU34" s="14">
        <f>IF(Distances!AU31="N.C.",0,ROUNDUP(AU5+'Délai intermédiaire'!AU31/10,0))</f>
        <v>16</v>
      </c>
      <c r="AV34" s="14">
        <f>IF(Distances!AV31="N.C.",0,ROUNDUP(AV5+'Délai intermédiaire'!AV31/10,0))</f>
        <v>7</v>
      </c>
      <c r="AW34" s="14">
        <f>IF(Distances!AW31="N.C.",0,ROUNDUP(AW5+'Délai intermédiaire'!AW31/10,0))</f>
        <v>12</v>
      </c>
      <c r="AX34" s="14">
        <f>IF(Distances!AX31="N.C.",0,ROUNDUP(AX5+'Délai intermédiaire'!AX31/10,0))</f>
        <v>18</v>
      </c>
      <c r="AY34" s="14">
        <f>IF(Distances!AY31="N.C.",0,ROUNDUP(AY5+'Délai intermédiaire'!AY31/10,0))</f>
        <v>13</v>
      </c>
      <c r="AZ34" s="14">
        <f>IF(Distances!AZ31="N.C.",0,ROUNDUP(AZ5+'Délai intermédiaire'!AZ31/10,0))</f>
        <v>14</v>
      </c>
      <c r="BA34" s="14">
        <f>IF(Distances!BA31="N.C.",0,ROUNDUP(BA5+'Délai intermédiaire'!BA31/10,0))</f>
        <v>0</v>
      </c>
      <c r="BB34" s="13">
        <f>IF(Distances!BB31="N.C.",0,ROUNDUP(BB5+'Délai intermédiaire'!BB31/10,0))</f>
        <v>5</v>
      </c>
      <c r="BC34" s="14">
        <f>IF(Distances!BC31="N.C.",0,ROUNDUP(BC5+'Délai intermédiaire'!BC31/10,0))</f>
        <v>16</v>
      </c>
      <c r="BD34" s="14">
        <f>IF(Distances!BD31="N.C.",0,ROUNDUP(BD5+'Délai intermédiaire'!BD31/10,0))</f>
        <v>15</v>
      </c>
      <c r="BE34" s="14">
        <f>IF(Distances!BE31="N.C.",0,ROUNDUP(BE5+'Délai intermédiaire'!BE31/10,0))</f>
        <v>16</v>
      </c>
      <c r="BF34" s="13">
        <f>IF(Distances!BF31="N.C.",0,ROUNDUP(BF5+'Délai intermédiaire'!BF31/10,0))</f>
        <v>5</v>
      </c>
      <c r="BG34" s="13">
        <f>IF(Distances!BG31="N.C.",0,ROUNDUP(BG5+'Délai intermédiaire'!BG31/10,0))</f>
        <v>5</v>
      </c>
      <c r="BH34" s="14">
        <f>IF(Distances!BH31="N.C.",0,ROUNDUP(BH5+'Délai intermédiaire'!BH31/10,0))</f>
        <v>0</v>
      </c>
      <c r="BI34" s="14">
        <f>IF(Distances!BI31="N.C.",0,ROUNDUP(BI5+'Délai intermédiaire'!BI31/10,0))</f>
        <v>0</v>
      </c>
      <c r="BJ34" s="15">
        <f>IF(Distances!BJ31="N.C.",0,ROUNDUP(BJ5+'Délai intermédiaire'!BJ31/10,0))</f>
        <v>0</v>
      </c>
    </row>
    <row r="35" spans="1:62" x14ac:dyDescent="0.3">
      <c r="A35" s="10" t="s">
        <v>29</v>
      </c>
      <c r="B35" s="16">
        <f>IF(Distances!B32="N.C.",0,ROUNDUP(B5+'Délai intermédiaire'!B32/10,0))</f>
        <v>0</v>
      </c>
      <c r="C35" s="14">
        <f>IF(Distances!C32="N.C.",0,ROUNDUP(C5+'Délai intermédiaire'!C32/10,0))</f>
        <v>0</v>
      </c>
      <c r="D35" s="14">
        <f>IF(Distances!D32="N.C.",0,ROUNDUP(D5+'Délai intermédiaire'!D32/10,0))</f>
        <v>0</v>
      </c>
      <c r="E35" s="14">
        <f>IF(Distances!E32="N.C.",0,ROUNDUP(E5+'Délai intermédiaire'!E32/10,0))</f>
        <v>0</v>
      </c>
      <c r="F35" s="14">
        <f>IF(Distances!F32="N.C.",0,ROUNDUP(F5+'Délai intermédiaire'!F32/10,0))</f>
        <v>0</v>
      </c>
      <c r="G35" s="14">
        <f>IF(Distances!G32="N.C.",0,ROUNDUP(G5+'Délai intermédiaire'!G32/10,0))</f>
        <v>0</v>
      </c>
      <c r="H35" s="14">
        <f>IF(Distances!H32="N.C.",0,ROUNDUP(H5+'Délai intermédiaire'!H32/10,0))</f>
        <v>0</v>
      </c>
      <c r="I35" s="14">
        <f>IF(Distances!I32="N.C.",0,ROUNDUP(I5+'Délai intermédiaire'!I32/10,0))</f>
        <v>0</v>
      </c>
      <c r="J35" s="14">
        <f>IF(Distances!J32="N.C.",0,ROUNDUP(J5+'Délai intermédiaire'!J32/10,0))</f>
        <v>0</v>
      </c>
      <c r="K35" s="14">
        <f>IF(Distances!K32="N.C.",0,ROUNDUP(K5+'Délai intermédiaire'!K32/10,0))</f>
        <v>0</v>
      </c>
      <c r="L35" s="14">
        <f>IF(Distances!L32="N.C.",0,ROUNDUP(L5+'Délai intermédiaire'!L32/10,0))</f>
        <v>0</v>
      </c>
      <c r="M35" s="14">
        <f>IF(Distances!M32="N.C.",0,ROUNDUP(M5+'Délai intermédiaire'!M32/10,0))</f>
        <v>0</v>
      </c>
      <c r="N35" s="14">
        <f>IF(Distances!N32="N.C.",0,ROUNDUP(N5+'Délai intermédiaire'!N32/10,0))</f>
        <v>0</v>
      </c>
      <c r="O35" s="14">
        <f>IF(Distances!O32="N.C.",0,ROUNDUP(O5+'Délai intermédiaire'!O32/10,0))</f>
        <v>0</v>
      </c>
      <c r="P35" s="14">
        <f>IF(Distances!P32="N.C.",0,ROUNDUP(P5+'Délai intermédiaire'!P32/10,0))</f>
        <v>0</v>
      </c>
      <c r="Q35" s="13">
        <f>IF(Distances!Q32="N.C.",0,ROUNDUP(Q5+'Délai intermédiaire'!Q32/10,0))</f>
        <v>0</v>
      </c>
      <c r="R35" s="13">
        <f>IF(Distances!R32="N.C.",0,ROUNDUP(R5+'Délai intermédiaire'!R32/10,0))</f>
        <v>0</v>
      </c>
      <c r="S35" s="13">
        <f>IF(Distances!S32="N.C.",0,ROUNDUP(S5+'Délai intermédiaire'!S32/10,0))</f>
        <v>0</v>
      </c>
      <c r="T35" s="13">
        <f>IF(Distances!T32="N.C.",0,ROUNDUP(T5+'Délai intermédiaire'!T32/10,0))</f>
        <v>3</v>
      </c>
      <c r="U35" s="13">
        <f>IF(Distances!U32="N.C.",0,ROUNDUP(U5+'Délai intermédiaire'!U32/10,0))</f>
        <v>3</v>
      </c>
      <c r="V35" s="13">
        <f>IF(Distances!V32="N.C.",0,ROUNDUP(V5+'Délai intermédiaire'!V32/10,0))</f>
        <v>2</v>
      </c>
      <c r="W35" s="13">
        <f>IF(Distances!W32="N.C.",0,ROUNDUP(W5+'Délai intermédiaire'!W32/10,0))</f>
        <v>2</v>
      </c>
      <c r="X35" s="13">
        <f>IF(Distances!X32="N.C.",0,ROUNDUP(X5+'Délai intermédiaire'!X32/10,0))</f>
        <v>2</v>
      </c>
      <c r="Y35" s="13">
        <f>IF(Distances!Y32="N.C.",0,ROUNDUP(Y5+'Délai intermédiaire'!Y32/10,0))</f>
        <v>2</v>
      </c>
      <c r="Z35" s="13">
        <f>IF(Distances!Z32="N.C.",0,ROUNDUP(Z5+'Délai intermédiaire'!Z32/10,0))</f>
        <v>4</v>
      </c>
      <c r="AA35" s="13">
        <f>IF(Distances!AA32="N.C.",0,ROUNDUP(AA5+'Délai intermédiaire'!AA32/10,0))</f>
        <v>4</v>
      </c>
      <c r="AB35" s="13">
        <f>IF(Distances!AB32="N.C.",0,ROUNDUP(AB5+'Délai intermédiaire'!AB32/10,0))</f>
        <v>4</v>
      </c>
      <c r="AC35" s="13">
        <f>IF(Distances!AC32="N.C.",0,ROUNDUP(AC5+'Délai intermédiaire'!AC32/10,0))</f>
        <v>3</v>
      </c>
      <c r="AD35" s="12">
        <f>IF(Distances!AD32="N.C.",0,ROUNDUP(AD5+'Délai intermédiaire'!AD32/10,0))</f>
        <v>2</v>
      </c>
      <c r="AE35" s="13">
        <f>IF(Distances!AE32="N.C.",0,ROUNDUP(AE5+'Délai intermédiaire'!AE32/10,0))</f>
        <v>3</v>
      </c>
      <c r="AF35" s="13">
        <f>IF(Distances!AF32="N.C.",0,ROUNDUP(AF5+'Délai intermédiaire'!AF32/10,0))</f>
        <v>2</v>
      </c>
      <c r="AG35" s="13">
        <f>IF(Distances!AG32="N.C.",0,ROUNDUP(AG5+'Délai intermédiaire'!AG32/10,0))</f>
        <v>3</v>
      </c>
      <c r="AH35" s="14">
        <f>IF(Distances!AH32="N.C.",0,ROUNDUP(AH5+'Délai intermédiaire'!AH32/10,0))</f>
        <v>0</v>
      </c>
      <c r="AI35" s="14">
        <f>IF(Distances!AI32="N.C.",0,ROUNDUP(AI5+'Délai intermédiaire'!AI32/10,0))</f>
        <v>0</v>
      </c>
      <c r="AJ35" s="14">
        <f>IF(Distances!AJ32="N.C.",0,ROUNDUP(AJ5+'Délai intermédiaire'!AJ32/10,0))</f>
        <v>0</v>
      </c>
      <c r="AK35" s="14">
        <f>IF(Distances!AK32="N.C.",0,ROUNDUP(AK5+'Délai intermédiaire'!AK32/10,0))</f>
        <v>0</v>
      </c>
      <c r="AL35" s="14">
        <f>IF(Distances!AL32="N.C.",0,ROUNDUP(AL5+'Délai intermédiaire'!AL32/10,0))</f>
        <v>0</v>
      </c>
      <c r="AM35" s="14">
        <f>IF(Distances!AM32="N.C.",0,ROUNDUP(AM5+'Délai intermédiaire'!AM32/10,0))</f>
        <v>0</v>
      </c>
      <c r="AN35" s="14">
        <f>IF(Distances!AN32="N.C.",0,ROUNDUP(AN5+'Délai intermédiaire'!AN32/10,0))</f>
        <v>0</v>
      </c>
      <c r="AO35" s="14">
        <f>IF(Distances!AO32="N.C.",0,ROUNDUP(AO5+'Délai intermédiaire'!AO32/10,0))</f>
        <v>0</v>
      </c>
      <c r="AP35" s="14">
        <f>IF(Distances!AP32="N.C.",0,ROUNDUP(AP5+'Délai intermédiaire'!AP32/10,0))</f>
        <v>0</v>
      </c>
      <c r="AQ35" s="14">
        <f>IF(Distances!AQ32="N.C.",0,ROUNDUP(AQ5+'Délai intermédiaire'!AQ32/10,0))</f>
        <v>0</v>
      </c>
      <c r="AR35" s="14">
        <f>IF(Distances!AR32="N.C.",0,ROUNDUP(AR5+'Délai intermédiaire'!AR32/10,0))</f>
        <v>9</v>
      </c>
      <c r="AS35" s="14">
        <f>IF(Distances!AS32="N.C.",0,ROUNDUP(AS5+'Délai intermédiaire'!AS32/10,0))</f>
        <v>8</v>
      </c>
      <c r="AT35" s="14">
        <f>IF(Distances!AT32="N.C.",0,ROUNDUP(AT5+'Délai intermédiaire'!AT32/10,0))</f>
        <v>8</v>
      </c>
      <c r="AU35" s="14">
        <f>IF(Distances!AU32="N.C.",0,ROUNDUP(AU5+'Délai intermédiaire'!AU32/10,0))</f>
        <v>15</v>
      </c>
      <c r="AV35" s="14">
        <f>IF(Distances!AV32="N.C.",0,ROUNDUP(AV5+'Délai intermédiaire'!AV32/10,0))</f>
        <v>5</v>
      </c>
      <c r="AW35" s="14">
        <f>IF(Distances!AW32="N.C.",0,ROUNDUP(AW5+'Délai intermédiaire'!AW32/10,0))</f>
        <v>11</v>
      </c>
      <c r="AX35" s="14">
        <f>IF(Distances!AX32="N.C.",0,ROUNDUP(AX5+'Délai intermédiaire'!AX32/10,0))</f>
        <v>16</v>
      </c>
      <c r="AY35" s="14">
        <f>IF(Distances!AY32="N.C.",0,ROUNDUP(AY5+'Délai intermédiaire'!AY32/10,0))</f>
        <v>12</v>
      </c>
      <c r="AZ35" s="14">
        <f>IF(Distances!AZ32="N.C.",0,ROUNDUP(AZ5+'Délai intermédiaire'!AZ32/10,0))</f>
        <v>14</v>
      </c>
      <c r="BA35" s="14">
        <f>IF(Distances!BA32="N.C.",0,ROUNDUP(BA5+'Délai intermédiaire'!BA32/10,0))</f>
        <v>16</v>
      </c>
      <c r="BB35" s="13">
        <f>IF(Distances!BB32="N.C.",0,ROUNDUP(BB5+'Délai intermédiaire'!BB32/10,0))</f>
        <v>0</v>
      </c>
      <c r="BC35" s="14">
        <f>IF(Distances!BC32="N.C.",0,ROUNDUP(BC5+'Délai intermédiaire'!BC32/10,0))</f>
        <v>15</v>
      </c>
      <c r="BD35" s="14">
        <f>IF(Distances!BD32="N.C.",0,ROUNDUP(BD5+'Délai intermédiaire'!BD32/10,0))</f>
        <v>13</v>
      </c>
      <c r="BE35" s="14">
        <f>IF(Distances!BE32="N.C.",0,ROUNDUP(BE5+'Délai intermédiaire'!BE32/10,0))</f>
        <v>14</v>
      </c>
      <c r="BF35" s="13">
        <f>IF(Distances!BF32="N.C.",0,ROUNDUP(BF5+'Délai intermédiaire'!BF32/10,0))</f>
        <v>4</v>
      </c>
      <c r="BG35" s="13">
        <f>IF(Distances!BG32="N.C.",0,ROUNDUP(BG5+'Délai intermédiaire'!BG32/10,0))</f>
        <v>5</v>
      </c>
      <c r="BH35" s="14">
        <f>IF(Distances!BH32="N.C.",0,ROUNDUP(BH5+'Délai intermédiaire'!BH32/10,0))</f>
        <v>0</v>
      </c>
      <c r="BI35" s="14">
        <f>IF(Distances!BI32="N.C.",0,ROUNDUP(BI5+'Délai intermédiaire'!BI32/10,0))</f>
        <v>0</v>
      </c>
      <c r="BJ35" s="15">
        <f>IF(Distances!BJ32="N.C.",0,ROUNDUP(BJ5+'Délai intermédiaire'!BJ32/10,0))</f>
        <v>0</v>
      </c>
    </row>
    <row r="36" spans="1:62" x14ac:dyDescent="0.3">
      <c r="A36" s="10" t="s">
        <v>30</v>
      </c>
      <c r="B36" s="16">
        <f>IF(Distances!B33="N.C.",0,ROUNDUP(B5+'Délai intermédiaire'!B33/10,0))</f>
        <v>0</v>
      </c>
      <c r="C36" s="14">
        <f>IF(Distances!C33="N.C.",0,ROUNDUP(C5+'Délai intermédiaire'!C33/10,0))</f>
        <v>0</v>
      </c>
      <c r="D36" s="14">
        <f>IF(Distances!D33="N.C.",0,ROUNDUP(D5+'Délai intermédiaire'!D33/10,0))</f>
        <v>0</v>
      </c>
      <c r="E36" s="14">
        <f>IF(Distances!E33="N.C.",0,ROUNDUP(E5+'Délai intermédiaire'!E33/10,0))</f>
        <v>0</v>
      </c>
      <c r="F36" s="14">
        <f>IF(Distances!F33="N.C.",0,ROUNDUP(F5+'Délai intermédiaire'!F33/10,0))</f>
        <v>0</v>
      </c>
      <c r="G36" s="14">
        <f>IF(Distances!G33="N.C.",0,ROUNDUP(G5+'Délai intermédiaire'!G33/10,0))</f>
        <v>0</v>
      </c>
      <c r="H36" s="14">
        <f>IF(Distances!H33="N.C.",0,ROUNDUP(H5+'Délai intermédiaire'!H33/10,0))</f>
        <v>0</v>
      </c>
      <c r="I36" s="14">
        <f>IF(Distances!I33="N.C.",0,ROUNDUP(I5+'Délai intermédiaire'!I33/10,0))</f>
        <v>0</v>
      </c>
      <c r="J36" s="14">
        <f>IF(Distances!J33="N.C.",0,ROUNDUP(J5+'Délai intermédiaire'!J33/10,0))</f>
        <v>0</v>
      </c>
      <c r="K36" s="14">
        <f>IF(Distances!K33="N.C.",0,ROUNDUP(K5+'Délai intermédiaire'!K33/10,0))</f>
        <v>0</v>
      </c>
      <c r="L36" s="14">
        <f>IF(Distances!L33="N.C.",0,ROUNDUP(L5+'Délai intermédiaire'!L33/10,0))</f>
        <v>0</v>
      </c>
      <c r="M36" s="14">
        <f>IF(Distances!M33="N.C.",0,ROUNDUP(M5+'Délai intermédiaire'!M33/10,0))</f>
        <v>0</v>
      </c>
      <c r="N36" s="14">
        <f>IF(Distances!N33="N.C.",0,ROUNDUP(N5+'Délai intermédiaire'!N33/10,0))</f>
        <v>0</v>
      </c>
      <c r="O36" s="14">
        <f>IF(Distances!O33="N.C.",0,ROUNDUP(O5+'Délai intermédiaire'!O33/10,0))</f>
        <v>0</v>
      </c>
      <c r="P36" s="14">
        <f>IF(Distances!P33="N.C.",0,ROUNDUP(P5+'Délai intermédiaire'!P33/10,0))</f>
        <v>0</v>
      </c>
      <c r="Q36" s="13">
        <f>IF(Distances!Q33="N.C.",0,ROUNDUP(Q5+'Délai intermédiaire'!Q33/10,0))</f>
        <v>0</v>
      </c>
      <c r="R36" s="13">
        <f>IF(Distances!R33="N.C.",0,ROUNDUP(R5+'Délai intermédiaire'!R33/10,0))</f>
        <v>0</v>
      </c>
      <c r="S36" s="13">
        <f>IF(Distances!S33="N.C.",0,ROUNDUP(S5+'Délai intermédiaire'!S33/10,0))</f>
        <v>0</v>
      </c>
      <c r="T36" s="13">
        <f>IF(Distances!T33="N.C.",0,ROUNDUP(T5+'Délai intermédiaire'!T33/10,0))</f>
        <v>3</v>
      </c>
      <c r="U36" s="13">
        <f>IF(Distances!U33="N.C.",0,ROUNDUP(U5+'Délai intermédiaire'!U33/10,0))</f>
        <v>3</v>
      </c>
      <c r="V36" s="13">
        <f>IF(Distances!V33="N.C.",0,ROUNDUP(V5+'Délai intermédiaire'!V33/10,0))</f>
        <v>2</v>
      </c>
      <c r="W36" s="13">
        <f>IF(Distances!W33="N.C.",0,ROUNDUP(W5+'Délai intermédiaire'!W33/10,0))</f>
        <v>2</v>
      </c>
      <c r="X36" s="13">
        <f>IF(Distances!X33="N.C.",0,ROUNDUP(X5+'Délai intermédiaire'!X33/10,0))</f>
        <v>2</v>
      </c>
      <c r="Y36" s="13">
        <f>IF(Distances!Y33="N.C.",0,ROUNDUP(Y5+'Délai intermédiaire'!Y33/10,0))</f>
        <v>2</v>
      </c>
      <c r="Z36" s="13">
        <f>IF(Distances!Z33="N.C.",0,ROUNDUP(Z5+'Délai intermédiaire'!Z33/10,0))</f>
        <v>4</v>
      </c>
      <c r="AA36" s="13">
        <f>IF(Distances!AA33="N.C.",0,ROUNDUP(AA5+'Délai intermédiaire'!AA33/10,0))</f>
        <v>4</v>
      </c>
      <c r="AB36" s="13">
        <f>IF(Distances!AB33="N.C.",0,ROUNDUP(AB5+'Délai intermédiaire'!AB33/10,0))</f>
        <v>4</v>
      </c>
      <c r="AC36" s="13">
        <f>IF(Distances!AC33="N.C.",0,ROUNDUP(AC5+'Délai intermédiaire'!AC33/10,0))</f>
        <v>3</v>
      </c>
      <c r="AD36" s="13">
        <f>IF(Distances!AD33="N.C.",0,ROUNDUP(AD5+'Délai intermédiaire'!AD33/10,0))</f>
        <v>3</v>
      </c>
      <c r="AE36" s="12">
        <f>IF(Distances!AE33="N.C.",0,ROUNDUP(AE5+'Délai intermédiaire'!AE33/10,0))</f>
        <v>2</v>
      </c>
      <c r="AF36" s="13">
        <f>IF(Distances!AF33="N.C.",0,ROUNDUP(AF5+'Délai intermédiaire'!AF33/10,0))</f>
        <v>2</v>
      </c>
      <c r="AG36" s="13">
        <f>IF(Distances!AG33="N.C.",0,ROUNDUP(AG5+'Délai intermédiaire'!AG33/10,0))</f>
        <v>3</v>
      </c>
      <c r="AH36" s="14">
        <f>IF(Distances!AH33="N.C.",0,ROUNDUP(AH5+'Délai intermédiaire'!AH33/10,0))</f>
        <v>0</v>
      </c>
      <c r="AI36" s="14">
        <f>IF(Distances!AI33="N.C.",0,ROUNDUP(AI5+'Délai intermédiaire'!AI33/10,0))</f>
        <v>13</v>
      </c>
      <c r="AJ36" s="14">
        <f>IF(Distances!AJ33="N.C.",0,ROUNDUP(AJ5+'Délai intermédiaire'!AJ33/10,0))</f>
        <v>0</v>
      </c>
      <c r="AK36" s="14">
        <f>IF(Distances!AK33="N.C.",0,ROUNDUP(AK5+'Délai intermédiaire'!AK33/10,0))</f>
        <v>0</v>
      </c>
      <c r="AL36" s="14">
        <f>IF(Distances!AL33="N.C.",0,ROUNDUP(AL5+'Délai intermédiaire'!AL33/10,0))</f>
        <v>0</v>
      </c>
      <c r="AM36" s="14">
        <f>IF(Distances!AM33="N.C.",0,ROUNDUP(AM5+'Délai intermédiaire'!AM33/10,0))</f>
        <v>0</v>
      </c>
      <c r="AN36" s="14">
        <f>IF(Distances!AN33="N.C.",0,ROUNDUP(AN5+'Délai intermédiaire'!AN33/10,0))</f>
        <v>0</v>
      </c>
      <c r="AO36" s="14">
        <f>IF(Distances!AO33="N.C.",0,ROUNDUP(AO5+'Délai intermédiaire'!AO33/10,0))</f>
        <v>0</v>
      </c>
      <c r="AP36" s="14">
        <f>IF(Distances!AP33="N.C.",0,ROUNDUP(AP5+'Délai intermédiaire'!AP33/10,0))</f>
        <v>0</v>
      </c>
      <c r="AQ36" s="14">
        <f>IF(Distances!AQ33="N.C.",0,ROUNDUP(AQ5+'Délai intermédiaire'!AQ33/10,0))</f>
        <v>0</v>
      </c>
      <c r="AR36" s="14">
        <f>IF(Distances!AR33="N.C.",0,ROUNDUP(AR5+'Délai intermédiaire'!AR33/10,0))</f>
        <v>0</v>
      </c>
      <c r="AS36" s="14">
        <f>IF(Distances!AS33="N.C.",0,ROUNDUP(AS5+'Délai intermédiaire'!AS33/10,0))</f>
        <v>8</v>
      </c>
      <c r="AT36" s="14">
        <f>IF(Distances!AT33="N.C.",0,ROUNDUP(AT5+'Délai intermédiaire'!AT33/10,0))</f>
        <v>0</v>
      </c>
      <c r="AU36" s="14">
        <f>IF(Distances!AU33="N.C.",0,ROUNDUP(AU5+'Délai intermédiaire'!AU33/10,0))</f>
        <v>14</v>
      </c>
      <c r="AV36" s="12">
        <f>IF(Distances!AV33="N.C.",0,ROUNDUP(AV5+'Délai intermédiaire'!AV33/10,0))</f>
        <v>5</v>
      </c>
      <c r="AW36" s="14">
        <f>IF(Distances!AW33="N.C.",0,ROUNDUP(AW5+'Délai intermédiaire'!AW33/10,0))</f>
        <v>11</v>
      </c>
      <c r="AX36" s="14">
        <f>IF(Distances!AX33="N.C.",0,ROUNDUP(AX5+'Délai intermédiaire'!AX33/10,0))</f>
        <v>16</v>
      </c>
      <c r="AY36" s="14">
        <f>IF(Distances!AY33="N.C.",0,ROUNDUP(AY5+'Délai intermédiaire'!AY33/10,0))</f>
        <v>12</v>
      </c>
      <c r="AZ36" s="14">
        <f>IF(Distances!AZ33="N.C.",0,ROUNDUP(AZ5+'Délai intermédiaire'!AZ33/10,0))</f>
        <v>14</v>
      </c>
      <c r="BA36" s="14">
        <f>IF(Distances!BA33="N.C.",0,ROUNDUP(BA5+'Délai intermédiaire'!BA33/10,0))</f>
        <v>16</v>
      </c>
      <c r="BB36" s="13">
        <f>IF(Distances!BB33="N.C.",0,ROUNDUP(BB5+'Délai intermédiaire'!BB33/10,0))</f>
        <v>4</v>
      </c>
      <c r="BC36" s="14">
        <f>IF(Distances!BC33="N.C.",0,ROUNDUP(BC5+'Délai intermédiaire'!BC33/10,0))</f>
        <v>15</v>
      </c>
      <c r="BD36" s="14">
        <f>IF(Distances!BD33="N.C.",0,ROUNDUP(BD5+'Délai intermédiaire'!BD33/10,0))</f>
        <v>13</v>
      </c>
      <c r="BE36" s="14">
        <f>IF(Distances!BE33="N.C.",0,ROUNDUP(BE5+'Délai intermédiaire'!BE33/10,0))</f>
        <v>14</v>
      </c>
      <c r="BF36" s="12">
        <f>IF(Distances!BF33="N.C.",0,ROUNDUP(BF5+'Délai intermédiaire'!BF33/10,0))</f>
        <v>4</v>
      </c>
      <c r="BG36" s="13">
        <f>IF(Distances!BG33="N.C.",0,ROUNDUP(BG5+'Délai intermédiaire'!BG33/10,0))</f>
        <v>4</v>
      </c>
      <c r="BH36" s="14">
        <f>IF(Distances!BH33="N.C.",0,ROUNDUP(BH5+'Délai intermédiaire'!BH33/10,0))</f>
        <v>0</v>
      </c>
      <c r="BI36" s="14">
        <f>IF(Distances!BI33="N.C.",0,ROUNDUP(BI5+'Délai intermédiaire'!BI33/10,0))</f>
        <v>0</v>
      </c>
      <c r="BJ36" s="15">
        <f>IF(Distances!BJ33="N.C.",0,ROUNDUP(BJ5+'Délai intermédiaire'!BJ33/10,0))</f>
        <v>0</v>
      </c>
    </row>
    <row r="37" spans="1:62" x14ac:dyDescent="0.3">
      <c r="A37" s="10" t="s">
        <v>31</v>
      </c>
      <c r="B37" s="16">
        <f>IF(Distances!B34="N.C.",0,ROUNDUP(B5+'Délai intermédiaire'!B34/10,0))</f>
        <v>0</v>
      </c>
      <c r="C37" s="14">
        <f>IF(Distances!C34="N.C.",0,ROUNDUP(C5+'Délai intermédiaire'!C34/10,0))</f>
        <v>0</v>
      </c>
      <c r="D37" s="14">
        <f>IF(Distances!D34="N.C.",0,ROUNDUP(D5+'Délai intermédiaire'!D34/10,0))</f>
        <v>0</v>
      </c>
      <c r="E37" s="14">
        <f>IF(Distances!E34="N.C.",0,ROUNDUP(E5+'Délai intermédiaire'!E34/10,0))</f>
        <v>0</v>
      </c>
      <c r="F37" s="14">
        <f>IF(Distances!F34="N.C.",0,ROUNDUP(F5+'Délai intermédiaire'!F34/10,0))</f>
        <v>0</v>
      </c>
      <c r="G37" s="14">
        <f>IF(Distances!G34="N.C.",0,ROUNDUP(G5+'Délai intermédiaire'!G34/10,0))</f>
        <v>0</v>
      </c>
      <c r="H37" s="14">
        <f>IF(Distances!H34="N.C.",0,ROUNDUP(H5+'Délai intermédiaire'!H34/10,0))</f>
        <v>0</v>
      </c>
      <c r="I37" s="14">
        <f>IF(Distances!I34="N.C.",0,ROUNDUP(I5+'Délai intermédiaire'!I34/10,0))</f>
        <v>0</v>
      </c>
      <c r="J37" s="14">
        <f>IF(Distances!J34="N.C.",0,ROUNDUP(J5+'Délai intermédiaire'!J34/10,0))</f>
        <v>0</v>
      </c>
      <c r="K37" s="14">
        <f>IF(Distances!K34="N.C.",0,ROUNDUP(K5+'Délai intermédiaire'!K34/10,0))</f>
        <v>0</v>
      </c>
      <c r="L37" s="14">
        <f>IF(Distances!L34="N.C.",0,ROUNDUP(L5+'Délai intermédiaire'!L34/10,0))</f>
        <v>0</v>
      </c>
      <c r="M37" s="14">
        <f>IF(Distances!M34="N.C.",0,ROUNDUP(M5+'Délai intermédiaire'!M34/10,0))</f>
        <v>0</v>
      </c>
      <c r="N37" s="14">
        <f>IF(Distances!N34="N.C.",0,ROUNDUP(N5+'Délai intermédiaire'!N34/10,0))</f>
        <v>0</v>
      </c>
      <c r="O37" s="14">
        <f>IF(Distances!O34="N.C.",0,ROUNDUP(O5+'Délai intermédiaire'!O34/10,0))</f>
        <v>0</v>
      </c>
      <c r="P37" s="14">
        <f>IF(Distances!P34="N.C.",0,ROUNDUP(P5+'Délai intermédiaire'!P34/10,0))</f>
        <v>0</v>
      </c>
      <c r="Q37" s="13">
        <f>IF(Distances!Q34="N.C.",0,ROUNDUP(Q5+'Délai intermédiaire'!Q34/10,0))</f>
        <v>0</v>
      </c>
      <c r="R37" s="13">
        <f>IF(Distances!R34="N.C.",0,ROUNDUP(R5+'Délai intermédiaire'!R34/10,0))</f>
        <v>0</v>
      </c>
      <c r="S37" s="13">
        <f>IF(Distances!S34="N.C.",0,ROUNDUP(S5+'Délai intermédiaire'!S34/10,0))</f>
        <v>0</v>
      </c>
      <c r="T37" s="13">
        <f>IF(Distances!T34="N.C.",0,ROUNDUP(T5+'Délai intermédiaire'!T34/10,0))</f>
        <v>2</v>
      </c>
      <c r="U37" s="13">
        <f>IF(Distances!U34="N.C.",0,ROUNDUP(U5+'Délai intermédiaire'!U34/10,0))</f>
        <v>2</v>
      </c>
      <c r="V37" s="13">
        <f>IF(Distances!V34="N.C.",0,ROUNDUP(V5+'Délai intermédiaire'!V34/10,0))</f>
        <v>2</v>
      </c>
      <c r="W37" s="13">
        <f>IF(Distances!W34="N.C.",0,ROUNDUP(W5+'Délai intermédiaire'!W34/10,0))</f>
        <v>2</v>
      </c>
      <c r="X37" s="13">
        <f>IF(Distances!X34="N.C.",0,ROUNDUP(X5+'Délai intermédiaire'!X34/10,0))</f>
        <v>2</v>
      </c>
      <c r="Y37" s="13">
        <f>IF(Distances!Y34="N.C.",0,ROUNDUP(Y5+'Délai intermédiaire'!Y34/10,0))</f>
        <v>2</v>
      </c>
      <c r="Z37" s="13">
        <f>IF(Distances!Z34="N.C.",0,ROUNDUP(Z5+'Délai intermédiaire'!Z34/10,0))</f>
        <v>4</v>
      </c>
      <c r="AA37" s="13">
        <f>IF(Distances!AA34="N.C.",0,ROUNDUP(AA5+'Délai intermédiaire'!AA34/10,0))</f>
        <v>3</v>
      </c>
      <c r="AB37" s="13">
        <f>IF(Distances!AB34="N.C.",0,ROUNDUP(AB5+'Délai intermédiaire'!AB34/10,0))</f>
        <v>4</v>
      </c>
      <c r="AC37" s="13">
        <f>IF(Distances!AC34="N.C.",0,ROUNDUP(AC5+'Délai intermédiaire'!AC34/10,0))</f>
        <v>3</v>
      </c>
      <c r="AD37" s="13">
        <f>IF(Distances!AD34="N.C.",0,ROUNDUP(AD5+'Délai intermédiaire'!AD34/10,0))</f>
        <v>3</v>
      </c>
      <c r="AE37" s="13">
        <f>IF(Distances!AE34="N.C.",0,ROUNDUP(AE5+'Délai intermédiaire'!AE34/10,0))</f>
        <v>3</v>
      </c>
      <c r="AF37" s="12">
        <f>IF(Distances!AF34="N.C.",0,ROUNDUP(AF5+'Délai intermédiaire'!AF34/10,0))</f>
        <v>1</v>
      </c>
      <c r="AG37" s="13">
        <f>IF(Distances!AG34="N.C.",0,ROUNDUP(AG5+'Délai intermédiaire'!AG34/10,0))</f>
        <v>3</v>
      </c>
      <c r="AH37" s="14">
        <f>IF(Distances!AH34="N.C.",0,ROUNDUP(AH5+'Délai intermédiaire'!AH34/10,0))</f>
        <v>0</v>
      </c>
      <c r="AI37" s="14" t="e">
        <f>IF(Distances!AI34="N.C.",0,ROUNDUP(AI5+'Délai intermédiaire'!AI34/10,0))</f>
        <v>#VALUE!</v>
      </c>
      <c r="AJ37" s="14">
        <f>IF(Distances!AJ34="N.C.",0,ROUNDUP(AJ5+'Délai intermédiaire'!AJ34/10,0))</f>
        <v>0</v>
      </c>
      <c r="AK37" s="14">
        <f>IF(Distances!AK34="N.C.",0,ROUNDUP(AK5+'Délai intermédiaire'!AK34/10,0))</f>
        <v>0</v>
      </c>
      <c r="AL37" s="14">
        <f>IF(Distances!AL34="N.C.",0,ROUNDUP(AL5+'Délai intermédiaire'!AL34/10,0))</f>
        <v>0</v>
      </c>
      <c r="AM37" s="14">
        <f>IF(Distances!AM34="N.C.",0,ROUNDUP(AM5+'Délai intermédiaire'!AM34/10,0))</f>
        <v>0</v>
      </c>
      <c r="AN37" s="14">
        <f>IF(Distances!AN34="N.C.",0,ROUNDUP(AN5+'Délai intermédiaire'!AN34/10,0))</f>
        <v>0</v>
      </c>
      <c r="AO37" s="14">
        <f>IF(Distances!AO34="N.C.",0,ROUNDUP(AO5+'Délai intermédiaire'!AO34/10,0))</f>
        <v>0</v>
      </c>
      <c r="AP37" s="14">
        <f>IF(Distances!AP34="N.C.",0,ROUNDUP(AP5+'Délai intermédiaire'!AP34/10,0))</f>
        <v>0</v>
      </c>
      <c r="AQ37" s="14">
        <f>IF(Distances!AQ34="N.C.",0,ROUNDUP(AQ5+'Délai intermédiaire'!AQ34/10,0))</f>
        <v>0</v>
      </c>
      <c r="AR37" s="14">
        <f>IF(Distances!AR34="N.C.",0,ROUNDUP(AR5+'Délai intermédiaire'!AR34/10,0))</f>
        <v>0</v>
      </c>
      <c r="AS37" s="14">
        <f>IF(Distances!AS34="N.C.",0,ROUNDUP(AS5+'Délai intermédiaire'!AS34/10,0))</f>
        <v>8</v>
      </c>
      <c r="AT37" s="14">
        <f>IF(Distances!AT34="N.C.",0,ROUNDUP(AT5+'Délai intermédiaire'!AT34/10,0))</f>
        <v>0</v>
      </c>
      <c r="AU37" s="14">
        <f>IF(Distances!AU34="N.C.",0,ROUNDUP(AU5+'Délai intermédiaire'!AU34/10,0))</f>
        <v>15</v>
      </c>
      <c r="AV37" s="14">
        <f>IF(Distances!AV34="N.C.",0,ROUNDUP(AV5+'Délai intermédiaire'!AV34/10,0))</f>
        <v>6</v>
      </c>
      <c r="AW37" s="14">
        <f>IF(Distances!AW34="N.C.",0,ROUNDUP(AW5+'Délai intermédiaire'!AW34/10,0))</f>
        <v>11</v>
      </c>
      <c r="AX37" s="14">
        <f>IF(Distances!AX34="N.C.",0,ROUNDUP(AX5+'Délai intermédiaire'!AX34/10,0))</f>
        <v>16</v>
      </c>
      <c r="AY37" s="14">
        <f>IF(Distances!AY34="N.C.",0,ROUNDUP(AY5+'Délai intermédiaire'!AY34/10,0))</f>
        <v>12</v>
      </c>
      <c r="AZ37" s="14">
        <f>IF(Distances!AZ34="N.C.",0,ROUNDUP(AZ5+'Délai intermédiaire'!AZ34/10,0))</f>
        <v>13</v>
      </c>
      <c r="BA37" s="14">
        <f>IF(Distances!BA34="N.C.",0,ROUNDUP(BA5+'Délai intermédiaire'!BA34/10,0))</f>
        <v>0</v>
      </c>
      <c r="BB37" s="13">
        <f>IF(Distances!BB34="N.C.",0,ROUNDUP(BB5+'Délai intermédiaire'!BB34/10,0))</f>
        <v>4</v>
      </c>
      <c r="BC37" s="14">
        <f>IF(Distances!BC34="N.C.",0,ROUNDUP(BC5+'Délai intermédiaire'!BC34/10,0))</f>
        <v>15</v>
      </c>
      <c r="BD37" s="14">
        <f>IF(Distances!BD34="N.C.",0,ROUNDUP(BD5+'Délai intermédiaire'!BD34/10,0))</f>
        <v>13</v>
      </c>
      <c r="BE37" s="14">
        <f>IF(Distances!BE34="N.C.",0,ROUNDUP(BE5+'Délai intermédiaire'!BE34/10,0))</f>
        <v>14</v>
      </c>
      <c r="BF37" s="13">
        <f>IF(Distances!BF34="N.C.",0,ROUNDUP(BF5+'Délai intermédiaire'!BF34/10,0))</f>
        <v>4</v>
      </c>
      <c r="BG37" s="13">
        <f>IF(Distances!BG34="N.C.",0,ROUNDUP(BG5+'Délai intermédiaire'!BG34/10,0))</f>
        <v>4</v>
      </c>
      <c r="BH37" s="14">
        <f>IF(Distances!BH34="N.C.",0,ROUNDUP(BH5+'Délai intermédiaire'!BH34/10,0))</f>
        <v>0</v>
      </c>
      <c r="BI37" s="14">
        <f>IF(Distances!BI34="N.C.",0,ROUNDUP(BI5+'Délai intermédiaire'!BI34/10,0))</f>
        <v>0</v>
      </c>
      <c r="BJ37" s="15">
        <f>IF(Distances!BJ34="N.C.",0,ROUNDUP(BJ5+'Délai intermédiaire'!BJ34/10,0))</f>
        <v>0</v>
      </c>
    </row>
    <row r="38" spans="1:62" x14ac:dyDescent="0.3">
      <c r="A38" s="10" t="s">
        <v>32</v>
      </c>
      <c r="B38" s="16">
        <f>IF(Distances!B35="N.C.",0,ROUNDUP(B5+'Délai intermédiaire'!B35/10,0))</f>
        <v>0</v>
      </c>
      <c r="C38" s="14">
        <f>IF(Distances!C35="N.C.",0,ROUNDUP(C5+'Délai intermédiaire'!C35/10,0))</f>
        <v>0</v>
      </c>
      <c r="D38" s="14">
        <f>IF(Distances!D35="N.C.",0,ROUNDUP(D5+'Délai intermédiaire'!D35/10,0))</f>
        <v>0</v>
      </c>
      <c r="E38" s="14">
        <f>IF(Distances!E35="N.C.",0,ROUNDUP(E5+'Délai intermédiaire'!E35/10,0))</f>
        <v>0</v>
      </c>
      <c r="F38" s="14">
        <f>IF(Distances!F35="N.C.",0,ROUNDUP(F5+'Délai intermédiaire'!F35/10,0))</f>
        <v>0</v>
      </c>
      <c r="G38" s="14">
        <f>IF(Distances!G35="N.C.",0,ROUNDUP(G5+'Délai intermédiaire'!G35/10,0))</f>
        <v>0</v>
      </c>
      <c r="H38" s="14">
        <f>IF(Distances!H35="N.C.",0,ROUNDUP(H5+'Délai intermédiaire'!H35/10,0))</f>
        <v>0</v>
      </c>
      <c r="I38" s="14">
        <f>IF(Distances!I35="N.C.",0,ROUNDUP(I5+'Délai intermédiaire'!I35/10,0))</f>
        <v>0</v>
      </c>
      <c r="J38" s="14">
        <f>IF(Distances!J35="N.C.",0,ROUNDUP(J5+'Délai intermédiaire'!J35/10,0))</f>
        <v>0</v>
      </c>
      <c r="K38" s="14">
        <f>IF(Distances!K35="N.C.",0,ROUNDUP(K5+'Délai intermédiaire'!K35/10,0))</f>
        <v>0</v>
      </c>
      <c r="L38" s="14">
        <f>IF(Distances!L35="N.C.",0,ROUNDUP(L5+'Délai intermédiaire'!L35/10,0))</f>
        <v>0</v>
      </c>
      <c r="M38" s="14">
        <f>IF(Distances!M35="N.C.",0,ROUNDUP(M5+'Délai intermédiaire'!M35/10,0))</f>
        <v>0</v>
      </c>
      <c r="N38" s="14">
        <f>IF(Distances!N35="N.C.",0,ROUNDUP(N5+'Délai intermédiaire'!N35/10,0))</f>
        <v>0</v>
      </c>
      <c r="O38" s="14">
        <f>IF(Distances!O35="N.C.",0,ROUNDUP(O5+'Délai intermédiaire'!O35/10,0))</f>
        <v>0</v>
      </c>
      <c r="P38" s="14">
        <f>IF(Distances!P35="N.C.",0,ROUNDUP(P5+'Délai intermédiaire'!P35/10,0))</f>
        <v>0</v>
      </c>
      <c r="Q38" s="13">
        <f>IF(Distances!Q35="N.C.",0,ROUNDUP(Q5+'Délai intermédiaire'!Q35/10,0))</f>
        <v>0</v>
      </c>
      <c r="R38" s="13">
        <f>IF(Distances!R35="N.C.",0,ROUNDUP(R5+'Délai intermédiaire'!R35/10,0))</f>
        <v>0</v>
      </c>
      <c r="S38" s="13">
        <f>IF(Distances!S35="N.C.",0,ROUNDUP(S5+'Délai intermédiaire'!S35/10,0))</f>
        <v>0</v>
      </c>
      <c r="T38" s="13">
        <f>IF(Distances!T35="N.C.",0,ROUNDUP(T5+'Délai intermédiaire'!T35/10,0))</f>
        <v>3</v>
      </c>
      <c r="U38" s="13">
        <f>IF(Distances!U35="N.C.",0,ROUNDUP(U5+'Délai intermédiaire'!U35/10,0))</f>
        <v>3</v>
      </c>
      <c r="V38" s="13">
        <f>IF(Distances!V35="N.C.",0,ROUNDUP(V5+'Délai intermédiaire'!V35/10,0))</f>
        <v>2</v>
      </c>
      <c r="W38" s="13">
        <f>IF(Distances!W35="N.C.",0,ROUNDUP(W5+'Délai intermédiaire'!W35/10,0))</f>
        <v>2</v>
      </c>
      <c r="X38" s="13">
        <f>IF(Distances!X35="N.C.",0,ROUNDUP(X5+'Délai intermédiaire'!X35/10,0))</f>
        <v>2</v>
      </c>
      <c r="Y38" s="13">
        <f>IF(Distances!Y35="N.C.",0,ROUNDUP(Y5+'Délai intermédiaire'!Y35/10,0))</f>
        <v>2</v>
      </c>
      <c r="Z38" s="13">
        <f>IF(Distances!Z35="N.C.",0,ROUNDUP(Z5+'Délai intermédiaire'!Z35/10,0))</f>
        <v>4</v>
      </c>
      <c r="AA38" s="13">
        <f>IF(Distances!AA35="N.C.",0,ROUNDUP(AA5+'Délai intermédiaire'!AA35/10,0))</f>
        <v>3</v>
      </c>
      <c r="AB38" s="13">
        <f>IF(Distances!AB35="N.C.",0,ROUNDUP(AB5+'Délai intermédiaire'!AB35/10,0))</f>
        <v>4</v>
      </c>
      <c r="AC38" s="13">
        <f>IF(Distances!AC35="N.C.",0,ROUNDUP(AC5+'Délai intermédiaire'!AC35/10,0))</f>
        <v>3</v>
      </c>
      <c r="AD38" s="13">
        <f>IF(Distances!AD35="N.C.",0,ROUNDUP(AD5+'Délai intermédiaire'!AD35/10,0))</f>
        <v>3</v>
      </c>
      <c r="AE38" s="13">
        <f>IF(Distances!AE35="N.C.",0,ROUNDUP(AE5+'Délai intermédiaire'!AE35/10,0))</f>
        <v>3</v>
      </c>
      <c r="AF38" s="13">
        <f>IF(Distances!AF35="N.C.",0,ROUNDUP(AF5+'Délai intermédiaire'!AF35/10,0))</f>
        <v>2</v>
      </c>
      <c r="AG38" s="12">
        <f>IF(Distances!AG35="N.C.",0,ROUNDUP(AG5+'Délai intermédiaire'!AG35/10,0))</f>
        <v>2</v>
      </c>
      <c r="AH38" s="14">
        <f>IF(Distances!AH35="N.C.",0,ROUNDUP(AH5+'Délai intermédiaire'!AH35/10,0))</f>
        <v>0</v>
      </c>
      <c r="AI38" s="14">
        <f>IF(Distances!AI35="N.C.",0,ROUNDUP(AI5+'Délai intermédiaire'!AI35/10,0))</f>
        <v>0</v>
      </c>
      <c r="AJ38" s="14">
        <f>IF(Distances!AJ35="N.C.",0,ROUNDUP(AJ5+'Délai intermédiaire'!AJ35/10,0))</f>
        <v>0</v>
      </c>
      <c r="AK38" s="14">
        <f>IF(Distances!AK35="N.C.",0,ROUNDUP(AK5+'Délai intermédiaire'!AK35/10,0))</f>
        <v>14</v>
      </c>
      <c r="AL38" s="14">
        <f>IF(Distances!AL35="N.C.",0,ROUNDUP(AL5+'Délai intermédiaire'!AL35/10,0))</f>
        <v>0</v>
      </c>
      <c r="AM38" s="14">
        <f>IF(Distances!AM35="N.C.",0,ROUNDUP(AM5+'Délai intermédiaire'!AM35/10,0))</f>
        <v>0</v>
      </c>
      <c r="AN38" s="14">
        <f>IF(Distances!AN35="N.C.",0,ROUNDUP(AN5+'Délai intermédiaire'!AN35/10,0))</f>
        <v>0</v>
      </c>
      <c r="AO38" s="14">
        <f>IF(Distances!AO35="N.C.",0,ROUNDUP(AO5+'Délai intermédiaire'!AO35/10,0))</f>
        <v>0</v>
      </c>
      <c r="AP38" s="14">
        <f>IF(Distances!AP35="N.C.",0,ROUNDUP(AP5+'Délai intermédiaire'!AP35/10,0))</f>
        <v>0</v>
      </c>
      <c r="AQ38" s="14">
        <f>IF(Distances!AQ35="N.C.",0,ROUNDUP(AQ5+'Délai intermédiaire'!AQ35/10,0))</f>
        <v>0</v>
      </c>
      <c r="AR38" s="14">
        <f>IF(Distances!AR35="N.C.",0,ROUNDUP(AR5+'Délai intermédiaire'!AR35/10,0))</f>
        <v>0</v>
      </c>
      <c r="AS38" s="14">
        <f>IF(Distances!AS35="N.C.",0,ROUNDUP(AS5+'Délai intermédiaire'!AS35/10,0))</f>
        <v>7</v>
      </c>
      <c r="AT38" s="14">
        <f>IF(Distances!AT35="N.C.",0,ROUNDUP(AT5+'Délai intermédiaire'!AT35/10,0))</f>
        <v>0</v>
      </c>
      <c r="AU38" s="14">
        <f>IF(Distances!AU35="N.C.",0,ROUNDUP(AU5+'Délai intermédiaire'!AU35/10,0))</f>
        <v>15</v>
      </c>
      <c r="AV38" s="14">
        <f>IF(Distances!AV35="N.C.",0,ROUNDUP(AV5+'Délai intermédiaire'!AV35/10,0))</f>
        <v>6</v>
      </c>
      <c r="AW38" s="14">
        <f>IF(Distances!AW35="N.C.",0,ROUNDUP(AW5+'Délai intermédiaire'!AW35/10,0))</f>
        <v>11</v>
      </c>
      <c r="AX38" s="14">
        <f>IF(Distances!AX35="N.C.",0,ROUNDUP(AX5+'Délai intermédiaire'!AX35/10,0))</f>
        <v>16</v>
      </c>
      <c r="AY38" s="14">
        <f>IF(Distances!AY35="N.C.",0,ROUNDUP(AY5+'Délai intermédiaire'!AY35/10,0))</f>
        <v>11</v>
      </c>
      <c r="AZ38" s="14">
        <f>IF(Distances!AZ35="N.C.",0,ROUNDUP(AZ5+'Délai intermédiaire'!AZ35/10,0))</f>
        <v>13</v>
      </c>
      <c r="BA38" s="14">
        <f>IF(Distances!BA35="N.C.",0,ROUNDUP(BA5+'Délai intermédiaire'!BA35/10,0))</f>
        <v>0</v>
      </c>
      <c r="BB38" s="13">
        <f>IF(Distances!BB35="N.C.",0,ROUNDUP(BB5+'Délai intermédiaire'!BB35/10,0))</f>
        <v>4</v>
      </c>
      <c r="BC38" s="14">
        <f>IF(Distances!BC35="N.C.",0,ROUNDUP(BC5+'Délai intermédiaire'!BC35/10,0))</f>
        <v>15</v>
      </c>
      <c r="BD38" s="14">
        <f>IF(Distances!BD35="N.C.",0,ROUNDUP(BD5+'Délai intermédiaire'!BD35/10,0))</f>
        <v>13</v>
      </c>
      <c r="BE38" s="14">
        <f>IF(Distances!BE35="N.C.",0,ROUNDUP(BE5+'Délai intermédiaire'!BE35/10,0))</f>
        <v>14</v>
      </c>
      <c r="BF38" s="13">
        <f>IF(Distances!BF35="N.C.",0,ROUNDUP(BF5+'Délai intermédiaire'!BF35/10,0))</f>
        <v>4</v>
      </c>
      <c r="BG38" s="12">
        <f>IF(Distances!BG35="N.C.",0,ROUNDUP(BG5+'Délai intermédiaire'!BG35/10,0))</f>
        <v>4</v>
      </c>
      <c r="BH38" s="14">
        <f>IF(Distances!BH35="N.C.",0,ROUNDUP(BH5+'Délai intermédiaire'!BH35/10,0))</f>
        <v>0</v>
      </c>
      <c r="BI38" s="14">
        <f>IF(Distances!BI35="N.C.",0,ROUNDUP(BI5+'Délai intermédiaire'!BI35/10,0))</f>
        <v>0</v>
      </c>
      <c r="BJ38" s="15">
        <f>IF(Distances!BJ35="N.C.",0,ROUNDUP(BJ5+'Délai intermédiaire'!BJ35/10,0))</f>
        <v>0</v>
      </c>
    </row>
    <row r="39" spans="1:62" x14ac:dyDescent="0.3">
      <c r="A39" s="10" t="s">
        <v>33</v>
      </c>
      <c r="B39" s="16">
        <f>IF(Distances!B36="N.C.",0,ROUNDUP(B5+'Délai intermédiaire'!B36/10,0))</f>
        <v>0</v>
      </c>
      <c r="C39" s="14">
        <f>IF(Distances!C36="N.C.",0,ROUNDUP(C5+'Délai intermédiaire'!C36/10,0))</f>
        <v>0</v>
      </c>
      <c r="D39" s="14">
        <f>IF(Distances!D36="N.C.",0,ROUNDUP(D5+'Délai intermédiaire'!D36/10,0))</f>
        <v>0</v>
      </c>
      <c r="E39" s="14">
        <f>IF(Distances!E36="N.C.",0,ROUNDUP(E5+'Délai intermédiaire'!E36/10,0))</f>
        <v>0</v>
      </c>
      <c r="F39" s="14">
        <f>IF(Distances!F36="N.C.",0,ROUNDUP(F5+'Délai intermédiaire'!F36/10,0))</f>
        <v>0</v>
      </c>
      <c r="G39" s="14">
        <f>IF(Distances!G36="N.C.",0,ROUNDUP(G5+'Délai intermédiaire'!G36/10,0))</f>
        <v>0</v>
      </c>
      <c r="H39" s="14">
        <f>IF(Distances!H36="N.C.",0,ROUNDUP(H5+'Délai intermédiaire'!H36/10,0))</f>
        <v>0</v>
      </c>
      <c r="I39" s="14">
        <f>IF(Distances!I36="N.C.",0,ROUNDUP(I5+'Délai intermédiaire'!I36/10,0))</f>
        <v>0</v>
      </c>
      <c r="J39" s="14">
        <f>IF(Distances!J36="N.C.",0,ROUNDUP(J5+'Délai intermédiaire'!J36/10,0))</f>
        <v>0</v>
      </c>
      <c r="K39" s="14">
        <f>IF(Distances!K36="N.C.",0,ROUNDUP(K5+'Délai intermédiaire'!K36/10,0))</f>
        <v>0</v>
      </c>
      <c r="L39" s="14">
        <f>IF(Distances!L36="N.C.",0,ROUNDUP(L5+'Délai intermédiaire'!L36/10,0))</f>
        <v>0</v>
      </c>
      <c r="M39" s="14">
        <f>IF(Distances!M36="N.C.",0,ROUNDUP(M5+'Délai intermédiaire'!M36/10,0))</f>
        <v>0</v>
      </c>
      <c r="N39" s="14">
        <f>IF(Distances!N36="N.C.",0,ROUNDUP(N5+'Délai intermédiaire'!N36/10,0))</f>
        <v>0</v>
      </c>
      <c r="O39" s="14">
        <f>IF(Distances!O36="N.C.",0,ROUNDUP(O5+'Délai intermédiaire'!O36/10,0))</f>
        <v>0</v>
      </c>
      <c r="P39" s="14">
        <f>IF(Distances!P36="N.C.",0,ROUNDUP(P5+'Délai intermédiaire'!P36/10,0))</f>
        <v>0</v>
      </c>
      <c r="Q39" s="14">
        <f>IF(Distances!Q36="N.C.",0,ROUNDUP(Q5+'Délai intermédiaire'!Q36/10,0))</f>
        <v>0</v>
      </c>
      <c r="R39" s="14">
        <f>IF(Distances!R36="N.C.",0,ROUNDUP(R5+'Délai intermédiaire'!R36/10,0))</f>
        <v>0</v>
      </c>
      <c r="S39" s="14">
        <f>IF(Distances!S36="N.C.",0,ROUNDUP(S5+'Délai intermédiaire'!S36/10,0))</f>
        <v>0</v>
      </c>
      <c r="T39" s="14">
        <f>IF(Distances!T36="N.C.",0,ROUNDUP(T5+'Délai intermédiaire'!T36/10,0))</f>
        <v>0</v>
      </c>
      <c r="U39" s="14">
        <f>IF(Distances!U36="N.C.",0,ROUNDUP(U5+'Délai intermédiaire'!U36/10,0))</f>
        <v>0</v>
      </c>
      <c r="V39" s="14">
        <f>IF(Distances!V36="N.C.",0,ROUNDUP(V5+'Délai intermédiaire'!V36/10,0))</f>
        <v>0</v>
      </c>
      <c r="W39" s="14">
        <f>IF(Distances!W36="N.C.",0,ROUNDUP(W5+'Délai intermédiaire'!W36/10,0))</f>
        <v>0</v>
      </c>
      <c r="X39" s="14">
        <f>IF(Distances!X36="N.C.",0,ROUNDUP(X5+'Délai intermédiaire'!X36/10,0))</f>
        <v>0</v>
      </c>
      <c r="Y39" s="14">
        <f>IF(Distances!Y36="N.C.",0,ROUNDUP(Y5+'Délai intermédiaire'!Y36/10,0))</f>
        <v>0</v>
      </c>
      <c r="Z39" s="14">
        <f>IF(Distances!Z36="N.C.",0,ROUNDUP(Z5+'Délai intermédiaire'!Z36/10,0))</f>
        <v>0</v>
      </c>
      <c r="AA39" s="14">
        <f>IF(Distances!AA36="N.C.",0,ROUNDUP(AA5+'Délai intermédiaire'!AA36/10,0))</f>
        <v>0</v>
      </c>
      <c r="AB39" s="14">
        <f>IF(Distances!AB36="N.C.",0,ROUNDUP(AB5+'Délai intermédiaire'!AB36/10,0))</f>
        <v>0</v>
      </c>
      <c r="AC39" s="14">
        <f>IF(Distances!AC36="N.C.",0,ROUNDUP(AC5+'Délai intermédiaire'!AC36/10,0))</f>
        <v>0</v>
      </c>
      <c r="AD39" s="14">
        <f>IF(Distances!AD36="N.C.",0,ROUNDUP(AD5+'Délai intermédiaire'!AD36/10,0))</f>
        <v>0</v>
      </c>
      <c r="AE39" s="14">
        <f>IF(Distances!AE36="N.C.",0,ROUNDUP(AE5+'Délai intermédiaire'!AE36/10,0))</f>
        <v>0</v>
      </c>
      <c r="AF39" s="14">
        <f>IF(Distances!AF36="N.C.",0,ROUNDUP(AF5+'Délai intermédiaire'!AF36/10,0))</f>
        <v>0</v>
      </c>
      <c r="AG39" s="14">
        <f>IF(Distances!AG36="N.C.",0,ROUNDUP(AG5+'Délai intermédiaire'!AG36/10,0))</f>
        <v>0</v>
      </c>
      <c r="AH39" s="12">
        <f>IF(Distances!AH36="N.C.",0,ROUNDUP(AH5+'Délai intermédiaire'!AH36/10,0))</f>
        <v>2</v>
      </c>
      <c r="AI39" s="13">
        <f>IF(Distances!AI36="N.C.",0,ROUNDUP(AI5+'Délai intermédiaire'!AI36/10,0))</f>
        <v>4</v>
      </c>
      <c r="AJ39" s="13">
        <f>IF(Distances!AJ36="N.C.",0,ROUNDUP(AJ5+'Délai intermédiaire'!AJ36/10,0))</f>
        <v>4</v>
      </c>
      <c r="AK39" s="13">
        <f>IF(Distances!AK36="N.C.",0,ROUNDUP(AK5+'Délai intermédiaire'!AK36/10,0))</f>
        <v>5</v>
      </c>
      <c r="AL39" s="13">
        <f>IF(Distances!AL36="N.C.",0,ROUNDUP(AL5+'Délai intermédiaire'!AL36/10,0))</f>
        <v>0</v>
      </c>
      <c r="AM39" s="13">
        <f>IF(Distances!AM36="N.C.",0,ROUNDUP(AM5+'Délai intermédiaire'!AM36/10,0))</f>
        <v>0</v>
      </c>
      <c r="AN39" s="13">
        <f>IF(Distances!AN36="N.C.",0,ROUNDUP(AN5+'Délai intermédiaire'!AN36/10,0))</f>
        <v>0</v>
      </c>
      <c r="AO39" s="14">
        <f>IF(Distances!AO36="N.C.",0,ROUNDUP(AO5+'Délai intermédiaire'!AO36/10,0))</f>
        <v>0</v>
      </c>
      <c r="AP39" s="14">
        <f>IF(Distances!AP36="N.C.",0,ROUNDUP(AP5+'Délai intermédiaire'!AP36/10,0))</f>
        <v>0</v>
      </c>
      <c r="AQ39" s="14">
        <f>IF(Distances!AQ36="N.C.",0,ROUNDUP(AQ5+'Délai intermédiaire'!AQ36/10,0))</f>
        <v>0</v>
      </c>
      <c r="AR39" s="13">
        <f>IF(Distances!AR36="N.C.",0,ROUNDUP(AR5+'Délai intermédiaire'!AR36/10,0))</f>
        <v>0</v>
      </c>
      <c r="AS39" s="13">
        <f>IF(Distances!AS36="N.C.",0,ROUNDUP(AS5+'Délai intermédiaire'!AS36/10,0))</f>
        <v>0</v>
      </c>
      <c r="AT39" s="13">
        <f>IF(Distances!AT36="N.C.",0,ROUNDUP(AT5+'Délai intermédiaire'!AT36/10,0))</f>
        <v>0</v>
      </c>
      <c r="AU39" s="13">
        <f>IF(Distances!AU36="N.C.",0,ROUNDUP(AU5+'Délai intermédiaire'!AU36/10,0))</f>
        <v>10</v>
      </c>
      <c r="AV39" s="13">
        <f>IF(Distances!AV36="N.C.",0,ROUNDUP(AV5+'Délai intermédiaire'!AV36/10,0))</f>
        <v>0</v>
      </c>
      <c r="AW39" s="12">
        <f>IF(Distances!AW36="N.C.",0,ROUNDUP(AW5+'Délai intermédiaire'!AW36/10,0))</f>
        <v>11</v>
      </c>
      <c r="AX39" s="13">
        <f>IF(Distances!AX36="N.C.",0,ROUNDUP(AX5+'Délai intermédiaire'!AX36/10,0))</f>
        <v>12</v>
      </c>
      <c r="AY39" s="14">
        <f>IF(Distances!AY36="N.C.",0,ROUNDUP(AY5+'Délai intermédiaire'!AY36/10,0))</f>
        <v>0</v>
      </c>
      <c r="AZ39" s="14">
        <f>IF(Distances!AZ36="N.C.",0,ROUNDUP(AZ5+'Délai intermédiaire'!AZ36/10,0))</f>
        <v>16</v>
      </c>
      <c r="BA39" s="13">
        <f>IF(Distances!BA36="N.C.",0,ROUNDUP(BA5+'Délai intermédiaire'!BA36/10,0))</f>
        <v>8</v>
      </c>
      <c r="BB39" s="14">
        <f>IF(Distances!BB36="N.C.",0,ROUNDUP(BB5+'Délai intermédiaire'!BB36/10,0))</f>
        <v>0</v>
      </c>
      <c r="BC39" s="13">
        <f>IF(Distances!BC36="N.C.",0,ROUNDUP(BC5+'Délai intermédiaire'!BC36/10,0))</f>
        <v>9</v>
      </c>
      <c r="BD39" s="13">
        <f>IF(Distances!BD36="N.C.",0,ROUNDUP(BD5+'Délai intermédiaire'!BD36/10,0))</f>
        <v>9</v>
      </c>
      <c r="BE39" s="13">
        <f>IF(Distances!BE36="N.C.",0,ROUNDUP(BE5+'Délai intermédiaire'!BE36/10,0))</f>
        <v>10</v>
      </c>
      <c r="BF39" s="14">
        <f>IF(Distances!BF36="N.C.",0,ROUNDUP(BF5+'Délai intermédiaire'!BF36/10,0))</f>
        <v>0</v>
      </c>
      <c r="BG39" s="14">
        <f>IF(Distances!BG36="N.C.",0,ROUNDUP(BG5+'Délai intermédiaire'!BG36/10,0))</f>
        <v>0</v>
      </c>
      <c r="BH39" s="14">
        <f>IF(Distances!BH36="N.C.",0,ROUNDUP(BH5+'Délai intermédiaire'!BH36/10,0))</f>
        <v>0</v>
      </c>
      <c r="BI39" s="14">
        <f>IF(Distances!BI36="N.C.",0,ROUNDUP(BI5+'Délai intermédiaire'!BI36/10,0))</f>
        <v>0</v>
      </c>
      <c r="BJ39" s="15">
        <f>IF(Distances!BJ36="N.C.",0,ROUNDUP(BJ5+'Délai intermédiaire'!BJ36/10,0))</f>
        <v>0</v>
      </c>
    </row>
    <row r="40" spans="1:62" x14ac:dyDescent="0.3">
      <c r="A40" s="10" t="s">
        <v>34</v>
      </c>
      <c r="B40" s="16">
        <f>IF(Distances!B37="N.C.",0,ROUNDUP(B5+'Délai intermédiaire'!B37/10,0))</f>
        <v>0</v>
      </c>
      <c r="C40" s="14">
        <f>IF(Distances!C37="N.C.",0,ROUNDUP(C5+'Délai intermédiaire'!C37/10,0))</f>
        <v>0</v>
      </c>
      <c r="D40" s="14">
        <f>IF(Distances!D37="N.C.",0,ROUNDUP(D5+'Délai intermédiaire'!D37/10,0))</f>
        <v>0</v>
      </c>
      <c r="E40" s="14">
        <f>IF(Distances!E37="N.C.",0,ROUNDUP(E5+'Délai intermédiaire'!E37/10,0))</f>
        <v>0</v>
      </c>
      <c r="F40" s="14">
        <f>IF(Distances!F37="N.C.",0,ROUNDUP(F5+'Délai intermédiaire'!F37/10,0))</f>
        <v>0</v>
      </c>
      <c r="G40" s="14">
        <f>IF(Distances!G37="N.C.",0,ROUNDUP(G5+'Délai intermédiaire'!G37/10,0))</f>
        <v>0</v>
      </c>
      <c r="H40" s="14">
        <f>IF(Distances!H37="N.C.",0,ROUNDUP(H5+'Délai intermédiaire'!H37/10,0))</f>
        <v>0</v>
      </c>
      <c r="I40" s="14">
        <f>IF(Distances!I37="N.C.",0,ROUNDUP(I5+'Délai intermédiaire'!I37/10,0))</f>
        <v>0</v>
      </c>
      <c r="J40" s="14">
        <f>IF(Distances!J37="N.C.",0,ROUNDUP(J5+'Délai intermédiaire'!J37/10,0))</f>
        <v>0</v>
      </c>
      <c r="K40" s="14">
        <f>IF(Distances!K37="N.C.",0,ROUNDUP(K5+'Délai intermédiaire'!K37/10,0))</f>
        <v>0</v>
      </c>
      <c r="L40" s="14">
        <f>IF(Distances!L37="N.C.",0,ROUNDUP(L5+'Délai intermédiaire'!L37/10,0))</f>
        <v>0</v>
      </c>
      <c r="M40" s="14">
        <f>IF(Distances!M37="N.C.",0,ROUNDUP(M5+'Délai intermédiaire'!M37/10,0))</f>
        <v>0</v>
      </c>
      <c r="N40" s="14">
        <f>IF(Distances!N37="N.C.",0,ROUNDUP(N5+'Délai intermédiaire'!N37/10,0))</f>
        <v>0</v>
      </c>
      <c r="O40" s="14">
        <f>IF(Distances!O37="N.C.",0,ROUNDUP(O5+'Délai intermédiaire'!O37/10,0))</f>
        <v>0</v>
      </c>
      <c r="P40" s="14">
        <f>IF(Distances!P37="N.C.",0,ROUNDUP(P5+'Délai intermédiaire'!P37/10,0))</f>
        <v>0</v>
      </c>
      <c r="Q40" s="14">
        <f>IF(Distances!Q37="N.C.",0,ROUNDUP(Q5+'Délai intermédiaire'!Q37/10,0))</f>
        <v>0</v>
      </c>
      <c r="R40" s="14">
        <f>IF(Distances!R37="N.C.",0,ROUNDUP(R5+'Délai intermédiaire'!R37/10,0))</f>
        <v>0</v>
      </c>
      <c r="S40" s="14">
        <f>IF(Distances!S37="N.C.",0,ROUNDUP(S5+'Délai intermédiaire'!S37/10,0))</f>
        <v>0</v>
      </c>
      <c r="T40" s="14">
        <f>IF(Distances!T37="N.C.",0,ROUNDUP(T5+'Délai intermédiaire'!T37/10,0))</f>
        <v>13</v>
      </c>
      <c r="U40" s="14">
        <f>IF(Distances!U37="N.C.",0,ROUNDUP(U5+'Délai intermédiaire'!U37/10,0))</f>
        <v>0</v>
      </c>
      <c r="V40" s="14">
        <f>IF(Distances!V37="N.C.",0,ROUNDUP(V5+'Délai intermédiaire'!V37/10,0))</f>
        <v>0</v>
      </c>
      <c r="W40" s="14">
        <f>IF(Distances!W37="N.C.",0,ROUNDUP(W5+'Délai intermédiaire'!W37/10,0))</f>
        <v>13</v>
      </c>
      <c r="X40" s="14">
        <f>IF(Distances!X37="N.C.",0,ROUNDUP(X5+'Délai intermédiaire'!X37/10,0))</f>
        <v>12</v>
      </c>
      <c r="Y40" s="14">
        <f>IF(Distances!Y37="N.C.",0,ROUNDUP(Y5+'Délai intermédiaire'!Y37/10,0))</f>
        <v>13</v>
      </c>
      <c r="Z40" s="14">
        <f>IF(Distances!Z37="N.C.",0,ROUNDUP(Z5+'Délai intermédiaire'!Z37/10,0))</f>
        <v>0</v>
      </c>
      <c r="AA40" s="14">
        <f>IF(Distances!AA37="N.C.",0,ROUNDUP(AA5+'Délai intermédiaire'!AA37/10,0))</f>
        <v>0</v>
      </c>
      <c r="AB40" s="14">
        <f>IF(Distances!AB37="N.C.",0,ROUNDUP(AB5+'Délai intermédiaire'!AB37/10,0))</f>
        <v>0</v>
      </c>
      <c r="AC40" s="14">
        <f>IF(Distances!AC37="N.C.",0,ROUNDUP(AC5+'Délai intermédiaire'!AC37/10,0))</f>
        <v>0</v>
      </c>
      <c r="AD40" s="14">
        <f>IF(Distances!AD37="N.C.",0,ROUNDUP(AD5+'Délai intermédiaire'!AD37/10,0))</f>
        <v>0</v>
      </c>
      <c r="AE40" s="14">
        <f>IF(Distances!AE37="N.C.",0,ROUNDUP(AE5+'Délai intermédiaire'!AE37/10,0))</f>
        <v>13</v>
      </c>
      <c r="AF40" s="14" t="e">
        <f>IF(Distances!AF37="N.C.",0,ROUNDUP(AF5+'Délai intermédiaire'!AF37/10,0))</f>
        <v>#VALUE!</v>
      </c>
      <c r="AG40" s="14">
        <f>IF(Distances!AG37="N.C.",0,ROUNDUP(AG5+'Délai intermédiaire'!AG37/10,0))</f>
        <v>0</v>
      </c>
      <c r="AH40" s="13">
        <f>IF(Distances!AH37="N.C.",0,ROUNDUP(AH5+'Délai intermédiaire'!AH37/10,0))</f>
        <v>4</v>
      </c>
      <c r="AI40" s="12">
        <f>IF(Distances!AI37="N.C.",0,ROUNDUP(AI5+'Délai intermédiaire'!AI37/10,0))</f>
        <v>2</v>
      </c>
      <c r="AJ40" s="13">
        <f>IF(Distances!AJ37="N.C.",0,ROUNDUP(AJ5+'Délai intermédiaire'!AJ37/10,0))</f>
        <v>4</v>
      </c>
      <c r="AK40" s="13">
        <f>IF(Distances!AK37="N.C.",0,ROUNDUP(AK5+'Délai intermédiaire'!AK37/10,0))</f>
        <v>5</v>
      </c>
      <c r="AL40" s="13">
        <f>IF(Distances!AL37="N.C.",0,ROUNDUP(AL5+'Délai intermédiaire'!AL37/10,0))</f>
        <v>0</v>
      </c>
      <c r="AM40" s="13">
        <f>IF(Distances!AM37="N.C.",0,ROUNDUP(AM5+'Délai intermédiaire'!AM37/10,0))</f>
        <v>0</v>
      </c>
      <c r="AN40" s="13">
        <f>IF(Distances!AN37="N.C.",0,ROUNDUP(AN5+'Délai intermédiaire'!AN37/10,0))</f>
        <v>0</v>
      </c>
      <c r="AO40" s="14">
        <f>IF(Distances!AO37="N.C.",0,ROUNDUP(AO5+'Délai intermédiaire'!AO37/10,0))</f>
        <v>0</v>
      </c>
      <c r="AP40" s="14">
        <f>IF(Distances!AP37="N.C.",0,ROUNDUP(AP5+'Délai intermédiaire'!AP37/10,0))</f>
        <v>0</v>
      </c>
      <c r="AQ40" s="14">
        <f>IF(Distances!AQ37="N.C.",0,ROUNDUP(AQ5+'Délai intermédiaire'!AQ37/10,0))</f>
        <v>0</v>
      </c>
      <c r="AR40" s="13">
        <f>IF(Distances!AR37="N.C.",0,ROUNDUP(AR5+'Délai intermédiaire'!AR37/10,0))</f>
        <v>0</v>
      </c>
      <c r="AS40" s="13">
        <f>IF(Distances!AS37="N.C.",0,ROUNDUP(AS5+'Délai intermédiaire'!AS37/10,0))</f>
        <v>0</v>
      </c>
      <c r="AT40" s="13">
        <f>IF(Distances!AT37="N.C.",0,ROUNDUP(AT5+'Délai intermédiaire'!AT37/10,0))</f>
        <v>0</v>
      </c>
      <c r="AU40" s="12">
        <f>IF(Distances!AU37="N.C.",0,ROUNDUP(AU5+'Délai intermédiaire'!AU37/10,0))</f>
        <v>10</v>
      </c>
      <c r="AV40" s="13">
        <f>IF(Distances!AV37="N.C.",0,ROUNDUP(AV5+'Délai intermédiaire'!AV37/10,0))</f>
        <v>13</v>
      </c>
      <c r="AW40" s="13">
        <f>IF(Distances!AW37="N.C.",0,ROUNDUP(AW5+'Délai intermédiaire'!AW37/10,0))</f>
        <v>12</v>
      </c>
      <c r="AX40" s="12">
        <f>IF(Distances!AX37="N.C.",0,ROUNDUP(AX5+'Délai intermédiaire'!AX37/10,0))</f>
        <v>11</v>
      </c>
      <c r="AY40" s="14">
        <f>IF(Distances!AY37="N.C.",0,ROUNDUP(AY5+'Délai intermédiaire'!AY37/10,0))</f>
        <v>0</v>
      </c>
      <c r="AZ40" s="14">
        <f>IF(Distances!AZ37="N.C.",0,ROUNDUP(AZ5+'Délai intermédiaire'!AZ37/10,0))</f>
        <v>18</v>
      </c>
      <c r="BA40" s="13">
        <f>IF(Distances!BA37="N.C.",0,ROUNDUP(BA5+'Délai intermédiaire'!BA37/10,0))</f>
        <v>7</v>
      </c>
      <c r="BB40" s="14">
        <f>IF(Distances!BB37="N.C.",0,ROUNDUP(BB5+'Délai intermédiaire'!BB37/10,0))</f>
        <v>14</v>
      </c>
      <c r="BC40" s="12">
        <f>IF(Distances!BC37="N.C.",0,ROUNDUP(BC5+'Délai intermédiaire'!BC37/10,0))</f>
        <v>8</v>
      </c>
      <c r="BD40" s="12">
        <f>IF(Distances!BD37="N.C.",0,ROUNDUP(BD5+'Délai intermédiaire'!BD37/10,0))</f>
        <v>8</v>
      </c>
      <c r="BE40" s="12">
        <f>IF(Distances!BE37="N.C.",0,ROUNDUP(BE5+'Délai intermédiaire'!BE37/10,0))</f>
        <v>8</v>
      </c>
      <c r="BF40" s="14">
        <f>IF(Distances!BF37="N.C.",0,ROUNDUP(BF5+'Délai intermédiaire'!BF37/10,0))</f>
        <v>0</v>
      </c>
      <c r="BG40" s="14">
        <f>IF(Distances!BG37="N.C.",0,ROUNDUP(BG5+'Délai intermédiaire'!BG37/10,0))</f>
        <v>0</v>
      </c>
      <c r="BH40" s="14">
        <f>IF(Distances!BH37="N.C.",0,ROUNDUP(BH5+'Délai intermédiaire'!BH37/10,0))</f>
        <v>0</v>
      </c>
      <c r="BI40" s="14">
        <f>IF(Distances!BI37="N.C.",0,ROUNDUP(BI5+'Délai intermédiaire'!BI37/10,0))</f>
        <v>0</v>
      </c>
      <c r="BJ40" s="15">
        <f>IF(Distances!BJ37="N.C.",0,ROUNDUP(BJ5+'Délai intermédiaire'!BJ37/10,0))</f>
        <v>0</v>
      </c>
    </row>
    <row r="41" spans="1:62" x14ac:dyDescent="0.3">
      <c r="A41" s="10" t="s">
        <v>35</v>
      </c>
      <c r="B41" s="16">
        <f>IF(Distances!B38="N.C.",0,ROUNDUP(B5+'Délai intermédiaire'!B38/10,0))</f>
        <v>0</v>
      </c>
      <c r="C41" s="14">
        <f>IF(Distances!C38="N.C.",0,ROUNDUP(C5+'Délai intermédiaire'!C38/10,0))</f>
        <v>0</v>
      </c>
      <c r="D41" s="14">
        <f>IF(Distances!D38="N.C.",0,ROUNDUP(D5+'Délai intermédiaire'!D38/10,0))</f>
        <v>0</v>
      </c>
      <c r="E41" s="14">
        <f>IF(Distances!E38="N.C.",0,ROUNDUP(E5+'Délai intermédiaire'!E38/10,0))</f>
        <v>0</v>
      </c>
      <c r="F41" s="14">
        <f>IF(Distances!F38="N.C.",0,ROUNDUP(F5+'Délai intermédiaire'!F38/10,0))</f>
        <v>0</v>
      </c>
      <c r="G41" s="14">
        <f>IF(Distances!G38="N.C.",0,ROUNDUP(G5+'Délai intermédiaire'!G38/10,0))</f>
        <v>0</v>
      </c>
      <c r="H41" s="14">
        <f>IF(Distances!H38="N.C.",0,ROUNDUP(H5+'Délai intermédiaire'!H38/10,0))</f>
        <v>0</v>
      </c>
      <c r="I41" s="14">
        <f>IF(Distances!I38="N.C.",0,ROUNDUP(I5+'Délai intermédiaire'!I38/10,0))</f>
        <v>0</v>
      </c>
      <c r="J41" s="14">
        <f>IF(Distances!J38="N.C.",0,ROUNDUP(J5+'Délai intermédiaire'!J38/10,0))</f>
        <v>0</v>
      </c>
      <c r="K41" s="14">
        <f>IF(Distances!K38="N.C.",0,ROUNDUP(K5+'Délai intermédiaire'!K38/10,0))</f>
        <v>0</v>
      </c>
      <c r="L41" s="14">
        <f>IF(Distances!L38="N.C.",0,ROUNDUP(L5+'Délai intermédiaire'!L38/10,0))</f>
        <v>0</v>
      </c>
      <c r="M41" s="14">
        <f>IF(Distances!M38="N.C.",0,ROUNDUP(M5+'Délai intermédiaire'!M38/10,0))</f>
        <v>0</v>
      </c>
      <c r="N41" s="14">
        <f>IF(Distances!N38="N.C.",0,ROUNDUP(N5+'Délai intermédiaire'!N38/10,0))</f>
        <v>0</v>
      </c>
      <c r="O41" s="14">
        <f>IF(Distances!O38="N.C.",0,ROUNDUP(O5+'Délai intermédiaire'!O38/10,0))</f>
        <v>0</v>
      </c>
      <c r="P41" s="14">
        <f>IF(Distances!P38="N.C.",0,ROUNDUP(P5+'Délai intermédiaire'!P38/10,0))</f>
        <v>0</v>
      </c>
      <c r="Q41" s="14">
        <f>IF(Distances!Q38="N.C.",0,ROUNDUP(Q5+'Délai intermédiaire'!Q38/10,0))</f>
        <v>0</v>
      </c>
      <c r="R41" s="14">
        <f>IF(Distances!R38="N.C.",0,ROUNDUP(R5+'Délai intermédiaire'!R38/10,0))</f>
        <v>0</v>
      </c>
      <c r="S41" s="14">
        <f>IF(Distances!S38="N.C.",0,ROUNDUP(S5+'Délai intermédiaire'!S38/10,0))</f>
        <v>0</v>
      </c>
      <c r="T41" s="14">
        <f>IF(Distances!T38="N.C.",0,ROUNDUP(T5+'Délai intermédiaire'!T38/10,0))</f>
        <v>0</v>
      </c>
      <c r="U41" s="14">
        <f>IF(Distances!U38="N.C.",0,ROUNDUP(U5+'Délai intermédiaire'!U38/10,0))</f>
        <v>0</v>
      </c>
      <c r="V41" s="14">
        <f>IF(Distances!V38="N.C.",0,ROUNDUP(V5+'Délai intermédiaire'!V38/10,0))</f>
        <v>0</v>
      </c>
      <c r="W41" s="14">
        <f>IF(Distances!W38="N.C.",0,ROUNDUP(W5+'Délai intermédiaire'!W38/10,0))</f>
        <v>0</v>
      </c>
      <c r="X41" s="14">
        <f>IF(Distances!X38="N.C.",0,ROUNDUP(X5+'Délai intermédiaire'!X38/10,0))</f>
        <v>0</v>
      </c>
      <c r="Y41" s="14">
        <f>IF(Distances!Y38="N.C.",0,ROUNDUP(Y5+'Délai intermédiaire'!Y38/10,0))</f>
        <v>0</v>
      </c>
      <c r="Z41" s="14">
        <f>IF(Distances!Z38="N.C.",0,ROUNDUP(Z5+'Délai intermédiaire'!Z38/10,0))</f>
        <v>0</v>
      </c>
      <c r="AA41" s="14">
        <f>IF(Distances!AA38="N.C.",0,ROUNDUP(AA5+'Délai intermédiaire'!AA38/10,0))</f>
        <v>0</v>
      </c>
      <c r="AB41" s="14">
        <f>IF(Distances!AB38="N.C.",0,ROUNDUP(AB5+'Délai intermédiaire'!AB38/10,0))</f>
        <v>0</v>
      </c>
      <c r="AC41" s="14">
        <f>IF(Distances!AC38="N.C.",0,ROUNDUP(AC5+'Délai intermédiaire'!AC38/10,0))</f>
        <v>0</v>
      </c>
      <c r="AD41" s="14">
        <f>IF(Distances!AD38="N.C.",0,ROUNDUP(AD5+'Délai intermédiaire'!AD38/10,0))</f>
        <v>0</v>
      </c>
      <c r="AE41" s="14">
        <f>IF(Distances!AE38="N.C.",0,ROUNDUP(AE5+'Délai intermédiaire'!AE38/10,0))</f>
        <v>0</v>
      </c>
      <c r="AF41" s="14">
        <f>IF(Distances!AF38="N.C.",0,ROUNDUP(AF5+'Délai intermédiaire'!AF38/10,0))</f>
        <v>0</v>
      </c>
      <c r="AG41" s="14">
        <f>IF(Distances!AG38="N.C.",0,ROUNDUP(AG5+'Délai intermédiaire'!AG38/10,0))</f>
        <v>0</v>
      </c>
      <c r="AH41" s="13">
        <f>IF(Distances!AH38="N.C.",0,ROUNDUP(AH5+'Délai intermédiaire'!AH38/10,0))</f>
        <v>4</v>
      </c>
      <c r="AI41" s="13">
        <f>IF(Distances!AI38="N.C.",0,ROUNDUP(AI5+'Délai intermédiaire'!AI38/10,0))</f>
        <v>4</v>
      </c>
      <c r="AJ41" s="12">
        <f>IF(Distances!AJ38="N.C.",0,ROUNDUP(AJ5+'Délai intermédiaire'!AJ38/10,0))</f>
        <v>2</v>
      </c>
      <c r="AK41" s="13">
        <f>IF(Distances!AK38="N.C.",0,ROUNDUP(AK5+'Délai intermédiaire'!AK38/10,0))</f>
        <v>4</v>
      </c>
      <c r="AL41" s="13">
        <f>IF(Distances!AL38="N.C.",0,ROUNDUP(AL5+'Délai intermédiaire'!AL38/10,0))</f>
        <v>0</v>
      </c>
      <c r="AM41" s="13">
        <f>IF(Distances!AM38="N.C.",0,ROUNDUP(AM5+'Délai intermédiaire'!AM38/10,0))</f>
        <v>0</v>
      </c>
      <c r="AN41" s="13">
        <f>IF(Distances!AN38="N.C.",0,ROUNDUP(AN5+'Délai intermédiaire'!AN38/10,0))</f>
        <v>0</v>
      </c>
      <c r="AO41" s="14">
        <f>IF(Distances!AO38="N.C.",0,ROUNDUP(AO5+'Délai intermédiaire'!AO38/10,0))</f>
        <v>0</v>
      </c>
      <c r="AP41" s="14">
        <f>IF(Distances!AP38="N.C.",0,ROUNDUP(AP5+'Délai intermédiaire'!AP38/10,0))</f>
        <v>0</v>
      </c>
      <c r="AQ41" s="14">
        <f>IF(Distances!AQ38="N.C.",0,ROUNDUP(AQ5+'Délai intermédiaire'!AQ38/10,0))</f>
        <v>0</v>
      </c>
      <c r="AR41" s="13">
        <f>IF(Distances!AR38="N.C.",0,ROUNDUP(AR5+'Délai intermédiaire'!AR38/10,0))</f>
        <v>10</v>
      </c>
      <c r="AS41" s="13">
        <f>IF(Distances!AS38="N.C.",0,ROUNDUP(AS5+'Délai intermédiaire'!AS38/10,0))</f>
        <v>10</v>
      </c>
      <c r="AT41" s="13">
        <f>IF(Distances!AT38="N.C.",0,ROUNDUP(AT5+'Délai intermédiaire'!AT38/10,0))</f>
        <v>10</v>
      </c>
      <c r="AU41" s="13">
        <f>IF(Distances!AU38="N.C.",0,ROUNDUP(AU5+'Délai intermédiaire'!AU38/10,0))</f>
        <v>11</v>
      </c>
      <c r="AV41" s="13">
        <f>IF(Distances!AV38="N.C.",0,ROUNDUP(AV5+'Délai intermédiaire'!AV38/10,0))</f>
        <v>0</v>
      </c>
      <c r="AW41" s="13">
        <f>IF(Distances!AW38="N.C.",0,ROUNDUP(AW5+'Délai intermédiaire'!AW38/10,0))</f>
        <v>12</v>
      </c>
      <c r="AX41" s="13">
        <f>IF(Distances!AX38="N.C.",0,ROUNDUP(AX5+'Délai intermédiaire'!AX38/10,0))</f>
        <v>12</v>
      </c>
      <c r="AY41" s="14">
        <f>IF(Distances!AY38="N.C.",0,ROUNDUP(AY5+'Délai intermédiaire'!AY38/10,0))</f>
        <v>0</v>
      </c>
      <c r="AZ41" s="14">
        <f>IF(Distances!AZ38="N.C.",0,ROUNDUP(AZ5+'Délai intermédiaire'!AZ38/10,0))</f>
        <v>17</v>
      </c>
      <c r="BA41" s="13">
        <f>IF(Distances!BA38="N.C.",0,ROUNDUP(BA5+'Délai intermédiaire'!BA38/10,0))</f>
        <v>8</v>
      </c>
      <c r="BB41" s="14">
        <f>IF(Distances!BB38="N.C.",0,ROUNDUP(BB5+'Délai intermédiaire'!BB38/10,0))</f>
        <v>0</v>
      </c>
      <c r="BC41" s="13">
        <f>IF(Distances!BC38="N.C.",0,ROUNDUP(BC5+'Délai intermédiaire'!BC38/10,0))</f>
        <v>9</v>
      </c>
      <c r="BD41" s="13">
        <f>IF(Distances!BD38="N.C.",0,ROUNDUP(BD5+'Délai intermédiaire'!BD38/10,0))</f>
        <v>9</v>
      </c>
      <c r="BE41" s="13">
        <f>IF(Distances!BE38="N.C.",0,ROUNDUP(BE5+'Délai intermédiaire'!BE38/10,0))</f>
        <v>10</v>
      </c>
      <c r="BF41" s="14">
        <f>IF(Distances!BF38="N.C.",0,ROUNDUP(BF5+'Délai intermédiaire'!BF38/10,0))</f>
        <v>0</v>
      </c>
      <c r="BG41" s="14">
        <f>IF(Distances!BG38="N.C.",0,ROUNDUP(BG5+'Délai intermédiaire'!BG38/10,0))</f>
        <v>0</v>
      </c>
      <c r="BH41" s="14">
        <f>IF(Distances!BH38="N.C.",0,ROUNDUP(BH5+'Délai intermédiaire'!BH38/10,0))</f>
        <v>0</v>
      </c>
      <c r="BI41" s="14">
        <f>IF(Distances!BI38="N.C.",0,ROUNDUP(BI5+'Délai intermédiaire'!BI38/10,0))</f>
        <v>0</v>
      </c>
      <c r="BJ41" s="15">
        <f>IF(Distances!BJ38="N.C.",0,ROUNDUP(BJ5+'Délai intermédiaire'!BJ38/10,0))</f>
        <v>0</v>
      </c>
    </row>
    <row r="42" spans="1:62" x14ac:dyDescent="0.3">
      <c r="A42" s="10" t="s">
        <v>36</v>
      </c>
      <c r="B42" s="16">
        <f>IF(Distances!B39="N.C.",0,ROUNDUP(B5+'Délai intermédiaire'!B39/10,0))</f>
        <v>0</v>
      </c>
      <c r="C42" s="14">
        <f>IF(Distances!C39="N.C.",0,ROUNDUP(C5+'Délai intermédiaire'!C39/10,0))</f>
        <v>0</v>
      </c>
      <c r="D42" s="14">
        <f>IF(Distances!D39="N.C.",0,ROUNDUP(D5+'Délai intermédiaire'!D39/10,0))</f>
        <v>0</v>
      </c>
      <c r="E42" s="14">
        <f>IF(Distances!E39="N.C.",0,ROUNDUP(E5+'Délai intermédiaire'!E39/10,0))</f>
        <v>0</v>
      </c>
      <c r="F42" s="14">
        <f>IF(Distances!F39="N.C.",0,ROUNDUP(F5+'Délai intermédiaire'!F39/10,0))</f>
        <v>0</v>
      </c>
      <c r="G42" s="14">
        <f>IF(Distances!G39="N.C.",0,ROUNDUP(G5+'Délai intermédiaire'!G39/10,0))</f>
        <v>0</v>
      </c>
      <c r="H42" s="14">
        <f>IF(Distances!H39="N.C.",0,ROUNDUP(H5+'Délai intermédiaire'!H39/10,0))</f>
        <v>0</v>
      </c>
      <c r="I42" s="14">
        <f>IF(Distances!I39="N.C.",0,ROUNDUP(I5+'Délai intermédiaire'!I39/10,0))</f>
        <v>0</v>
      </c>
      <c r="J42" s="14">
        <f>IF(Distances!J39="N.C.",0,ROUNDUP(J5+'Délai intermédiaire'!J39/10,0))</f>
        <v>0</v>
      </c>
      <c r="K42" s="14">
        <f>IF(Distances!K39="N.C.",0,ROUNDUP(K5+'Délai intermédiaire'!K39/10,0))</f>
        <v>0</v>
      </c>
      <c r="L42" s="14">
        <f>IF(Distances!L39="N.C.",0,ROUNDUP(L5+'Délai intermédiaire'!L39/10,0))</f>
        <v>0</v>
      </c>
      <c r="M42" s="14">
        <f>IF(Distances!M39="N.C.",0,ROUNDUP(M5+'Délai intermédiaire'!M39/10,0))</f>
        <v>0</v>
      </c>
      <c r="N42" s="14">
        <f>IF(Distances!N39="N.C.",0,ROUNDUP(N5+'Délai intermédiaire'!N39/10,0))</f>
        <v>0</v>
      </c>
      <c r="O42" s="14">
        <f>IF(Distances!O39="N.C.",0,ROUNDUP(O5+'Délai intermédiaire'!O39/10,0))</f>
        <v>0</v>
      </c>
      <c r="P42" s="14">
        <f>IF(Distances!P39="N.C.",0,ROUNDUP(P5+'Délai intermédiaire'!P39/10,0))</f>
        <v>0</v>
      </c>
      <c r="Q42" s="14">
        <f>IF(Distances!Q39="N.C.",0,ROUNDUP(Q5+'Délai intermédiaire'!Q39/10,0))</f>
        <v>0</v>
      </c>
      <c r="R42" s="14">
        <f>IF(Distances!R39="N.C.",0,ROUNDUP(R5+'Délai intermédiaire'!R39/10,0))</f>
        <v>0</v>
      </c>
      <c r="S42" s="14">
        <f>IF(Distances!S39="N.C.",0,ROUNDUP(S5+'Délai intermédiaire'!S39/10,0))</f>
        <v>0</v>
      </c>
      <c r="T42" s="14">
        <f>IF(Distances!T39="N.C.",0,ROUNDUP(T5+'Délai intermédiaire'!T39/10,0))</f>
        <v>14</v>
      </c>
      <c r="U42" s="14">
        <f>IF(Distances!U39="N.C.",0,ROUNDUP(U5+'Délai intermédiaire'!U39/10,0))</f>
        <v>14</v>
      </c>
      <c r="V42" s="14">
        <f>IF(Distances!V39="N.C.",0,ROUNDUP(V5+'Délai intermédiaire'!V39/10,0))</f>
        <v>13</v>
      </c>
      <c r="W42" s="14">
        <f>IF(Distances!W39="N.C.",0,ROUNDUP(W5+'Délai intermédiaire'!W39/10,0))</f>
        <v>0</v>
      </c>
      <c r="X42" s="14">
        <f>IF(Distances!X39="N.C.",0,ROUNDUP(X5+'Délai intermédiaire'!X39/10,0))</f>
        <v>0</v>
      </c>
      <c r="Y42" s="14">
        <f>IF(Distances!Y39="N.C.",0,ROUNDUP(Y5+'Délai intermédiaire'!Y39/10,0))</f>
        <v>14</v>
      </c>
      <c r="Z42" s="14">
        <f>IF(Distances!Z39="N.C.",0,ROUNDUP(Z5+'Délai intermédiaire'!Z39/10,0))</f>
        <v>0</v>
      </c>
      <c r="AA42" s="14">
        <f>IF(Distances!AA39="N.C.",0,ROUNDUP(AA5+'Délai intermédiaire'!AA39/10,0))</f>
        <v>15</v>
      </c>
      <c r="AB42" s="14">
        <f>IF(Distances!AB39="N.C.",0,ROUNDUP(AB5+'Délai intermédiaire'!AB39/10,0))</f>
        <v>15</v>
      </c>
      <c r="AC42" s="14">
        <f>IF(Distances!AC39="N.C.",0,ROUNDUP(AC5+'Délai intermédiaire'!AC39/10,0))</f>
        <v>0</v>
      </c>
      <c r="AD42" s="14">
        <f>IF(Distances!AD39="N.C.",0,ROUNDUP(AD5+'Délai intermédiaire'!AD39/10,0))</f>
        <v>0</v>
      </c>
      <c r="AE42" s="14">
        <f>IF(Distances!AE39="N.C.",0,ROUNDUP(AE5+'Délai intermédiaire'!AE39/10,0))</f>
        <v>0</v>
      </c>
      <c r="AF42" s="14">
        <f>IF(Distances!AF39="N.C.",0,ROUNDUP(AF5+'Délai intermédiaire'!AF39/10,0))</f>
        <v>0</v>
      </c>
      <c r="AG42" s="14">
        <f>IF(Distances!AG39="N.C.",0,ROUNDUP(AG5+'Délai intermédiaire'!AG39/10,0))</f>
        <v>14</v>
      </c>
      <c r="AH42" s="13">
        <f>IF(Distances!AH39="N.C.",0,ROUNDUP(AH5+'Délai intermédiaire'!AH39/10,0))</f>
        <v>5</v>
      </c>
      <c r="AI42" s="13">
        <f>IF(Distances!AI39="N.C.",0,ROUNDUP(AI5+'Délai intermédiaire'!AI39/10,0))</f>
        <v>5</v>
      </c>
      <c r="AJ42" s="13">
        <f>IF(Distances!AJ39="N.C.",0,ROUNDUP(AJ5+'Délai intermédiaire'!AJ39/10,0))</f>
        <v>4</v>
      </c>
      <c r="AK42" s="12">
        <f>IF(Distances!AK39="N.C.",0,ROUNDUP(AK5+'Délai intermédiaire'!AK39/10,0))</f>
        <v>2</v>
      </c>
      <c r="AL42" s="13">
        <f>IF(Distances!AL39="N.C.",0,ROUNDUP(AL5+'Délai intermédiaire'!AL39/10,0))</f>
        <v>0</v>
      </c>
      <c r="AM42" s="13">
        <f>IF(Distances!AM39="N.C.",0,ROUNDUP(AM5+'Délai intermédiaire'!AM39/10,0))</f>
        <v>0</v>
      </c>
      <c r="AN42" s="13">
        <f>IF(Distances!AN39="N.C.",0,ROUNDUP(AN5+'Délai intermédiaire'!AN39/10,0))</f>
        <v>0</v>
      </c>
      <c r="AO42" s="14">
        <f>IF(Distances!AO39="N.C.",0,ROUNDUP(AO5+'Délai intermédiaire'!AO39/10,0))</f>
        <v>0</v>
      </c>
      <c r="AP42" s="14">
        <f>IF(Distances!AP39="N.C.",0,ROUNDUP(AP5+'Délai intermédiaire'!AP39/10,0))</f>
        <v>0</v>
      </c>
      <c r="AQ42" s="14">
        <f>IF(Distances!AQ39="N.C.",0,ROUNDUP(AQ5+'Délai intermédiaire'!AQ39/10,0))</f>
        <v>0</v>
      </c>
      <c r="AR42" s="13">
        <f>IF(Distances!AR39="N.C.",0,ROUNDUP(AR5+'Délai intermédiaire'!AR39/10,0))</f>
        <v>12</v>
      </c>
      <c r="AS42" s="13">
        <f>IF(Distances!AS39="N.C.",0,ROUNDUP(AS5+'Délai intermédiaire'!AS39/10,0))</f>
        <v>12</v>
      </c>
      <c r="AT42" s="13">
        <f>IF(Distances!AT39="N.C.",0,ROUNDUP(AT5+'Délai intermédiaire'!AT39/10,0))</f>
        <v>11</v>
      </c>
      <c r="AU42" s="13">
        <f>IF(Distances!AU39="N.C.",0,ROUNDUP(AU5+'Délai intermédiaire'!AU39/10,0))</f>
        <v>12</v>
      </c>
      <c r="AV42" s="13">
        <f>IF(Distances!AV39="N.C.",0,ROUNDUP(AV5+'Délai intermédiaire'!AV39/10,0))</f>
        <v>0</v>
      </c>
      <c r="AW42" s="13">
        <f>IF(Distances!AW39="N.C.",0,ROUNDUP(AW5+'Délai intermédiaire'!AW39/10,0))</f>
        <v>14</v>
      </c>
      <c r="AX42" s="13">
        <f>IF(Distances!AX39="N.C.",0,ROUNDUP(AX5+'Délai intermédiaire'!AX39/10,0))</f>
        <v>13</v>
      </c>
      <c r="AY42" s="14">
        <f>IF(Distances!AY39="N.C.",0,ROUNDUP(AY5+'Délai intermédiaire'!AY39/10,0))</f>
        <v>0</v>
      </c>
      <c r="AZ42" s="14">
        <f>IF(Distances!AZ39="N.C.",0,ROUNDUP(AZ5+'Délai intermédiaire'!AZ39/10,0))</f>
        <v>19</v>
      </c>
      <c r="BA42" s="13">
        <f>IF(Distances!BA39="N.C.",0,ROUNDUP(BA5+'Délai intermédiaire'!BA39/10,0))</f>
        <v>9</v>
      </c>
      <c r="BB42" s="14">
        <f>IF(Distances!BB39="N.C.",0,ROUNDUP(BB5+'Délai intermédiaire'!BB39/10,0))</f>
        <v>0</v>
      </c>
      <c r="BC42" s="13">
        <f>IF(Distances!BC39="N.C.",0,ROUNDUP(BC5+'Délai intermédiaire'!BC39/10,0))</f>
        <v>10</v>
      </c>
      <c r="BD42" s="13">
        <f>IF(Distances!BD39="N.C.",0,ROUNDUP(BD5+'Délai intermédiaire'!BD39/10,0))</f>
        <v>10</v>
      </c>
      <c r="BE42" s="13">
        <f>IF(Distances!BE39="N.C.",0,ROUNDUP(BE5+'Délai intermédiaire'!BE39/10,0))</f>
        <v>11</v>
      </c>
      <c r="BF42" s="14">
        <f>IF(Distances!BF39="N.C.",0,ROUNDUP(BF5+'Délai intermédiaire'!BF39/10,0))</f>
        <v>0</v>
      </c>
      <c r="BG42" s="14">
        <f>IF(Distances!BG39="N.C.",0,ROUNDUP(BG5+'Délai intermédiaire'!BG39/10,0))</f>
        <v>0</v>
      </c>
      <c r="BH42" s="14">
        <f>IF(Distances!BH39="N.C.",0,ROUNDUP(BH5+'Délai intermédiaire'!BH39/10,0))</f>
        <v>0</v>
      </c>
      <c r="BI42" s="14">
        <f>IF(Distances!BI39="N.C.",0,ROUNDUP(BI5+'Délai intermédiaire'!BI39/10,0))</f>
        <v>0</v>
      </c>
      <c r="BJ42" s="15">
        <f>IF(Distances!BJ39="N.C.",0,ROUNDUP(BJ5+'Délai intermédiaire'!BJ39/10,0))</f>
        <v>0</v>
      </c>
    </row>
    <row r="43" spans="1:62" x14ac:dyDescent="0.3">
      <c r="A43" s="10" t="s">
        <v>37</v>
      </c>
      <c r="B43" s="16">
        <f>IF(Distances!B40="N.C.",0,ROUNDUP(B5+'Délai intermédiaire'!B40/10,0))</f>
        <v>0</v>
      </c>
      <c r="C43" s="14">
        <f>IF(Distances!C40="N.C.",0,ROUNDUP(C5+'Délai intermédiaire'!C40/10,0))</f>
        <v>0</v>
      </c>
      <c r="D43" s="14">
        <f>IF(Distances!D40="N.C.",0,ROUNDUP(D5+'Délai intermédiaire'!D40/10,0))</f>
        <v>0</v>
      </c>
      <c r="E43" s="14">
        <f>IF(Distances!E40="N.C.",0,ROUNDUP(E5+'Délai intermédiaire'!E40/10,0))</f>
        <v>0</v>
      </c>
      <c r="F43" s="14">
        <f>IF(Distances!F40="N.C.",0,ROUNDUP(F5+'Délai intermédiaire'!F40/10,0))</f>
        <v>0</v>
      </c>
      <c r="G43" s="14">
        <f>IF(Distances!G40="N.C.",0,ROUNDUP(G5+'Délai intermédiaire'!G40/10,0))</f>
        <v>0</v>
      </c>
      <c r="H43" s="14">
        <f>IF(Distances!H40="N.C.",0,ROUNDUP(H5+'Délai intermédiaire'!H40/10,0))</f>
        <v>0</v>
      </c>
      <c r="I43" s="14">
        <f>IF(Distances!I40="N.C.",0,ROUNDUP(I5+'Délai intermédiaire'!I40/10,0))</f>
        <v>0</v>
      </c>
      <c r="J43" s="14">
        <f>IF(Distances!J40="N.C.",0,ROUNDUP(J5+'Délai intermédiaire'!J40/10,0))</f>
        <v>0</v>
      </c>
      <c r="K43" s="14">
        <f>IF(Distances!K40="N.C.",0,ROUNDUP(K5+'Délai intermédiaire'!K40/10,0))</f>
        <v>0</v>
      </c>
      <c r="L43" s="14">
        <f>IF(Distances!L40="N.C.",0,ROUNDUP(L5+'Délai intermédiaire'!L40/10,0))</f>
        <v>0</v>
      </c>
      <c r="M43" s="14">
        <f>IF(Distances!M40="N.C.",0,ROUNDUP(M5+'Délai intermédiaire'!M40/10,0))</f>
        <v>0</v>
      </c>
      <c r="N43" s="14">
        <f>IF(Distances!N40="N.C.",0,ROUNDUP(N5+'Délai intermédiaire'!N40/10,0))</f>
        <v>0</v>
      </c>
      <c r="O43" s="14">
        <f>IF(Distances!O40="N.C.",0,ROUNDUP(O5+'Délai intermédiaire'!O40/10,0))</f>
        <v>0</v>
      </c>
      <c r="P43" s="14">
        <f>IF(Distances!P40="N.C.",0,ROUNDUP(P5+'Délai intermédiaire'!P40/10,0))</f>
        <v>0</v>
      </c>
      <c r="Q43" s="14">
        <f>IF(Distances!Q40="N.C.",0,ROUNDUP(Q5+'Délai intermédiaire'!Q40/10,0))</f>
        <v>0</v>
      </c>
      <c r="R43" s="14">
        <f>IF(Distances!R40="N.C.",0,ROUNDUP(R5+'Délai intermédiaire'!R40/10,0))</f>
        <v>0</v>
      </c>
      <c r="S43" s="14">
        <f>IF(Distances!S40="N.C.",0,ROUNDUP(S5+'Délai intermédiaire'!S40/10,0))</f>
        <v>0</v>
      </c>
      <c r="T43" s="14">
        <f>IF(Distances!T40="N.C.",0,ROUNDUP(T5+'Délai intermédiaire'!T40/10,0))</f>
        <v>0</v>
      </c>
      <c r="U43" s="14">
        <f>IF(Distances!U40="N.C.",0,ROUNDUP(U5+'Délai intermédiaire'!U40/10,0))</f>
        <v>0</v>
      </c>
      <c r="V43" s="14">
        <f>IF(Distances!V40="N.C.",0,ROUNDUP(V5+'Délai intermédiaire'!V40/10,0))</f>
        <v>0</v>
      </c>
      <c r="W43" s="14">
        <f>IF(Distances!W40="N.C.",0,ROUNDUP(W5+'Délai intermédiaire'!W40/10,0))</f>
        <v>0</v>
      </c>
      <c r="X43" s="14">
        <f>IF(Distances!X40="N.C.",0,ROUNDUP(X5+'Délai intermédiaire'!X40/10,0))</f>
        <v>0</v>
      </c>
      <c r="Y43" s="14">
        <f>IF(Distances!Y40="N.C.",0,ROUNDUP(Y5+'Délai intermédiaire'!Y40/10,0))</f>
        <v>0</v>
      </c>
      <c r="Z43" s="14">
        <f>IF(Distances!Z40="N.C.",0,ROUNDUP(Z5+'Délai intermédiaire'!Z40/10,0))</f>
        <v>0</v>
      </c>
      <c r="AA43" s="14">
        <f>IF(Distances!AA40="N.C.",0,ROUNDUP(AA5+'Délai intermédiaire'!AA40/10,0))</f>
        <v>0</v>
      </c>
      <c r="AB43" s="14">
        <f>IF(Distances!AB40="N.C.",0,ROUNDUP(AB5+'Délai intermédiaire'!AB40/10,0))</f>
        <v>0</v>
      </c>
      <c r="AC43" s="14">
        <f>IF(Distances!AC40="N.C.",0,ROUNDUP(AC5+'Délai intermédiaire'!AC40/10,0))</f>
        <v>0</v>
      </c>
      <c r="AD43" s="14">
        <f>IF(Distances!AD40="N.C.",0,ROUNDUP(AD5+'Délai intermédiaire'!AD40/10,0))</f>
        <v>0</v>
      </c>
      <c r="AE43" s="14">
        <f>IF(Distances!AE40="N.C.",0,ROUNDUP(AE5+'Délai intermédiaire'!AE40/10,0))</f>
        <v>0</v>
      </c>
      <c r="AF43" s="14">
        <f>IF(Distances!AF40="N.C.",0,ROUNDUP(AF5+'Délai intermédiaire'!AF40/10,0))</f>
        <v>0</v>
      </c>
      <c r="AG43" s="14">
        <f>IF(Distances!AG40="N.C.",0,ROUNDUP(AG5+'Délai intermédiaire'!AG40/10,0))</f>
        <v>0</v>
      </c>
      <c r="AH43" s="13">
        <f>IF(Distances!AH40="N.C.",0,ROUNDUP(AH5+'Délai intermédiaire'!AH40/10,0))</f>
        <v>0</v>
      </c>
      <c r="AI43" s="13">
        <f>IF(Distances!AI40="N.C.",0,ROUNDUP(AI5+'Délai intermédiaire'!AI40/10,0))</f>
        <v>0</v>
      </c>
      <c r="AJ43" s="13">
        <f>IF(Distances!AJ40="N.C.",0,ROUNDUP(AJ5+'Délai intermédiaire'!AJ40/10,0))</f>
        <v>0</v>
      </c>
      <c r="AK43" s="13">
        <f>IF(Distances!AK40="N.C.",0,ROUNDUP(AK5+'Délai intermédiaire'!AK40/10,0))</f>
        <v>0</v>
      </c>
      <c r="AL43" s="12">
        <f>IF(Distances!AL40="N.C.",0,ROUNDUP(AL5+'Délai intermédiaire'!AL40/10,0))</f>
        <v>1</v>
      </c>
      <c r="AM43" s="13">
        <f>IF(Distances!AM40="N.C.",0,ROUNDUP(AM5+'Délai intermédiaire'!AM40/10,0))</f>
        <v>2</v>
      </c>
      <c r="AN43" s="13">
        <f>IF(Distances!AN40="N.C.",0,ROUNDUP(AN5+'Délai intermédiaire'!AN40/10,0))</f>
        <v>3</v>
      </c>
      <c r="AO43" s="14">
        <f>IF(Distances!AO40="N.C.",0,ROUNDUP(AO5+'Délai intermédiaire'!AO40/10,0))</f>
        <v>0</v>
      </c>
      <c r="AP43" s="14">
        <f>IF(Distances!AP40="N.C.",0,ROUNDUP(AP5+'Délai intermédiaire'!AP40/10,0))</f>
        <v>0</v>
      </c>
      <c r="AQ43" s="14">
        <f>IF(Distances!AQ40="N.C.",0,ROUNDUP(AQ5+'Délai intermédiaire'!AQ40/10,0))</f>
        <v>0</v>
      </c>
      <c r="AR43" s="13">
        <f>IF(Distances!AR40="N.C.",0,ROUNDUP(AR5+'Délai intermédiaire'!AR40/10,0))</f>
        <v>0</v>
      </c>
      <c r="AS43" s="13">
        <f>IF(Distances!AS40="N.C.",0,ROUNDUP(AS5+'Délai intermédiaire'!AS40/10,0))</f>
        <v>0</v>
      </c>
      <c r="AT43" s="13">
        <f>IF(Distances!AT40="N.C.",0,ROUNDUP(AT5+'Délai intermédiaire'!AT40/10,0))</f>
        <v>0</v>
      </c>
      <c r="AU43" s="13">
        <f>IF(Distances!AU40="N.C.",0,ROUNDUP(AU5+'Délai intermédiaire'!AU40/10,0))</f>
        <v>0</v>
      </c>
      <c r="AV43" s="13">
        <f>IF(Distances!AV40="N.C.",0,ROUNDUP(AV5+'Délai intermédiaire'!AV40/10,0))</f>
        <v>0</v>
      </c>
      <c r="AW43" s="13">
        <f>IF(Distances!AW40="N.C.",0,ROUNDUP(AW5+'Délai intermédiaire'!AW40/10,0))</f>
        <v>0</v>
      </c>
      <c r="AX43" s="13">
        <f>IF(Distances!AX40="N.C.",0,ROUNDUP(AX5+'Délai intermédiaire'!AX40/10,0))</f>
        <v>0</v>
      </c>
      <c r="AY43" s="14">
        <f>IF(Distances!AY40="N.C.",0,ROUNDUP(AY5+'Délai intermédiaire'!AY40/10,0))</f>
        <v>0</v>
      </c>
      <c r="AZ43" s="14">
        <f>IF(Distances!AZ40="N.C.",0,ROUNDUP(AZ5+'Délai intermédiaire'!AZ40/10,0))</f>
        <v>0</v>
      </c>
      <c r="BA43" s="13">
        <f>IF(Distances!BA40="N.C.",0,ROUNDUP(BA5+'Délai intermédiaire'!BA40/10,0))</f>
        <v>0</v>
      </c>
      <c r="BB43" s="14">
        <f>IF(Distances!BB40="N.C.",0,ROUNDUP(BB5+'Délai intermédiaire'!BB40/10,0))</f>
        <v>0</v>
      </c>
      <c r="BC43" s="13">
        <f>IF(Distances!BC40="N.C.",0,ROUNDUP(BC5+'Délai intermédiaire'!BC40/10,0))</f>
        <v>0</v>
      </c>
      <c r="BD43" s="13">
        <f>IF(Distances!BD40="N.C.",0,ROUNDUP(BD5+'Délai intermédiaire'!BD40/10,0))</f>
        <v>0</v>
      </c>
      <c r="BE43" s="13">
        <f>IF(Distances!BE40="N.C.",0,ROUNDUP(BE5+'Délai intermédiaire'!BE40/10,0))</f>
        <v>0</v>
      </c>
      <c r="BF43" s="14">
        <f>IF(Distances!BF40="N.C.",0,ROUNDUP(BF5+'Délai intermédiaire'!BF40/10,0))</f>
        <v>0</v>
      </c>
      <c r="BG43" s="14">
        <f>IF(Distances!BG40="N.C.",0,ROUNDUP(BG5+'Délai intermédiaire'!BG40/10,0))</f>
        <v>0</v>
      </c>
      <c r="BH43" s="14">
        <f>IF(Distances!BH40="N.C.",0,ROUNDUP(BH5+'Délai intermédiaire'!BH40/10,0))</f>
        <v>0</v>
      </c>
      <c r="BI43" s="14">
        <f>IF(Distances!BI40="N.C.",0,ROUNDUP(BI5+'Délai intermédiaire'!BI40/10,0))</f>
        <v>0</v>
      </c>
      <c r="BJ43" s="15">
        <f>IF(Distances!BJ40="N.C.",0,ROUNDUP(BJ5+'Délai intermédiaire'!BJ40/10,0))</f>
        <v>0</v>
      </c>
    </row>
    <row r="44" spans="1:62" x14ac:dyDescent="0.3">
      <c r="A44" s="10" t="s">
        <v>38</v>
      </c>
      <c r="B44" s="16">
        <f>IF(Distances!B41="N.C.",0,ROUNDUP(B5+'Délai intermédiaire'!B41/10,0))</f>
        <v>0</v>
      </c>
      <c r="C44" s="14">
        <f>IF(Distances!C41="N.C.",0,ROUNDUP(C5+'Délai intermédiaire'!C41/10,0))</f>
        <v>0</v>
      </c>
      <c r="D44" s="14">
        <f>IF(Distances!D41="N.C.",0,ROUNDUP(D5+'Délai intermédiaire'!D41/10,0))</f>
        <v>0</v>
      </c>
      <c r="E44" s="14">
        <f>IF(Distances!E41="N.C.",0,ROUNDUP(E5+'Délai intermédiaire'!E41/10,0))</f>
        <v>0</v>
      </c>
      <c r="F44" s="14">
        <f>IF(Distances!F41="N.C.",0,ROUNDUP(F5+'Délai intermédiaire'!F41/10,0))</f>
        <v>0</v>
      </c>
      <c r="G44" s="14">
        <f>IF(Distances!G41="N.C.",0,ROUNDUP(G5+'Délai intermédiaire'!G41/10,0))</f>
        <v>0</v>
      </c>
      <c r="H44" s="14">
        <f>IF(Distances!H41="N.C.",0,ROUNDUP(H5+'Délai intermédiaire'!H41/10,0))</f>
        <v>0</v>
      </c>
      <c r="I44" s="14">
        <f>IF(Distances!I41="N.C.",0,ROUNDUP(I5+'Délai intermédiaire'!I41/10,0))</f>
        <v>0</v>
      </c>
      <c r="J44" s="14">
        <f>IF(Distances!J41="N.C.",0,ROUNDUP(J5+'Délai intermédiaire'!J41/10,0))</f>
        <v>0</v>
      </c>
      <c r="K44" s="14">
        <f>IF(Distances!K41="N.C.",0,ROUNDUP(K5+'Délai intermédiaire'!K41/10,0))</f>
        <v>0</v>
      </c>
      <c r="L44" s="14">
        <f>IF(Distances!L41="N.C.",0,ROUNDUP(L5+'Délai intermédiaire'!L41/10,0))</f>
        <v>0</v>
      </c>
      <c r="M44" s="14">
        <f>IF(Distances!M41="N.C.",0,ROUNDUP(M5+'Délai intermédiaire'!M41/10,0))</f>
        <v>0</v>
      </c>
      <c r="N44" s="14">
        <f>IF(Distances!N41="N.C.",0,ROUNDUP(N5+'Délai intermédiaire'!N41/10,0))</f>
        <v>0</v>
      </c>
      <c r="O44" s="14">
        <f>IF(Distances!O41="N.C.",0,ROUNDUP(O5+'Délai intermédiaire'!O41/10,0))</f>
        <v>0</v>
      </c>
      <c r="P44" s="14">
        <f>IF(Distances!P41="N.C.",0,ROUNDUP(P5+'Délai intermédiaire'!P41/10,0))</f>
        <v>0</v>
      </c>
      <c r="Q44" s="14">
        <f>IF(Distances!Q41="N.C.",0,ROUNDUP(Q5+'Délai intermédiaire'!Q41/10,0))</f>
        <v>0</v>
      </c>
      <c r="R44" s="14">
        <f>IF(Distances!R41="N.C.",0,ROUNDUP(R5+'Délai intermédiaire'!R41/10,0))</f>
        <v>0</v>
      </c>
      <c r="S44" s="14">
        <f>IF(Distances!S41="N.C.",0,ROUNDUP(S5+'Délai intermédiaire'!S41/10,0))</f>
        <v>0</v>
      </c>
      <c r="T44" s="14">
        <f>IF(Distances!T41="N.C.",0,ROUNDUP(T5+'Délai intermédiaire'!T41/10,0))</f>
        <v>0</v>
      </c>
      <c r="U44" s="14">
        <f>IF(Distances!U41="N.C.",0,ROUNDUP(U5+'Délai intermédiaire'!U41/10,0))</f>
        <v>0</v>
      </c>
      <c r="V44" s="14">
        <f>IF(Distances!V41="N.C.",0,ROUNDUP(V5+'Délai intermédiaire'!V41/10,0))</f>
        <v>0</v>
      </c>
      <c r="W44" s="14">
        <f>IF(Distances!W41="N.C.",0,ROUNDUP(W5+'Délai intermédiaire'!W41/10,0))</f>
        <v>0</v>
      </c>
      <c r="X44" s="14">
        <f>IF(Distances!X41="N.C.",0,ROUNDUP(X5+'Délai intermédiaire'!X41/10,0))</f>
        <v>0</v>
      </c>
      <c r="Y44" s="14">
        <f>IF(Distances!Y41="N.C.",0,ROUNDUP(Y5+'Délai intermédiaire'!Y41/10,0))</f>
        <v>0</v>
      </c>
      <c r="Z44" s="14">
        <f>IF(Distances!Z41="N.C.",0,ROUNDUP(Z5+'Délai intermédiaire'!Z41/10,0))</f>
        <v>0</v>
      </c>
      <c r="AA44" s="14">
        <f>IF(Distances!AA41="N.C.",0,ROUNDUP(AA5+'Délai intermédiaire'!AA41/10,0))</f>
        <v>0</v>
      </c>
      <c r="AB44" s="14">
        <f>IF(Distances!AB41="N.C.",0,ROUNDUP(AB5+'Délai intermédiaire'!AB41/10,0))</f>
        <v>0</v>
      </c>
      <c r="AC44" s="14">
        <f>IF(Distances!AC41="N.C.",0,ROUNDUP(AC5+'Délai intermédiaire'!AC41/10,0))</f>
        <v>0</v>
      </c>
      <c r="AD44" s="14">
        <f>IF(Distances!AD41="N.C.",0,ROUNDUP(AD5+'Délai intermédiaire'!AD41/10,0))</f>
        <v>0</v>
      </c>
      <c r="AE44" s="14">
        <f>IF(Distances!AE41="N.C.",0,ROUNDUP(AE5+'Délai intermédiaire'!AE41/10,0))</f>
        <v>0</v>
      </c>
      <c r="AF44" s="14">
        <f>IF(Distances!AF41="N.C.",0,ROUNDUP(AF5+'Délai intermédiaire'!AF41/10,0))</f>
        <v>0</v>
      </c>
      <c r="AG44" s="14">
        <f>IF(Distances!AG41="N.C.",0,ROUNDUP(AG5+'Délai intermédiaire'!AG41/10,0))</f>
        <v>0</v>
      </c>
      <c r="AH44" s="13">
        <f>IF(Distances!AH41="N.C.",0,ROUNDUP(AH5+'Délai intermédiaire'!AH41/10,0))</f>
        <v>0</v>
      </c>
      <c r="AI44" s="13">
        <f>IF(Distances!AI41="N.C.",0,ROUNDUP(AI5+'Délai intermédiaire'!AI41/10,0))</f>
        <v>0</v>
      </c>
      <c r="AJ44" s="13">
        <f>IF(Distances!AJ41="N.C.",0,ROUNDUP(AJ5+'Délai intermédiaire'!AJ41/10,0))</f>
        <v>0</v>
      </c>
      <c r="AK44" s="13">
        <f>IF(Distances!AK41="N.C.",0,ROUNDUP(AK5+'Délai intermédiaire'!AK41/10,0))</f>
        <v>0</v>
      </c>
      <c r="AL44" s="13">
        <f>IF(Distances!AL41="N.C.",0,ROUNDUP(AL5+'Délai intermédiaire'!AL41/10,0))</f>
        <v>2</v>
      </c>
      <c r="AM44" s="12">
        <f>IF(Distances!AM41="N.C.",0,ROUNDUP(AM5+'Délai intermédiaire'!AM41/10,0))</f>
        <v>1</v>
      </c>
      <c r="AN44" s="13">
        <f>IF(Distances!AN41="N.C.",0,ROUNDUP(AN5+'Délai intermédiaire'!AN41/10,0))</f>
        <v>2</v>
      </c>
      <c r="AO44" s="14">
        <f>IF(Distances!AO41="N.C.",0,ROUNDUP(AO5+'Délai intermédiaire'!AO41/10,0))</f>
        <v>0</v>
      </c>
      <c r="AP44" s="14">
        <f>IF(Distances!AP41="N.C.",0,ROUNDUP(AP5+'Délai intermédiaire'!AP41/10,0))</f>
        <v>0</v>
      </c>
      <c r="AQ44" s="14">
        <f>IF(Distances!AQ41="N.C.",0,ROUNDUP(AQ5+'Délai intermédiaire'!AQ41/10,0))</f>
        <v>0</v>
      </c>
      <c r="AR44" s="13">
        <f>IF(Distances!AR41="N.C.",0,ROUNDUP(AR5+'Délai intermédiaire'!AR41/10,0))</f>
        <v>0</v>
      </c>
      <c r="AS44" s="13">
        <f>IF(Distances!AS41="N.C.",0,ROUNDUP(AS5+'Délai intermédiaire'!AS41/10,0))</f>
        <v>0</v>
      </c>
      <c r="AT44" s="13">
        <f>IF(Distances!AT41="N.C.",0,ROUNDUP(AT5+'Délai intermédiaire'!AT41/10,0))</f>
        <v>0</v>
      </c>
      <c r="AU44" s="13">
        <f>IF(Distances!AU41="N.C.",0,ROUNDUP(AU5+'Délai intermédiaire'!AU41/10,0))</f>
        <v>0</v>
      </c>
      <c r="AV44" s="13">
        <f>IF(Distances!AV41="N.C.",0,ROUNDUP(AV5+'Délai intermédiaire'!AV41/10,0))</f>
        <v>0</v>
      </c>
      <c r="AW44" s="13">
        <f>IF(Distances!AW41="N.C.",0,ROUNDUP(AW5+'Délai intermédiaire'!AW41/10,0))</f>
        <v>0</v>
      </c>
      <c r="AX44" s="13">
        <f>IF(Distances!AX41="N.C.",0,ROUNDUP(AX5+'Délai intermédiaire'!AX41/10,0))</f>
        <v>0</v>
      </c>
      <c r="AY44" s="14">
        <f>IF(Distances!AY41="N.C.",0,ROUNDUP(AY5+'Délai intermédiaire'!AY41/10,0))</f>
        <v>0</v>
      </c>
      <c r="AZ44" s="14">
        <f>IF(Distances!AZ41="N.C.",0,ROUNDUP(AZ5+'Délai intermédiaire'!AZ41/10,0))</f>
        <v>0</v>
      </c>
      <c r="BA44" s="13">
        <f>IF(Distances!BA41="N.C.",0,ROUNDUP(BA5+'Délai intermédiaire'!BA41/10,0))</f>
        <v>0</v>
      </c>
      <c r="BB44" s="14">
        <f>IF(Distances!BB41="N.C.",0,ROUNDUP(BB5+'Délai intermédiaire'!BB41/10,0))</f>
        <v>0</v>
      </c>
      <c r="BC44" s="13">
        <f>IF(Distances!BC41="N.C.",0,ROUNDUP(BC5+'Délai intermédiaire'!BC41/10,0))</f>
        <v>0</v>
      </c>
      <c r="BD44" s="13">
        <f>IF(Distances!BD41="N.C.",0,ROUNDUP(BD5+'Délai intermédiaire'!BD41/10,0))</f>
        <v>0</v>
      </c>
      <c r="BE44" s="13">
        <f>IF(Distances!BE41="N.C.",0,ROUNDUP(BE5+'Délai intermédiaire'!BE41/10,0))</f>
        <v>0</v>
      </c>
      <c r="BF44" s="14">
        <f>IF(Distances!BF41="N.C.",0,ROUNDUP(BF5+'Délai intermédiaire'!BF41/10,0))</f>
        <v>0</v>
      </c>
      <c r="BG44" s="14">
        <f>IF(Distances!BG41="N.C.",0,ROUNDUP(BG5+'Délai intermédiaire'!BG41/10,0))</f>
        <v>0</v>
      </c>
      <c r="BH44" s="14">
        <f>IF(Distances!BH41="N.C.",0,ROUNDUP(BH5+'Délai intermédiaire'!BH41/10,0))</f>
        <v>0</v>
      </c>
      <c r="BI44" s="14">
        <f>IF(Distances!BI41="N.C.",0,ROUNDUP(BI5+'Délai intermédiaire'!BI41/10,0))</f>
        <v>0</v>
      </c>
      <c r="BJ44" s="15">
        <f>IF(Distances!BJ41="N.C.",0,ROUNDUP(BJ5+'Délai intermédiaire'!BJ41/10,0))</f>
        <v>0</v>
      </c>
    </row>
    <row r="45" spans="1:62" x14ac:dyDescent="0.3">
      <c r="A45" s="10" t="s">
        <v>39</v>
      </c>
      <c r="B45" s="16">
        <f>IF(Distances!B42="N.C.",0,ROUNDUP(B5+'Délai intermédiaire'!B42/10,0))</f>
        <v>0</v>
      </c>
      <c r="C45" s="14">
        <f>IF(Distances!C42="N.C.",0,ROUNDUP(C5+'Délai intermédiaire'!C42/10,0))</f>
        <v>0</v>
      </c>
      <c r="D45" s="14">
        <f>IF(Distances!D42="N.C.",0,ROUNDUP(D5+'Délai intermédiaire'!D42/10,0))</f>
        <v>0</v>
      </c>
      <c r="E45" s="14">
        <f>IF(Distances!E42="N.C.",0,ROUNDUP(E5+'Délai intermédiaire'!E42/10,0))</f>
        <v>0</v>
      </c>
      <c r="F45" s="14">
        <f>IF(Distances!F42="N.C.",0,ROUNDUP(F5+'Délai intermédiaire'!F42/10,0))</f>
        <v>0</v>
      </c>
      <c r="G45" s="14">
        <f>IF(Distances!G42="N.C.",0,ROUNDUP(G5+'Délai intermédiaire'!G42/10,0))</f>
        <v>0</v>
      </c>
      <c r="H45" s="14">
        <f>IF(Distances!H42="N.C.",0,ROUNDUP(H5+'Délai intermédiaire'!H42/10,0))</f>
        <v>0</v>
      </c>
      <c r="I45" s="14">
        <f>IF(Distances!I42="N.C.",0,ROUNDUP(I5+'Délai intermédiaire'!I42/10,0))</f>
        <v>0</v>
      </c>
      <c r="J45" s="14">
        <f>IF(Distances!J42="N.C.",0,ROUNDUP(J5+'Délai intermédiaire'!J42/10,0))</f>
        <v>0</v>
      </c>
      <c r="K45" s="14">
        <f>IF(Distances!K42="N.C.",0,ROUNDUP(K5+'Délai intermédiaire'!K42/10,0))</f>
        <v>0</v>
      </c>
      <c r="L45" s="14">
        <f>IF(Distances!L42="N.C.",0,ROUNDUP(L5+'Délai intermédiaire'!L42/10,0))</f>
        <v>0</v>
      </c>
      <c r="M45" s="14">
        <f>IF(Distances!M42="N.C.",0,ROUNDUP(M5+'Délai intermédiaire'!M42/10,0))</f>
        <v>0</v>
      </c>
      <c r="N45" s="14">
        <f>IF(Distances!N42="N.C.",0,ROUNDUP(N5+'Délai intermédiaire'!N42/10,0))</f>
        <v>0</v>
      </c>
      <c r="O45" s="14">
        <f>IF(Distances!O42="N.C.",0,ROUNDUP(O5+'Délai intermédiaire'!O42/10,0))</f>
        <v>0</v>
      </c>
      <c r="P45" s="14">
        <f>IF(Distances!P42="N.C.",0,ROUNDUP(P5+'Délai intermédiaire'!P42/10,0))</f>
        <v>0</v>
      </c>
      <c r="Q45" s="14">
        <f>IF(Distances!Q42="N.C.",0,ROUNDUP(Q5+'Délai intermédiaire'!Q42/10,0))</f>
        <v>0</v>
      </c>
      <c r="R45" s="14">
        <f>IF(Distances!R42="N.C.",0,ROUNDUP(R5+'Délai intermédiaire'!R42/10,0))</f>
        <v>0</v>
      </c>
      <c r="S45" s="14">
        <f>IF(Distances!S42="N.C.",0,ROUNDUP(S5+'Délai intermédiaire'!S42/10,0))</f>
        <v>0</v>
      </c>
      <c r="T45" s="14">
        <f>IF(Distances!T42="N.C.",0,ROUNDUP(T5+'Délai intermédiaire'!T42/10,0))</f>
        <v>0</v>
      </c>
      <c r="U45" s="14">
        <f>IF(Distances!U42="N.C.",0,ROUNDUP(U5+'Délai intermédiaire'!U42/10,0))</f>
        <v>0</v>
      </c>
      <c r="V45" s="14">
        <f>IF(Distances!V42="N.C.",0,ROUNDUP(V5+'Délai intermédiaire'!V42/10,0))</f>
        <v>0</v>
      </c>
      <c r="W45" s="14">
        <f>IF(Distances!W42="N.C.",0,ROUNDUP(W5+'Délai intermédiaire'!W42/10,0))</f>
        <v>0</v>
      </c>
      <c r="X45" s="14">
        <f>IF(Distances!X42="N.C.",0,ROUNDUP(X5+'Délai intermédiaire'!X42/10,0))</f>
        <v>0</v>
      </c>
      <c r="Y45" s="14">
        <f>IF(Distances!Y42="N.C.",0,ROUNDUP(Y5+'Délai intermédiaire'!Y42/10,0))</f>
        <v>0</v>
      </c>
      <c r="Z45" s="14">
        <f>IF(Distances!Z42="N.C.",0,ROUNDUP(Z5+'Délai intermédiaire'!Z42/10,0))</f>
        <v>0</v>
      </c>
      <c r="AA45" s="14">
        <f>IF(Distances!AA42="N.C.",0,ROUNDUP(AA5+'Délai intermédiaire'!AA42/10,0))</f>
        <v>0</v>
      </c>
      <c r="AB45" s="14">
        <f>IF(Distances!AB42="N.C.",0,ROUNDUP(AB5+'Délai intermédiaire'!AB42/10,0))</f>
        <v>0</v>
      </c>
      <c r="AC45" s="14">
        <f>IF(Distances!AC42="N.C.",0,ROUNDUP(AC5+'Délai intermédiaire'!AC42/10,0))</f>
        <v>0</v>
      </c>
      <c r="AD45" s="14">
        <f>IF(Distances!AD42="N.C.",0,ROUNDUP(AD5+'Délai intermédiaire'!AD42/10,0))</f>
        <v>0</v>
      </c>
      <c r="AE45" s="14">
        <f>IF(Distances!AE42="N.C.",0,ROUNDUP(AE5+'Délai intermédiaire'!AE42/10,0))</f>
        <v>0</v>
      </c>
      <c r="AF45" s="14">
        <f>IF(Distances!AF42="N.C.",0,ROUNDUP(AF5+'Délai intermédiaire'!AF42/10,0))</f>
        <v>0</v>
      </c>
      <c r="AG45" s="14">
        <f>IF(Distances!AG42="N.C.",0,ROUNDUP(AG5+'Délai intermédiaire'!AG42/10,0))</f>
        <v>0</v>
      </c>
      <c r="AH45" s="13">
        <f>IF(Distances!AH42="N.C.",0,ROUNDUP(AH5+'Délai intermédiaire'!AH42/10,0))</f>
        <v>0</v>
      </c>
      <c r="AI45" s="13">
        <f>IF(Distances!AI42="N.C.",0,ROUNDUP(AI5+'Délai intermédiaire'!AI42/10,0))</f>
        <v>0</v>
      </c>
      <c r="AJ45" s="13">
        <f>IF(Distances!AJ42="N.C.",0,ROUNDUP(AJ5+'Délai intermédiaire'!AJ42/10,0))</f>
        <v>0</v>
      </c>
      <c r="AK45" s="13">
        <f>IF(Distances!AK42="N.C.",0,ROUNDUP(AK5+'Délai intermédiaire'!AK42/10,0))</f>
        <v>0</v>
      </c>
      <c r="AL45" s="13">
        <f>IF(Distances!AL42="N.C.",0,ROUNDUP(AL5+'Délai intermédiaire'!AL42/10,0))</f>
        <v>3</v>
      </c>
      <c r="AM45" s="13">
        <f>IF(Distances!AM42="N.C.",0,ROUNDUP(AM5+'Délai intermédiaire'!AM42/10,0))</f>
        <v>2</v>
      </c>
      <c r="AN45" s="12">
        <f>IF(Distances!AN42="N.C.",0,ROUNDUP(AN5+'Délai intermédiaire'!AN42/10,0))</f>
        <v>1</v>
      </c>
      <c r="AO45" s="14">
        <f>IF(Distances!AO42="N.C.",0,ROUNDUP(AO5+'Délai intermédiaire'!AO42/10,0))</f>
        <v>0</v>
      </c>
      <c r="AP45" s="14">
        <f>IF(Distances!AP42="N.C.",0,ROUNDUP(AP5+'Délai intermédiaire'!AP42/10,0))</f>
        <v>0</v>
      </c>
      <c r="AQ45" s="14">
        <f>IF(Distances!AQ42="N.C.",0,ROUNDUP(AQ5+'Délai intermédiaire'!AQ42/10,0))</f>
        <v>0</v>
      </c>
      <c r="AR45" s="13">
        <f>IF(Distances!AR42="N.C.",0,ROUNDUP(AR5+'Délai intermédiaire'!AR42/10,0))</f>
        <v>0</v>
      </c>
      <c r="AS45" s="13">
        <f>IF(Distances!AS42="N.C.",0,ROUNDUP(AS5+'Délai intermédiaire'!AS42/10,0))</f>
        <v>0</v>
      </c>
      <c r="AT45" s="13">
        <f>IF(Distances!AT42="N.C.",0,ROUNDUP(AT5+'Délai intermédiaire'!AT42/10,0))</f>
        <v>0</v>
      </c>
      <c r="AU45" s="13">
        <f>IF(Distances!AU42="N.C.",0,ROUNDUP(AU5+'Délai intermédiaire'!AU42/10,0))</f>
        <v>0</v>
      </c>
      <c r="AV45" s="13">
        <f>IF(Distances!AV42="N.C.",0,ROUNDUP(AV5+'Délai intermédiaire'!AV42/10,0))</f>
        <v>0</v>
      </c>
      <c r="AW45" s="13">
        <f>IF(Distances!AW42="N.C.",0,ROUNDUP(AW5+'Délai intermédiaire'!AW42/10,0))</f>
        <v>0</v>
      </c>
      <c r="AX45" s="13">
        <f>IF(Distances!AX42="N.C.",0,ROUNDUP(AX5+'Délai intermédiaire'!AX42/10,0))</f>
        <v>0</v>
      </c>
      <c r="AY45" s="14">
        <f>IF(Distances!AY42="N.C.",0,ROUNDUP(AY5+'Délai intermédiaire'!AY42/10,0))</f>
        <v>0</v>
      </c>
      <c r="AZ45" s="14">
        <f>IF(Distances!AZ42="N.C.",0,ROUNDUP(AZ5+'Délai intermédiaire'!AZ42/10,0))</f>
        <v>0</v>
      </c>
      <c r="BA45" s="13">
        <f>IF(Distances!BA42="N.C.",0,ROUNDUP(BA5+'Délai intermédiaire'!BA42/10,0))</f>
        <v>0</v>
      </c>
      <c r="BB45" s="14">
        <f>IF(Distances!BB42="N.C.",0,ROUNDUP(BB5+'Délai intermédiaire'!BB42/10,0))</f>
        <v>0</v>
      </c>
      <c r="BC45" s="13">
        <f>IF(Distances!BC42="N.C.",0,ROUNDUP(BC5+'Délai intermédiaire'!BC42/10,0))</f>
        <v>0</v>
      </c>
      <c r="BD45" s="13">
        <f>IF(Distances!BD42="N.C.",0,ROUNDUP(BD5+'Délai intermédiaire'!BD42/10,0))</f>
        <v>0</v>
      </c>
      <c r="BE45" s="13">
        <f>IF(Distances!BE42="N.C.",0,ROUNDUP(BE5+'Délai intermédiaire'!BE42/10,0))</f>
        <v>0</v>
      </c>
      <c r="BF45" s="14">
        <f>IF(Distances!BF42="N.C.",0,ROUNDUP(BF5+'Délai intermédiaire'!BF42/10,0))</f>
        <v>0</v>
      </c>
      <c r="BG45" s="14">
        <f>IF(Distances!BG42="N.C.",0,ROUNDUP(BG5+'Délai intermédiaire'!BG42/10,0))</f>
        <v>0</v>
      </c>
      <c r="BH45" s="14">
        <f>IF(Distances!BH42="N.C.",0,ROUNDUP(BH5+'Délai intermédiaire'!BH42/10,0))</f>
        <v>0</v>
      </c>
      <c r="BI45" s="14">
        <f>IF(Distances!BI42="N.C.",0,ROUNDUP(BI5+'Délai intermédiaire'!BI42/10,0))</f>
        <v>0</v>
      </c>
      <c r="BJ45" s="15">
        <f>IF(Distances!BJ42="N.C.",0,ROUNDUP(BJ5+'Délai intermédiaire'!BJ42/10,0))</f>
        <v>0</v>
      </c>
    </row>
    <row r="46" spans="1:62" x14ac:dyDescent="0.3">
      <c r="A46" s="10" t="s">
        <v>40</v>
      </c>
      <c r="B46" s="16">
        <f>IF(Distances!B43="N.C.",0,ROUNDUP(B5+'Délai intermédiaire'!B43/10,0))</f>
        <v>0</v>
      </c>
      <c r="C46" s="14">
        <f>IF(Distances!C43="N.C.",0,ROUNDUP(C5+'Délai intermédiaire'!C43/10,0))</f>
        <v>0</v>
      </c>
      <c r="D46" s="14">
        <f>IF(Distances!D43="N.C.",0,ROUNDUP(D5+'Délai intermédiaire'!D43/10,0))</f>
        <v>0</v>
      </c>
      <c r="E46" s="14">
        <f>IF(Distances!E43="N.C.",0,ROUNDUP(E5+'Délai intermédiaire'!E43/10,0))</f>
        <v>0</v>
      </c>
      <c r="F46" s="14">
        <f>IF(Distances!F43="N.C.",0,ROUNDUP(F5+'Délai intermédiaire'!F43/10,0))</f>
        <v>0</v>
      </c>
      <c r="G46" s="14">
        <f>IF(Distances!G43="N.C.",0,ROUNDUP(G5+'Délai intermédiaire'!G43/10,0))</f>
        <v>0</v>
      </c>
      <c r="H46" s="14">
        <f>IF(Distances!H43="N.C.",0,ROUNDUP(H5+'Délai intermédiaire'!H43/10,0))</f>
        <v>0</v>
      </c>
      <c r="I46" s="14">
        <f>IF(Distances!I43="N.C.",0,ROUNDUP(I5+'Délai intermédiaire'!I43/10,0))</f>
        <v>0</v>
      </c>
      <c r="J46" s="14">
        <f>IF(Distances!J43="N.C.",0,ROUNDUP(J5+'Délai intermédiaire'!J43/10,0))</f>
        <v>0</v>
      </c>
      <c r="K46" s="14">
        <f>IF(Distances!K43="N.C.",0,ROUNDUP(K5+'Délai intermédiaire'!K43/10,0))</f>
        <v>0</v>
      </c>
      <c r="L46" s="14">
        <f>IF(Distances!L43="N.C.",0,ROUNDUP(L5+'Délai intermédiaire'!L43/10,0))</f>
        <v>0</v>
      </c>
      <c r="M46" s="14">
        <f>IF(Distances!M43="N.C.",0,ROUNDUP(M5+'Délai intermédiaire'!M43/10,0))</f>
        <v>0</v>
      </c>
      <c r="N46" s="14">
        <f>IF(Distances!N43="N.C.",0,ROUNDUP(N5+'Délai intermédiaire'!N43/10,0))</f>
        <v>0</v>
      </c>
      <c r="O46" s="14">
        <f>IF(Distances!O43="N.C.",0,ROUNDUP(O5+'Délai intermédiaire'!O43/10,0))</f>
        <v>0</v>
      </c>
      <c r="P46" s="14">
        <f>IF(Distances!P43="N.C.",0,ROUNDUP(P5+'Délai intermédiaire'!P43/10,0))</f>
        <v>0</v>
      </c>
      <c r="Q46" s="14">
        <f>IF(Distances!Q43="N.C.",0,ROUNDUP(Q5+'Délai intermédiaire'!Q43/10,0))</f>
        <v>0</v>
      </c>
      <c r="R46" s="14">
        <f>IF(Distances!R43="N.C.",0,ROUNDUP(R5+'Délai intermédiaire'!R43/10,0))</f>
        <v>0</v>
      </c>
      <c r="S46" s="14">
        <f>IF(Distances!S43="N.C.",0,ROUNDUP(S5+'Délai intermédiaire'!S43/10,0))</f>
        <v>0</v>
      </c>
      <c r="T46" s="14">
        <f>IF(Distances!T43="N.C.",0,ROUNDUP(T5+'Délai intermédiaire'!T43/10,0))</f>
        <v>0</v>
      </c>
      <c r="U46" s="14">
        <f>IF(Distances!U43="N.C.",0,ROUNDUP(U5+'Délai intermédiaire'!U43/10,0))</f>
        <v>0</v>
      </c>
      <c r="V46" s="14">
        <f>IF(Distances!V43="N.C.",0,ROUNDUP(V5+'Délai intermédiaire'!V43/10,0))</f>
        <v>0</v>
      </c>
      <c r="W46" s="14">
        <f>IF(Distances!W43="N.C.",0,ROUNDUP(W5+'Délai intermédiaire'!W43/10,0))</f>
        <v>0</v>
      </c>
      <c r="X46" s="14">
        <f>IF(Distances!X43="N.C.",0,ROUNDUP(X5+'Délai intermédiaire'!X43/10,0))</f>
        <v>0</v>
      </c>
      <c r="Y46" s="14">
        <f>IF(Distances!Y43="N.C.",0,ROUNDUP(Y5+'Délai intermédiaire'!Y43/10,0))</f>
        <v>0</v>
      </c>
      <c r="Z46" s="14">
        <f>IF(Distances!Z43="N.C.",0,ROUNDUP(Z5+'Délai intermédiaire'!Z43/10,0))</f>
        <v>0</v>
      </c>
      <c r="AA46" s="14">
        <f>IF(Distances!AA43="N.C.",0,ROUNDUP(AA5+'Délai intermédiaire'!AA43/10,0))</f>
        <v>0</v>
      </c>
      <c r="AB46" s="14">
        <f>IF(Distances!AB43="N.C.",0,ROUNDUP(AB5+'Délai intermédiaire'!AB43/10,0))</f>
        <v>0</v>
      </c>
      <c r="AC46" s="14">
        <f>IF(Distances!AC43="N.C.",0,ROUNDUP(AC5+'Délai intermédiaire'!AC43/10,0))</f>
        <v>0</v>
      </c>
      <c r="AD46" s="14">
        <f>IF(Distances!AD43="N.C.",0,ROUNDUP(AD5+'Délai intermédiaire'!AD43/10,0))</f>
        <v>0</v>
      </c>
      <c r="AE46" s="14">
        <f>IF(Distances!AE43="N.C.",0,ROUNDUP(AE5+'Délai intermédiaire'!AE43/10,0))</f>
        <v>0</v>
      </c>
      <c r="AF46" s="14">
        <f>IF(Distances!AF43="N.C.",0,ROUNDUP(AF5+'Délai intermédiaire'!AF43/10,0))</f>
        <v>0</v>
      </c>
      <c r="AG46" s="14">
        <f>IF(Distances!AG43="N.C.",0,ROUNDUP(AG5+'Délai intermédiaire'!AG43/10,0))</f>
        <v>0</v>
      </c>
      <c r="AH46" s="14">
        <f>IF(Distances!AH43="N.C.",0,ROUNDUP(AH5+'Délai intermédiaire'!AH43/10,0))</f>
        <v>0</v>
      </c>
      <c r="AI46" s="14">
        <f>IF(Distances!AI43="N.C.",0,ROUNDUP(AI5+'Délai intermédiaire'!AI43/10,0))</f>
        <v>0</v>
      </c>
      <c r="AJ46" s="14">
        <f>IF(Distances!AJ43="N.C.",0,ROUNDUP(AJ5+'Délai intermédiaire'!AJ43/10,0))</f>
        <v>0</v>
      </c>
      <c r="AK46" s="14">
        <f>IF(Distances!AK43="N.C.",0,ROUNDUP(AK5+'Délai intermédiaire'!AK43/10,0))</f>
        <v>0</v>
      </c>
      <c r="AL46" s="14">
        <f>IF(Distances!AL43="N.C.",0,ROUNDUP(AL5+'Délai intermédiaire'!AL43/10,0))</f>
        <v>0</v>
      </c>
      <c r="AM46" s="14">
        <f>IF(Distances!AM43="N.C.",0,ROUNDUP(AM5+'Délai intermédiaire'!AM43/10,0))</f>
        <v>0</v>
      </c>
      <c r="AN46" s="14">
        <f>IF(Distances!AN43="N.C.",0,ROUNDUP(AN5+'Délai intermédiaire'!AN43/10,0))</f>
        <v>0</v>
      </c>
      <c r="AO46" s="12">
        <f>IF(Distances!AO43="N.C.",0,ROUNDUP(AO5+'Délai intermédiaire'!AO43/10,0))</f>
        <v>2</v>
      </c>
      <c r="AP46" s="19">
        <f>IF(Distances!AP43="N.C.",0,ROUNDUP(AP5+'Délai intermédiaire'!AP43/10,0))</f>
        <v>3</v>
      </c>
      <c r="AQ46" s="19">
        <f>IF(Distances!AQ43="N.C.",0,ROUNDUP(AQ5+'Délai intermédiaire'!AQ43/10,0))</f>
        <v>6</v>
      </c>
      <c r="AR46" s="14">
        <f>IF(Distances!AR43="N.C.",0,ROUNDUP(AR5+'Délai intermédiaire'!AR43/10,0))</f>
        <v>0</v>
      </c>
      <c r="AS46" s="14">
        <f>IF(Distances!AS43="N.C.",0,ROUNDUP(AS5+'Délai intermédiaire'!AS43/10,0))</f>
        <v>0</v>
      </c>
      <c r="AT46" s="14">
        <f>IF(Distances!AT43="N.C.",0,ROUNDUP(AT5+'Délai intermédiaire'!AT43/10,0))</f>
        <v>0</v>
      </c>
      <c r="AU46" s="14">
        <f>IF(Distances!AU43="N.C.",0,ROUNDUP(AU5+'Délai intermédiaire'!AU43/10,0))</f>
        <v>0</v>
      </c>
      <c r="AV46" s="14">
        <f>IF(Distances!AV43="N.C.",0,ROUNDUP(AV5+'Délai intermédiaire'!AV43/10,0))</f>
        <v>0</v>
      </c>
      <c r="AW46" s="14">
        <f>IF(Distances!AW43="N.C.",0,ROUNDUP(AW5+'Délai intermédiaire'!AW43/10,0))</f>
        <v>0</v>
      </c>
      <c r="AX46" s="14">
        <f>IF(Distances!AX43="N.C.",0,ROUNDUP(AX5+'Délai intermédiaire'!AX43/10,0))</f>
        <v>0</v>
      </c>
      <c r="AY46" s="14">
        <f>IF(Distances!AY43="N.C.",0,ROUNDUP(AY5+'Délai intermédiaire'!AY43/10,0))</f>
        <v>0</v>
      </c>
      <c r="AZ46" s="14">
        <f>IF(Distances!AZ43="N.C.",0,ROUNDUP(AZ5+'Délai intermédiaire'!AZ43/10,0))</f>
        <v>0</v>
      </c>
      <c r="BA46" s="14">
        <f>IF(Distances!BA43="N.C.",0,ROUNDUP(BA5+'Délai intermédiaire'!BA43/10,0))</f>
        <v>0</v>
      </c>
      <c r="BB46" s="14">
        <f>IF(Distances!BB43="N.C.",0,ROUNDUP(BB5+'Délai intermédiaire'!BB43/10,0))</f>
        <v>0</v>
      </c>
      <c r="BC46" s="14">
        <f>IF(Distances!BC43="N.C.",0,ROUNDUP(BC5+'Délai intermédiaire'!BC43/10,0))</f>
        <v>0</v>
      </c>
      <c r="BD46" s="14">
        <f>IF(Distances!BD43="N.C.",0,ROUNDUP(BD5+'Délai intermédiaire'!BD43/10,0))</f>
        <v>0</v>
      </c>
      <c r="BE46" s="14">
        <f>IF(Distances!BE43="N.C.",0,ROUNDUP(BE5+'Délai intermédiaire'!BE43/10,0))</f>
        <v>0</v>
      </c>
      <c r="BF46" s="14">
        <f>IF(Distances!BF43="N.C.",0,ROUNDUP(BF5+'Délai intermédiaire'!BF43/10,0))</f>
        <v>0</v>
      </c>
      <c r="BG46" s="14">
        <f>IF(Distances!BG43="N.C.",0,ROUNDUP(BG5+'Délai intermédiaire'!BG43/10,0))</f>
        <v>0</v>
      </c>
      <c r="BH46" s="14">
        <f>IF(Distances!BH43="N.C.",0,ROUNDUP(BH5+'Délai intermédiaire'!BH43/10,0))</f>
        <v>0</v>
      </c>
      <c r="BI46" s="14">
        <f>IF(Distances!BI43="N.C.",0,ROUNDUP(BI5+'Délai intermédiaire'!BI43/10,0))</f>
        <v>0</v>
      </c>
      <c r="BJ46" s="15">
        <f>IF(Distances!BJ43="N.C.",0,ROUNDUP(BJ5+'Délai intermédiaire'!BJ43/10,0))</f>
        <v>0</v>
      </c>
    </row>
    <row r="47" spans="1:62" x14ac:dyDescent="0.3">
      <c r="A47" s="10" t="s">
        <v>41</v>
      </c>
      <c r="B47" s="16">
        <f>IF(Distances!B44="N.C.",0,ROUNDUP(B5+'Délai intermédiaire'!B44/10,0))</f>
        <v>0</v>
      </c>
      <c r="C47" s="14">
        <f>IF(Distances!C44="N.C.",0,ROUNDUP(C5+'Délai intermédiaire'!C44/10,0))</f>
        <v>0</v>
      </c>
      <c r="D47" s="14">
        <f>IF(Distances!D44="N.C.",0,ROUNDUP(D5+'Délai intermédiaire'!D44/10,0))</f>
        <v>0</v>
      </c>
      <c r="E47" s="14">
        <f>IF(Distances!E44="N.C.",0,ROUNDUP(E5+'Délai intermédiaire'!E44/10,0))</f>
        <v>0</v>
      </c>
      <c r="F47" s="14">
        <f>IF(Distances!F44="N.C.",0,ROUNDUP(F5+'Délai intermédiaire'!F44/10,0))</f>
        <v>0</v>
      </c>
      <c r="G47" s="14">
        <f>IF(Distances!G44="N.C.",0,ROUNDUP(G5+'Délai intermédiaire'!G44/10,0))</f>
        <v>0</v>
      </c>
      <c r="H47" s="14">
        <f>IF(Distances!H44="N.C.",0,ROUNDUP(H5+'Délai intermédiaire'!H44/10,0))</f>
        <v>0</v>
      </c>
      <c r="I47" s="14">
        <f>IF(Distances!I44="N.C.",0,ROUNDUP(I5+'Délai intermédiaire'!I44/10,0))</f>
        <v>0</v>
      </c>
      <c r="J47" s="14">
        <f>IF(Distances!J44="N.C.",0,ROUNDUP(J5+'Délai intermédiaire'!J44/10,0))</f>
        <v>0</v>
      </c>
      <c r="K47" s="14">
        <f>IF(Distances!K44="N.C.",0,ROUNDUP(K5+'Délai intermédiaire'!K44/10,0))</f>
        <v>0</v>
      </c>
      <c r="L47" s="14">
        <f>IF(Distances!L44="N.C.",0,ROUNDUP(L5+'Délai intermédiaire'!L44/10,0))</f>
        <v>0</v>
      </c>
      <c r="M47" s="14">
        <f>IF(Distances!M44="N.C.",0,ROUNDUP(M5+'Délai intermédiaire'!M44/10,0))</f>
        <v>0</v>
      </c>
      <c r="N47" s="14">
        <f>IF(Distances!N44="N.C.",0,ROUNDUP(N5+'Délai intermédiaire'!N44/10,0))</f>
        <v>0</v>
      </c>
      <c r="O47" s="14">
        <f>IF(Distances!O44="N.C.",0,ROUNDUP(O5+'Délai intermédiaire'!O44/10,0))</f>
        <v>0</v>
      </c>
      <c r="P47" s="14">
        <f>IF(Distances!P44="N.C.",0,ROUNDUP(P5+'Délai intermédiaire'!P44/10,0))</f>
        <v>0</v>
      </c>
      <c r="Q47" s="14">
        <f>IF(Distances!Q44="N.C.",0,ROUNDUP(Q5+'Délai intermédiaire'!Q44/10,0))</f>
        <v>0</v>
      </c>
      <c r="R47" s="14">
        <f>IF(Distances!R44="N.C.",0,ROUNDUP(R5+'Délai intermédiaire'!R44/10,0))</f>
        <v>0</v>
      </c>
      <c r="S47" s="14">
        <f>IF(Distances!S44="N.C.",0,ROUNDUP(S5+'Délai intermédiaire'!S44/10,0))</f>
        <v>0</v>
      </c>
      <c r="T47" s="14">
        <f>IF(Distances!T44="N.C.",0,ROUNDUP(T5+'Délai intermédiaire'!T44/10,0))</f>
        <v>0</v>
      </c>
      <c r="U47" s="14">
        <f>IF(Distances!U44="N.C.",0,ROUNDUP(U5+'Délai intermédiaire'!U44/10,0))</f>
        <v>0</v>
      </c>
      <c r="V47" s="14">
        <f>IF(Distances!V44="N.C.",0,ROUNDUP(V5+'Délai intermédiaire'!V44/10,0))</f>
        <v>0</v>
      </c>
      <c r="W47" s="14">
        <f>IF(Distances!W44="N.C.",0,ROUNDUP(W5+'Délai intermédiaire'!W44/10,0))</f>
        <v>0</v>
      </c>
      <c r="X47" s="14">
        <f>IF(Distances!X44="N.C.",0,ROUNDUP(X5+'Délai intermédiaire'!X44/10,0))</f>
        <v>0</v>
      </c>
      <c r="Y47" s="14">
        <f>IF(Distances!Y44="N.C.",0,ROUNDUP(Y5+'Délai intermédiaire'!Y44/10,0))</f>
        <v>0</v>
      </c>
      <c r="Z47" s="14">
        <f>IF(Distances!Z44="N.C.",0,ROUNDUP(Z5+'Délai intermédiaire'!Z44/10,0))</f>
        <v>0</v>
      </c>
      <c r="AA47" s="14">
        <f>IF(Distances!AA44="N.C.",0,ROUNDUP(AA5+'Délai intermédiaire'!AA44/10,0))</f>
        <v>0</v>
      </c>
      <c r="AB47" s="14">
        <f>IF(Distances!AB44="N.C.",0,ROUNDUP(AB5+'Délai intermédiaire'!AB44/10,0))</f>
        <v>0</v>
      </c>
      <c r="AC47" s="14">
        <f>IF(Distances!AC44="N.C.",0,ROUNDUP(AC5+'Délai intermédiaire'!AC44/10,0))</f>
        <v>0</v>
      </c>
      <c r="AD47" s="14">
        <f>IF(Distances!AD44="N.C.",0,ROUNDUP(AD5+'Délai intermédiaire'!AD44/10,0))</f>
        <v>0</v>
      </c>
      <c r="AE47" s="14">
        <f>IF(Distances!AE44="N.C.",0,ROUNDUP(AE5+'Délai intermédiaire'!AE44/10,0))</f>
        <v>0</v>
      </c>
      <c r="AF47" s="14">
        <f>IF(Distances!AF44="N.C.",0,ROUNDUP(AF5+'Délai intermédiaire'!AF44/10,0))</f>
        <v>0</v>
      </c>
      <c r="AG47" s="14">
        <f>IF(Distances!AG44="N.C.",0,ROUNDUP(AG5+'Délai intermédiaire'!AG44/10,0))</f>
        <v>0</v>
      </c>
      <c r="AH47" s="14">
        <f>IF(Distances!AH44="N.C.",0,ROUNDUP(AH5+'Délai intermédiaire'!AH44/10,0))</f>
        <v>0</v>
      </c>
      <c r="AI47" s="14">
        <f>IF(Distances!AI44="N.C.",0,ROUNDUP(AI5+'Délai intermédiaire'!AI44/10,0))</f>
        <v>0</v>
      </c>
      <c r="AJ47" s="14">
        <f>IF(Distances!AJ44="N.C.",0,ROUNDUP(AJ5+'Délai intermédiaire'!AJ44/10,0))</f>
        <v>0</v>
      </c>
      <c r="AK47" s="14">
        <f>IF(Distances!AK44="N.C.",0,ROUNDUP(AK5+'Délai intermédiaire'!AK44/10,0))</f>
        <v>0</v>
      </c>
      <c r="AL47" s="14">
        <f>IF(Distances!AL44="N.C.",0,ROUNDUP(AL5+'Délai intermédiaire'!AL44/10,0))</f>
        <v>0</v>
      </c>
      <c r="AM47" s="14">
        <f>IF(Distances!AM44="N.C.",0,ROUNDUP(AM5+'Délai intermédiaire'!AM44/10,0))</f>
        <v>0</v>
      </c>
      <c r="AN47" s="14">
        <f>IF(Distances!AN44="N.C.",0,ROUNDUP(AN5+'Délai intermédiaire'!AN44/10,0))</f>
        <v>0</v>
      </c>
      <c r="AO47" s="13">
        <f>IF(Distances!AO44="N.C.",0,ROUNDUP(AO5+'Délai intermédiaire'!AO44/10,0))</f>
        <v>3</v>
      </c>
      <c r="AP47" s="12">
        <f>IF(Distances!AP44="N.C.",0,ROUNDUP(AP5+'Délai intermédiaire'!AP44/10,0))</f>
        <v>2</v>
      </c>
      <c r="AQ47" s="13">
        <f>IF(Distances!AQ44="N.C.",0,ROUNDUP(AQ5+'Délai intermédiaire'!AQ44/10,0))</f>
        <v>7</v>
      </c>
      <c r="AR47" s="14">
        <f>IF(Distances!AR44="N.C.",0,ROUNDUP(AR5+'Délai intermédiaire'!AR44/10,0))</f>
        <v>0</v>
      </c>
      <c r="AS47" s="14">
        <f>IF(Distances!AS44="N.C.",0,ROUNDUP(AS5+'Délai intermédiaire'!AS44/10,0))</f>
        <v>0</v>
      </c>
      <c r="AT47" s="14">
        <f>IF(Distances!AT44="N.C.",0,ROUNDUP(AT5+'Délai intermédiaire'!AT44/10,0))</f>
        <v>0</v>
      </c>
      <c r="AU47" s="14">
        <f>IF(Distances!AU44="N.C.",0,ROUNDUP(AU5+'Délai intermédiaire'!AU44/10,0))</f>
        <v>0</v>
      </c>
      <c r="AV47" s="14">
        <f>IF(Distances!AV44="N.C.",0,ROUNDUP(AV5+'Délai intermédiaire'!AV44/10,0))</f>
        <v>0</v>
      </c>
      <c r="AW47" s="14">
        <f>IF(Distances!AW44="N.C.",0,ROUNDUP(AW5+'Délai intermédiaire'!AW44/10,0))</f>
        <v>0</v>
      </c>
      <c r="AX47" s="14">
        <f>IF(Distances!AX44="N.C.",0,ROUNDUP(AX5+'Délai intermédiaire'!AX44/10,0))</f>
        <v>0</v>
      </c>
      <c r="AY47" s="14">
        <f>IF(Distances!AY44="N.C.",0,ROUNDUP(AY5+'Délai intermédiaire'!AY44/10,0))</f>
        <v>0</v>
      </c>
      <c r="AZ47" s="14">
        <f>IF(Distances!AZ44="N.C.",0,ROUNDUP(AZ5+'Délai intermédiaire'!AZ44/10,0))</f>
        <v>0</v>
      </c>
      <c r="BA47" s="14">
        <f>IF(Distances!BA44="N.C.",0,ROUNDUP(BA5+'Délai intermédiaire'!BA44/10,0))</f>
        <v>0</v>
      </c>
      <c r="BB47" s="14">
        <f>IF(Distances!BB44="N.C.",0,ROUNDUP(BB5+'Délai intermédiaire'!BB44/10,0))</f>
        <v>0</v>
      </c>
      <c r="BC47" s="14">
        <f>IF(Distances!BC44="N.C.",0,ROUNDUP(BC5+'Délai intermédiaire'!BC44/10,0))</f>
        <v>0</v>
      </c>
      <c r="BD47" s="14">
        <f>IF(Distances!BD44="N.C.",0,ROUNDUP(BD5+'Délai intermédiaire'!BD44/10,0))</f>
        <v>0</v>
      </c>
      <c r="BE47" s="14">
        <f>IF(Distances!BE44="N.C.",0,ROUNDUP(BE5+'Délai intermédiaire'!BE44/10,0))</f>
        <v>0</v>
      </c>
      <c r="BF47" s="14">
        <f>IF(Distances!BF44="N.C.",0,ROUNDUP(BF5+'Délai intermédiaire'!BF44/10,0))</f>
        <v>0</v>
      </c>
      <c r="BG47" s="14">
        <f>IF(Distances!BG44="N.C.",0,ROUNDUP(BG5+'Délai intermédiaire'!BG44/10,0))</f>
        <v>0</v>
      </c>
      <c r="BH47" s="14">
        <f>IF(Distances!BH44="N.C.",0,ROUNDUP(BH5+'Délai intermédiaire'!BH44/10,0))</f>
        <v>0</v>
      </c>
      <c r="BI47" s="14">
        <f>IF(Distances!BI44="N.C.",0,ROUNDUP(BI5+'Délai intermédiaire'!BI44/10,0))</f>
        <v>0</v>
      </c>
      <c r="BJ47" s="15">
        <f>IF(Distances!BJ44="N.C.",0,ROUNDUP(BJ5+'Délai intermédiaire'!BJ44/10,0))</f>
        <v>0</v>
      </c>
    </row>
    <row r="48" spans="1:62" x14ac:dyDescent="0.3">
      <c r="A48" s="10" t="s">
        <v>42</v>
      </c>
      <c r="B48" s="16">
        <f>IF(Distances!B45="N.C.",0,ROUNDUP(B5+'Délai intermédiaire'!B45/10,0))</f>
        <v>0</v>
      </c>
      <c r="C48" s="14">
        <f>IF(Distances!C45="N.C.",0,ROUNDUP(C5+'Délai intermédiaire'!C45/10,0))</f>
        <v>0</v>
      </c>
      <c r="D48" s="14">
        <f>IF(Distances!D45="N.C.",0,ROUNDUP(D5+'Délai intermédiaire'!D45/10,0))</f>
        <v>0</v>
      </c>
      <c r="E48" s="14">
        <f>IF(Distances!E45="N.C.",0,ROUNDUP(E5+'Délai intermédiaire'!E45/10,0))</f>
        <v>0</v>
      </c>
      <c r="F48" s="14">
        <f>IF(Distances!F45="N.C.",0,ROUNDUP(F5+'Délai intermédiaire'!F45/10,0))</f>
        <v>0</v>
      </c>
      <c r="G48" s="14">
        <f>IF(Distances!G45="N.C.",0,ROUNDUP(G5+'Délai intermédiaire'!G45/10,0))</f>
        <v>0</v>
      </c>
      <c r="H48" s="14">
        <f>IF(Distances!H45="N.C.",0,ROUNDUP(H5+'Délai intermédiaire'!H45/10,0))</f>
        <v>0</v>
      </c>
      <c r="I48" s="14">
        <f>IF(Distances!I45="N.C.",0,ROUNDUP(I5+'Délai intermédiaire'!I45/10,0))</f>
        <v>0</v>
      </c>
      <c r="J48" s="14">
        <f>IF(Distances!J45="N.C.",0,ROUNDUP(J5+'Délai intermédiaire'!J45/10,0))</f>
        <v>0</v>
      </c>
      <c r="K48" s="14">
        <f>IF(Distances!K45="N.C.",0,ROUNDUP(K5+'Délai intermédiaire'!K45/10,0))</f>
        <v>0</v>
      </c>
      <c r="L48" s="14">
        <f>IF(Distances!L45="N.C.",0,ROUNDUP(L5+'Délai intermédiaire'!L45/10,0))</f>
        <v>0</v>
      </c>
      <c r="M48" s="14">
        <f>IF(Distances!M45="N.C.",0,ROUNDUP(M5+'Délai intermédiaire'!M45/10,0))</f>
        <v>0</v>
      </c>
      <c r="N48" s="14">
        <f>IF(Distances!N45="N.C.",0,ROUNDUP(N5+'Délai intermédiaire'!N45/10,0))</f>
        <v>0</v>
      </c>
      <c r="O48" s="14">
        <f>IF(Distances!O45="N.C.",0,ROUNDUP(O5+'Délai intermédiaire'!O45/10,0))</f>
        <v>0</v>
      </c>
      <c r="P48" s="14">
        <f>IF(Distances!P45="N.C.",0,ROUNDUP(P5+'Délai intermédiaire'!P45/10,0))</f>
        <v>0</v>
      </c>
      <c r="Q48" s="14">
        <f>IF(Distances!Q45="N.C.",0,ROUNDUP(Q5+'Délai intermédiaire'!Q45/10,0))</f>
        <v>0</v>
      </c>
      <c r="R48" s="14">
        <f>IF(Distances!R45="N.C.",0,ROUNDUP(R5+'Délai intermédiaire'!R45/10,0))</f>
        <v>0</v>
      </c>
      <c r="S48" s="14">
        <f>IF(Distances!S45="N.C.",0,ROUNDUP(S5+'Délai intermédiaire'!S45/10,0))</f>
        <v>0</v>
      </c>
      <c r="T48" s="14">
        <f>IF(Distances!T45="N.C.",0,ROUNDUP(T5+'Délai intermédiaire'!T45/10,0))</f>
        <v>0</v>
      </c>
      <c r="U48" s="14">
        <f>IF(Distances!U45="N.C.",0,ROUNDUP(U5+'Délai intermédiaire'!U45/10,0))</f>
        <v>0</v>
      </c>
      <c r="V48" s="14">
        <f>IF(Distances!V45="N.C.",0,ROUNDUP(V5+'Délai intermédiaire'!V45/10,0))</f>
        <v>0</v>
      </c>
      <c r="W48" s="14">
        <f>IF(Distances!W45="N.C.",0,ROUNDUP(W5+'Délai intermédiaire'!W45/10,0))</f>
        <v>0</v>
      </c>
      <c r="X48" s="14">
        <f>IF(Distances!X45="N.C.",0,ROUNDUP(X5+'Délai intermédiaire'!X45/10,0))</f>
        <v>0</v>
      </c>
      <c r="Y48" s="14">
        <f>IF(Distances!Y45="N.C.",0,ROUNDUP(Y5+'Délai intermédiaire'!Y45/10,0))</f>
        <v>0</v>
      </c>
      <c r="Z48" s="14">
        <f>IF(Distances!Z45="N.C.",0,ROUNDUP(Z5+'Délai intermédiaire'!Z45/10,0))</f>
        <v>0</v>
      </c>
      <c r="AA48" s="14">
        <f>IF(Distances!AA45="N.C.",0,ROUNDUP(AA5+'Délai intermédiaire'!AA45/10,0))</f>
        <v>0</v>
      </c>
      <c r="AB48" s="14">
        <f>IF(Distances!AB45="N.C.",0,ROUNDUP(AB5+'Délai intermédiaire'!AB45/10,0))</f>
        <v>0</v>
      </c>
      <c r="AC48" s="14">
        <f>IF(Distances!AC45="N.C.",0,ROUNDUP(AC5+'Délai intermédiaire'!AC45/10,0))</f>
        <v>0</v>
      </c>
      <c r="AD48" s="14">
        <f>IF(Distances!AD45="N.C.",0,ROUNDUP(AD5+'Délai intermédiaire'!AD45/10,0))</f>
        <v>0</v>
      </c>
      <c r="AE48" s="14">
        <f>IF(Distances!AE45="N.C.",0,ROUNDUP(AE5+'Délai intermédiaire'!AE45/10,0))</f>
        <v>0</v>
      </c>
      <c r="AF48" s="14">
        <f>IF(Distances!AF45="N.C.",0,ROUNDUP(AF5+'Délai intermédiaire'!AF45/10,0))</f>
        <v>0</v>
      </c>
      <c r="AG48" s="14">
        <f>IF(Distances!AG45="N.C.",0,ROUNDUP(AG5+'Délai intermédiaire'!AG45/10,0))</f>
        <v>0</v>
      </c>
      <c r="AH48" s="14">
        <f>IF(Distances!AH45="N.C.",0,ROUNDUP(AH5+'Délai intermédiaire'!AH45/10,0))</f>
        <v>0</v>
      </c>
      <c r="AI48" s="14">
        <f>IF(Distances!AI45="N.C.",0,ROUNDUP(AI5+'Délai intermédiaire'!AI45/10,0))</f>
        <v>0</v>
      </c>
      <c r="AJ48" s="14">
        <f>IF(Distances!AJ45="N.C.",0,ROUNDUP(AJ5+'Délai intermédiaire'!AJ45/10,0))</f>
        <v>0</v>
      </c>
      <c r="AK48" s="14">
        <f>IF(Distances!AK45="N.C.",0,ROUNDUP(AK5+'Délai intermédiaire'!AK45/10,0))</f>
        <v>0</v>
      </c>
      <c r="AL48" s="14">
        <f>IF(Distances!AL45="N.C.",0,ROUNDUP(AL5+'Délai intermédiaire'!AL45/10,0))</f>
        <v>0</v>
      </c>
      <c r="AM48" s="14">
        <f>IF(Distances!AM45="N.C.",0,ROUNDUP(AM5+'Délai intermédiaire'!AM45/10,0))</f>
        <v>0</v>
      </c>
      <c r="AN48" s="14">
        <f>IF(Distances!AN45="N.C.",0,ROUNDUP(AN5+'Délai intermédiaire'!AN45/10,0))</f>
        <v>0</v>
      </c>
      <c r="AO48" s="13">
        <f>IF(Distances!AO45="N.C.",0,ROUNDUP(AO5+'Délai intermédiaire'!AO45/10,0))</f>
        <v>6</v>
      </c>
      <c r="AP48" s="13">
        <f>IF(Distances!AP45="N.C.",0,ROUNDUP(AP5+'Délai intermédiaire'!AP45/10,0))</f>
        <v>7</v>
      </c>
      <c r="AQ48" s="12">
        <f>IF(Distances!AQ45="N.C.",0,ROUNDUP(AQ5+'Délai intermédiaire'!AQ45/10,0))</f>
        <v>2</v>
      </c>
      <c r="AR48" s="14">
        <f>IF(Distances!AR45="N.C.",0,ROUNDUP(AR5+'Délai intermédiaire'!AR45/10,0))</f>
        <v>0</v>
      </c>
      <c r="AS48" s="14">
        <f>IF(Distances!AS45="N.C.",0,ROUNDUP(AS5+'Délai intermédiaire'!AS45/10,0))</f>
        <v>0</v>
      </c>
      <c r="AT48" s="14">
        <f>IF(Distances!AT45="N.C.",0,ROUNDUP(AT5+'Délai intermédiaire'!AT45/10,0))</f>
        <v>0</v>
      </c>
      <c r="AU48" s="14">
        <f>IF(Distances!AU45="N.C.",0,ROUNDUP(AU5+'Délai intermédiaire'!AU45/10,0))</f>
        <v>0</v>
      </c>
      <c r="AV48" s="14">
        <f>IF(Distances!AV45="N.C.",0,ROUNDUP(AV5+'Délai intermédiaire'!AV45/10,0))</f>
        <v>0</v>
      </c>
      <c r="AW48" s="14">
        <f>IF(Distances!AW45="N.C.",0,ROUNDUP(AW5+'Délai intermédiaire'!AW45/10,0))</f>
        <v>0</v>
      </c>
      <c r="AX48" s="14">
        <f>IF(Distances!AX45="N.C.",0,ROUNDUP(AX5+'Délai intermédiaire'!AX45/10,0))</f>
        <v>0</v>
      </c>
      <c r="AY48" s="14">
        <f>IF(Distances!AY45="N.C.",0,ROUNDUP(AY5+'Délai intermédiaire'!AY45/10,0))</f>
        <v>0</v>
      </c>
      <c r="AZ48" s="14">
        <f>IF(Distances!AZ45="N.C.",0,ROUNDUP(AZ5+'Délai intermédiaire'!AZ45/10,0))</f>
        <v>0</v>
      </c>
      <c r="BA48" s="14">
        <f>IF(Distances!BA45="N.C.",0,ROUNDUP(BA5+'Délai intermédiaire'!BA45/10,0))</f>
        <v>0</v>
      </c>
      <c r="BB48" s="14">
        <f>IF(Distances!BB45="N.C.",0,ROUNDUP(BB5+'Délai intermédiaire'!BB45/10,0))</f>
        <v>0</v>
      </c>
      <c r="BC48" s="14">
        <f>IF(Distances!BC45="N.C.",0,ROUNDUP(BC5+'Délai intermédiaire'!BC45/10,0))</f>
        <v>0</v>
      </c>
      <c r="BD48" s="14">
        <f>IF(Distances!BD45="N.C.",0,ROUNDUP(BD5+'Délai intermédiaire'!BD45/10,0))</f>
        <v>0</v>
      </c>
      <c r="BE48" s="14">
        <f>IF(Distances!BE45="N.C.",0,ROUNDUP(BE5+'Délai intermédiaire'!BE45/10,0))</f>
        <v>0</v>
      </c>
      <c r="BF48" s="14">
        <f>IF(Distances!BF45="N.C.",0,ROUNDUP(BF5+'Délai intermédiaire'!BF45/10,0))</f>
        <v>0</v>
      </c>
      <c r="BG48" s="14">
        <f>IF(Distances!BG45="N.C.",0,ROUNDUP(BG5+'Délai intermédiaire'!BG45/10,0))</f>
        <v>0</v>
      </c>
      <c r="BH48" s="14">
        <f>IF(Distances!BH45="N.C.",0,ROUNDUP(BH5+'Délai intermédiaire'!BH45/10,0))</f>
        <v>0</v>
      </c>
      <c r="BI48" s="14">
        <f>IF(Distances!BI45="N.C.",0,ROUNDUP(BI5+'Délai intermédiaire'!BI45/10,0))</f>
        <v>0</v>
      </c>
      <c r="BJ48" s="15">
        <f>IF(Distances!BJ45="N.C.",0,ROUNDUP(BJ5+'Délai intermédiaire'!BJ45/10,0))</f>
        <v>0</v>
      </c>
    </row>
    <row r="49" spans="1:62" x14ac:dyDescent="0.3">
      <c r="A49" s="10" t="s">
        <v>43</v>
      </c>
      <c r="B49" s="16">
        <f>IF(Distances!B46="N.C.",0,ROUNDUP(B5+'Délai intermédiaire'!B46/10,0))</f>
        <v>0</v>
      </c>
      <c r="C49" s="14">
        <f>IF(Distances!C46="N.C.",0,ROUNDUP(C5+'Délai intermédiaire'!C46/10,0))</f>
        <v>0</v>
      </c>
      <c r="D49" s="14">
        <f>IF(Distances!D46="N.C.",0,ROUNDUP(D5+'Délai intermédiaire'!D46/10,0))</f>
        <v>0</v>
      </c>
      <c r="E49" s="14">
        <f>IF(Distances!E46="N.C.",0,ROUNDUP(E5+'Délai intermédiaire'!E46/10,0))</f>
        <v>0</v>
      </c>
      <c r="F49" s="14">
        <f>IF(Distances!F46="N.C.",0,ROUNDUP(F5+'Délai intermédiaire'!F46/10,0))</f>
        <v>0</v>
      </c>
      <c r="G49" s="14">
        <f>IF(Distances!G46="N.C.",0,ROUNDUP(G5+'Délai intermédiaire'!G46/10,0))</f>
        <v>0</v>
      </c>
      <c r="H49" s="14">
        <f>IF(Distances!H46="N.C.",0,ROUNDUP(H5+'Délai intermédiaire'!H46/10,0))</f>
        <v>0</v>
      </c>
      <c r="I49" s="14">
        <f>IF(Distances!I46="N.C.",0,ROUNDUP(I5+'Délai intermédiaire'!I46/10,0))</f>
        <v>0</v>
      </c>
      <c r="J49" s="14">
        <f>IF(Distances!J46="N.C.",0,ROUNDUP(J5+'Délai intermédiaire'!J46/10,0))</f>
        <v>0</v>
      </c>
      <c r="K49" s="14">
        <f>IF(Distances!K46="N.C.",0,ROUNDUP(K5+'Délai intermédiaire'!K46/10,0))</f>
        <v>0</v>
      </c>
      <c r="L49" s="14">
        <f>IF(Distances!L46="N.C.",0,ROUNDUP(L5+'Délai intermédiaire'!L46/10,0))</f>
        <v>0</v>
      </c>
      <c r="M49" s="14">
        <f>IF(Distances!M46="N.C.",0,ROUNDUP(M5+'Délai intermédiaire'!M46/10,0))</f>
        <v>0</v>
      </c>
      <c r="N49" s="14">
        <f>IF(Distances!N46="N.C.",0,ROUNDUP(N5+'Délai intermédiaire'!N46/10,0))</f>
        <v>0</v>
      </c>
      <c r="O49" s="14">
        <f>IF(Distances!O46="N.C.",0,ROUNDUP(O5+'Délai intermédiaire'!O46/10,0))</f>
        <v>0</v>
      </c>
      <c r="P49" s="14">
        <f>IF(Distances!P46="N.C.",0,ROUNDUP(P5+'Délai intermédiaire'!P46/10,0))</f>
        <v>0</v>
      </c>
      <c r="Q49" s="14">
        <f>IF(Distances!Q46="N.C.",0,ROUNDUP(Q5+'Délai intermédiaire'!Q46/10,0))</f>
        <v>0</v>
      </c>
      <c r="R49" s="14">
        <f>IF(Distances!R46="N.C.",0,ROUNDUP(R5+'Délai intermédiaire'!R46/10,0))</f>
        <v>0</v>
      </c>
      <c r="S49" s="14">
        <f>IF(Distances!S46="N.C.",0,ROUNDUP(S5+'Délai intermédiaire'!S46/10,0))</f>
        <v>0</v>
      </c>
      <c r="T49" s="14">
        <f>IF(Distances!T46="N.C.",0,ROUNDUP(T5+'Délai intermédiaire'!T46/10,0))</f>
        <v>0</v>
      </c>
      <c r="U49" s="14">
        <f>IF(Distances!U46="N.C.",0,ROUNDUP(U5+'Délai intermédiaire'!U46/10,0))</f>
        <v>0</v>
      </c>
      <c r="V49" s="14">
        <f>IF(Distances!V46="N.C.",0,ROUNDUP(V5+'Délai intermédiaire'!V46/10,0))</f>
        <v>0</v>
      </c>
      <c r="W49" s="14">
        <f>IF(Distances!W46="N.C.",0,ROUNDUP(W5+'Délai intermédiaire'!W46/10,0))</f>
        <v>8</v>
      </c>
      <c r="X49" s="14">
        <f>IF(Distances!X46="N.C.",0,ROUNDUP(X5+'Délai intermédiaire'!X46/10,0))</f>
        <v>8</v>
      </c>
      <c r="Y49" s="14">
        <f>IF(Distances!Y46="N.C.",0,ROUNDUP(Y5+'Délai intermédiaire'!Y46/10,0))</f>
        <v>8</v>
      </c>
      <c r="Z49" s="14">
        <f>IF(Distances!Z46="N.C.",0,ROUNDUP(Z5+'Délai intermédiaire'!Z46/10,0))</f>
        <v>0</v>
      </c>
      <c r="AA49" s="14">
        <f>IF(Distances!AA46="N.C.",0,ROUNDUP(AA5+'Délai intermédiaire'!AA46/10,0))</f>
        <v>0</v>
      </c>
      <c r="AB49" s="14">
        <f>IF(Distances!AB46="N.C.",0,ROUNDUP(AB5+'Délai intermédiaire'!AB46/10,0))</f>
        <v>0</v>
      </c>
      <c r="AC49" s="14">
        <f>IF(Distances!AC46="N.C.",0,ROUNDUP(AC5+'Délai intermédiaire'!AC46/10,0))</f>
        <v>0</v>
      </c>
      <c r="AD49" s="14">
        <f>IF(Distances!AD46="N.C.",0,ROUNDUP(AD5+'Délai intermédiaire'!AD46/10,0))</f>
        <v>9</v>
      </c>
      <c r="AE49" s="14">
        <f>IF(Distances!AE46="N.C.",0,ROUNDUP(AE5+'Délai intermédiaire'!AE46/10,0))</f>
        <v>0</v>
      </c>
      <c r="AF49" s="14">
        <f>IF(Distances!AF46="N.C.",0,ROUNDUP(AF5+'Délai intermédiaire'!AF46/10,0))</f>
        <v>0</v>
      </c>
      <c r="AG49" s="14">
        <f>IF(Distances!AG46="N.C.",0,ROUNDUP(AG5+'Délai intermédiaire'!AG46/10,0))</f>
        <v>0</v>
      </c>
      <c r="AH49" s="13">
        <f>IF(Distances!AH46="N.C.",0,ROUNDUP(AH5+'Délai intermédiaire'!AH46/10,0))</f>
        <v>0</v>
      </c>
      <c r="AI49" s="13">
        <f>IF(Distances!AI46="N.C.",0,ROUNDUP(AI5+'Délai intermédiaire'!AI46/10,0))</f>
        <v>0</v>
      </c>
      <c r="AJ49" s="13">
        <f>IF(Distances!AJ46="N.C.",0,ROUNDUP(AJ5+'Délai intermédiaire'!AJ46/10,0))</f>
        <v>10</v>
      </c>
      <c r="AK49" s="13">
        <f>IF(Distances!AK46="N.C.",0,ROUNDUP(AK5+'Délai intermédiaire'!AK46/10,0))</f>
        <v>12</v>
      </c>
      <c r="AL49" s="13">
        <f>IF(Distances!AL46="N.C.",0,ROUNDUP(AL5+'Délai intermédiaire'!AL46/10,0))</f>
        <v>0</v>
      </c>
      <c r="AM49" s="13">
        <f>IF(Distances!AM46="N.C.",0,ROUNDUP(AM5+'Délai intermédiaire'!AM46/10,0))</f>
        <v>0</v>
      </c>
      <c r="AN49" s="13">
        <f>IF(Distances!AN46="N.C.",0,ROUNDUP(AN5+'Délai intermédiaire'!AN46/10,0))</f>
        <v>0</v>
      </c>
      <c r="AO49" s="14">
        <f>IF(Distances!AO46="N.C.",0,ROUNDUP(AO5+'Délai intermédiaire'!AO46/10,0))</f>
        <v>0</v>
      </c>
      <c r="AP49" s="14">
        <f>IF(Distances!AP46="N.C.",0,ROUNDUP(AP5+'Délai intermédiaire'!AP46/10,0))</f>
        <v>0</v>
      </c>
      <c r="AQ49" s="14">
        <f>IF(Distances!AQ46="N.C.",0,ROUNDUP(AQ5+'Délai intermédiaire'!AQ46/10,0))</f>
        <v>0</v>
      </c>
      <c r="AR49" s="12">
        <f>IF(Distances!AR46="N.C.",0,ROUNDUP(AR5+'Délai intermédiaire'!AR46/10,0))</f>
        <v>2</v>
      </c>
      <c r="AS49" s="13">
        <f>IF(Distances!AS46="N.C.",0,ROUNDUP(AS5+'Délai intermédiaire'!AS46/10,0))</f>
        <v>4</v>
      </c>
      <c r="AT49" s="13">
        <f>IF(Distances!AT46="N.C.",0,ROUNDUP(AT5+'Délai intermédiaire'!AT46/10,0))</f>
        <v>4</v>
      </c>
      <c r="AU49" s="13">
        <f>IF(Distances!AU46="N.C.",0,ROUNDUP(AU5+'Délai intermédiaire'!AU46/10,0))</f>
        <v>0</v>
      </c>
      <c r="AV49" s="13">
        <f>IF(Distances!AV46="N.C.",0,ROUNDUP(AV5+'Délai intermédiaire'!AV46/10,0))</f>
        <v>10</v>
      </c>
      <c r="AW49" s="13">
        <f>IF(Distances!AW46="N.C.",0,ROUNDUP(AW5+'Délai intermédiaire'!AW46/10,0))</f>
        <v>13</v>
      </c>
      <c r="AX49" s="13">
        <f>IF(Distances!AX46="N.C.",0,ROUNDUP(AX5+'Délai intermédiaire'!AX46/10,0))</f>
        <v>0</v>
      </c>
      <c r="AY49" s="14">
        <f>IF(Distances!AY46="N.C.",0,ROUNDUP(AY5+'Délai intermédiaire'!AY46/10,0))</f>
        <v>11</v>
      </c>
      <c r="AZ49" s="14">
        <f>IF(Distances!AZ46="N.C.",0,ROUNDUP(AZ5+'Délai intermédiaire'!AZ46/10,0))</f>
        <v>12</v>
      </c>
      <c r="BA49" s="13">
        <f>IF(Distances!BA46="N.C.",0,ROUNDUP(BA5+'Délai intermédiaire'!BA46/10,0))</f>
        <v>15</v>
      </c>
      <c r="BB49" s="14">
        <f>IF(Distances!BB46="N.C.",0,ROUNDUP(BB5+'Délai intermédiaire'!BB46/10,0))</f>
        <v>10</v>
      </c>
      <c r="BC49" s="13">
        <f>IF(Distances!BC46="N.C.",0,ROUNDUP(BC5+'Délai intermédiaire'!BC46/10,0))</f>
        <v>0</v>
      </c>
      <c r="BD49" s="13">
        <f>IF(Distances!BD46="N.C.",0,ROUNDUP(BD5+'Délai intermédiaire'!BD46/10,0))</f>
        <v>0</v>
      </c>
      <c r="BE49" s="13">
        <f>IF(Distances!BE46="N.C.",0,ROUNDUP(BE5+'Délai intermédiaire'!BE46/10,0))</f>
        <v>0</v>
      </c>
      <c r="BF49" s="14">
        <f>IF(Distances!BF46="N.C.",0,ROUNDUP(BF5+'Délai intermédiaire'!BF46/10,0))</f>
        <v>9</v>
      </c>
      <c r="BG49" s="14">
        <f>IF(Distances!BG46="N.C.",0,ROUNDUP(BG5+'Délai intermédiaire'!BG46/10,0))</f>
        <v>0</v>
      </c>
      <c r="BH49" s="14">
        <f>IF(Distances!BH46="N.C.",0,ROUNDUP(BH5+'Délai intermédiaire'!BH46/10,0))</f>
        <v>0</v>
      </c>
      <c r="BI49" s="14">
        <f>IF(Distances!BI46="N.C.",0,ROUNDUP(BI5+'Délai intermédiaire'!BI46/10,0))</f>
        <v>0</v>
      </c>
      <c r="BJ49" s="15">
        <f>IF(Distances!BJ46="N.C.",0,ROUNDUP(BJ5+'Délai intermédiaire'!BJ46/10,0))</f>
        <v>0</v>
      </c>
    </row>
    <row r="50" spans="1:62" x14ac:dyDescent="0.3">
      <c r="A50" s="10" t="s">
        <v>44</v>
      </c>
      <c r="B50" s="16">
        <f>IF(Distances!B47="N.C.",0,ROUNDUP(B5+'Délai intermédiaire'!B47/10,0))</f>
        <v>0</v>
      </c>
      <c r="C50" s="14">
        <f>IF(Distances!C47="N.C.",0,ROUNDUP(C5+'Délai intermédiaire'!C47/10,0))</f>
        <v>0</v>
      </c>
      <c r="D50" s="14">
        <f>IF(Distances!D47="N.C.",0,ROUNDUP(D5+'Délai intermédiaire'!D47/10,0))</f>
        <v>0</v>
      </c>
      <c r="E50" s="14">
        <f>IF(Distances!E47="N.C.",0,ROUNDUP(E5+'Délai intermédiaire'!E47/10,0))</f>
        <v>0</v>
      </c>
      <c r="F50" s="14">
        <f>IF(Distances!F47="N.C.",0,ROUNDUP(F5+'Délai intermédiaire'!F47/10,0))</f>
        <v>0</v>
      </c>
      <c r="G50" s="14">
        <f>IF(Distances!G47="N.C.",0,ROUNDUP(G5+'Délai intermédiaire'!G47/10,0))</f>
        <v>0</v>
      </c>
      <c r="H50" s="14">
        <f>IF(Distances!H47="N.C.",0,ROUNDUP(H5+'Délai intermédiaire'!H47/10,0))</f>
        <v>0</v>
      </c>
      <c r="I50" s="14">
        <f>IF(Distances!I47="N.C.",0,ROUNDUP(I5+'Délai intermédiaire'!I47/10,0))</f>
        <v>0</v>
      </c>
      <c r="J50" s="14">
        <f>IF(Distances!J47="N.C.",0,ROUNDUP(J5+'Délai intermédiaire'!J47/10,0))</f>
        <v>0</v>
      </c>
      <c r="K50" s="14">
        <f>IF(Distances!K47="N.C.",0,ROUNDUP(K5+'Délai intermédiaire'!K47/10,0))</f>
        <v>0</v>
      </c>
      <c r="L50" s="14">
        <f>IF(Distances!L47="N.C.",0,ROUNDUP(L5+'Délai intermédiaire'!L47/10,0))</f>
        <v>0</v>
      </c>
      <c r="M50" s="14">
        <f>IF(Distances!M47="N.C.",0,ROUNDUP(M5+'Délai intermédiaire'!M47/10,0))</f>
        <v>0</v>
      </c>
      <c r="N50" s="14">
        <f>IF(Distances!N47="N.C.",0,ROUNDUP(N5+'Délai intermédiaire'!N47/10,0))</f>
        <v>0</v>
      </c>
      <c r="O50" s="14">
        <f>IF(Distances!O47="N.C.",0,ROUNDUP(O5+'Délai intermédiaire'!O47/10,0))</f>
        <v>0</v>
      </c>
      <c r="P50" s="14">
        <f>IF(Distances!P47="N.C.",0,ROUNDUP(P5+'Délai intermédiaire'!P47/10,0))</f>
        <v>0</v>
      </c>
      <c r="Q50" s="14">
        <f>IF(Distances!Q47="N.C.",0,ROUNDUP(Q5+'Délai intermédiaire'!Q47/10,0))</f>
        <v>0</v>
      </c>
      <c r="R50" s="14">
        <f>IF(Distances!R47="N.C.",0,ROUNDUP(R5+'Délai intermédiaire'!R47/10,0))</f>
        <v>0</v>
      </c>
      <c r="S50" s="14">
        <f>IF(Distances!S47="N.C.",0,ROUNDUP(S5+'Délai intermédiaire'!S47/10,0))</f>
        <v>0</v>
      </c>
      <c r="T50" s="14">
        <f>IF(Distances!T47="N.C.",0,ROUNDUP(T5+'Délai intermédiaire'!T47/10,0))</f>
        <v>8</v>
      </c>
      <c r="U50" s="14">
        <f>IF(Distances!U47="N.C.",0,ROUNDUP(U5+'Délai intermédiaire'!U47/10,0))</f>
        <v>7</v>
      </c>
      <c r="V50" s="14">
        <f>IF(Distances!V47="N.C.",0,ROUNDUP(V5+'Délai intermédiaire'!V47/10,0))</f>
        <v>7</v>
      </c>
      <c r="W50" s="14">
        <f>IF(Distances!W47="N.C.",0,ROUNDUP(W5+'Délai intermédiaire'!W47/10,0))</f>
        <v>7</v>
      </c>
      <c r="X50" s="14">
        <f>IF(Distances!X47="N.C.",0,ROUNDUP(X5+'Délai intermédiaire'!X47/10,0))</f>
        <v>7</v>
      </c>
      <c r="Y50" s="14">
        <f>IF(Distances!Y47="N.C.",0,ROUNDUP(Y5+'Délai intermédiaire'!Y47/10,0))</f>
        <v>7</v>
      </c>
      <c r="Z50" s="14">
        <f>IF(Distances!Z47="N.C.",0,ROUNDUP(Z5+'Délai intermédiaire'!Z47/10,0))</f>
        <v>8</v>
      </c>
      <c r="AA50" s="14">
        <f>IF(Distances!AA47="N.C.",0,ROUNDUP(AA5+'Délai intermédiaire'!AA47/10,0))</f>
        <v>8</v>
      </c>
      <c r="AB50" s="14">
        <f>IF(Distances!AB47="N.C.",0,ROUNDUP(AB5+'Délai intermédiaire'!AB47/10,0))</f>
        <v>8</v>
      </c>
      <c r="AC50" s="14">
        <f>IF(Distances!AC47="N.C.",0,ROUNDUP(AC5+'Délai intermédiaire'!AC47/10,0))</f>
        <v>8</v>
      </c>
      <c r="AD50" s="14">
        <f>IF(Distances!AD47="N.C.",0,ROUNDUP(AD5+'Délai intermédiaire'!AD47/10,0))</f>
        <v>8</v>
      </c>
      <c r="AE50" s="14">
        <f>IF(Distances!AE47="N.C.",0,ROUNDUP(AE5+'Délai intermédiaire'!AE47/10,0))</f>
        <v>8</v>
      </c>
      <c r="AF50" s="14">
        <f>IF(Distances!AF47="N.C.",0,ROUNDUP(AF5+'Délai intermédiaire'!AF47/10,0))</f>
        <v>7</v>
      </c>
      <c r="AG50" s="14">
        <f>IF(Distances!AG47="N.C.",0,ROUNDUP(AG5+'Délai intermédiaire'!AG47/10,0))</f>
        <v>7</v>
      </c>
      <c r="AH50" s="13">
        <f>IF(Distances!AH47="N.C.",0,ROUNDUP(AH5+'Délai intermédiaire'!AH47/10,0))</f>
        <v>0</v>
      </c>
      <c r="AI50" s="13">
        <f>IF(Distances!AI47="N.C.",0,ROUNDUP(AI5+'Délai intermédiaire'!AI47/10,0))</f>
        <v>0</v>
      </c>
      <c r="AJ50" s="13">
        <f>IF(Distances!AJ47="N.C.",0,ROUNDUP(AJ5+'Délai intermédiaire'!AJ47/10,0))</f>
        <v>10</v>
      </c>
      <c r="AK50" s="13">
        <f>IF(Distances!AK47="N.C.",0,ROUNDUP(AK5+'Délai intermédiaire'!AK47/10,0))</f>
        <v>12</v>
      </c>
      <c r="AL50" s="13">
        <f>IF(Distances!AL47="N.C.",0,ROUNDUP(AL5+'Délai intermédiaire'!AL47/10,0))</f>
        <v>0</v>
      </c>
      <c r="AM50" s="13">
        <f>IF(Distances!AM47="N.C.",0,ROUNDUP(AM5+'Délai intermédiaire'!AM47/10,0))</f>
        <v>0</v>
      </c>
      <c r="AN50" s="13">
        <f>IF(Distances!AN47="N.C.",0,ROUNDUP(AN5+'Délai intermédiaire'!AN47/10,0))</f>
        <v>0</v>
      </c>
      <c r="AO50" s="14">
        <f>IF(Distances!AO47="N.C.",0,ROUNDUP(AO5+'Délai intermédiaire'!AO47/10,0))</f>
        <v>0</v>
      </c>
      <c r="AP50" s="14">
        <f>IF(Distances!AP47="N.C.",0,ROUNDUP(AP5+'Délai intermédiaire'!AP47/10,0))</f>
        <v>0</v>
      </c>
      <c r="AQ50" s="14">
        <f>IF(Distances!AQ47="N.C.",0,ROUNDUP(AQ5+'Délai intermédiaire'!AQ47/10,0))</f>
        <v>0</v>
      </c>
      <c r="AR50" s="13">
        <f>IF(Distances!AR47="N.C.",0,ROUNDUP(AR5+'Délai intermédiaire'!AR47/10,0))</f>
        <v>4</v>
      </c>
      <c r="AS50" s="12">
        <f>IF(Distances!AS47="N.C.",0,ROUNDUP(AS5+'Délai intermédiaire'!AS47/10,0))</f>
        <v>2</v>
      </c>
      <c r="AT50" s="13">
        <f>IF(Distances!AT47="N.C.",0,ROUNDUP(AT5+'Délai intermédiaire'!AT47/10,0))</f>
        <v>3</v>
      </c>
      <c r="AU50" s="13">
        <f>IF(Distances!AU47="N.C.",0,ROUNDUP(AU5+'Délai intermédiaire'!AU47/10,0))</f>
        <v>0</v>
      </c>
      <c r="AV50" s="13">
        <f>IF(Distances!AV47="N.C.",0,ROUNDUP(AV5+'Délai intermédiaire'!AV47/10,0))</f>
        <v>0</v>
      </c>
      <c r="AW50" s="13">
        <f>IF(Distances!AW47="N.C.",0,ROUNDUP(AW5+'Délai intermédiaire'!AW47/10,0))</f>
        <v>0</v>
      </c>
      <c r="AX50" s="13">
        <f>IF(Distances!AX47="N.C.",0,ROUNDUP(AX5+'Délai intermédiaire'!AX47/10,0))</f>
        <v>16</v>
      </c>
      <c r="AY50" s="12">
        <f>IF(Distances!AY47="N.C.",0,ROUNDUP(AY5+'Délai intermédiaire'!AY47/10,0))</f>
        <v>9</v>
      </c>
      <c r="AZ50" s="12">
        <f>IF(Distances!AZ47="N.C.",0,ROUNDUP(AZ5+'Délai intermédiaire'!AZ47/10,0))</f>
        <v>11</v>
      </c>
      <c r="BA50" s="13">
        <f>IF(Distances!BA47="N.C.",0,ROUNDUP(BA5+'Délai intermédiaire'!BA47/10,0))</f>
        <v>15</v>
      </c>
      <c r="BB50" s="14">
        <f>IF(Distances!BB47="N.C.",0,ROUNDUP(BB5+'Délai intermédiaire'!BB47/10,0))</f>
        <v>9</v>
      </c>
      <c r="BC50" s="13">
        <f>IF(Distances!BC47="N.C.",0,ROUNDUP(BC5+'Délai intermédiaire'!BC47/10,0))</f>
        <v>0</v>
      </c>
      <c r="BD50" s="13">
        <f>IF(Distances!BD47="N.C.",0,ROUNDUP(BD5+'Délai intermédiaire'!BD47/10,0))</f>
        <v>0</v>
      </c>
      <c r="BE50" s="13">
        <f>IF(Distances!BE47="N.C.",0,ROUNDUP(BE5+'Délai intermédiaire'!BE47/10,0))</f>
        <v>0</v>
      </c>
      <c r="BF50" s="14">
        <f>IF(Distances!BF47="N.C.",0,ROUNDUP(BF5+'Délai intermédiaire'!BF47/10,0))</f>
        <v>0</v>
      </c>
      <c r="BG50" s="14">
        <f>IF(Distances!BG47="N.C.",0,ROUNDUP(BG5+'Délai intermédiaire'!BG47/10,0))</f>
        <v>7</v>
      </c>
      <c r="BH50" s="14">
        <f>IF(Distances!BH47="N.C.",0,ROUNDUP(BH5+'Délai intermédiaire'!BH47/10,0))</f>
        <v>0</v>
      </c>
      <c r="BI50" s="14">
        <f>IF(Distances!BI47="N.C.",0,ROUNDUP(BI5+'Délai intermédiaire'!BI47/10,0))</f>
        <v>0</v>
      </c>
      <c r="BJ50" s="15">
        <f>IF(Distances!BJ47="N.C.",0,ROUNDUP(BJ5+'Délai intermédiaire'!BJ47/10,0))</f>
        <v>0</v>
      </c>
    </row>
    <row r="51" spans="1:62" x14ac:dyDescent="0.3">
      <c r="A51" s="20" t="s">
        <v>45</v>
      </c>
      <c r="B51" s="21">
        <f>IF(Distances!B48="N.C.",0,ROUNDUP(B5+'Délai intermédiaire'!B48/10,0))</f>
        <v>0</v>
      </c>
      <c r="C51" s="22">
        <f>IF(Distances!C48="N.C.",0,ROUNDUP(C5+'Délai intermédiaire'!C48/10,0))</f>
        <v>0</v>
      </c>
      <c r="D51" s="22">
        <f>IF(Distances!D48="N.C.",0,ROUNDUP(D5+'Délai intermédiaire'!D48/10,0))</f>
        <v>0</v>
      </c>
      <c r="E51" s="22">
        <f>IF(Distances!E48="N.C.",0,ROUNDUP(E5+'Délai intermédiaire'!E48/10,0))</f>
        <v>0</v>
      </c>
      <c r="F51" s="22">
        <f>IF(Distances!F48="N.C.",0,ROUNDUP(F5+'Délai intermédiaire'!F48/10,0))</f>
        <v>0</v>
      </c>
      <c r="G51" s="22">
        <f>IF(Distances!G48="N.C.",0,ROUNDUP(G5+'Délai intermédiaire'!G48/10,0))</f>
        <v>0</v>
      </c>
      <c r="H51" s="22">
        <f>IF(Distances!H48="N.C.",0,ROUNDUP(H5+'Délai intermédiaire'!H48/10,0))</f>
        <v>0</v>
      </c>
      <c r="I51" s="22">
        <f>IF(Distances!I48="N.C.",0,ROUNDUP(I5+'Délai intermédiaire'!I48/10,0))</f>
        <v>0</v>
      </c>
      <c r="J51" s="22">
        <f>IF(Distances!J48="N.C.",0,ROUNDUP(J5+'Délai intermédiaire'!J48/10,0))</f>
        <v>0</v>
      </c>
      <c r="K51" s="22">
        <f>IF(Distances!K48="N.C.",0,ROUNDUP(K5+'Délai intermédiaire'!K48/10,0))</f>
        <v>0</v>
      </c>
      <c r="L51" s="22">
        <f>IF(Distances!L48="N.C.",0,ROUNDUP(L5+'Délai intermédiaire'!L48/10,0))</f>
        <v>0</v>
      </c>
      <c r="M51" s="22">
        <f>IF(Distances!M48="N.C.",0,ROUNDUP(M5+'Délai intermédiaire'!M48/10,0))</f>
        <v>0</v>
      </c>
      <c r="N51" s="22">
        <f>IF(Distances!N48="N.C.",0,ROUNDUP(N5+'Délai intermédiaire'!N48/10,0))</f>
        <v>0</v>
      </c>
      <c r="O51" s="22">
        <f>IF(Distances!O48="N.C.",0,ROUNDUP(O5+'Délai intermédiaire'!O48/10,0))</f>
        <v>0</v>
      </c>
      <c r="P51" s="22">
        <f>IF(Distances!P48="N.C.",0,ROUNDUP(P5+'Délai intermédiaire'!P48/10,0))</f>
        <v>0</v>
      </c>
      <c r="Q51" s="22">
        <f>IF(Distances!Q48="N.C.",0,ROUNDUP(Q5+'Délai intermédiaire'!Q48/10,0))</f>
        <v>0</v>
      </c>
      <c r="R51" s="22">
        <f>IF(Distances!R48="N.C.",0,ROUNDUP(R5+'Délai intermédiaire'!R48/10,0))</f>
        <v>0</v>
      </c>
      <c r="S51" s="22">
        <f>IF(Distances!S48="N.C.",0,ROUNDUP(S5+'Délai intermédiaire'!S48/10,0))</f>
        <v>0</v>
      </c>
      <c r="T51" s="22">
        <f>IF(Distances!T48="N.C.",0,ROUNDUP(T5+'Délai intermédiaire'!T48/10,0))</f>
        <v>7</v>
      </c>
      <c r="U51" s="22">
        <f>IF(Distances!U48="N.C.",0,ROUNDUP(U5+'Délai intermédiaire'!U48/10,0))</f>
        <v>7</v>
      </c>
      <c r="V51" s="22">
        <f>IF(Distances!V48="N.C.",0,ROUNDUP(V5+'Délai intermédiaire'!V48/10,0))</f>
        <v>6</v>
      </c>
      <c r="W51" s="22">
        <f>IF(Distances!W48="N.C.",0,ROUNDUP(W5+'Délai intermédiaire'!W48/10,0))</f>
        <v>7</v>
      </c>
      <c r="X51" s="22">
        <f>IF(Distances!X48="N.C.",0,ROUNDUP(X5+'Délai intermédiaire'!X48/10,0))</f>
        <v>7</v>
      </c>
      <c r="Y51" s="22">
        <f>IF(Distances!Y48="N.C.",0,ROUNDUP(Y5+'Délai intermédiaire'!Y48/10,0))</f>
        <v>7</v>
      </c>
      <c r="Z51" s="22">
        <f>IF(Distances!Z48="N.C.",0,ROUNDUP(Z5+'Délai intermédiaire'!Z48/10,0))</f>
        <v>0</v>
      </c>
      <c r="AA51" s="22">
        <f>IF(Distances!AA48="N.C.",0,ROUNDUP(AA5+'Délai intermédiaire'!AA48/10,0))</f>
        <v>8</v>
      </c>
      <c r="AB51" s="22">
        <f>IF(Distances!AB48="N.C.",0,ROUNDUP(AB5+'Délai intermédiaire'!AB48/10,0))</f>
        <v>8</v>
      </c>
      <c r="AC51" s="22">
        <f>IF(Distances!AC48="N.C.",0,ROUNDUP(AC5+'Délai intermédiaire'!AC48/10,0))</f>
        <v>7</v>
      </c>
      <c r="AD51" s="22">
        <f>IF(Distances!AD48="N.C.",0,ROUNDUP(AD5+'Délai intermédiaire'!AD48/10,0))</f>
        <v>8</v>
      </c>
      <c r="AE51" s="22">
        <f>IF(Distances!AE48="N.C.",0,ROUNDUP(AE5+'Délai intermédiaire'!AE48/10,0))</f>
        <v>0</v>
      </c>
      <c r="AF51" s="22">
        <f>IF(Distances!AF48="N.C.",0,ROUNDUP(AF5+'Délai intermédiaire'!AF48/10,0))</f>
        <v>0</v>
      </c>
      <c r="AG51" s="22">
        <f>IF(Distances!AG48="N.C.",0,ROUNDUP(AG5+'Délai intermédiaire'!AG48/10,0))</f>
        <v>0</v>
      </c>
      <c r="AH51" s="23">
        <f>IF(Distances!AH48="N.C.",0,ROUNDUP(AH5+'Délai intermédiaire'!AH48/10,0))</f>
        <v>0</v>
      </c>
      <c r="AI51" s="23">
        <f>IF(Distances!AI48="N.C.",0,ROUNDUP(AI5+'Délai intermédiaire'!AI48/10,0))</f>
        <v>0</v>
      </c>
      <c r="AJ51" s="23">
        <f>IF(Distances!AJ48="N.C.",0,ROUNDUP(AJ5+'Délai intermédiaire'!AJ48/10,0))</f>
        <v>10</v>
      </c>
      <c r="AK51" s="23">
        <f>IF(Distances!AK48="N.C.",0,ROUNDUP(AK5+'Délai intermédiaire'!AK48/10,0))</f>
        <v>11</v>
      </c>
      <c r="AL51" s="23">
        <f>IF(Distances!AL48="N.C.",0,ROUNDUP(AL5+'Délai intermédiaire'!AL48/10,0))</f>
        <v>0</v>
      </c>
      <c r="AM51" s="23">
        <f>IF(Distances!AM48="N.C.",0,ROUNDUP(AM5+'Délai intermédiaire'!AM48/10,0))</f>
        <v>0</v>
      </c>
      <c r="AN51" s="23">
        <f>IF(Distances!AN48="N.C.",0,ROUNDUP(AN5+'Délai intermédiaire'!AN48/10,0))</f>
        <v>0</v>
      </c>
      <c r="AO51" s="22">
        <f>IF(Distances!AO48="N.C.",0,ROUNDUP(AO5+'Délai intermédiaire'!AO48/10,0))</f>
        <v>0</v>
      </c>
      <c r="AP51" s="22">
        <f>IF(Distances!AP48="N.C.",0,ROUNDUP(AP5+'Délai intermédiaire'!AP48/10,0))</f>
        <v>0</v>
      </c>
      <c r="AQ51" s="22">
        <f>IF(Distances!AQ48="N.C.",0,ROUNDUP(AQ5+'Délai intermédiaire'!AQ48/10,0))</f>
        <v>0</v>
      </c>
      <c r="AR51" s="23">
        <f>IF(Distances!AR48="N.C.",0,ROUNDUP(AR5+'Délai intermédiaire'!AR48/10,0))</f>
        <v>4</v>
      </c>
      <c r="AS51" s="23">
        <f>IF(Distances!AS48="N.C.",0,ROUNDUP(AS5+'Délai intermédiaire'!AS48/10,0))</f>
        <v>3</v>
      </c>
      <c r="AT51" s="24">
        <f>IF(Distances!AT48="N.C.",0,ROUNDUP(AT5+'Délai intermédiaire'!AT48/10,0))</f>
        <v>2</v>
      </c>
      <c r="AU51" s="23">
        <f>IF(Distances!AU48="N.C.",0,ROUNDUP(AU5+'Délai intermédiaire'!AU48/10,0))</f>
        <v>0</v>
      </c>
      <c r="AV51" s="23">
        <f>IF(Distances!AV48="N.C.",0,ROUNDUP(AV5+'Délai intermédiaire'!AV48/10,0))</f>
        <v>0</v>
      </c>
      <c r="AW51" s="23">
        <f>IF(Distances!AW48="N.C.",0,ROUNDUP(AW5+'Délai intermédiaire'!AW48/10,0))</f>
        <v>0</v>
      </c>
      <c r="AX51" s="23">
        <f>IF(Distances!AX48="N.C.",0,ROUNDUP(AX5+'Délai intermédiaire'!AX48/10,0))</f>
        <v>15</v>
      </c>
      <c r="AY51" s="22">
        <f>IF(Distances!AY48="N.C.",0,ROUNDUP(AY5+'Délai intermédiaire'!AY48/10,0))</f>
        <v>10</v>
      </c>
      <c r="AZ51" s="22">
        <f>IF(Distances!AZ48="N.C.",0,ROUNDUP(AZ5+'Délai intermédiaire'!AZ48/10,0))</f>
        <v>11</v>
      </c>
      <c r="BA51" s="24">
        <f>IF(Distances!BA48="N.C.",0,ROUNDUP(BA5+'Délai intermédiaire'!BA48/10,0))</f>
        <v>14</v>
      </c>
      <c r="BB51" s="22">
        <f>IF(Distances!BB48="N.C.",0,ROUNDUP(BB5+'Délai intermédiaire'!BB48/10,0))</f>
        <v>0</v>
      </c>
      <c r="BC51" s="23">
        <f>IF(Distances!BC48="N.C.",0,ROUNDUP(BC5+'Délai intermédiaire'!BC48/10,0))</f>
        <v>14</v>
      </c>
      <c r="BD51" s="23">
        <f>IF(Distances!BD48="N.C.",0,ROUNDUP(BD5+'Délai intermédiaire'!BD48/10,0))</f>
        <v>0</v>
      </c>
      <c r="BE51" s="23">
        <f>IF(Distances!BE48="N.C.",0,ROUNDUP(BE5+'Délai intermédiaire'!BE48/10,0))</f>
        <v>13</v>
      </c>
      <c r="BF51" s="22">
        <f>IF(Distances!BF48="N.C.",0,ROUNDUP(BF5+'Délai intermédiaire'!BF48/10,0))</f>
        <v>0</v>
      </c>
      <c r="BG51" s="22">
        <f>IF(Distances!BG48="N.C.",0,ROUNDUP(BG5+'Délai intermédiaire'!BG48/10,0))</f>
        <v>7</v>
      </c>
      <c r="BH51" s="22">
        <f>IF(Distances!BH48="N.C.",0,ROUNDUP(BH5+'Délai intermédiaire'!BH48/10,0))</f>
        <v>0</v>
      </c>
      <c r="BI51" s="22">
        <f>IF(Distances!BI48="N.C.",0,ROUNDUP(BI5+'Délai intermédiaire'!BI48/10,0))</f>
        <v>0</v>
      </c>
      <c r="BJ51" s="25">
        <f>IF(Distances!BJ48="N.C.",0,ROUNDUP(BJ5+'Délai intermédiaire'!BJ48/10,0))</f>
        <v>0</v>
      </c>
    </row>
    <row r="54" spans="1:62" ht="21" x14ac:dyDescent="0.3">
      <c r="A54" s="55" t="s">
        <v>134</v>
      </c>
      <c r="B54" s="56"/>
    </row>
    <row r="55" spans="1:62" ht="21" x14ac:dyDescent="0.3">
      <c r="A55" s="48"/>
      <c r="B55" s="48"/>
    </row>
    <row r="56" spans="1:62" x14ac:dyDescent="0.3">
      <c r="A56" s="44" t="s">
        <v>132</v>
      </c>
      <c r="B56" s="45">
        <v>1</v>
      </c>
      <c r="C56" s="46">
        <v>1</v>
      </c>
      <c r="D56" s="46">
        <v>1</v>
      </c>
      <c r="E56" s="46">
        <v>1</v>
      </c>
      <c r="F56" s="46">
        <v>1</v>
      </c>
      <c r="G56" s="46">
        <v>1</v>
      </c>
      <c r="H56" s="46">
        <v>1</v>
      </c>
      <c r="I56" s="46">
        <v>1</v>
      </c>
      <c r="J56" s="46">
        <v>2</v>
      </c>
      <c r="K56" s="46">
        <v>2</v>
      </c>
      <c r="L56" s="46">
        <v>2</v>
      </c>
      <c r="M56" s="46">
        <v>2</v>
      </c>
      <c r="N56" s="46">
        <v>2</v>
      </c>
      <c r="O56" s="46">
        <v>2</v>
      </c>
      <c r="P56" s="46">
        <v>2</v>
      </c>
      <c r="Q56" s="46">
        <v>1</v>
      </c>
      <c r="R56" s="46">
        <v>1</v>
      </c>
      <c r="S56" s="46">
        <v>1</v>
      </c>
      <c r="T56" s="46">
        <v>1</v>
      </c>
      <c r="U56" s="46">
        <v>1</v>
      </c>
      <c r="V56" s="46">
        <v>1</v>
      </c>
      <c r="W56" s="46">
        <v>1</v>
      </c>
      <c r="X56" s="46">
        <v>1</v>
      </c>
      <c r="Y56" s="46">
        <v>1</v>
      </c>
      <c r="Z56" s="46">
        <v>2</v>
      </c>
      <c r="AA56" s="46">
        <v>2</v>
      </c>
      <c r="AB56" s="46">
        <v>1</v>
      </c>
      <c r="AC56" s="46">
        <v>1</v>
      </c>
      <c r="AD56" s="46">
        <v>2</v>
      </c>
      <c r="AE56" s="46">
        <v>2</v>
      </c>
      <c r="AF56" s="46">
        <v>1</v>
      </c>
      <c r="AG56" s="46">
        <v>2</v>
      </c>
      <c r="AH56" s="46">
        <v>2</v>
      </c>
      <c r="AI56" s="46">
        <v>2</v>
      </c>
      <c r="AJ56" s="46">
        <v>2</v>
      </c>
      <c r="AK56" s="46">
        <v>2</v>
      </c>
      <c r="AL56" s="46">
        <v>1</v>
      </c>
      <c r="AM56" s="46">
        <v>1</v>
      </c>
      <c r="AN56" s="46">
        <v>1</v>
      </c>
      <c r="AO56" s="46">
        <v>2</v>
      </c>
      <c r="AP56" s="46">
        <v>2</v>
      </c>
      <c r="AQ56" s="46">
        <v>2</v>
      </c>
      <c r="AR56" s="46">
        <v>2</v>
      </c>
      <c r="AS56" s="46">
        <v>2</v>
      </c>
      <c r="AT56" s="46">
        <v>2</v>
      </c>
      <c r="AU56" s="46">
        <v>2</v>
      </c>
      <c r="AV56" s="46">
        <v>3</v>
      </c>
      <c r="AW56" s="46">
        <v>3</v>
      </c>
      <c r="AX56" s="46">
        <v>3</v>
      </c>
      <c r="AY56" s="46">
        <v>2</v>
      </c>
      <c r="AZ56" s="46">
        <v>2</v>
      </c>
      <c r="BA56" s="46">
        <v>2</v>
      </c>
      <c r="BB56" s="46">
        <v>2</v>
      </c>
      <c r="BC56" s="46">
        <v>2</v>
      </c>
      <c r="BD56" s="46">
        <v>2</v>
      </c>
      <c r="BE56" s="46">
        <v>2</v>
      </c>
      <c r="BF56" s="46">
        <v>2</v>
      </c>
      <c r="BG56" s="46">
        <v>2</v>
      </c>
      <c r="BH56" s="46">
        <v>2</v>
      </c>
      <c r="BI56" s="46">
        <v>2</v>
      </c>
      <c r="BJ56" s="47">
        <v>2</v>
      </c>
    </row>
    <row r="57" spans="1:62" x14ac:dyDescent="0.3">
      <c r="A57" s="1" t="s">
        <v>66</v>
      </c>
      <c r="B57" s="2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  <c r="K57" s="3" t="s">
        <v>10</v>
      </c>
      <c r="L57" s="3" t="s">
        <v>11</v>
      </c>
      <c r="M57" s="3" t="s">
        <v>12</v>
      </c>
      <c r="N57" s="3" t="s">
        <v>13</v>
      </c>
      <c r="O57" s="3" t="s">
        <v>14</v>
      </c>
      <c r="P57" s="3" t="s">
        <v>15</v>
      </c>
      <c r="Q57" s="3" t="s">
        <v>16</v>
      </c>
      <c r="R57" s="3" t="s">
        <v>17</v>
      </c>
      <c r="S57" s="3" t="s">
        <v>18</v>
      </c>
      <c r="T57" s="3" t="s">
        <v>19</v>
      </c>
      <c r="U57" s="3" t="s">
        <v>20</v>
      </c>
      <c r="V57" s="3" t="s">
        <v>21</v>
      </c>
      <c r="W57" s="3" t="s">
        <v>22</v>
      </c>
      <c r="X57" s="3" t="s">
        <v>23</v>
      </c>
      <c r="Y57" s="3" t="s">
        <v>24</v>
      </c>
      <c r="Z57" s="3" t="s">
        <v>25</v>
      </c>
      <c r="AA57" s="3" t="s">
        <v>26</v>
      </c>
      <c r="AB57" s="3" t="s">
        <v>27</v>
      </c>
      <c r="AC57" s="3" t="s">
        <v>28</v>
      </c>
      <c r="AD57" s="3" t="s">
        <v>29</v>
      </c>
      <c r="AE57" s="3" t="s">
        <v>30</v>
      </c>
      <c r="AF57" s="3" t="s">
        <v>31</v>
      </c>
      <c r="AG57" s="3" t="s">
        <v>133</v>
      </c>
      <c r="AH57" s="3" t="s">
        <v>33</v>
      </c>
      <c r="AI57" s="3" t="s">
        <v>34</v>
      </c>
      <c r="AJ57" s="3" t="s">
        <v>35</v>
      </c>
      <c r="AK57" s="3" t="s">
        <v>36</v>
      </c>
      <c r="AL57" s="3" t="s">
        <v>37</v>
      </c>
      <c r="AM57" s="3" t="s">
        <v>38</v>
      </c>
      <c r="AN57" s="3" t="s">
        <v>39</v>
      </c>
      <c r="AO57" s="3" t="s">
        <v>40</v>
      </c>
      <c r="AP57" s="3" t="s">
        <v>41</v>
      </c>
      <c r="AQ57" s="3" t="s">
        <v>42</v>
      </c>
      <c r="AR57" s="3" t="s">
        <v>43</v>
      </c>
      <c r="AS57" s="3" t="s">
        <v>44</v>
      </c>
      <c r="AT57" s="3" t="s">
        <v>45</v>
      </c>
      <c r="AU57" s="3" t="s">
        <v>46</v>
      </c>
      <c r="AV57" s="3" t="s">
        <v>47</v>
      </c>
      <c r="AW57" s="3" t="s">
        <v>48</v>
      </c>
      <c r="AX57" s="3" t="s">
        <v>49</v>
      </c>
      <c r="AY57" s="3" t="s">
        <v>50</v>
      </c>
      <c r="AZ57" s="3" t="s">
        <v>51</v>
      </c>
      <c r="BA57" s="3" t="s">
        <v>52</v>
      </c>
      <c r="BB57" s="3" t="s">
        <v>53</v>
      </c>
      <c r="BC57" s="3" t="s">
        <v>54</v>
      </c>
      <c r="BD57" s="3" t="s">
        <v>55</v>
      </c>
      <c r="BE57" s="3" t="s">
        <v>56</v>
      </c>
      <c r="BF57" s="3" t="s">
        <v>57</v>
      </c>
      <c r="BG57" s="3" t="s">
        <v>58</v>
      </c>
      <c r="BH57" s="3" t="s">
        <v>59</v>
      </c>
      <c r="BI57" s="3" t="s">
        <v>60</v>
      </c>
      <c r="BJ57" s="4" t="s">
        <v>61</v>
      </c>
    </row>
    <row r="58" spans="1:62" x14ac:dyDescent="0.3">
      <c r="A58" s="5" t="s">
        <v>1</v>
      </c>
      <c r="B58" s="6">
        <f>IF(Distances!B54="N.C.",0,ROUNDUP(B56+'Délai intermédiaire'!B54/24,0))</f>
        <v>1</v>
      </c>
      <c r="C58" s="7">
        <f>IF(Distances!C54="N.C.",0,ROUNDUP(C56+'Délai intermédiaire'!C54/24,0))</f>
        <v>3</v>
      </c>
      <c r="D58" s="7">
        <f>IF(Distances!D54="N.C.",0,ROUNDUP(D56+'Délai intermédiaire'!D54/24,0))</f>
        <v>4</v>
      </c>
      <c r="E58" s="7">
        <f>IF(Distances!E54="N.C.",0,ROUNDUP(E56+'Délai intermédiaire'!E54/24,0))</f>
        <v>3</v>
      </c>
      <c r="F58" s="7">
        <f>IF(Distances!F54="N.C.",0,ROUNDUP(F56+'Délai intermédiaire'!F54/24,0))</f>
        <v>2</v>
      </c>
      <c r="G58" s="7">
        <f>IF(Distances!G54="N.C.",0,ROUNDUP(G56+'Délai intermédiaire'!G54/24,0))</f>
        <v>4</v>
      </c>
      <c r="H58" s="7">
        <f>IF(Distances!H54="N.C.",0,ROUNDUP(H56+'Délai intermédiaire'!H54/24,0))</f>
        <v>5</v>
      </c>
      <c r="I58" s="7">
        <f>IF(Distances!I54="N.C.",0,ROUNDUP(I56+'Délai intermédiaire'!I54/24,0))</f>
        <v>5</v>
      </c>
      <c r="J58" s="7">
        <f>IF(Distances!J54="N.C.",0,ROUNDUP(J56+'Délai intermédiaire'!J54/24,0))</f>
        <v>4</v>
      </c>
      <c r="K58" s="7">
        <f>IF(Distances!K54="N.C.",0,ROUNDUP(K56+'Délai intermédiaire'!K54/24,0))</f>
        <v>4</v>
      </c>
      <c r="L58" s="7">
        <f>IF(Distances!L54="N.C.",0,ROUNDUP(L56+'Délai intermédiaire'!L54/24,0))</f>
        <v>6</v>
      </c>
      <c r="M58" s="7">
        <f>IF(Distances!M54="N.C.",0,ROUNDUP(M56+'Délai intermédiaire'!M54/24,0))</f>
        <v>6</v>
      </c>
      <c r="N58" s="7">
        <f>IF(Distances!N54="N.C.",0,ROUNDUP(N56+'Délai intermédiaire'!N54/24,0))</f>
        <v>0</v>
      </c>
      <c r="O58" s="8">
        <f>IF(Distances!O54="N.C.",0,ROUNDUP(O56+'Délai intermédiaire'!O54/24,0))</f>
        <v>0</v>
      </c>
      <c r="P58" s="8">
        <f>IF(Distances!P54="N.C.",0,ROUNDUP(P56+'Délai intermédiaire'!P54/24,0))</f>
        <v>0</v>
      </c>
      <c r="Q58" s="8">
        <f>IF(Distances!Q54="N.C.",0,ROUNDUP(Q56+'Délai intermédiaire'!Q54/24,0))</f>
        <v>0</v>
      </c>
      <c r="R58" s="8">
        <f>IF(Distances!R54="N.C.",0,ROUNDUP(R56+'Délai intermédiaire'!R54/24,0))</f>
        <v>0</v>
      </c>
      <c r="S58" s="8">
        <f>IF(Distances!S54="N.C.",0,ROUNDUP(S56+'Délai intermédiaire'!S54/24,0))</f>
        <v>0</v>
      </c>
      <c r="T58" s="8">
        <f>IF(Distances!T54="N.C.",0,ROUNDUP(T56+'Délai intermédiaire'!T54/24,0))</f>
        <v>0</v>
      </c>
      <c r="U58" s="8">
        <f>IF(Distances!U54="N.C.",0,ROUNDUP(U56+'Délai intermédiaire'!U54/24,0))</f>
        <v>0</v>
      </c>
      <c r="V58" s="8">
        <f>IF(Distances!V54="N.C.",0,ROUNDUP(V56+'Délai intermédiaire'!V54/24,0))</f>
        <v>0</v>
      </c>
      <c r="W58" s="8">
        <f>IF(Distances!W54="N.C.",0,ROUNDUP(W56+'Délai intermédiaire'!W54/24,0))</f>
        <v>0</v>
      </c>
      <c r="X58" s="8">
        <f>IF(Distances!X54="N.C.",0,ROUNDUP(X56+'Délai intermédiaire'!X54/24,0))</f>
        <v>0</v>
      </c>
      <c r="Y58" s="8">
        <f>IF(Distances!Y54="N.C.",0,ROUNDUP(Y56+'Délai intermédiaire'!Y54/24,0))</f>
        <v>0</v>
      </c>
      <c r="Z58" s="8">
        <f>IF(Distances!Z54="N.C.",0,ROUNDUP(Z56+'Délai intermédiaire'!Z54/24,0))</f>
        <v>0</v>
      </c>
      <c r="AA58" s="8">
        <f>IF(Distances!AA54="N.C.",0,ROUNDUP(AA56+'Délai intermédiaire'!AA54/24,0))</f>
        <v>0</v>
      </c>
      <c r="AB58" s="8">
        <f>IF(Distances!AB54="N.C.",0,ROUNDUP(AB56+'Délai intermédiaire'!AB54/24,0))</f>
        <v>0</v>
      </c>
      <c r="AC58" s="8">
        <f>IF(Distances!AC54="N.C.",0,ROUNDUP(AC56+'Délai intermédiaire'!AC54/24,0))</f>
        <v>0</v>
      </c>
      <c r="AD58" s="8">
        <f>IF(Distances!AD54="N.C.",0,ROUNDUP(AD56+'Délai intermédiaire'!AD54/24,0))</f>
        <v>0</v>
      </c>
      <c r="AE58" s="8">
        <f>IF(Distances!AE54="N.C.",0,ROUNDUP(AE56+'Délai intermédiaire'!AE54/24,0))</f>
        <v>0</v>
      </c>
      <c r="AF58" s="8">
        <f>IF(Distances!AF54="N.C.",0,ROUNDUP(AF56+'Délai intermédiaire'!AF54/24,0))</f>
        <v>0</v>
      </c>
      <c r="AG58" s="8">
        <f>IF(Distances!AG54="N.C.",0,ROUNDUP(AG56+'Délai intermédiaire'!AG54/24,0))</f>
        <v>0</v>
      </c>
      <c r="AH58" s="8">
        <f>IF(Distances!AH54="N.C.",0,ROUNDUP(AH56+'Délai intermédiaire'!AH54/24,0))</f>
        <v>0</v>
      </c>
      <c r="AI58" s="8">
        <f>IF(Distances!AI54="N.C.",0,ROUNDUP(AI56+'Délai intermédiaire'!AI54/24,0))</f>
        <v>0</v>
      </c>
      <c r="AJ58" s="8">
        <f>IF(Distances!AJ54="N.C.",0,ROUNDUP(AJ56+'Délai intermédiaire'!AJ54/24,0))</f>
        <v>0</v>
      </c>
      <c r="AK58" s="8">
        <f>IF(Distances!AK54="N.C.",0,ROUNDUP(AK56+'Délai intermédiaire'!AK54/24,0))</f>
        <v>0</v>
      </c>
      <c r="AL58" s="8">
        <f>IF(Distances!AL54="N.C.",0,ROUNDUP(AL56+'Délai intermédiaire'!AL54/24,0))</f>
        <v>0</v>
      </c>
      <c r="AM58" s="8">
        <f>IF(Distances!AM54="N.C.",0,ROUNDUP(AM56+'Délai intermédiaire'!AM54/24,0))</f>
        <v>0</v>
      </c>
      <c r="AN58" s="8">
        <f>IF(Distances!AN54="N.C.",0,ROUNDUP(AN56+'Délai intermédiaire'!AN54/24,0))</f>
        <v>0</v>
      </c>
      <c r="AO58" s="8">
        <f>IF(Distances!AO54="N.C.",0,ROUNDUP(AO56+'Délai intermédiaire'!AO54/24,0))</f>
        <v>0</v>
      </c>
      <c r="AP58" s="8">
        <f>IF(Distances!AP54="N.C.",0,ROUNDUP(AP56+'Délai intermédiaire'!AP54/24,0))</f>
        <v>0</v>
      </c>
      <c r="AQ58" s="8">
        <f>IF(Distances!AQ54="N.C.",0,ROUNDUP(AQ56+'Délai intermédiaire'!AQ54/24,0))</f>
        <v>0</v>
      </c>
      <c r="AR58" s="8">
        <f>IF(Distances!AR54="N.C.",0,ROUNDUP(AR56+'Délai intermédiaire'!AR54/24,0))</f>
        <v>0</v>
      </c>
      <c r="AS58" s="8">
        <f>IF(Distances!AS54="N.C.",0,ROUNDUP(AS56+'Délai intermédiaire'!AS54/24,0))</f>
        <v>0</v>
      </c>
      <c r="AT58" s="8">
        <f>IF(Distances!AT54="N.C.",0,ROUNDUP(AT56+'Délai intermédiaire'!AT54/24,0))</f>
        <v>0</v>
      </c>
      <c r="AU58" s="8">
        <f>IF(Distances!AU54="N.C.",0,ROUNDUP(AU56+'Délai intermédiaire'!AU54/24,0))</f>
        <v>0</v>
      </c>
      <c r="AV58" s="8">
        <f>IF(Distances!AV54="N.C.",0,ROUNDUP(AV56+'Délai intermédiaire'!AV54/24,0))</f>
        <v>0</v>
      </c>
      <c r="AW58" s="8">
        <f>IF(Distances!AW54="N.C.",0,ROUNDUP(AW56+'Délai intermédiaire'!AW54/24,0))</f>
        <v>0</v>
      </c>
      <c r="AX58" s="8">
        <f>IF(Distances!AX54="N.C.",0,ROUNDUP(AX56+'Délai intermédiaire'!AX54/24,0))</f>
        <v>0</v>
      </c>
      <c r="AY58" s="8">
        <f>IF(Distances!AY54="N.C.",0,ROUNDUP(AY56+'Délai intermédiaire'!AY54/24,0))</f>
        <v>0</v>
      </c>
      <c r="AZ58" s="8">
        <f>IF(Distances!AZ54="N.C.",0,ROUNDUP(AZ56+'Délai intermédiaire'!AZ54/24,0))</f>
        <v>0</v>
      </c>
      <c r="BA58" s="8">
        <f>IF(Distances!BA54="N.C.",0,ROUNDUP(BA56+'Délai intermédiaire'!BA54/24,0))</f>
        <v>0</v>
      </c>
      <c r="BB58" s="8">
        <f>IF(Distances!BB54="N.C.",0,ROUNDUP(BB56+'Délai intermédiaire'!BB54/24,0))</f>
        <v>0</v>
      </c>
      <c r="BC58" s="8">
        <f>IF(Distances!BC54="N.C.",0,ROUNDUP(BC56+'Délai intermédiaire'!BC54/24,0))</f>
        <v>0</v>
      </c>
      <c r="BD58" s="8">
        <f>IF(Distances!BD54="N.C.",0,ROUNDUP(BD56+'Délai intermédiaire'!BD54/24,0))</f>
        <v>0</v>
      </c>
      <c r="BE58" s="8">
        <f>IF(Distances!BE54="N.C.",0,ROUNDUP(BE56+'Délai intermédiaire'!BE54/24,0))</f>
        <v>0</v>
      </c>
      <c r="BF58" s="8">
        <f>IF(Distances!BF54="N.C.",0,ROUNDUP(BF56+'Délai intermédiaire'!BF54/24,0))</f>
        <v>0</v>
      </c>
      <c r="BG58" s="8">
        <f>IF(Distances!BG54="N.C.",0,ROUNDUP(BG56+'Délai intermédiaire'!BG54/24,0))</f>
        <v>0</v>
      </c>
      <c r="BH58" s="8">
        <f>IF(Distances!BH54="N.C.",0,ROUNDUP(BH56+'Délai intermédiaire'!BH54/24,0))</f>
        <v>0</v>
      </c>
      <c r="BI58" s="8">
        <f>IF(Distances!BI54="N.C.",0,ROUNDUP(BI56+'Délai intermédiaire'!BI54/24,0))</f>
        <v>0</v>
      </c>
      <c r="BJ58" s="9">
        <f>IF(Distances!BJ54="N.C.",0,ROUNDUP(BJ56+'Délai intermédiaire'!BJ54/24,0))</f>
        <v>0</v>
      </c>
    </row>
    <row r="59" spans="1:62" x14ac:dyDescent="0.3">
      <c r="A59" s="10" t="s">
        <v>2</v>
      </c>
      <c r="B59" s="11">
        <f>IF(Distances!B55="N.C.",0,ROUNDUP(B56+'Délai intermédiaire'!B55/24,0))</f>
        <v>3</v>
      </c>
      <c r="C59" s="12">
        <f>IF(Distances!C55="N.C.",0,ROUNDUP(C56+'Délai intermédiaire'!C55/24,0))</f>
        <v>1</v>
      </c>
      <c r="D59" s="13">
        <f>IF(Distances!D55="N.C.",0,ROUNDUP(D56+'Délai intermédiaire'!D55/24,0))</f>
        <v>3</v>
      </c>
      <c r="E59" s="13">
        <f>IF(Distances!E55="N.C.",0,ROUNDUP(E56+'Délai intermédiaire'!E55/24,0))</f>
        <v>2</v>
      </c>
      <c r="F59" s="13">
        <f>IF(Distances!F55="N.C.",0,ROUNDUP(F56+'Délai intermédiaire'!F55/24,0))</f>
        <v>3</v>
      </c>
      <c r="G59" s="13">
        <f>IF(Distances!G55="N.C.",0,ROUNDUP(G56+'Délai intermédiaire'!G55/24,0))</f>
        <v>0</v>
      </c>
      <c r="H59" s="13">
        <f>IF(Distances!H55="N.C.",0,ROUNDUP(H56+'Délai intermédiaire'!H55/24,0))</f>
        <v>4</v>
      </c>
      <c r="I59" s="13">
        <f>IF(Distances!I55="N.C.",0,ROUNDUP(I56+'Délai intermédiaire'!I55/24,0))</f>
        <v>3</v>
      </c>
      <c r="J59" s="13">
        <f>IF(Distances!J55="N.C.",0,ROUNDUP(J56+'Délai intermédiaire'!J55/24,0))</f>
        <v>4</v>
      </c>
      <c r="K59" s="13">
        <f>IF(Distances!K55="N.C.",0,ROUNDUP(K56+'Délai intermédiaire'!K55/24,0))</f>
        <v>4</v>
      </c>
      <c r="L59" s="13">
        <f>IF(Distances!L55="N.C.",0,ROUNDUP(L56+'Délai intermédiaire'!L55/24,0))</f>
        <v>5</v>
      </c>
      <c r="M59" s="13">
        <f>IF(Distances!M55="N.C.",0,ROUNDUP(M56+'Délai intermédiaire'!M55/24,0))</f>
        <v>5</v>
      </c>
      <c r="N59" s="13">
        <f>IF(Distances!N55="N.C.",0,ROUNDUP(N56+'Délai intermédiaire'!N55/24,0))</f>
        <v>0</v>
      </c>
      <c r="O59" s="14">
        <f>IF(Distances!O55="N.C.",0,ROUNDUP(O56+'Délai intermédiaire'!O55/24,0))</f>
        <v>0</v>
      </c>
      <c r="P59" s="14">
        <f>IF(Distances!P55="N.C.",0,ROUNDUP(P56+'Délai intermédiaire'!P55/24,0))</f>
        <v>0</v>
      </c>
      <c r="Q59" s="14">
        <f>IF(Distances!Q55="N.C.",0,ROUNDUP(Q56+'Délai intermédiaire'!Q55/24,0))</f>
        <v>0</v>
      </c>
      <c r="R59" s="14">
        <f>IF(Distances!R55="N.C.",0,ROUNDUP(R56+'Délai intermédiaire'!R55/24,0))</f>
        <v>0</v>
      </c>
      <c r="S59" s="14">
        <f>IF(Distances!S55="N.C.",0,ROUNDUP(S56+'Délai intermédiaire'!S55/24,0))</f>
        <v>0</v>
      </c>
      <c r="T59" s="14">
        <f>IF(Distances!T55="N.C.",0,ROUNDUP(T56+'Délai intermédiaire'!T55/24,0))</f>
        <v>0</v>
      </c>
      <c r="U59" s="14">
        <f>IF(Distances!U55="N.C.",0,ROUNDUP(U56+'Délai intermédiaire'!U55/24,0))</f>
        <v>0</v>
      </c>
      <c r="V59" s="14">
        <f>IF(Distances!V55="N.C.",0,ROUNDUP(V56+'Délai intermédiaire'!V55/24,0))</f>
        <v>0</v>
      </c>
      <c r="W59" s="14">
        <f>IF(Distances!W55="N.C.",0,ROUNDUP(W56+'Délai intermédiaire'!W55/24,0))</f>
        <v>0</v>
      </c>
      <c r="X59" s="14">
        <f>IF(Distances!X55="N.C.",0,ROUNDUP(X56+'Délai intermédiaire'!X55/24,0))</f>
        <v>0</v>
      </c>
      <c r="Y59" s="14">
        <f>IF(Distances!Y55="N.C.",0,ROUNDUP(Y56+'Délai intermédiaire'!Y55/24,0))</f>
        <v>0</v>
      </c>
      <c r="Z59" s="14">
        <f>IF(Distances!Z55="N.C.",0,ROUNDUP(Z56+'Délai intermédiaire'!Z55/24,0))</f>
        <v>0</v>
      </c>
      <c r="AA59" s="14">
        <f>IF(Distances!AA55="N.C.",0,ROUNDUP(AA56+'Délai intermédiaire'!AA55/24,0))</f>
        <v>0</v>
      </c>
      <c r="AB59" s="14">
        <f>IF(Distances!AB55="N.C.",0,ROUNDUP(AB56+'Délai intermédiaire'!AB55/24,0))</f>
        <v>0</v>
      </c>
      <c r="AC59" s="14">
        <f>IF(Distances!AC55="N.C.",0,ROUNDUP(AC56+'Délai intermédiaire'!AC55/24,0))</f>
        <v>0</v>
      </c>
      <c r="AD59" s="14">
        <f>IF(Distances!AD55="N.C.",0,ROUNDUP(AD56+'Délai intermédiaire'!AD55/24,0))</f>
        <v>0</v>
      </c>
      <c r="AE59" s="14">
        <f>IF(Distances!AE55="N.C.",0,ROUNDUP(AE56+'Délai intermédiaire'!AE55/24,0))</f>
        <v>0</v>
      </c>
      <c r="AF59" s="14">
        <f>IF(Distances!AF55="N.C.",0,ROUNDUP(AF56+'Délai intermédiaire'!AF55/24,0))</f>
        <v>0</v>
      </c>
      <c r="AG59" s="14">
        <f>IF(Distances!AG55="N.C.",0,ROUNDUP(AG56+'Délai intermédiaire'!AG55/24,0))</f>
        <v>0</v>
      </c>
      <c r="AH59" s="14">
        <f>IF(Distances!AH55="N.C.",0,ROUNDUP(AH56+'Délai intermédiaire'!AH55/24,0))</f>
        <v>0</v>
      </c>
      <c r="AI59" s="14">
        <f>IF(Distances!AI55="N.C.",0,ROUNDUP(AI56+'Délai intermédiaire'!AI55/24,0))</f>
        <v>0</v>
      </c>
      <c r="AJ59" s="14">
        <f>IF(Distances!AJ55="N.C.",0,ROUNDUP(AJ56+'Délai intermédiaire'!AJ55/24,0))</f>
        <v>0</v>
      </c>
      <c r="AK59" s="14">
        <f>IF(Distances!AK55="N.C.",0,ROUNDUP(AK56+'Délai intermédiaire'!AK55/24,0))</f>
        <v>0</v>
      </c>
      <c r="AL59" s="14">
        <f>IF(Distances!AL55="N.C.",0,ROUNDUP(AL56+'Délai intermédiaire'!AL55/24,0))</f>
        <v>0</v>
      </c>
      <c r="AM59" s="14">
        <f>IF(Distances!AM55="N.C.",0,ROUNDUP(AM56+'Délai intermédiaire'!AM55/24,0))</f>
        <v>0</v>
      </c>
      <c r="AN59" s="14">
        <f>IF(Distances!AN55="N.C.",0,ROUNDUP(AN56+'Délai intermédiaire'!AN55/24,0))</f>
        <v>0</v>
      </c>
      <c r="AO59" s="14">
        <f>IF(Distances!AO55="N.C.",0,ROUNDUP(AO56+'Délai intermédiaire'!AO55/24,0))</f>
        <v>0</v>
      </c>
      <c r="AP59" s="14">
        <f>IF(Distances!AP55="N.C.",0,ROUNDUP(AP56+'Délai intermédiaire'!AP55/24,0))</f>
        <v>0</v>
      </c>
      <c r="AQ59" s="14">
        <f>IF(Distances!AQ55="N.C.",0,ROUNDUP(AQ56+'Délai intermédiaire'!AQ55/24,0))</f>
        <v>0</v>
      </c>
      <c r="AR59" s="14">
        <f>IF(Distances!AR55="N.C.",0,ROUNDUP(AR56+'Délai intermédiaire'!AR55/24,0))</f>
        <v>0</v>
      </c>
      <c r="AS59" s="14">
        <f>IF(Distances!AS55="N.C.",0,ROUNDUP(AS56+'Délai intermédiaire'!AS55/24,0))</f>
        <v>0</v>
      </c>
      <c r="AT59" s="14">
        <f>IF(Distances!AT55="N.C.",0,ROUNDUP(AT56+'Délai intermédiaire'!AT55/24,0))</f>
        <v>0</v>
      </c>
      <c r="AU59" s="14">
        <f>IF(Distances!AU55="N.C.",0,ROUNDUP(AU56+'Délai intermédiaire'!AU55/24,0))</f>
        <v>0</v>
      </c>
      <c r="AV59" s="14">
        <f>IF(Distances!AV55="N.C.",0,ROUNDUP(AV56+'Délai intermédiaire'!AV55/24,0))</f>
        <v>0</v>
      </c>
      <c r="AW59" s="14">
        <f>IF(Distances!AW55="N.C.",0,ROUNDUP(AW56+'Délai intermédiaire'!AW55/24,0))</f>
        <v>0</v>
      </c>
      <c r="AX59" s="14">
        <f>IF(Distances!AX55="N.C.",0,ROUNDUP(AX56+'Délai intermédiaire'!AX55/24,0))</f>
        <v>0</v>
      </c>
      <c r="AY59" s="14">
        <f>IF(Distances!AY55="N.C.",0,ROUNDUP(AY56+'Délai intermédiaire'!AY55/24,0))</f>
        <v>0</v>
      </c>
      <c r="AZ59" s="14">
        <f>IF(Distances!AZ55="N.C.",0,ROUNDUP(AZ56+'Délai intermédiaire'!AZ55/24,0))</f>
        <v>0</v>
      </c>
      <c r="BA59" s="14">
        <f>IF(Distances!BA55="N.C.",0,ROUNDUP(BA56+'Délai intermédiaire'!BA55/24,0))</f>
        <v>0</v>
      </c>
      <c r="BB59" s="14">
        <f>IF(Distances!BB55="N.C.",0,ROUNDUP(BB56+'Délai intermédiaire'!BB55/24,0))</f>
        <v>0</v>
      </c>
      <c r="BC59" s="14">
        <f>IF(Distances!BC55="N.C.",0,ROUNDUP(BC56+'Délai intermédiaire'!BC55/24,0))</f>
        <v>0</v>
      </c>
      <c r="BD59" s="14">
        <f>IF(Distances!BD55="N.C.",0,ROUNDUP(BD56+'Délai intermédiaire'!BD55/24,0))</f>
        <v>0</v>
      </c>
      <c r="BE59" s="14">
        <f>IF(Distances!BE55="N.C.",0,ROUNDUP(BE56+'Délai intermédiaire'!BE55/24,0))</f>
        <v>0</v>
      </c>
      <c r="BF59" s="14">
        <f>IF(Distances!BF55="N.C.",0,ROUNDUP(BF56+'Délai intermédiaire'!BF55/24,0))</f>
        <v>0</v>
      </c>
      <c r="BG59" s="14">
        <f>IF(Distances!BG55="N.C.",0,ROUNDUP(BG56+'Délai intermédiaire'!BG55/24,0))</f>
        <v>0</v>
      </c>
      <c r="BH59" s="14">
        <f>IF(Distances!BH55="N.C.",0,ROUNDUP(BH56+'Délai intermédiaire'!BH55/24,0))</f>
        <v>0</v>
      </c>
      <c r="BI59" s="14">
        <f>IF(Distances!BI55="N.C.",0,ROUNDUP(BI56+'Délai intermédiaire'!BI55/24,0))</f>
        <v>0</v>
      </c>
      <c r="BJ59" s="15">
        <f>IF(Distances!BJ55="N.C.",0,ROUNDUP(BJ56+'Délai intermédiaire'!BJ55/24,0))</f>
        <v>0</v>
      </c>
    </row>
    <row r="60" spans="1:62" x14ac:dyDescent="0.3">
      <c r="A60" s="10" t="s">
        <v>3</v>
      </c>
      <c r="B60" s="11">
        <f>IF(Distances!B56="N.C.",0,ROUNDUP(B56+'Délai intermédiaire'!B56/24,0))</f>
        <v>4</v>
      </c>
      <c r="C60" s="13">
        <f>IF(Distances!C56="N.C.",0,ROUNDUP(C56+'Délai intermédiaire'!C56/24,0))</f>
        <v>3</v>
      </c>
      <c r="D60" s="12">
        <f>IF(Distances!D56="N.C.",0,ROUNDUP(D56+'Délai intermédiaire'!D56/24,0))</f>
        <v>1</v>
      </c>
      <c r="E60" s="13">
        <f>IF(Distances!E56="N.C.",0,ROUNDUP(E56+'Délai intermédiaire'!E56/24,0))</f>
        <v>2</v>
      </c>
      <c r="F60" s="13">
        <f>IF(Distances!F56="N.C.",0,ROUNDUP(F56+'Délai intermédiaire'!F56/24,0))</f>
        <v>3</v>
      </c>
      <c r="G60" s="13">
        <f>IF(Distances!G56="N.C.",0,ROUNDUP(G56+'Délai intermédiaire'!G56/24,0))</f>
        <v>0</v>
      </c>
      <c r="H60" s="13">
        <f>IF(Distances!H56="N.C.",0,ROUNDUP(H56+'Délai intermédiaire'!H56/24,0))</f>
        <v>3</v>
      </c>
      <c r="I60" s="13">
        <f>IF(Distances!I56="N.C.",0,ROUNDUP(I56+'Délai intermédiaire'!I56/24,0))</f>
        <v>0</v>
      </c>
      <c r="J60" s="13">
        <f>IF(Distances!J56="N.C.",0,ROUNDUP(J56+'Délai intermédiaire'!J56/24,0))</f>
        <v>3</v>
      </c>
      <c r="K60" s="13">
        <f>IF(Distances!K56="N.C.",0,ROUNDUP(K56+'Délai intermédiaire'!K56/24,0))</f>
        <v>4</v>
      </c>
      <c r="L60" s="13">
        <f>IF(Distances!L56="N.C.",0,ROUNDUP(L56+'Délai intermédiaire'!L56/24,0))</f>
        <v>4</v>
      </c>
      <c r="M60" s="13">
        <f>IF(Distances!M56="N.C.",0,ROUNDUP(M56+'Délai intermédiaire'!M56/24,0))</f>
        <v>4</v>
      </c>
      <c r="N60" s="13">
        <f>IF(Distances!N56="N.C.",0,ROUNDUP(N56+'Délai intermédiaire'!N56/24,0))</f>
        <v>0</v>
      </c>
      <c r="O60" s="14">
        <f>IF(Distances!O56="N.C.",0,ROUNDUP(O56+'Délai intermédiaire'!O56/24,0))</f>
        <v>0</v>
      </c>
      <c r="P60" s="14">
        <f>IF(Distances!P56="N.C.",0,ROUNDUP(P56+'Délai intermédiaire'!P56/24,0))</f>
        <v>0</v>
      </c>
      <c r="Q60" s="14">
        <f>IF(Distances!Q56="N.C.",0,ROUNDUP(Q56+'Délai intermédiaire'!Q56/24,0))</f>
        <v>0</v>
      </c>
      <c r="R60" s="14">
        <f>IF(Distances!R56="N.C.",0,ROUNDUP(R56+'Délai intermédiaire'!R56/24,0))</f>
        <v>0</v>
      </c>
      <c r="S60" s="14">
        <f>IF(Distances!S56="N.C.",0,ROUNDUP(S56+'Délai intermédiaire'!S56/24,0))</f>
        <v>0</v>
      </c>
      <c r="T60" s="14">
        <f>IF(Distances!T56="N.C.",0,ROUNDUP(T56+'Délai intermédiaire'!T56/24,0))</f>
        <v>0</v>
      </c>
      <c r="U60" s="14">
        <f>IF(Distances!U56="N.C.",0,ROUNDUP(U56+'Délai intermédiaire'!U56/24,0))</f>
        <v>0</v>
      </c>
      <c r="V60" s="14">
        <f>IF(Distances!V56="N.C.",0,ROUNDUP(V56+'Délai intermédiaire'!V56/24,0))</f>
        <v>0</v>
      </c>
      <c r="W60" s="14">
        <f>IF(Distances!W56="N.C.",0,ROUNDUP(W56+'Délai intermédiaire'!W56/24,0))</f>
        <v>0</v>
      </c>
      <c r="X60" s="14">
        <f>IF(Distances!X56="N.C.",0,ROUNDUP(X56+'Délai intermédiaire'!X56/24,0))</f>
        <v>0</v>
      </c>
      <c r="Y60" s="14">
        <f>IF(Distances!Y56="N.C.",0,ROUNDUP(Y56+'Délai intermédiaire'!Y56/24,0))</f>
        <v>0</v>
      </c>
      <c r="Z60" s="14">
        <f>IF(Distances!Z56="N.C.",0,ROUNDUP(Z56+'Délai intermédiaire'!Z56/24,0))</f>
        <v>0</v>
      </c>
      <c r="AA60" s="14">
        <f>IF(Distances!AA56="N.C.",0,ROUNDUP(AA56+'Délai intermédiaire'!AA56/24,0))</f>
        <v>0</v>
      </c>
      <c r="AB60" s="14">
        <f>IF(Distances!AB56="N.C.",0,ROUNDUP(AB56+'Délai intermédiaire'!AB56/24,0))</f>
        <v>0</v>
      </c>
      <c r="AC60" s="14">
        <f>IF(Distances!AC56="N.C.",0,ROUNDUP(AC56+'Délai intermédiaire'!AC56/24,0))</f>
        <v>0</v>
      </c>
      <c r="AD60" s="14">
        <f>IF(Distances!AD56="N.C.",0,ROUNDUP(AD56+'Délai intermédiaire'!AD56/24,0))</f>
        <v>0</v>
      </c>
      <c r="AE60" s="14">
        <f>IF(Distances!AE56="N.C.",0,ROUNDUP(AE56+'Délai intermédiaire'!AE56/24,0))</f>
        <v>0</v>
      </c>
      <c r="AF60" s="14">
        <f>IF(Distances!AF56="N.C.",0,ROUNDUP(AF56+'Délai intermédiaire'!AF56/24,0))</f>
        <v>0</v>
      </c>
      <c r="AG60" s="14">
        <f>IF(Distances!AG56="N.C.",0,ROUNDUP(AG56+'Délai intermédiaire'!AG56/24,0))</f>
        <v>0</v>
      </c>
      <c r="AH60" s="14">
        <f>IF(Distances!AH56="N.C.",0,ROUNDUP(AH56+'Délai intermédiaire'!AH56/24,0))</f>
        <v>0</v>
      </c>
      <c r="AI60" s="14">
        <f>IF(Distances!AI56="N.C.",0,ROUNDUP(AI56+'Délai intermédiaire'!AI56/24,0))</f>
        <v>0</v>
      </c>
      <c r="AJ60" s="14">
        <f>IF(Distances!AJ56="N.C.",0,ROUNDUP(AJ56+'Délai intermédiaire'!AJ56/24,0))</f>
        <v>0</v>
      </c>
      <c r="AK60" s="14">
        <f>IF(Distances!AK56="N.C.",0,ROUNDUP(AK56+'Délai intermédiaire'!AK56/24,0))</f>
        <v>0</v>
      </c>
      <c r="AL60" s="14">
        <f>IF(Distances!AL56="N.C.",0,ROUNDUP(AL56+'Délai intermédiaire'!AL56/24,0))</f>
        <v>0</v>
      </c>
      <c r="AM60" s="14">
        <f>IF(Distances!AM56="N.C.",0,ROUNDUP(AM56+'Délai intermédiaire'!AM56/24,0))</f>
        <v>0</v>
      </c>
      <c r="AN60" s="14">
        <f>IF(Distances!AN56="N.C.",0,ROUNDUP(AN56+'Délai intermédiaire'!AN56/24,0))</f>
        <v>0</v>
      </c>
      <c r="AO60" s="14">
        <f>IF(Distances!AO56="N.C.",0,ROUNDUP(AO56+'Délai intermédiaire'!AO56/24,0))</f>
        <v>0</v>
      </c>
      <c r="AP60" s="14">
        <f>IF(Distances!AP56="N.C.",0,ROUNDUP(AP56+'Délai intermédiaire'!AP56/24,0))</f>
        <v>0</v>
      </c>
      <c r="AQ60" s="14">
        <f>IF(Distances!AQ56="N.C.",0,ROUNDUP(AQ56+'Délai intermédiaire'!AQ56/24,0))</f>
        <v>0</v>
      </c>
      <c r="AR60" s="14">
        <f>IF(Distances!AR56="N.C.",0,ROUNDUP(AR56+'Délai intermédiaire'!AR56/24,0))</f>
        <v>0</v>
      </c>
      <c r="AS60" s="14">
        <f>IF(Distances!AS56="N.C.",0,ROUNDUP(AS56+'Délai intermédiaire'!AS56/24,0))</f>
        <v>0</v>
      </c>
      <c r="AT60" s="14">
        <f>IF(Distances!AT56="N.C.",0,ROUNDUP(AT56+'Délai intermédiaire'!AT56/24,0))</f>
        <v>0</v>
      </c>
      <c r="AU60" s="14">
        <f>IF(Distances!AU56="N.C.",0,ROUNDUP(AU56+'Délai intermédiaire'!AU56/24,0))</f>
        <v>0</v>
      </c>
      <c r="AV60" s="14">
        <f>IF(Distances!AV56="N.C.",0,ROUNDUP(AV56+'Délai intermédiaire'!AV56/24,0))</f>
        <v>0</v>
      </c>
      <c r="AW60" s="14">
        <f>IF(Distances!AW56="N.C.",0,ROUNDUP(AW56+'Délai intermédiaire'!AW56/24,0))</f>
        <v>0</v>
      </c>
      <c r="AX60" s="14">
        <f>IF(Distances!AX56="N.C.",0,ROUNDUP(AX56+'Délai intermédiaire'!AX56/24,0))</f>
        <v>0</v>
      </c>
      <c r="AY60" s="14">
        <f>IF(Distances!AY56="N.C.",0,ROUNDUP(AY56+'Délai intermédiaire'!AY56/24,0))</f>
        <v>0</v>
      </c>
      <c r="AZ60" s="14">
        <f>IF(Distances!AZ56="N.C.",0,ROUNDUP(AZ56+'Délai intermédiaire'!AZ56/24,0))</f>
        <v>0</v>
      </c>
      <c r="BA60" s="14">
        <f>IF(Distances!BA56="N.C.",0,ROUNDUP(BA56+'Délai intermédiaire'!BA56/24,0))</f>
        <v>0</v>
      </c>
      <c r="BB60" s="14">
        <f>IF(Distances!BB56="N.C.",0,ROUNDUP(BB56+'Délai intermédiaire'!BB56/24,0))</f>
        <v>0</v>
      </c>
      <c r="BC60" s="14">
        <f>IF(Distances!BC56="N.C.",0,ROUNDUP(BC56+'Délai intermédiaire'!BC56/24,0))</f>
        <v>0</v>
      </c>
      <c r="BD60" s="14">
        <f>IF(Distances!BD56="N.C.",0,ROUNDUP(BD56+'Délai intermédiaire'!BD56/24,0))</f>
        <v>0</v>
      </c>
      <c r="BE60" s="14">
        <f>IF(Distances!BE56="N.C.",0,ROUNDUP(BE56+'Délai intermédiaire'!BE56/24,0))</f>
        <v>0</v>
      </c>
      <c r="BF60" s="14">
        <f>IF(Distances!BF56="N.C.",0,ROUNDUP(BF56+'Délai intermédiaire'!BF56/24,0))</f>
        <v>0</v>
      </c>
      <c r="BG60" s="14">
        <f>IF(Distances!BG56="N.C.",0,ROUNDUP(BG56+'Délai intermédiaire'!BG56/24,0))</f>
        <v>0</v>
      </c>
      <c r="BH60" s="14">
        <f>IF(Distances!BH56="N.C.",0,ROUNDUP(BH56+'Délai intermédiaire'!BH56/24,0))</f>
        <v>0</v>
      </c>
      <c r="BI60" s="14">
        <f>IF(Distances!BI56="N.C.",0,ROUNDUP(BI56+'Délai intermédiaire'!BI56/24,0))</f>
        <v>0</v>
      </c>
      <c r="BJ60" s="15">
        <f>IF(Distances!BJ56="N.C.",0,ROUNDUP(BJ56+'Délai intermédiaire'!BJ56/24,0))</f>
        <v>0</v>
      </c>
    </row>
    <row r="61" spans="1:62" x14ac:dyDescent="0.3">
      <c r="A61" s="10" t="s">
        <v>4</v>
      </c>
      <c r="B61" s="11">
        <f>IF(Distances!B57="N.C.",0,ROUNDUP(B56+'Délai intermédiaire'!B57/24,0))</f>
        <v>3</v>
      </c>
      <c r="C61" s="13">
        <f>IF(Distances!C57="N.C.",0,ROUNDUP(C56+'Délai intermédiaire'!C57/24,0))</f>
        <v>2</v>
      </c>
      <c r="D61" s="13">
        <f>IF(Distances!D57="N.C.",0,ROUNDUP(D56+'Délai intermédiaire'!D57/24,0))</f>
        <v>2</v>
      </c>
      <c r="E61" s="12">
        <f>IF(Distances!E57="N.C.",0,ROUNDUP(E56+'Délai intermédiaire'!E57/24,0))</f>
        <v>1</v>
      </c>
      <c r="F61" s="13">
        <f>IF(Distances!F57="N.C.",0,ROUNDUP(F56+'Délai intermédiaire'!F57/24,0))</f>
        <v>2</v>
      </c>
      <c r="G61" s="13">
        <f>IF(Distances!G57="N.C.",0,ROUNDUP(G56+'Délai intermédiaire'!G57/24,0))</f>
        <v>2</v>
      </c>
      <c r="H61" s="13">
        <f>IF(Distances!H57="N.C.",0,ROUNDUP(H56+'Délai intermédiaire'!H57/24,0))</f>
        <v>3</v>
      </c>
      <c r="I61" s="13">
        <f>IF(Distances!I57="N.C.",0,ROUNDUP(I56+'Délai intermédiaire'!I57/24,0))</f>
        <v>4</v>
      </c>
      <c r="J61" s="13">
        <f>IF(Distances!J57="N.C.",0,ROUNDUP(J56+'Délai intermédiaire'!J57/24,0))</f>
        <v>3</v>
      </c>
      <c r="K61" s="13">
        <f>IF(Distances!K57="N.C.",0,ROUNDUP(K56+'Délai intermédiaire'!K57/24,0))</f>
        <v>3</v>
      </c>
      <c r="L61" s="13">
        <f>IF(Distances!L57="N.C.",0,ROUNDUP(L56+'Délai intermédiaire'!L57/24,0))</f>
        <v>4</v>
      </c>
      <c r="M61" s="13">
        <f>IF(Distances!M57="N.C.",0,ROUNDUP(M56+'Délai intermédiaire'!M57/24,0))</f>
        <v>4</v>
      </c>
      <c r="N61" s="13">
        <f>IF(Distances!N57="N.C.",0,ROUNDUP(N56+'Délai intermédiaire'!N57/24,0))</f>
        <v>0</v>
      </c>
      <c r="O61" s="14">
        <f>IF(Distances!O57="N.C.",0,ROUNDUP(O56+'Délai intermédiaire'!O57/24,0))</f>
        <v>0</v>
      </c>
      <c r="P61" s="14">
        <f>IF(Distances!P57="N.C.",0,ROUNDUP(P56+'Délai intermédiaire'!P57/24,0))</f>
        <v>0</v>
      </c>
      <c r="Q61" s="14">
        <f>IF(Distances!Q57="N.C.",0,ROUNDUP(Q56+'Délai intermédiaire'!Q57/24,0))</f>
        <v>0</v>
      </c>
      <c r="R61" s="14">
        <f>IF(Distances!R57="N.C.",0,ROUNDUP(R56+'Délai intermédiaire'!R57/24,0))</f>
        <v>0</v>
      </c>
      <c r="S61" s="14">
        <f>IF(Distances!S57="N.C.",0,ROUNDUP(S56+'Délai intermédiaire'!S57/24,0))</f>
        <v>0</v>
      </c>
      <c r="T61" s="14">
        <f>IF(Distances!T57="N.C.",0,ROUNDUP(T56+'Délai intermédiaire'!T57/24,0))</f>
        <v>0</v>
      </c>
      <c r="U61" s="14">
        <f>IF(Distances!U57="N.C.",0,ROUNDUP(U56+'Délai intermédiaire'!U57/24,0))</f>
        <v>0</v>
      </c>
      <c r="V61" s="14">
        <f>IF(Distances!V57="N.C.",0,ROUNDUP(V56+'Délai intermédiaire'!V57/24,0))</f>
        <v>0</v>
      </c>
      <c r="W61" s="14">
        <f>IF(Distances!W57="N.C.",0,ROUNDUP(W56+'Délai intermédiaire'!W57/24,0))</f>
        <v>0</v>
      </c>
      <c r="X61" s="14">
        <f>IF(Distances!X57="N.C.",0,ROUNDUP(X56+'Délai intermédiaire'!X57/24,0))</f>
        <v>0</v>
      </c>
      <c r="Y61" s="14">
        <f>IF(Distances!Y57="N.C.",0,ROUNDUP(Y56+'Délai intermédiaire'!Y57/24,0))</f>
        <v>0</v>
      </c>
      <c r="Z61" s="14">
        <f>IF(Distances!Z57="N.C.",0,ROUNDUP(Z56+'Délai intermédiaire'!Z57/24,0))</f>
        <v>0</v>
      </c>
      <c r="AA61" s="14">
        <f>IF(Distances!AA57="N.C.",0,ROUNDUP(AA56+'Délai intermédiaire'!AA57/24,0))</f>
        <v>0</v>
      </c>
      <c r="AB61" s="14">
        <f>IF(Distances!AB57="N.C.",0,ROUNDUP(AB56+'Délai intermédiaire'!AB57/24,0))</f>
        <v>0</v>
      </c>
      <c r="AC61" s="14">
        <f>IF(Distances!AC57="N.C.",0,ROUNDUP(AC56+'Délai intermédiaire'!AC57/24,0))</f>
        <v>0</v>
      </c>
      <c r="AD61" s="14">
        <f>IF(Distances!AD57="N.C.",0,ROUNDUP(AD56+'Délai intermédiaire'!AD57/24,0))</f>
        <v>0</v>
      </c>
      <c r="AE61" s="14">
        <f>IF(Distances!AE57="N.C.",0,ROUNDUP(AE56+'Délai intermédiaire'!AE57/24,0))</f>
        <v>0</v>
      </c>
      <c r="AF61" s="14">
        <f>IF(Distances!AF57="N.C.",0,ROUNDUP(AF56+'Délai intermédiaire'!AF57/24,0))</f>
        <v>0</v>
      </c>
      <c r="AG61" s="14">
        <f>IF(Distances!AG57="N.C.",0,ROUNDUP(AG56+'Délai intermédiaire'!AG57/24,0))</f>
        <v>0</v>
      </c>
      <c r="AH61" s="14">
        <f>IF(Distances!AH57="N.C.",0,ROUNDUP(AH56+'Délai intermédiaire'!AH57/24,0))</f>
        <v>0</v>
      </c>
      <c r="AI61" s="14">
        <f>IF(Distances!AI57="N.C.",0,ROUNDUP(AI56+'Délai intermédiaire'!AI57/24,0))</f>
        <v>0</v>
      </c>
      <c r="AJ61" s="14">
        <f>IF(Distances!AJ57="N.C.",0,ROUNDUP(AJ56+'Délai intermédiaire'!AJ57/24,0))</f>
        <v>0</v>
      </c>
      <c r="AK61" s="14">
        <f>IF(Distances!AK57="N.C.",0,ROUNDUP(AK56+'Délai intermédiaire'!AK57/24,0))</f>
        <v>0</v>
      </c>
      <c r="AL61" s="14">
        <f>IF(Distances!AL57="N.C.",0,ROUNDUP(AL56+'Délai intermédiaire'!AL57/24,0))</f>
        <v>0</v>
      </c>
      <c r="AM61" s="14">
        <f>IF(Distances!AM57="N.C.",0,ROUNDUP(AM56+'Délai intermédiaire'!AM57/24,0))</f>
        <v>0</v>
      </c>
      <c r="AN61" s="14">
        <f>IF(Distances!AN57="N.C.",0,ROUNDUP(AN56+'Délai intermédiaire'!AN57/24,0))</f>
        <v>0</v>
      </c>
      <c r="AO61" s="14">
        <f>IF(Distances!AO57="N.C.",0,ROUNDUP(AO56+'Délai intermédiaire'!AO57/24,0))</f>
        <v>0</v>
      </c>
      <c r="AP61" s="14">
        <f>IF(Distances!AP57="N.C.",0,ROUNDUP(AP56+'Délai intermédiaire'!AP57/24,0))</f>
        <v>0</v>
      </c>
      <c r="AQ61" s="14">
        <f>IF(Distances!AQ57="N.C.",0,ROUNDUP(AQ56+'Délai intermédiaire'!AQ57/24,0))</f>
        <v>0</v>
      </c>
      <c r="AR61" s="14">
        <f>IF(Distances!AR57="N.C.",0,ROUNDUP(AR56+'Délai intermédiaire'!AR57/24,0))</f>
        <v>0</v>
      </c>
      <c r="AS61" s="14">
        <f>IF(Distances!AS57="N.C.",0,ROUNDUP(AS56+'Délai intermédiaire'!AS57/24,0))</f>
        <v>0</v>
      </c>
      <c r="AT61" s="14">
        <f>IF(Distances!AT57="N.C.",0,ROUNDUP(AT56+'Délai intermédiaire'!AT57/24,0))</f>
        <v>0</v>
      </c>
      <c r="AU61" s="14">
        <f>IF(Distances!AU57="N.C.",0,ROUNDUP(AU56+'Délai intermédiaire'!AU57/24,0))</f>
        <v>0</v>
      </c>
      <c r="AV61" s="14">
        <f>IF(Distances!AV57="N.C.",0,ROUNDUP(AV56+'Délai intermédiaire'!AV57/24,0))</f>
        <v>0</v>
      </c>
      <c r="AW61" s="14">
        <f>IF(Distances!AW57="N.C.",0,ROUNDUP(AW56+'Délai intermédiaire'!AW57/24,0))</f>
        <v>0</v>
      </c>
      <c r="AX61" s="14">
        <f>IF(Distances!AX57="N.C.",0,ROUNDUP(AX56+'Délai intermédiaire'!AX57/24,0))</f>
        <v>0</v>
      </c>
      <c r="AY61" s="14">
        <f>IF(Distances!AY57="N.C.",0,ROUNDUP(AY56+'Délai intermédiaire'!AY57/24,0))</f>
        <v>0</v>
      </c>
      <c r="AZ61" s="14">
        <f>IF(Distances!AZ57="N.C.",0,ROUNDUP(AZ56+'Délai intermédiaire'!AZ57/24,0))</f>
        <v>0</v>
      </c>
      <c r="BA61" s="14">
        <f>IF(Distances!BA57="N.C.",0,ROUNDUP(BA56+'Délai intermédiaire'!BA57/24,0))</f>
        <v>0</v>
      </c>
      <c r="BB61" s="14">
        <f>IF(Distances!BB57="N.C.",0,ROUNDUP(BB56+'Délai intermédiaire'!BB57/24,0))</f>
        <v>0</v>
      </c>
      <c r="BC61" s="14">
        <f>IF(Distances!BC57="N.C.",0,ROUNDUP(BC56+'Délai intermédiaire'!BC57/24,0))</f>
        <v>0</v>
      </c>
      <c r="BD61" s="14">
        <f>IF(Distances!BD57="N.C.",0,ROUNDUP(BD56+'Délai intermédiaire'!BD57/24,0))</f>
        <v>0</v>
      </c>
      <c r="BE61" s="14">
        <f>IF(Distances!BE57="N.C.",0,ROUNDUP(BE56+'Délai intermédiaire'!BE57/24,0))</f>
        <v>0</v>
      </c>
      <c r="BF61" s="14">
        <f>IF(Distances!BF57="N.C.",0,ROUNDUP(BF56+'Délai intermédiaire'!BF57/24,0))</f>
        <v>0</v>
      </c>
      <c r="BG61" s="14">
        <f>IF(Distances!BG57="N.C.",0,ROUNDUP(BG56+'Délai intermédiaire'!BG57/24,0))</f>
        <v>0</v>
      </c>
      <c r="BH61" s="14">
        <f>IF(Distances!BH57="N.C.",0,ROUNDUP(BH56+'Délai intermédiaire'!BH57/24,0))</f>
        <v>0</v>
      </c>
      <c r="BI61" s="14">
        <f>IF(Distances!BI57="N.C.",0,ROUNDUP(BI56+'Délai intermédiaire'!BI57/24,0))</f>
        <v>0</v>
      </c>
      <c r="BJ61" s="15">
        <f>IF(Distances!BJ57="N.C.",0,ROUNDUP(BJ56+'Délai intermédiaire'!BJ57/24,0))</f>
        <v>0</v>
      </c>
    </row>
    <row r="62" spans="1:62" x14ac:dyDescent="0.3">
      <c r="A62" s="10" t="s">
        <v>5</v>
      </c>
      <c r="B62" s="11">
        <f>IF(Distances!B58="N.C.",0,ROUNDUP(B56+'Délai intermédiaire'!B58/24,0))</f>
        <v>2</v>
      </c>
      <c r="C62" s="13">
        <f>IF(Distances!C58="N.C.",0,ROUNDUP(C56+'Délai intermédiaire'!C58/24,0))</f>
        <v>3</v>
      </c>
      <c r="D62" s="13">
        <f>IF(Distances!D58="N.C.",0,ROUNDUP(D56+'Délai intermédiaire'!D58/24,0))</f>
        <v>3</v>
      </c>
      <c r="E62" s="13">
        <f>IF(Distances!E58="N.C.",0,ROUNDUP(E56+'Délai intermédiaire'!E58/24,0))</f>
        <v>2</v>
      </c>
      <c r="F62" s="12">
        <f>IF(Distances!F58="N.C.",0,ROUNDUP(F56+'Délai intermédiaire'!F58/24,0))</f>
        <v>1</v>
      </c>
      <c r="G62" s="13">
        <f>IF(Distances!G58="N.C.",0,ROUNDUP(G56+'Délai intermédiaire'!G58/24,0))</f>
        <v>3</v>
      </c>
      <c r="H62" s="13">
        <f>IF(Distances!H58="N.C.",0,ROUNDUP(H56+'Délai intermédiaire'!H58/24,0))</f>
        <v>4</v>
      </c>
      <c r="I62" s="13">
        <f>IF(Distances!I58="N.C.",0,ROUNDUP(I56+'Délai intermédiaire'!I58/24,0))</f>
        <v>5</v>
      </c>
      <c r="J62" s="13">
        <f>IF(Distances!J58="N.C.",0,ROUNDUP(J56+'Délai intermédiaire'!J58/24,0))</f>
        <v>3</v>
      </c>
      <c r="K62" s="13">
        <f>IF(Distances!K58="N.C.",0,ROUNDUP(K56+'Délai intermédiaire'!K58/24,0))</f>
        <v>3</v>
      </c>
      <c r="L62" s="13">
        <f>IF(Distances!L58="N.C.",0,ROUNDUP(L56+'Délai intermédiaire'!L58/24,0))</f>
        <v>5</v>
      </c>
      <c r="M62" s="13">
        <f>IF(Distances!M58="N.C.",0,ROUNDUP(M56+'Délai intermédiaire'!M58/24,0))</f>
        <v>5</v>
      </c>
      <c r="N62" s="13">
        <f>IF(Distances!N58="N.C.",0,ROUNDUP(N56+'Délai intermédiaire'!N58/24,0))</f>
        <v>0</v>
      </c>
      <c r="O62" s="14">
        <f>IF(Distances!O58="N.C.",0,ROUNDUP(O56+'Délai intermédiaire'!O58/24,0))</f>
        <v>0</v>
      </c>
      <c r="P62" s="14">
        <f>IF(Distances!P58="N.C.",0,ROUNDUP(P56+'Délai intermédiaire'!P58/24,0))</f>
        <v>0</v>
      </c>
      <c r="Q62" s="14">
        <f>IF(Distances!Q58="N.C.",0,ROUNDUP(Q56+'Délai intermédiaire'!Q58/24,0))</f>
        <v>0</v>
      </c>
      <c r="R62" s="14">
        <f>IF(Distances!R58="N.C.",0,ROUNDUP(R56+'Délai intermédiaire'!R58/24,0))</f>
        <v>0</v>
      </c>
      <c r="S62" s="14">
        <f>IF(Distances!S58="N.C.",0,ROUNDUP(S56+'Délai intermédiaire'!S58/24,0))</f>
        <v>0</v>
      </c>
      <c r="T62" s="14">
        <f>IF(Distances!T58="N.C.",0,ROUNDUP(T56+'Délai intermédiaire'!T58/24,0))</f>
        <v>0</v>
      </c>
      <c r="U62" s="14">
        <f>IF(Distances!U58="N.C.",0,ROUNDUP(U56+'Délai intermédiaire'!U58/24,0))</f>
        <v>0</v>
      </c>
      <c r="V62" s="14">
        <f>IF(Distances!V58="N.C.",0,ROUNDUP(V56+'Délai intermédiaire'!V58/24,0))</f>
        <v>0</v>
      </c>
      <c r="W62" s="14">
        <f>IF(Distances!W58="N.C.",0,ROUNDUP(W56+'Délai intermédiaire'!W58/24,0))</f>
        <v>0</v>
      </c>
      <c r="X62" s="14">
        <f>IF(Distances!X58="N.C.",0,ROUNDUP(X56+'Délai intermédiaire'!X58/24,0))</f>
        <v>0</v>
      </c>
      <c r="Y62" s="14">
        <f>IF(Distances!Y58="N.C.",0,ROUNDUP(Y56+'Délai intermédiaire'!Y58/24,0))</f>
        <v>0</v>
      </c>
      <c r="Z62" s="14">
        <f>IF(Distances!Z58="N.C.",0,ROUNDUP(Z56+'Délai intermédiaire'!Z58/24,0))</f>
        <v>0</v>
      </c>
      <c r="AA62" s="14">
        <f>IF(Distances!AA58="N.C.",0,ROUNDUP(AA56+'Délai intermédiaire'!AA58/24,0))</f>
        <v>0</v>
      </c>
      <c r="AB62" s="14">
        <f>IF(Distances!AB58="N.C.",0,ROUNDUP(AB56+'Délai intermédiaire'!AB58/24,0))</f>
        <v>0</v>
      </c>
      <c r="AC62" s="14">
        <f>IF(Distances!AC58="N.C.",0,ROUNDUP(AC56+'Délai intermédiaire'!AC58/24,0))</f>
        <v>0</v>
      </c>
      <c r="AD62" s="14">
        <f>IF(Distances!AD58="N.C.",0,ROUNDUP(AD56+'Délai intermédiaire'!AD58/24,0))</f>
        <v>0</v>
      </c>
      <c r="AE62" s="14">
        <f>IF(Distances!AE58="N.C.",0,ROUNDUP(AE56+'Délai intermédiaire'!AE58/24,0))</f>
        <v>0</v>
      </c>
      <c r="AF62" s="14">
        <f>IF(Distances!AF58="N.C.",0,ROUNDUP(AF56+'Délai intermédiaire'!AF58/24,0))</f>
        <v>0</v>
      </c>
      <c r="AG62" s="14">
        <f>IF(Distances!AG58="N.C.",0,ROUNDUP(AG56+'Délai intermédiaire'!AG58/24,0))</f>
        <v>0</v>
      </c>
      <c r="AH62" s="14">
        <f>IF(Distances!AH58="N.C.",0,ROUNDUP(AH56+'Délai intermédiaire'!AH58/24,0))</f>
        <v>0</v>
      </c>
      <c r="AI62" s="14">
        <f>IF(Distances!AI58="N.C.",0,ROUNDUP(AI56+'Délai intermédiaire'!AI58/24,0))</f>
        <v>0</v>
      </c>
      <c r="AJ62" s="14">
        <f>IF(Distances!AJ58="N.C.",0,ROUNDUP(AJ56+'Délai intermédiaire'!AJ58/24,0))</f>
        <v>0</v>
      </c>
      <c r="AK62" s="14">
        <f>IF(Distances!AK58="N.C.",0,ROUNDUP(AK56+'Délai intermédiaire'!AK58/24,0))</f>
        <v>0</v>
      </c>
      <c r="AL62" s="14">
        <f>IF(Distances!AL58="N.C.",0,ROUNDUP(AL56+'Délai intermédiaire'!AL58/24,0))</f>
        <v>0</v>
      </c>
      <c r="AM62" s="14">
        <f>IF(Distances!AM58="N.C.",0,ROUNDUP(AM56+'Délai intermédiaire'!AM58/24,0))</f>
        <v>0</v>
      </c>
      <c r="AN62" s="14">
        <f>IF(Distances!AN58="N.C.",0,ROUNDUP(AN56+'Délai intermédiaire'!AN58/24,0))</f>
        <v>0</v>
      </c>
      <c r="AO62" s="14">
        <f>IF(Distances!AO58="N.C.",0,ROUNDUP(AO56+'Délai intermédiaire'!AO58/24,0))</f>
        <v>0</v>
      </c>
      <c r="AP62" s="14">
        <f>IF(Distances!AP58="N.C.",0,ROUNDUP(AP56+'Délai intermédiaire'!AP58/24,0))</f>
        <v>0</v>
      </c>
      <c r="AQ62" s="14">
        <f>IF(Distances!AQ58="N.C.",0,ROUNDUP(AQ56+'Délai intermédiaire'!AQ58/24,0))</f>
        <v>0</v>
      </c>
      <c r="AR62" s="14">
        <f>IF(Distances!AR58="N.C.",0,ROUNDUP(AR56+'Délai intermédiaire'!AR58/24,0))</f>
        <v>0</v>
      </c>
      <c r="AS62" s="14">
        <f>IF(Distances!AS58="N.C.",0,ROUNDUP(AS56+'Délai intermédiaire'!AS58/24,0))</f>
        <v>0</v>
      </c>
      <c r="AT62" s="14">
        <f>IF(Distances!AT58="N.C.",0,ROUNDUP(AT56+'Délai intermédiaire'!AT58/24,0))</f>
        <v>0</v>
      </c>
      <c r="AU62" s="14">
        <f>IF(Distances!AU58="N.C.",0,ROUNDUP(AU56+'Délai intermédiaire'!AU58/24,0))</f>
        <v>0</v>
      </c>
      <c r="AV62" s="14">
        <f>IF(Distances!AV58="N.C.",0,ROUNDUP(AV56+'Délai intermédiaire'!AV58/24,0))</f>
        <v>0</v>
      </c>
      <c r="AW62" s="14">
        <f>IF(Distances!AW58="N.C.",0,ROUNDUP(AW56+'Délai intermédiaire'!AW58/24,0))</f>
        <v>0</v>
      </c>
      <c r="AX62" s="14">
        <f>IF(Distances!AX58="N.C.",0,ROUNDUP(AX56+'Délai intermédiaire'!AX58/24,0))</f>
        <v>0</v>
      </c>
      <c r="AY62" s="14">
        <f>IF(Distances!AY58="N.C.",0,ROUNDUP(AY56+'Délai intermédiaire'!AY58/24,0))</f>
        <v>0</v>
      </c>
      <c r="AZ62" s="14">
        <f>IF(Distances!AZ58="N.C.",0,ROUNDUP(AZ56+'Délai intermédiaire'!AZ58/24,0))</f>
        <v>0</v>
      </c>
      <c r="BA62" s="14">
        <f>IF(Distances!BA58="N.C.",0,ROUNDUP(BA56+'Délai intermédiaire'!BA58/24,0))</f>
        <v>0</v>
      </c>
      <c r="BB62" s="14">
        <f>IF(Distances!BB58="N.C.",0,ROUNDUP(BB56+'Délai intermédiaire'!BB58/24,0))</f>
        <v>0</v>
      </c>
      <c r="BC62" s="14">
        <f>IF(Distances!BC58="N.C.",0,ROUNDUP(BC56+'Délai intermédiaire'!BC58/24,0))</f>
        <v>0</v>
      </c>
      <c r="BD62" s="14">
        <f>IF(Distances!BD58="N.C.",0,ROUNDUP(BD56+'Délai intermédiaire'!BD58/24,0))</f>
        <v>0</v>
      </c>
      <c r="BE62" s="14">
        <f>IF(Distances!BE58="N.C.",0,ROUNDUP(BE56+'Délai intermédiaire'!BE58/24,0))</f>
        <v>0</v>
      </c>
      <c r="BF62" s="14">
        <f>IF(Distances!BF58="N.C.",0,ROUNDUP(BF56+'Délai intermédiaire'!BF58/24,0))</f>
        <v>0</v>
      </c>
      <c r="BG62" s="14">
        <f>IF(Distances!BG58="N.C.",0,ROUNDUP(BG56+'Délai intermédiaire'!BG58/24,0))</f>
        <v>0</v>
      </c>
      <c r="BH62" s="14">
        <f>IF(Distances!BH58="N.C.",0,ROUNDUP(BH56+'Délai intermédiaire'!BH58/24,0))</f>
        <v>0</v>
      </c>
      <c r="BI62" s="14">
        <f>IF(Distances!BI58="N.C.",0,ROUNDUP(BI56+'Délai intermédiaire'!BI58/24,0))</f>
        <v>0</v>
      </c>
      <c r="BJ62" s="15">
        <f>IF(Distances!BJ58="N.C.",0,ROUNDUP(BJ56+'Délai intermédiaire'!BJ58/24,0))</f>
        <v>0</v>
      </c>
    </row>
    <row r="63" spans="1:62" x14ac:dyDescent="0.3">
      <c r="A63" s="10" t="s">
        <v>6</v>
      </c>
      <c r="B63" s="11">
        <f>IF(Distances!B59="N.C.",0,ROUNDUP(B56+'Délai intermédiaire'!B59/24,0))</f>
        <v>4</v>
      </c>
      <c r="C63" s="13">
        <f>IF(Distances!C59="N.C.",0,ROUNDUP(C56+'Délai intermédiaire'!C59/24,0))</f>
        <v>0</v>
      </c>
      <c r="D63" s="13">
        <f>IF(Distances!D59="N.C.",0,ROUNDUP(D56+'Délai intermédiaire'!D59/24,0))</f>
        <v>0</v>
      </c>
      <c r="E63" s="13">
        <f>IF(Distances!E59="N.C.",0,ROUNDUP(E56+'Délai intermédiaire'!E59/24,0))</f>
        <v>2</v>
      </c>
      <c r="F63" s="13">
        <f>IF(Distances!F59="N.C.",0,ROUNDUP(F56+'Délai intermédiaire'!F59/24,0))</f>
        <v>3</v>
      </c>
      <c r="G63" s="12">
        <f>IF(Distances!G59="N.C.",0,ROUNDUP(G56+'Délai intermédiaire'!G59/24,0))</f>
        <v>1</v>
      </c>
      <c r="H63" s="13">
        <f>IF(Distances!H59="N.C.",0,ROUNDUP(H56+'Délai intermédiaire'!H59/24,0))</f>
        <v>4</v>
      </c>
      <c r="I63" s="13">
        <f>IF(Distances!I59="N.C.",0,ROUNDUP(I56+'Délai intermédiaire'!I59/24,0))</f>
        <v>3</v>
      </c>
      <c r="J63" s="13">
        <f>IF(Distances!J59="N.C.",0,ROUNDUP(J56+'Délai intermédiaire'!J59/24,0))</f>
        <v>4</v>
      </c>
      <c r="K63" s="13">
        <f>IF(Distances!K59="N.C.",0,ROUNDUP(K56+'Délai intermédiaire'!K59/24,0))</f>
        <v>4</v>
      </c>
      <c r="L63" s="13">
        <f>IF(Distances!L59="N.C.",0,ROUNDUP(L56+'Délai intermédiaire'!L59/24,0))</f>
        <v>0</v>
      </c>
      <c r="M63" s="13">
        <f>IF(Distances!M59="N.C.",0,ROUNDUP(M56+'Délai intermédiaire'!M59/24,0))</f>
        <v>5</v>
      </c>
      <c r="N63" s="13">
        <f>IF(Distances!N59="N.C.",0,ROUNDUP(N56+'Délai intermédiaire'!N59/24,0))</f>
        <v>0</v>
      </c>
      <c r="O63" s="14">
        <f>IF(Distances!O59="N.C.",0,ROUNDUP(O56+'Délai intermédiaire'!O59/24,0))</f>
        <v>0</v>
      </c>
      <c r="P63" s="14">
        <f>IF(Distances!P59="N.C.",0,ROUNDUP(P56+'Délai intermédiaire'!P59/24,0))</f>
        <v>0</v>
      </c>
      <c r="Q63" s="14">
        <f>IF(Distances!Q59="N.C.",0,ROUNDUP(Q56+'Délai intermédiaire'!Q59/24,0))</f>
        <v>0</v>
      </c>
      <c r="R63" s="14">
        <f>IF(Distances!R59="N.C.",0,ROUNDUP(R56+'Délai intermédiaire'!R59/24,0))</f>
        <v>0</v>
      </c>
      <c r="S63" s="14">
        <f>IF(Distances!S59="N.C.",0,ROUNDUP(S56+'Délai intermédiaire'!S59/24,0))</f>
        <v>0</v>
      </c>
      <c r="T63" s="14">
        <f>IF(Distances!T59="N.C.",0,ROUNDUP(T56+'Délai intermédiaire'!T59/24,0))</f>
        <v>0</v>
      </c>
      <c r="U63" s="14">
        <f>IF(Distances!U59="N.C.",0,ROUNDUP(U56+'Délai intermédiaire'!U59/24,0))</f>
        <v>0</v>
      </c>
      <c r="V63" s="14">
        <f>IF(Distances!V59="N.C.",0,ROUNDUP(V56+'Délai intermédiaire'!V59/24,0))</f>
        <v>0</v>
      </c>
      <c r="W63" s="14">
        <f>IF(Distances!W59="N.C.",0,ROUNDUP(W56+'Délai intermédiaire'!W59/24,0))</f>
        <v>0</v>
      </c>
      <c r="X63" s="14">
        <f>IF(Distances!X59="N.C.",0,ROUNDUP(X56+'Délai intermédiaire'!X59/24,0))</f>
        <v>0</v>
      </c>
      <c r="Y63" s="14">
        <f>IF(Distances!Y59="N.C.",0,ROUNDUP(Y56+'Délai intermédiaire'!Y59/24,0))</f>
        <v>0</v>
      </c>
      <c r="Z63" s="14">
        <f>IF(Distances!Z59="N.C.",0,ROUNDUP(Z56+'Délai intermédiaire'!Z59/24,0))</f>
        <v>0</v>
      </c>
      <c r="AA63" s="14">
        <f>IF(Distances!AA59="N.C.",0,ROUNDUP(AA56+'Délai intermédiaire'!AA59/24,0))</f>
        <v>0</v>
      </c>
      <c r="AB63" s="14">
        <f>IF(Distances!AB59="N.C.",0,ROUNDUP(AB56+'Délai intermédiaire'!AB59/24,0))</f>
        <v>0</v>
      </c>
      <c r="AC63" s="14">
        <f>IF(Distances!AC59="N.C.",0,ROUNDUP(AC56+'Délai intermédiaire'!AC59/24,0))</f>
        <v>0</v>
      </c>
      <c r="AD63" s="14">
        <f>IF(Distances!AD59="N.C.",0,ROUNDUP(AD56+'Délai intermédiaire'!AD59/24,0))</f>
        <v>0</v>
      </c>
      <c r="AE63" s="14">
        <f>IF(Distances!AE59="N.C.",0,ROUNDUP(AE56+'Délai intermédiaire'!AE59/24,0))</f>
        <v>0</v>
      </c>
      <c r="AF63" s="14">
        <f>IF(Distances!AF59="N.C.",0,ROUNDUP(AF56+'Délai intermédiaire'!AF59/24,0))</f>
        <v>0</v>
      </c>
      <c r="AG63" s="14">
        <f>IF(Distances!AG59="N.C.",0,ROUNDUP(AG56+'Délai intermédiaire'!AG59/24,0))</f>
        <v>0</v>
      </c>
      <c r="AH63" s="14">
        <f>IF(Distances!AH59="N.C.",0,ROUNDUP(AH56+'Délai intermédiaire'!AH59/24,0))</f>
        <v>0</v>
      </c>
      <c r="AI63" s="14">
        <f>IF(Distances!AI59="N.C.",0,ROUNDUP(AI56+'Délai intermédiaire'!AI59/24,0))</f>
        <v>0</v>
      </c>
      <c r="AJ63" s="14">
        <f>IF(Distances!AJ59="N.C.",0,ROUNDUP(AJ56+'Délai intermédiaire'!AJ59/24,0))</f>
        <v>0</v>
      </c>
      <c r="AK63" s="14">
        <f>IF(Distances!AK59="N.C.",0,ROUNDUP(AK56+'Délai intermédiaire'!AK59/24,0))</f>
        <v>0</v>
      </c>
      <c r="AL63" s="14">
        <f>IF(Distances!AL59="N.C.",0,ROUNDUP(AL56+'Délai intermédiaire'!AL59/24,0))</f>
        <v>0</v>
      </c>
      <c r="AM63" s="14">
        <f>IF(Distances!AM59="N.C.",0,ROUNDUP(AM56+'Délai intermédiaire'!AM59/24,0))</f>
        <v>0</v>
      </c>
      <c r="AN63" s="14">
        <f>IF(Distances!AN59="N.C.",0,ROUNDUP(AN56+'Délai intermédiaire'!AN59/24,0))</f>
        <v>0</v>
      </c>
      <c r="AO63" s="14">
        <f>IF(Distances!AO59="N.C.",0,ROUNDUP(AO56+'Délai intermédiaire'!AO59/24,0))</f>
        <v>0</v>
      </c>
      <c r="AP63" s="14">
        <f>IF(Distances!AP59="N.C.",0,ROUNDUP(AP56+'Délai intermédiaire'!AP59/24,0))</f>
        <v>0</v>
      </c>
      <c r="AQ63" s="14">
        <f>IF(Distances!AQ59="N.C.",0,ROUNDUP(AQ56+'Délai intermédiaire'!AQ59/24,0))</f>
        <v>0</v>
      </c>
      <c r="AR63" s="14">
        <f>IF(Distances!AR59="N.C.",0,ROUNDUP(AR56+'Délai intermédiaire'!AR59/24,0))</f>
        <v>0</v>
      </c>
      <c r="AS63" s="14">
        <f>IF(Distances!AS59="N.C.",0,ROUNDUP(AS56+'Délai intermédiaire'!AS59/24,0))</f>
        <v>0</v>
      </c>
      <c r="AT63" s="14">
        <f>IF(Distances!AT59="N.C.",0,ROUNDUP(AT56+'Délai intermédiaire'!AT59/24,0))</f>
        <v>0</v>
      </c>
      <c r="AU63" s="14">
        <f>IF(Distances!AU59="N.C.",0,ROUNDUP(AU56+'Délai intermédiaire'!AU59/24,0))</f>
        <v>0</v>
      </c>
      <c r="AV63" s="14">
        <f>IF(Distances!AV59="N.C.",0,ROUNDUP(AV56+'Délai intermédiaire'!AV59/24,0))</f>
        <v>0</v>
      </c>
      <c r="AW63" s="14">
        <f>IF(Distances!AW59="N.C.",0,ROUNDUP(AW56+'Délai intermédiaire'!AW59/24,0))</f>
        <v>0</v>
      </c>
      <c r="AX63" s="14">
        <f>IF(Distances!AX59="N.C.",0,ROUNDUP(AX56+'Délai intermédiaire'!AX59/24,0))</f>
        <v>0</v>
      </c>
      <c r="AY63" s="14">
        <f>IF(Distances!AY59="N.C.",0,ROUNDUP(AY56+'Délai intermédiaire'!AY59/24,0))</f>
        <v>0</v>
      </c>
      <c r="AZ63" s="14">
        <f>IF(Distances!AZ59="N.C.",0,ROUNDUP(AZ56+'Délai intermédiaire'!AZ59/24,0))</f>
        <v>0</v>
      </c>
      <c r="BA63" s="14">
        <f>IF(Distances!BA59="N.C.",0,ROUNDUP(BA56+'Délai intermédiaire'!BA59/24,0))</f>
        <v>0</v>
      </c>
      <c r="BB63" s="14">
        <f>IF(Distances!BB59="N.C.",0,ROUNDUP(BB56+'Délai intermédiaire'!BB59/24,0))</f>
        <v>0</v>
      </c>
      <c r="BC63" s="14">
        <f>IF(Distances!BC59="N.C.",0,ROUNDUP(BC56+'Délai intermédiaire'!BC59/24,0))</f>
        <v>0</v>
      </c>
      <c r="BD63" s="14">
        <f>IF(Distances!BD59="N.C.",0,ROUNDUP(BD56+'Délai intermédiaire'!BD59/24,0))</f>
        <v>0</v>
      </c>
      <c r="BE63" s="14">
        <f>IF(Distances!BE59="N.C.",0,ROUNDUP(BE56+'Délai intermédiaire'!BE59/24,0))</f>
        <v>0</v>
      </c>
      <c r="BF63" s="14">
        <f>IF(Distances!BF59="N.C.",0,ROUNDUP(BF56+'Délai intermédiaire'!BF59/24,0))</f>
        <v>0</v>
      </c>
      <c r="BG63" s="14">
        <f>IF(Distances!BG59="N.C.",0,ROUNDUP(BG56+'Délai intermédiaire'!BG59/24,0))</f>
        <v>0</v>
      </c>
      <c r="BH63" s="14">
        <f>IF(Distances!BH59="N.C.",0,ROUNDUP(BH56+'Délai intermédiaire'!BH59/24,0))</f>
        <v>0</v>
      </c>
      <c r="BI63" s="14">
        <f>IF(Distances!BI59="N.C.",0,ROUNDUP(BI56+'Délai intermédiaire'!BI59/24,0))</f>
        <v>0</v>
      </c>
      <c r="BJ63" s="15">
        <f>IF(Distances!BJ59="N.C.",0,ROUNDUP(BJ56+'Délai intermédiaire'!BJ59/24,0))</f>
        <v>0</v>
      </c>
    </row>
    <row r="64" spans="1:62" x14ac:dyDescent="0.3">
      <c r="A64" s="10" t="s">
        <v>63</v>
      </c>
      <c r="B64" s="11">
        <f>IF(Distances!B60="N.C.",0,ROUNDUP(B56+'Délai intermédiaire'!B60/24,0))</f>
        <v>5</v>
      </c>
      <c r="C64" s="13">
        <f>IF(Distances!C60="N.C.",0,ROUNDUP(C56+'Délai intermédiaire'!C60/24,0))</f>
        <v>4</v>
      </c>
      <c r="D64" s="13">
        <f>IF(Distances!D60="N.C.",0,ROUNDUP(D56+'Délai intermédiaire'!D60/24,0))</f>
        <v>3</v>
      </c>
      <c r="E64" s="13">
        <f>IF(Distances!E60="N.C.",0,ROUNDUP(E56+'Délai intermédiaire'!E60/24,0))</f>
        <v>3</v>
      </c>
      <c r="F64" s="13">
        <f>IF(Distances!F60="N.C.",0,ROUNDUP(F56+'Délai intermédiaire'!F60/24,0))</f>
        <v>4</v>
      </c>
      <c r="G64" s="13">
        <f>IF(Distances!G60="N.C.",0,ROUNDUP(G56+'Délai intermédiaire'!G60/24,0))</f>
        <v>4</v>
      </c>
      <c r="H64" s="12">
        <f>IF(Distances!H60="N.C.",0,ROUNDUP(H56+'Délai intermédiaire'!H60/24,0))</f>
        <v>1</v>
      </c>
      <c r="I64" s="13">
        <f>IF(Distances!I60="N.C.",0,ROUNDUP(I56+'Délai intermédiaire'!I60/24,0))</f>
        <v>3</v>
      </c>
      <c r="J64" s="13">
        <f>IF(Distances!J60="N.C.",0,ROUNDUP(J56+'Délai intermédiaire'!J60/24,0))</f>
        <v>5</v>
      </c>
      <c r="K64" s="13">
        <f>IF(Distances!K60="N.C.",0,ROUNDUP(K56+'Délai intermédiaire'!K60/24,0))</f>
        <v>5</v>
      </c>
      <c r="L64" s="13">
        <f>IF(Distances!L60="N.C.",0,ROUNDUP(L56+'Délai intermédiaire'!L60/24,0))</f>
        <v>0</v>
      </c>
      <c r="M64" s="13">
        <f>IF(Distances!M60="N.C.",0,ROUNDUP(M56+'Délai intermédiaire'!M60/24,0))</f>
        <v>3</v>
      </c>
      <c r="N64" s="13">
        <f>IF(Distances!N60="N.C.",0,ROUNDUP(N56+'Délai intermédiaire'!N60/24,0))</f>
        <v>0</v>
      </c>
      <c r="O64" s="14">
        <f>IF(Distances!O60="N.C.",0,ROUNDUP(O56+'Délai intermédiaire'!O60/24,0))</f>
        <v>0</v>
      </c>
      <c r="P64" s="14">
        <f>IF(Distances!P60="N.C.",0,ROUNDUP(P56+'Délai intermédiaire'!P60/24,0))</f>
        <v>0</v>
      </c>
      <c r="Q64" s="14">
        <f>IF(Distances!Q60="N.C.",0,ROUNDUP(Q56+'Délai intermédiaire'!Q60/24,0))</f>
        <v>0</v>
      </c>
      <c r="R64" s="14">
        <f>IF(Distances!R60="N.C.",0,ROUNDUP(R56+'Délai intermédiaire'!R60/24,0))</f>
        <v>0</v>
      </c>
      <c r="S64" s="14">
        <f>IF(Distances!S60="N.C.",0,ROUNDUP(S56+'Délai intermédiaire'!S60/24,0))</f>
        <v>0</v>
      </c>
      <c r="T64" s="14">
        <f>IF(Distances!T60="N.C.",0,ROUNDUP(T56+'Délai intermédiaire'!T60/24,0))</f>
        <v>0</v>
      </c>
      <c r="U64" s="14">
        <f>IF(Distances!U60="N.C.",0,ROUNDUP(U56+'Délai intermédiaire'!U60/24,0))</f>
        <v>0</v>
      </c>
      <c r="V64" s="14">
        <f>IF(Distances!V60="N.C.",0,ROUNDUP(V56+'Délai intermédiaire'!V60/24,0))</f>
        <v>0</v>
      </c>
      <c r="W64" s="14">
        <f>IF(Distances!W60="N.C.",0,ROUNDUP(W56+'Délai intermédiaire'!W60/24,0))</f>
        <v>0</v>
      </c>
      <c r="X64" s="14">
        <f>IF(Distances!X60="N.C.",0,ROUNDUP(X56+'Délai intermédiaire'!X60/24,0))</f>
        <v>0</v>
      </c>
      <c r="Y64" s="14">
        <f>IF(Distances!Y60="N.C.",0,ROUNDUP(Y56+'Délai intermédiaire'!Y60/24,0))</f>
        <v>0</v>
      </c>
      <c r="Z64" s="14">
        <f>IF(Distances!Z60="N.C.",0,ROUNDUP(Z56+'Délai intermédiaire'!Z60/24,0))</f>
        <v>0</v>
      </c>
      <c r="AA64" s="14">
        <f>IF(Distances!AA60="N.C.",0,ROUNDUP(AA56+'Délai intermédiaire'!AA60/24,0))</f>
        <v>0</v>
      </c>
      <c r="AB64" s="14">
        <f>IF(Distances!AB60="N.C.",0,ROUNDUP(AB56+'Délai intermédiaire'!AB60/24,0))</f>
        <v>0</v>
      </c>
      <c r="AC64" s="14">
        <f>IF(Distances!AC60="N.C.",0,ROUNDUP(AC56+'Délai intermédiaire'!AC60/24,0))</f>
        <v>0</v>
      </c>
      <c r="AD64" s="14">
        <f>IF(Distances!AD60="N.C.",0,ROUNDUP(AD56+'Délai intermédiaire'!AD60/24,0))</f>
        <v>0</v>
      </c>
      <c r="AE64" s="14">
        <f>IF(Distances!AE60="N.C.",0,ROUNDUP(AE56+'Délai intermédiaire'!AE60/24,0))</f>
        <v>0</v>
      </c>
      <c r="AF64" s="14">
        <f>IF(Distances!AF60="N.C.",0,ROUNDUP(AF56+'Délai intermédiaire'!AF60/24,0))</f>
        <v>0</v>
      </c>
      <c r="AG64" s="14">
        <f>IF(Distances!AG60="N.C.",0,ROUNDUP(AG56+'Délai intermédiaire'!AG60/24,0))</f>
        <v>0</v>
      </c>
      <c r="AH64" s="14">
        <f>IF(Distances!AH60="N.C.",0,ROUNDUP(AH56+'Délai intermédiaire'!AH60/24,0))</f>
        <v>0</v>
      </c>
      <c r="AI64" s="14">
        <f>IF(Distances!AI60="N.C.",0,ROUNDUP(AI56+'Délai intermédiaire'!AI60/24,0))</f>
        <v>0</v>
      </c>
      <c r="AJ64" s="14">
        <f>IF(Distances!AJ60="N.C.",0,ROUNDUP(AJ56+'Délai intermédiaire'!AJ60/24,0))</f>
        <v>0</v>
      </c>
      <c r="AK64" s="14">
        <f>IF(Distances!AK60="N.C.",0,ROUNDUP(AK56+'Délai intermédiaire'!AK60/24,0))</f>
        <v>0</v>
      </c>
      <c r="AL64" s="14">
        <f>IF(Distances!AL60="N.C.",0,ROUNDUP(AL56+'Délai intermédiaire'!AL60/24,0))</f>
        <v>0</v>
      </c>
      <c r="AM64" s="14">
        <f>IF(Distances!AM60="N.C.",0,ROUNDUP(AM56+'Délai intermédiaire'!AM60/24,0))</f>
        <v>0</v>
      </c>
      <c r="AN64" s="14">
        <f>IF(Distances!AN60="N.C.",0,ROUNDUP(AN56+'Délai intermédiaire'!AN60/24,0))</f>
        <v>0</v>
      </c>
      <c r="AO64" s="14">
        <f>IF(Distances!AO60="N.C.",0,ROUNDUP(AO56+'Délai intermédiaire'!AO60/24,0))</f>
        <v>0</v>
      </c>
      <c r="AP64" s="14">
        <f>IF(Distances!AP60="N.C.",0,ROUNDUP(AP56+'Délai intermédiaire'!AP60/24,0))</f>
        <v>0</v>
      </c>
      <c r="AQ64" s="14">
        <f>IF(Distances!AQ60="N.C.",0,ROUNDUP(AQ56+'Délai intermédiaire'!AQ60/24,0))</f>
        <v>0</v>
      </c>
      <c r="AR64" s="14">
        <f>IF(Distances!AR60="N.C.",0,ROUNDUP(AR56+'Délai intermédiaire'!AR60/24,0))</f>
        <v>0</v>
      </c>
      <c r="AS64" s="14">
        <f>IF(Distances!AS60="N.C.",0,ROUNDUP(AS56+'Délai intermédiaire'!AS60/24,0))</f>
        <v>0</v>
      </c>
      <c r="AT64" s="14">
        <f>IF(Distances!AT60="N.C.",0,ROUNDUP(AT56+'Délai intermédiaire'!AT60/24,0))</f>
        <v>0</v>
      </c>
      <c r="AU64" s="14">
        <f>IF(Distances!AU60="N.C.",0,ROUNDUP(AU56+'Délai intermédiaire'!AU60/24,0))</f>
        <v>0</v>
      </c>
      <c r="AV64" s="14">
        <f>IF(Distances!AV60="N.C.",0,ROUNDUP(AV56+'Délai intermédiaire'!AV60/24,0))</f>
        <v>0</v>
      </c>
      <c r="AW64" s="14">
        <f>IF(Distances!AW60="N.C.",0,ROUNDUP(AW56+'Délai intermédiaire'!AW60/24,0))</f>
        <v>0</v>
      </c>
      <c r="AX64" s="14">
        <f>IF(Distances!AX60="N.C.",0,ROUNDUP(AX56+'Délai intermédiaire'!AX60/24,0))</f>
        <v>0</v>
      </c>
      <c r="AY64" s="14">
        <f>IF(Distances!AY60="N.C.",0,ROUNDUP(AY56+'Délai intermédiaire'!AY60/24,0))</f>
        <v>0</v>
      </c>
      <c r="AZ64" s="14">
        <f>IF(Distances!AZ60="N.C.",0,ROUNDUP(AZ56+'Délai intermédiaire'!AZ60/24,0))</f>
        <v>0</v>
      </c>
      <c r="BA64" s="14">
        <f>IF(Distances!BA60="N.C.",0,ROUNDUP(BA56+'Délai intermédiaire'!BA60/24,0))</f>
        <v>0</v>
      </c>
      <c r="BB64" s="14">
        <f>IF(Distances!BB60="N.C.",0,ROUNDUP(BB56+'Délai intermédiaire'!BB60/24,0))</f>
        <v>0</v>
      </c>
      <c r="BC64" s="14">
        <f>IF(Distances!BC60="N.C.",0,ROUNDUP(BC56+'Délai intermédiaire'!BC60/24,0))</f>
        <v>0</v>
      </c>
      <c r="BD64" s="14">
        <f>IF(Distances!BD60="N.C.",0,ROUNDUP(BD56+'Délai intermédiaire'!BD60/24,0))</f>
        <v>0</v>
      </c>
      <c r="BE64" s="14">
        <f>IF(Distances!BE60="N.C.",0,ROUNDUP(BE56+'Délai intermédiaire'!BE60/24,0))</f>
        <v>0</v>
      </c>
      <c r="BF64" s="14">
        <f>IF(Distances!BF60="N.C.",0,ROUNDUP(BF56+'Délai intermédiaire'!BF60/24,0))</f>
        <v>0</v>
      </c>
      <c r="BG64" s="14">
        <f>IF(Distances!BG60="N.C.",0,ROUNDUP(BG56+'Délai intermédiaire'!BG60/24,0))</f>
        <v>0</v>
      </c>
      <c r="BH64" s="14">
        <f>IF(Distances!BH60="N.C.",0,ROUNDUP(BH56+'Délai intermédiaire'!BH60/24,0))</f>
        <v>0</v>
      </c>
      <c r="BI64" s="14">
        <f>IF(Distances!BI60="N.C.",0,ROUNDUP(BI56+'Délai intermédiaire'!BI60/24,0))</f>
        <v>0</v>
      </c>
      <c r="BJ64" s="15">
        <f>IF(Distances!BJ60="N.C.",0,ROUNDUP(BJ56+'Délai intermédiaire'!BJ60/24,0))</f>
        <v>0</v>
      </c>
    </row>
    <row r="65" spans="1:62" x14ac:dyDescent="0.3">
      <c r="A65" s="10" t="s">
        <v>8</v>
      </c>
      <c r="B65" s="11">
        <f>IF(Distances!B61="N.C.",0,ROUNDUP(B56+'Délai intermédiaire'!B61/24,0))</f>
        <v>5</v>
      </c>
      <c r="C65" s="13">
        <f>IF(Distances!C61="N.C.",0,ROUNDUP(C56+'Délai intermédiaire'!C61/24,0))</f>
        <v>3</v>
      </c>
      <c r="D65" s="13">
        <f>IF(Distances!D61="N.C.",0,ROUNDUP(D56+'Délai intermédiaire'!D61/24,0))</f>
        <v>0</v>
      </c>
      <c r="E65" s="13">
        <f>IF(Distances!E61="N.C.",0,ROUNDUP(E56+'Délai intermédiaire'!E61/24,0))</f>
        <v>4</v>
      </c>
      <c r="F65" s="13">
        <f>IF(Distances!F61="N.C.",0,ROUNDUP(F56+'Délai intermédiaire'!F61/24,0))</f>
        <v>5</v>
      </c>
      <c r="G65" s="13">
        <f>IF(Distances!G61="N.C.",0,ROUNDUP(G56+'Délai intermédiaire'!G61/24,0))</f>
        <v>3</v>
      </c>
      <c r="H65" s="13">
        <f>IF(Distances!H61="N.C.",0,ROUNDUP(H56+'Délai intermédiaire'!H61/24,0))</f>
        <v>3</v>
      </c>
      <c r="I65" s="12">
        <f>IF(Distances!I61="N.C.",0,ROUNDUP(I56+'Délai intermédiaire'!I61/24,0))</f>
        <v>1</v>
      </c>
      <c r="J65" s="13">
        <f>IF(Distances!J61="N.C.",0,ROUNDUP(J56+'Délai intermédiaire'!J61/24,0))</f>
        <v>0</v>
      </c>
      <c r="K65" s="13">
        <f>IF(Distances!K61="N.C.",0,ROUNDUP(K56+'Délai intermédiaire'!K61/24,0))</f>
        <v>6</v>
      </c>
      <c r="L65" s="13">
        <f>IF(Distances!L61="N.C.",0,ROUNDUP(L56+'Délai intermédiaire'!L61/24,0))</f>
        <v>5</v>
      </c>
      <c r="M65" s="13">
        <f>IF(Distances!M61="N.C.",0,ROUNDUP(M56+'Délai intermédiaire'!M61/24,0))</f>
        <v>4</v>
      </c>
      <c r="N65" s="13">
        <f>IF(Distances!N61="N.C.",0,ROUNDUP(N56+'Délai intermédiaire'!N61/24,0))</f>
        <v>0</v>
      </c>
      <c r="O65" s="14">
        <f>IF(Distances!O61="N.C.",0,ROUNDUP(O56+'Délai intermédiaire'!O61/24,0))</f>
        <v>0</v>
      </c>
      <c r="P65" s="14">
        <f>IF(Distances!P61="N.C.",0,ROUNDUP(P56+'Délai intermédiaire'!P61/24,0))</f>
        <v>0</v>
      </c>
      <c r="Q65" s="14">
        <f>IF(Distances!Q61="N.C.",0,ROUNDUP(Q56+'Délai intermédiaire'!Q61/24,0))</f>
        <v>0</v>
      </c>
      <c r="R65" s="14">
        <f>IF(Distances!R61="N.C.",0,ROUNDUP(R56+'Délai intermédiaire'!R61/24,0))</f>
        <v>0</v>
      </c>
      <c r="S65" s="14">
        <f>IF(Distances!S61="N.C.",0,ROUNDUP(S56+'Délai intermédiaire'!S61/24,0))</f>
        <v>0</v>
      </c>
      <c r="T65" s="14">
        <f>IF(Distances!T61="N.C.",0,ROUNDUP(T56+'Délai intermédiaire'!T61/24,0))</f>
        <v>0</v>
      </c>
      <c r="U65" s="14">
        <f>IF(Distances!U61="N.C.",0,ROUNDUP(U56+'Délai intermédiaire'!U61/24,0))</f>
        <v>0</v>
      </c>
      <c r="V65" s="14">
        <f>IF(Distances!V61="N.C.",0,ROUNDUP(V56+'Délai intermédiaire'!V61/24,0))</f>
        <v>0</v>
      </c>
      <c r="W65" s="14">
        <f>IF(Distances!W61="N.C.",0,ROUNDUP(W56+'Délai intermédiaire'!W61/24,0))</f>
        <v>0</v>
      </c>
      <c r="X65" s="14">
        <f>IF(Distances!X61="N.C.",0,ROUNDUP(X56+'Délai intermédiaire'!X61/24,0))</f>
        <v>0</v>
      </c>
      <c r="Y65" s="14">
        <f>IF(Distances!Y61="N.C.",0,ROUNDUP(Y56+'Délai intermédiaire'!Y61/24,0))</f>
        <v>0</v>
      </c>
      <c r="Z65" s="14">
        <f>IF(Distances!Z61="N.C.",0,ROUNDUP(Z56+'Délai intermédiaire'!Z61/24,0))</f>
        <v>0</v>
      </c>
      <c r="AA65" s="14">
        <f>IF(Distances!AA61="N.C.",0,ROUNDUP(AA56+'Délai intermédiaire'!AA61/24,0))</f>
        <v>0</v>
      </c>
      <c r="AB65" s="14">
        <f>IF(Distances!AB61="N.C.",0,ROUNDUP(AB56+'Délai intermédiaire'!AB61/24,0))</f>
        <v>0</v>
      </c>
      <c r="AC65" s="14">
        <f>IF(Distances!AC61="N.C.",0,ROUNDUP(AC56+'Délai intermédiaire'!AC61/24,0))</f>
        <v>0</v>
      </c>
      <c r="AD65" s="14">
        <f>IF(Distances!AD61="N.C.",0,ROUNDUP(AD56+'Délai intermédiaire'!AD61/24,0))</f>
        <v>0</v>
      </c>
      <c r="AE65" s="14">
        <f>IF(Distances!AE61="N.C.",0,ROUNDUP(AE56+'Délai intermédiaire'!AE61/24,0))</f>
        <v>0</v>
      </c>
      <c r="AF65" s="14">
        <f>IF(Distances!AF61="N.C.",0,ROUNDUP(AF56+'Délai intermédiaire'!AF61/24,0))</f>
        <v>0</v>
      </c>
      <c r="AG65" s="14">
        <f>IF(Distances!AG61="N.C.",0,ROUNDUP(AG56+'Délai intermédiaire'!AG61/24,0))</f>
        <v>0</v>
      </c>
      <c r="AH65" s="14">
        <f>IF(Distances!AH61="N.C.",0,ROUNDUP(AH56+'Délai intermédiaire'!AH61/24,0))</f>
        <v>0</v>
      </c>
      <c r="AI65" s="14">
        <f>IF(Distances!AI61="N.C.",0,ROUNDUP(AI56+'Délai intermédiaire'!AI61/24,0))</f>
        <v>0</v>
      </c>
      <c r="AJ65" s="14">
        <f>IF(Distances!AJ61="N.C.",0,ROUNDUP(AJ56+'Délai intermédiaire'!AJ61/24,0))</f>
        <v>0</v>
      </c>
      <c r="AK65" s="14">
        <f>IF(Distances!AK61="N.C.",0,ROUNDUP(AK56+'Délai intermédiaire'!AK61/24,0))</f>
        <v>0</v>
      </c>
      <c r="AL65" s="14">
        <f>IF(Distances!AL61="N.C.",0,ROUNDUP(AL56+'Délai intermédiaire'!AL61/24,0))</f>
        <v>0</v>
      </c>
      <c r="AM65" s="14">
        <f>IF(Distances!AM61="N.C.",0,ROUNDUP(AM56+'Délai intermédiaire'!AM61/24,0))</f>
        <v>0</v>
      </c>
      <c r="AN65" s="14">
        <f>IF(Distances!AN61="N.C.",0,ROUNDUP(AN56+'Délai intermédiaire'!AN61/24,0))</f>
        <v>0</v>
      </c>
      <c r="AO65" s="14">
        <f>IF(Distances!AO61="N.C.",0,ROUNDUP(AO56+'Délai intermédiaire'!AO61/24,0))</f>
        <v>0</v>
      </c>
      <c r="AP65" s="14">
        <f>IF(Distances!AP61="N.C.",0,ROUNDUP(AP56+'Délai intermédiaire'!AP61/24,0))</f>
        <v>0</v>
      </c>
      <c r="AQ65" s="14">
        <f>IF(Distances!AQ61="N.C.",0,ROUNDUP(AQ56+'Délai intermédiaire'!AQ61/24,0))</f>
        <v>0</v>
      </c>
      <c r="AR65" s="14">
        <f>IF(Distances!AR61="N.C.",0,ROUNDUP(AR56+'Délai intermédiaire'!AR61/24,0))</f>
        <v>0</v>
      </c>
      <c r="AS65" s="14">
        <f>IF(Distances!AS61="N.C.",0,ROUNDUP(AS56+'Délai intermédiaire'!AS61/24,0))</f>
        <v>0</v>
      </c>
      <c r="AT65" s="14">
        <f>IF(Distances!AT61="N.C.",0,ROUNDUP(AT56+'Délai intermédiaire'!AT61/24,0))</f>
        <v>0</v>
      </c>
      <c r="AU65" s="14">
        <f>IF(Distances!AU61="N.C.",0,ROUNDUP(AU56+'Délai intermédiaire'!AU61/24,0))</f>
        <v>0</v>
      </c>
      <c r="AV65" s="14">
        <f>IF(Distances!AV61="N.C.",0,ROUNDUP(AV56+'Délai intermédiaire'!AV61/24,0))</f>
        <v>0</v>
      </c>
      <c r="AW65" s="14">
        <f>IF(Distances!AW61="N.C.",0,ROUNDUP(AW56+'Délai intermédiaire'!AW61/24,0))</f>
        <v>0</v>
      </c>
      <c r="AX65" s="14">
        <f>IF(Distances!AX61="N.C.",0,ROUNDUP(AX56+'Délai intermédiaire'!AX61/24,0))</f>
        <v>0</v>
      </c>
      <c r="AY65" s="14">
        <f>IF(Distances!AY61="N.C.",0,ROUNDUP(AY56+'Délai intermédiaire'!AY61/24,0))</f>
        <v>0</v>
      </c>
      <c r="AZ65" s="14">
        <f>IF(Distances!AZ61="N.C.",0,ROUNDUP(AZ56+'Délai intermédiaire'!AZ61/24,0))</f>
        <v>0</v>
      </c>
      <c r="BA65" s="14">
        <f>IF(Distances!BA61="N.C.",0,ROUNDUP(BA56+'Délai intermédiaire'!BA61/24,0))</f>
        <v>0</v>
      </c>
      <c r="BB65" s="14">
        <f>IF(Distances!BB61="N.C.",0,ROUNDUP(BB56+'Délai intermédiaire'!BB61/24,0))</f>
        <v>0</v>
      </c>
      <c r="BC65" s="14">
        <f>IF(Distances!BC61="N.C.",0,ROUNDUP(BC56+'Délai intermédiaire'!BC61/24,0))</f>
        <v>0</v>
      </c>
      <c r="BD65" s="14">
        <f>IF(Distances!BD61="N.C.",0,ROUNDUP(BD56+'Délai intermédiaire'!BD61/24,0))</f>
        <v>0</v>
      </c>
      <c r="BE65" s="14">
        <f>IF(Distances!BE61="N.C.",0,ROUNDUP(BE56+'Délai intermédiaire'!BE61/24,0))</f>
        <v>0</v>
      </c>
      <c r="BF65" s="14">
        <f>IF(Distances!BF61="N.C.",0,ROUNDUP(BF56+'Délai intermédiaire'!BF61/24,0))</f>
        <v>0</v>
      </c>
      <c r="BG65" s="14">
        <f>IF(Distances!BG61="N.C.",0,ROUNDUP(BG56+'Délai intermédiaire'!BG61/24,0))</f>
        <v>0</v>
      </c>
      <c r="BH65" s="14">
        <f>IF(Distances!BH61="N.C.",0,ROUNDUP(BH56+'Délai intermédiaire'!BH61/24,0))</f>
        <v>0</v>
      </c>
      <c r="BI65" s="14">
        <f>IF(Distances!BI61="N.C.",0,ROUNDUP(BI56+'Délai intermédiaire'!BI61/24,0))</f>
        <v>0</v>
      </c>
      <c r="BJ65" s="15">
        <f>IF(Distances!BJ61="N.C.",0,ROUNDUP(BJ56+'Délai intermédiaire'!BJ61/24,0))</f>
        <v>0</v>
      </c>
    </row>
    <row r="66" spans="1:62" x14ac:dyDescent="0.3">
      <c r="A66" s="10" t="s">
        <v>64</v>
      </c>
      <c r="B66" s="11">
        <f>IF(Distances!B62="N.C.",0,ROUNDUP(B56+'Délai intermédiaire'!B62/24,0))</f>
        <v>3</v>
      </c>
      <c r="C66" s="13">
        <f>IF(Distances!C62="N.C.",0,ROUNDUP(C56+'Délai intermédiaire'!C62/24,0))</f>
        <v>3</v>
      </c>
      <c r="D66" s="13">
        <f>IF(Distances!D62="N.C.",0,ROUNDUP(D56+'Délai intermédiaire'!D62/24,0))</f>
        <v>2</v>
      </c>
      <c r="E66" s="13">
        <f>IF(Distances!E62="N.C.",0,ROUNDUP(E56+'Délai intermédiaire'!E62/24,0))</f>
        <v>2</v>
      </c>
      <c r="F66" s="13">
        <f>IF(Distances!F62="N.C.",0,ROUNDUP(F56+'Délai intermédiaire'!F62/24,0))</f>
        <v>2</v>
      </c>
      <c r="G66" s="13">
        <f>IF(Distances!G62="N.C.",0,ROUNDUP(G56+'Délai intermédiaire'!G62/24,0))</f>
        <v>3</v>
      </c>
      <c r="H66" s="13">
        <f>IF(Distances!H62="N.C.",0,ROUNDUP(H56+'Délai intermédiaire'!H62/24,0))</f>
        <v>4</v>
      </c>
      <c r="I66" s="13">
        <f>IF(Distances!I62="N.C.",0,ROUNDUP(I56+'Délai intermédiaire'!I62/24,0))</f>
        <v>0</v>
      </c>
      <c r="J66" s="12">
        <f>IF(Distances!J62="N.C.",0,ROUNDUP(J56+'Délai intermédiaire'!J62/24,0))</f>
        <v>2</v>
      </c>
      <c r="K66" s="13">
        <f>IF(Distances!K62="N.C.",0,ROUNDUP(K56+'Délai intermédiaire'!K62/24,0))</f>
        <v>3</v>
      </c>
      <c r="L66" s="13">
        <f>IF(Distances!L62="N.C.",0,ROUNDUP(L56+'Délai intermédiaire'!L62/24,0))</f>
        <v>0</v>
      </c>
      <c r="M66" s="13">
        <f>IF(Distances!M62="N.C.",0,ROUNDUP(M56+'Délai intermédiaire'!M62/24,0))</f>
        <v>5</v>
      </c>
      <c r="N66" s="13">
        <f>IF(Distances!N62="N.C.",0,ROUNDUP(N56+'Délai intermédiaire'!N62/24,0))</f>
        <v>0</v>
      </c>
      <c r="O66" s="14">
        <f>IF(Distances!O62="N.C.",0,ROUNDUP(O56+'Délai intermédiaire'!O62/24,0))</f>
        <v>0</v>
      </c>
      <c r="P66" s="14">
        <f>IF(Distances!P62="N.C.",0,ROUNDUP(P56+'Délai intermédiaire'!P62/24,0))</f>
        <v>0</v>
      </c>
      <c r="Q66" s="14">
        <f>IF(Distances!Q62="N.C.",0,ROUNDUP(Q56+'Délai intermédiaire'!Q62/24,0))</f>
        <v>0</v>
      </c>
      <c r="R66" s="14">
        <f>IF(Distances!R62="N.C.",0,ROUNDUP(R56+'Délai intermédiaire'!R62/24,0))</f>
        <v>0</v>
      </c>
      <c r="S66" s="14">
        <f>IF(Distances!S62="N.C.",0,ROUNDUP(S56+'Délai intermédiaire'!S62/24,0))</f>
        <v>0</v>
      </c>
      <c r="T66" s="14">
        <f>IF(Distances!T62="N.C.",0,ROUNDUP(T56+'Délai intermédiaire'!T62/24,0))</f>
        <v>0</v>
      </c>
      <c r="U66" s="14">
        <f>IF(Distances!U62="N.C.",0,ROUNDUP(U56+'Délai intermédiaire'!U62/24,0))</f>
        <v>0</v>
      </c>
      <c r="V66" s="14">
        <f>IF(Distances!V62="N.C.",0,ROUNDUP(V56+'Délai intermédiaire'!V62/24,0))</f>
        <v>0</v>
      </c>
      <c r="W66" s="14">
        <f>IF(Distances!W62="N.C.",0,ROUNDUP(W56+'Délai intermédiaire'!W62/24,0))</f>
        <v>0</v>
      </c>
      <c r="X66" s="14">
        <f>IF(Distances!X62="N.C.",0,ROUNDUP(X56+'Délai intermédiaire'!X62/24,0))</f>
        <v>0</v>
      </c>
      <c r="Y66" s="14">
        <f>IF(Distances!Y62="N.C.",0,ROUNDUP(Y56+'Délai intermédiaire'!Y62/24,0))</f>
        <v>0</v>
      </c>
      <c r="Z66" s="14">
        <f>IF(Distances!Z62="N.C.",0,ROUNDUP(Z56+'Délai intermédiaire'!Z62/24,0))</f>
        <v>0</v>
      </c>
      <c r="AA66" s="14">
        <f>IF(Distances!AA62="N.C.",0,ROUNDUP(AA56+'Délai intermédiaire'!AA62/24,0))</f>
        <v>0</v>
      </c>
      <c r="AB66" s="14">
        <f>IF(Distances!AB62="N.C.",0,ROUNDUP(AB56+'Délai intermédiaire'!AB62/24,0))</f>
        <v>0</v>
      </c>
      <c r="AC66" s="14">
        <f>IF(Distances!AC62="N.C.",0,ROUNDUP(AC56+'Délai intermédiaire'!AC62/24,0))</f>
        <v>0</v>
      </c>
      <c r="AD66" s="14">
        <f>IF(Distances!AD62="N.C.",0,ROUNDUP(AD56+'Délai intermédiaire'!AD62/24,0))</f>
        <v>0</v>
      </c>
      <c r="AE66" s="14">
        <f>IF(Distances!AE62="N.C.",0,ROUNDUP(AE56+'Délai intermédiaire'!AE62/24,0))</f>
        <v>0</v>
      </c>
      <c r="AF66" s="14">
        <f>IF(Distances!AF62="N.C.",0,ROUNDUP(AF56+'Délai intermédiaire'!AF62/24,0))</f>
        <v>0</v>
      </c>
      <c r="AG66" s="14">
        <f>IF(Distances!AG62="N.C.",0,ROUNDUP(AG56+'Délai intermédiaire'!AG62/24,0))</f>
        <v>0</v>
      </c>
      <c r="AH66" s="14">
        <f>IF(Distances!AH62="N.C.",0,ROUNDUP(AH56+'Délai intermédiaire'!AH62/24,0))</f>
        <v>0</v>
      </c>
      <c r="AI66" s="14">
        <f>IF(Distances!AI62="N.C.",0,ROUNDUP(AI56+'Délai intermédiaire'!AI62/24,0))</f>
        <v>0</v>
      </c>
      <c r="AJ66" s="14">
        <f>IF(Distances!AJ62="N.C.",0,ROUNDUP(AJ56+'Délai intermédiaire'!AJ62/24,0))</f>
        <v>0</v>
      </c>
      <c r="AK66" s="14">
        <f>IF(Distances!AK62="N.C.",0,ROUNDUP(AK56+'Délai intermédiaire'!AK62/24,0))</f>
        <v>0</v>
      </c>
      <c r="AL66" s="14">
        <f>IF(Distances!AL62="N.C.",0,ROUNDUP(AL56+'Délai intermédiaire'!AL62/24,0))</f>
        <v>0</v>
      </c>
      <c r="AM66" s="14">
        <f>IF(Distances!AM62="N.C.",0,ROUNDUP(AM56+'Délai intermédiaire'!AM62/24,0))</f>
        <v>0</v>
      </c>
      <c r="AN66" s="14">
        <f>IF(Distances!AN62="N.C.",0,ROUNDUP(AN56+'Délai intermédiaire'!AN62/24,0))</f>
        <v>0</v>
      </c>
      <c r="AO66" s="14">
        <f>IF(Distances!AO62="N.C.",0,ROUNDUP(AO56+'Délai intermédiaire'!AO62/24,0))</f>
        <v>0</v>
      </c>
      <c r="AP66" s="14">
        <f>IF(Distances!AP62="N.C.",0,ROUNDUP(AP56+'Délai intermédiaire'!AP62/24,0))</f>
        <v>0</v>
      </c>
      <c r="AQ66" s="14">
        <f>IF(Distances!AQ62="N.C.",0,ROUNDUP(AQ56+'Délai intermédiaire'!AQ62/24,0))</f>
        <v>0</v>
      </c>
      <c r="AR66" s="14">
        <f>IF(Distances!AR62="N.C.",0,ROUNDUP(AR56+'Délai intermédiaire'!AR62/24,0))</f>
        <v>0</v>
      </c>
      <c r="AS66" s="14">
        <f>IF(Distances!AS62="N.C.",0,ROUNDUP(AS56+'Délai intermédiaire'!AS62/24,0))</f>
        <v>0</v>
      </c>
      <c r="AT66" s="14">
        <f>IF(Distances!AT62="N.C.",0,ROUNDUP(AT56+'Délai intermédiaire'!AT62/24,0))</f>
        <v>0</v>
      </c>
      <c r="AU66" s="14">
        <f>IF(Distances!AU62="N.C.",0,ROUNDUP(AU56+'Délai intermédiaire'!AU62/24,0))</f>
        <v>0</v>
      </c>
      <c r="AV66" s="14">
        <f>IF(Distances!AV62="N.C.",0,ROUNDUP(AV56+'Délai intermédiaire'!AV62/24,0))</f>
        <v>0</v>
      </c>
      <c r="AW66" s="14">
        <f>IF(Distances!AW62="N.C.",0,ROUNDUP(AW56+'Délai intermédiaire'!AW62/24,0))</f>
        <v>0</v>
      </c>
      <c r="AX66" s="14">
        <f>IF(Distances!AX62="N.C.",0,ROUNDUP(AX56+'Délai intermédiaire'!AX62/24,0))</f>
        <v>0</v>
      </c>
      <c r="AY66" s="14">
        <f>IF(Distances!AY62="N.C.",0,ROUNDUP(AY56+'Délai intermédiaire'!AY62/24,0))</f>
        <v>0</v>
      </c>
      <c r="AZ66" s="14">
        <f>IF(Distances!AZ62="N.C.",0,ROUNDUP(AZ56+'Délai intermédiaire'!AZ62/24,0))</f>
        <v>0</v>
      </c>
      <c r="BA66" s="14">
        <f>IF(Distances!BA62="N.C.",0,ROUNDUP(BA56+'Délai intermédiaire'!BA62/24,0))</f>
        <v>0</v>
      </c>
      <c r="BB66" s="14">
        <f>IF(Distances!BB62="N.C.",0,ROUNDUP(BB56+'Délai intermédiaire'!BB62/24,0))</f>
        <v>0</v>
      </c>
      <c r="BC66" s="14">
        <f>IF(Distances!BC62="N.C.",0,ROUNDUP(BC56+'Délai intermédiaire'!BC62/24,0))</f>
        <v>0</v>
      </c>
      <c r="BD66" s="14">
        <f>IF(Distances!BD62="N.C.",0,ROUNDUP(BD56+'Délai intermédiaire'!BD62/24,0))</f>
        <v>0</v>
      </c>
      <c r="BE66" s="14">
        <f>IF(Distances!BE62="N.C.",0,ROUNDUP(BE56+'Délai intermédiaire'!BE62/24,0))</f>
        <v>0</v>
      </c>
      <c r="BF66" s="14">
        <f>IF(Distances!BF62="N.C.",0,ROUNDUP(BF56+'Délai intermédiaire'!BF62/24,0))</f>
        <v>0</v>
      </c>
      <c r="BG66" s="14">
        <f>IF(Distances!BG62="N.C.",0,ROUNDUP(BG56+'Délai intermédiaire'!BG62/24,0))</f>
        <v>0</v>
      </c>
      <c r="BH66" s="14">
        <f>IF(Distances!BH62="N.C.",0,ROUNDUP(BH56+'Délai intermédiaire'!BH62/24,0))</f>
        <v>0</v>
      </c>
      <c r="BI66" s="14">
        <f>IF(Distances!BI62="N.C.",0,ROUNDUP(BI56+'Délai intermédiaire'!BI62/24,0))</f>
        <v>0</v>
      </c>
      <c r="BJ66" s="15">
        <f>IF(Distances!BJ62="N.C.",0,ROUNDUP(BJ56+'Délai intermédiaire'!BJ62/24,0))</f>
        <v>0</v>
      </c>
    </row>
    <row r="67" spans="1:62" x14ac:dyDescent="0.3">
      <c r="A67" s="10" t="s">
        <v>10</v>
      </c>
      <c r="B67" s="11">
        <f>IF(Distances!B63="N.C.",0,ROUNDUP(B56+'Délai intermédiaire'!B63/24,0))</f>
        <v>3</v>
      </c>
      <c r="C67" s="13">
        <f>IF(Distances!C63="N.C.",0,ROUNDUP(C56+'Délai intermédiaire'!C63/24,0))</f>
        <v>3</v>
      </c>
      <c r="D67" s="13">
        <f>IF(Distances!D63="N.C.",0,ROUNDUP(D56+'Délai intermédiaire'!D63/24,0))</f>
        <v>3</v>
      </c>
      <c r="E67" s="13">
        <f>IF(Distances!E63="N.C.",0,ROUNDUP(E56+'Délai intermédiaire'!E63/24,0))</f>
        <v>2</v>
      </c>
      <c r="F67" s="13">
        <f>IF(Distances!F63="N.C.",0,ROUNDUP(F56+'Délai intermédiaire'!F63/24,0))</f>
        <v>2</v>
      </c>
      <c r="G67" s="13">
        <f>IF(Distances!G63="N.C.",0,ROUNDUP(G56+'Délai intermédiaire'!G63/24,0))</f>
        <v>3</v>
      </c>
      <c r="H67" s="13">
        <f>IF(Distances!H63="N.C.",0,ROUNDUP(H56+'Délai intermédiaire'!H63/24,0))</f>
        <v>4</v>
      </c>
      <c r="I67" s="13">
        <f>IF(Distances!I63="N.C.",0,ROUNDUP(I56+'Délai intermédiaire'!I63/24,0))</f>
        <v>5</v>
      </c>
      <c r="J67" s="13">
        <f>IF(Distances!J63="N.C.",0,ROUNDUP(J56+'Délai intermédiaire'!J63/24,0))</f>
        <v>3</v>
      </c>
      <c r="K67" s="12">
        <f>IF(Distances!K63="N.C.",0,ROUNDUP(K56+'Délai intermédiaire'!K63/24,0))</f>
        <v>2</v>
      </c>
      <c r="L67" s="13">
        <f>IF(Distances!L63="N.C.",0,ROUNDUP(L56+'Délai intermédiaire'!L63/24,0))</f>
        <v>0</v>
      </c>
      <c r="M67" s="13">
        <f>IF(Distances!M63="N.C.",0,ROUNDUP(M56+'Délai intermédiaire'!M63/24,0))</f>
        <v>5</v>
      </c>
      <c r="N67" s="13">
        <f>IF(Distances!N63="N.C.",0,ROUNDUP(N56+'Délai intermédiaire'!N63/24,0))</f>
        <v>0</v>
      </c>
      <c r="O67" s="14">
        <f>IF(Distances!O63="N.C.",0,ROUNDUP(O56+'Délai intermédiaire'!O63/24,0))</f>
        <v>0</v>
      </c>
      <c r="P67" s="14">
        <f>IF(Distances!P63="N.C.",0,ROUNDUP(P56+'Délai intermédiaire'!P63/24,0))</f>
        <v>0</v>
      </c>
      <c r="Q67" s="14">
        <f>IF(Distances!Q63="N.C.",0,ROUNDUP(Q56+'Délai intermédiaire'!Q63/24,0))</f>
        <v>0</v>
      </c>
      <c r="R67" s="14">
        <f>IF(Distances!R63="N.C.",0,ROUNDUP(R56+'Délai intermédiaire'!R63/24,0))</f>
        <v>0</v>
      </c>
      <c r="S67" s="14">
        <f>IF(Distances!S63="N.C.",0,ROUNDUP(S56+'Délai intermédiaire'!S63/24,0))</f>
        <v>0</v>
      </c>
      <c r="T67" s="14">
        <f>IF(Distances!T63="N.C.",0,ROUNDUP(T56+'Délai intermédiaire'!T63/24,0))</f>
        <v>0</v>
      </c>
      <c r="U67" s="14">
        <f>IF(Distances!U63="N.C.",0,ROUNDUP(U56+'Délai intermédiaire'!U63/24,0))</f>
        <v>0</v>
      </c>
      <c r="V67" s="14">
        <f>IF(Distances!V63="N.C.",0,ROUNDUP(V56+'Délai intermédiaire'!V63/24,0))</f>
        <v>0</v>
      </c>
      <c r="W67" s="14">
        <f>IF(Distances!W63="N.C.",0,ROUNDUP(W56+'Délai intermédiaire'!W63/24,0))</f>
        <v>0</v>
      </c>
      <c r="X67" s="14">
        <f>IF(Distances!X63="N.C.",0,ROUNDUP(X56+'Délai intermédiaire'!X63/24,0))</f>
        <v>0</v>
      </c>
      <c r="Y67" s="14">
        <f>IF(Distances!Y63="N.C.",0,ROUNDUP(Y56+'Délai intermédiaire'!Y63/24,0))</f>
        <v>0</v>
      </c>
      <c r="Z67" s="14">
        <f>IF(Distances!Z63="N.C.",0,ROUNDUP(Z56+'Délai intermédiaire'!Z63/24,0))</f>
        <v>0</v>
      </c>
      <c r="AA67" s="14">
        <f>IF(Distances!AA63="N.C.",0,ROUNDUP(AA56+'Délai intermédiaire'!AA63/24,0))</f>
        <v>0</v>
      </c>
      <c r="AB67" s="14">
        <f>IF(Distances!AB63="N.C.",0,ROUNDUP(AB56+'Délai intermédiaire'!AB63/24,0))</f>
        <v>0</v>
      </c>
      <c r="AC67" s="14">
        <f>IF(Distances!AC63="N.C.",0,ROUNDUP(AC56+'Délai intermédiaire'!AC63/24,0))</f>
        <v>0</v>
      </c>
      <c r="AD67" s="14">
        <f>IF(Distances!AD63="N.C.",0,ROUNDUP(AD56+'Délai intermédiaire'!AD63/24,0))</f>
        <v>0</v>
      </c>
      <c r="AE67" s="14">
        <f>IF(Distances!AE63="N.C.",0,ROUNDUP(AE56+'Délai intermédiaire'!AE63/24,0))</f>
        <v>0</v>
      </c>
      <c r="AF67" s="14">
        <f>IF(Distances!AF63="N.C.",0,ROUNDUP(AF56+'Délai intermédiaire'!AF63/24,0))</f>
        <v>0</v>
      </c>
      <c r="AG67" s="14">
        <f>IF(Distances!AG63="N.C.",0,ROUNDUP(AG56+'Délai intermédiaire'!AG63/24,0))</f>
        <v>0</v>
      </c>
      <c r="AH67" s="14">
        <f>IF(Distances!AH63="N.C.",0,ROUNDUP(AH56+'Délai intermédiaire'!AH63/24,0))</f>
        <v>0</v>
      </c>
      <c r="AI67" s="14">
        <f>IF(Distances!AI63="N.C.",0,ROUNDUP(AI56+'Délai intermédiaire'!AI63/24,0))</f>
        <v>0</v>
      </c>
      <c r="AJ67" s="14">
        <f>IF(Distances!AJ63="N.C.",0,ROUNDUP(AJ56+'Délai intermédiaire'!AJ63/24,0))</f>
        <v>0</v>
      </c>
      <c r="AK67" s="14">
        <f>IF(Distances!AK63="N.C.",0,ROUNDUP(AK56+'Délai intermédiaire'!AK63/24,0))</f>
        <v>0</v>
      </c>
      <c r="AL67" s="14">
        <f>IF(Distances!AL63="N.C.",0,ROUNDUP(AL56+'Délai intermédiaire'!AL63/24,0))</f>
        <v>0</v>
      </c>
      <c r="AM67" s="14">
        <f>IF(Distances!AM63="N.C.",0,ROUNDUP(AM56+'Délai intermédiaire'!AM63/24,0))</f>
        <v>0</v>
      </c>
      <c r="AN67" s="14">
        <f>IF(Distances!AN63="N.C.",0,ROUNDUP(AN56+'Délai intermédiaire'!AN63/24,0))</f>
        <v>0</v>
      </c>
      <c r="AO67" s="14">
        <f>IF(Distances!AO63="N.C.",0,ROUNDUP(AO56+'Délai intermédiaire'!AO63/24,0))</f>
        <v>0</v>
      </c>
      <c r="AP67" s="14">
        <f>IF(Distances!AP63="N.C.",0,ROUNDUP(AP56+'Délai intermédiaire'!AP63/24,0))</f>
        <v>0</v>
      </c>
      <c r="AQ67" s="14">
        <f>IF(Distances!AQ63="N.C.",0,ROUNDUP(AQ56+'Délai intermédiaire'!AQ63/24,0))</f>
        <v>0</v>
      </c>
      <c r="AR67" s="14">
        <f>IF(Distances!AR63="N.C.",0,ROUNDUP(AR56+'Délai intermédiaire'!AR63/24,0))</f>
        <v>0</v>
      </c>
      <c r="AS67" s="14">
        <f>IF(Distances!AS63="N.C.",0,ROUNDUP(AS56+'Délai intermédiaire'!AS63/24,0))</f>
        <v>0</v>
      </c>
      <c r="AT67" s="14">
        <f>IF(Distances!AT63="N.C.",0,ROUNDUP(AT56+'Délai intermédiaire'!AT63/24,0))</f>
        <v>0</v>
      </c>
      <c r="AU67" s="14">
        <f>IF(Distances!AU63="N.C.",0,ROUNDUP(AU56+'Délai intermédiaire'!AU63/24,0))</f>
        <v>0</v>
      </c>
      <c r="AV67" s="14">
        <f>IF(Distances!AV63="N.C.",0,ROUNDUP(AV56+'Délai intermédiaire'!AV63/24,0))</f>
        <v>0</v>
      </c>
      <c r="AW67" s="14">
        <f>IF(Distances!AW63="N.C.",0,ROUNDUP(AW56+'Délai intermédiaire'!AW63/24,0))</f>
        <v>0</v>
      </c>
      <c r="AX67" s="14">
        <f>IF(Distances!AX63="N.C.",0,ROUNDUP(AX56+'Délai intermédiaire'!AX63/24,0))</f>
        <v>0</v>
      </c>
      <c r="AY67" s="14">
        <f>IF(Distances!AY63="N.C.",0,ROUNDUP(AY56+'Délai intermédiaire'!AY63/24,0))</f>
        <v>0</v>
      </c>
      <c r="AZ67" s="14">
        <f>IF(Distances!AZ63="N.C.",0,ROUNDUP(AZ56+'Délai intermédiaire'!AZ63/24,0))</f>
        <v>0</v>
      </c>
      <c r="BA67" s="14">
        <f>IF(Distances!BA63="N.C.",0,ROUNDUP(BA56+'Délai intermédiaire'!BA63/24,0))</f>
        <v>0</v>
      </c>
      <c r="BB67" s="14">
        <f>IF(Distances!BB63="N.C.",0,ROUNDUP(BB56+'Délai intermédiaire'!BB63/24,0))</f>
        <v>0</v>
      </c>
      <c r="BC67" s="14">
        <f>IF(Distances!BC63="N.C.",0,ROUNDUP(BC56+'Délai intermédiaire'!BC63/24,0))</f>
        <v>0</v>
      </c>
      <c r="BD67" s="14">
        <f>IF(Distances!BD63="N.C.",0,ROUNDUP(BD56+'Délai intermédiaire'!BD63/24,0))</f>
        <v>0</v>
      </c>
      <c r="BE67" s="14">
        <f>IF(Distances!BE63="N.C.",0,ROUNDUP(BE56+'Délai intermédiaire'!BE63/24,0))</f>
        <v>0</v>
      </c>
      <c r="BF67" s="14">
        <f>IF(Distances!BF63="N.C.",0,ROUNDUP(BF56+'Délai intermédiaire'!BF63/24,0))</f>
        <v>0</v>
      </c>
      <c r="BG67" s="14">
        <f>IF(Distances!BG63="N.C.",0,ROUNDUP(BG56+'Délai intermédiaire'!BG63/24,0))</f>
        <v>0</v>
      </c>
      <c r="BH67" s="14">
        <f>IF(Distances!BH63="N.C.",0,ROUNDUP(BH56+'Délai intermédiaire'!BH63/24,0))</f>
        <v>0</v>
      </c>
      <c r="BI67" s="14">
        <f>IF(Distances!BI63="N.C.",0,ROUNDUP(BI56+'Délai intermédiaire'!BI63/24,0))</f>
        <v>0</v>
      </c>
      <c r="BJ67" s="15">
        <f>IF(Distances!BJ63="N.C.",0,ROUNDUP(BJ56+'Délai intermédiaire'!BJ63/24,0))</f>
        <v>0</v>
      </c>
    </row>
    <row r="68" spans="1:62" x14ac:dyDescent="0.3">
      <c r="A68" s="10" t="s">
        <v>11</v>
      </c>
      <c r="B68" s="11">
        <f>IF(Distances!B64="N.C.",0,ROUNDUP(B56+'Délai intermédiaire'!B64/24,0))</f>
        <v>5</v>
      </c>
      <c r="C68" s="13">
        <f>IF(Distances!C64="N.C.",0,ROUNDUP(C56+'Délai intermédiaire'!C64/24,0))</f>
        <v>4</v>
      </c>
      <c r="D68" s="13">
        <f>IF(Distances!D64="N.C.",0,ROUNDUP(D56+'Délai intermédiaire'!D64/24,0))</f>
        <v>3</v>
      </c>
      <c r="E68" s="13">
        <f>IF(Distances!E64="N.C.",0,ROUNDUP(E56+'Délai intermédiaire'!E64/24,0))</f>
        <v>3</v>
      </c>
      <c r="F68" s="13">
        <f>IF(Distances!F64="N.C.",0,ROUNDUP(F56+'Délai intermédiaire'!F64/24,0))</f>
        <v>4</v>
      </c>
      <c r="G68" s="13">
        <f>IF(Distances!G64="N.C.",0,ROUNDUP(G56+'Délai intermédiaire'!G64/24,0))</f>
        <v>0</v>
      </c>
      <c r="H68" s="13">
        <f>IF(Distances!H64="N.C.",0,ROUNDUP(H56+'Délai intermédiaire'!H64/24,0))</f>
        <v>0</v>
      </c>
      <c r="I68" s="13">
        <f>IF(Distances!I64="N.C.",0,ROUNDUP(I56+'Délai intermédiaire'!I64/24,0))</f>
        <v>4</v>
      </c>
      <c r="J68" s="13">
        <f>IF(Distances!J64="N.C.",0,ROUNDUP(J56+'Délai intermédiaire'!J64/24,0))</f>
        <v>0</v>
      </c>
      <c r="K68" s="13">
        <f>IF(Distances!K64="N.C.",0,ROUNDUP(K56+'Délai intermédiaire'!K64/24,0))</f>
        <v>0</v>
      </c>
      <c r="L68" s="12">
        <f>IF(Distances!L64="N.C.",0,ROUNDUP(L56+'Délai intermédiaire'!L64/24,0))</f>
        <v>2</v>
      </c>
      <c r="M68" s="13">
        <f>IF(Distances!M64="N.C.",0,ROUNDUP(M56+'Délai intermédiaire'!M64/24,0))</f>
        <v>0</v>
      </c>
      <c r="N68" s="13">
        <f>IF(Distances!N64="N.C.",0,ROUNDUP(N56+'Délai intermédiaire'!N64/24,0))</f>
        <v>0</v>
      </c>
      <c r="O68" s="14">
        <f>IF(Distances!O64="N.C.",0,ROUNDUP(O56+'Délai intermédiaire'!O64/24,0))</f>
        <v>0</v>
      </c>
      <c r="P68" s="14">
        <f>IF(Distances!P64="N.C.",0,ROUNDUP(P56+'Délai intermédiaire'!P64/24,0))</f>
        <v>0</v>
      </c>
      <c r="Q68" s="14">
        <f>IF(Distances!Q64="N.C.",0,ROUNDUP(Q56+'Délai intermédiaire'!Q64/24,0))</f>
        <v>0</v>
      </c>
      <c r="R68" s="14">
        <f>IF(Distances!R64="N.C.",0,ROUNDUP(R56+'Délai intermédiaire'!R64/24,0))</f>
        <v>0</v>
      </c>
      <c r="S68" s="14">
        <f>IF(Distances!S64="N.C.",0,ROUNDUP(S56+'Délai intermédiaire'!S64/24,0))</f>
        <v>0</v>
      </c>
      <c r="T68" s="14">
        <f>IF(Distances!T64="N.C.",0,ROUNDUP(T56+'Délai intermédiaire'!T64/24,0))</f>
        <v>0</v>
      </c>
      <c r="U68" s="14">
        <f>IF(Distances!U64="N.C.",0,ROUNDUP(U56+'Délai intermédiaire'!U64/24,0))</f>
        <v>0</v>
      </c>
      <c r="V68" s="14">
        <f>IF(Distances!V64="N.C.",0,ROUNDUP(V56+'Délai intermédiaire'!V64/24,0))</f>
        <v>0</v>
      </c>
      <c r="W68" s="14">
        <f>IF(Distances!W64="N.C.",0,ROUNDUP(W56+'Délai intermédiaire'!W64/24,0))</f>
        <v>0</v>
      </c>
      <c r="X68" s="14">
        <f>IF(Distances!X64="N.C.",0,ROUNDUP(X56+'Délai intermédiaire'!X64/24,0))</f>
        <v>0</v>
      </c>
      <c r="Y68" s="14">
        <f>IF(Distances!Y64="N.C.",0,ROUNDUP(Y56+'Délai intermédiaire'!Y64/24,0))</f>
        <v>0</v>
      </c>
      <c r="Z68" s="14">
        <f>IF(Distances!Z64="N.C.",0,ROUNDUP(Z56+'Délai intermédiaire'!Z64/24,0))</f>
        <v>0</v>
      </c>
      <c r="AA68" s="14">
        <f>IF(Distances!AA64="N.C.",0,ROUNDUP(AA56+'Délai intermédiaire'!AA64/24,0))</f>
        <v>0</v>
      </c>
      <c r="AB68" s="14">
        <f>IF(Distances!AB64="N.C.",0,ROUNDUP(AB56+'Délai intermédiaire'!AB64/24,0))</f>
        <v>0</v>
      </c>
      <c r="AC68" s="14">
        <f>IF(Distances!AC64="N.C.",0,ROUNDUP(AC56+'Délai intermédiaire'!AC64/24,0))</f>
        <v>0</v>
      </c>
      <c r="AD68" s="14">
        <f>IF(Distances!AD64="N.C.",0,ROUNDUP(AD56+'Délai intermédiaire'!AD64/24,0))</f>
        <v>0</v>
      </c>
      <c r="AE68" s="14">
        <f>IF(Distances!AE64="N.C.",0,ROUNDUP(AE56+'Délai intermédiaire'!AE64/24,0))</f>
        <v>0</v>
      </c>
      <c r="AF68" s="14">
        <f>IF(Distances!AF64="N.C.",0,ROUNDUP(AF56+'Délai intermédiaire'!AF64/24,0))</f>
        <v>0</v>
      </c>
      <c r="AG68" s="14">
        <f>IF(Distances!AG64="N.C.",0,ROUNDUP(AG56+'Délai intermédiaire'!AG64/24,0))</f>
        <v>0</v>
      </c>
      <c r="AH68" s="14">
        <f>IF(Distances!AH64="N.C.",0,ROUNDUP(AH56+'Délai intermédiaire'!AH64/24,0))</f>
        <v>0</v>
      </c>
      <c r="AI68" s="14">
        <f>IF(Distances!AI64="N.C.",0,ROUNDUP(AI56+'Délai intermédiaire'!AI64/24,0))</f>
        <v>0</v>
      </c>
      <c r="AJ68" s="14">
        <f>IF(Distances!AJ64="N.C.",0,ROUNDUP(AJ56+'Délai intermédiaire'!AJ64/24,0))</f>
        <v>0</v>
      </c>
      <c r="AK68" s="14">
        <f>IF(Distances!AK64="N.C.",0,ROUNDUP(AK56+'Délai intermédiaire'!AK64/24,0))</f>
        <v>0</v>
      </c>
      <c r="AL68" s="14">
        <f>IF(Distances!AL64="N.C.",0,ROUNDUP(AL56+'Délai intermédiaire'!AL64/24,0))</f>
        <v>0</v>
      </c>
      <c r="AM68" s="14">
        <f>IF(Distances!AM64="N.C.",0,ROUNDUP(AM56+'Délai intermédiaire'!AM64/24,0))</f>
        <v>0</v>
      </c>
      <c r="AN68" s="14">
        <f>IF(Distances!AN64="N.C.",0,ROUNDUP(AN56+'Délai intermédiaire'!AN64/24,0))</f>
        <v>0</v>
      </c>
      <c r="AO68" s="14">
        <f>IF(Distances!AO64="N.C.",0,ROUNDUP(AO56+'Délai intermédiaire'!AO64/24,0))</f>
        <v>0</v>
      </c>
      <c r="AP68" s="14">
        <f>IF(Distances!AP64="N.C.",0,ROUNDUP(AP56+'Délai intermédiaire'!AP64/24,0))</f>
        <v>0</v>
      </c>
      <c r="AQ68" s="14">
        <f>IF(Distances!AQ64="N.C.",0,ROUNDUP(AQ56+'Délai intermédiaire'!AQ64/24,0))</f>
        <v>0</v>
      </c>
      <c r="AR68" s="14">
        <f>IF(Distances!AR64="N.C.",0,ROUNDUP(AR56+'Délai intermédiaire'!AR64/24,0))</f>
        <v>0</v>
      </c>
      <c r="AS68" s="14">
        <f>IF(Distances!AS64="N.C.",0,ROUNDUP(AS56+'Délai intermédiaire'!AS64/24,0))</f>
        <v>0</v>
      </c>
      <c r="AT68" s="14">
        <f>IF(Distances!AT64="N.C.",0,ROUNDUP(AT56+'Délai intermédiaire'!AT64/24,0))</f>
        <v>0</v>
      </c>
      <c r="AU68" s="14">
        <f>IF(Distances!AU64="N.C.",0,ROUNDUP(AU56+'Délai intermédiaire'!AU64/24,0))</f>
        <v>0</v>
      </c>
      <c r="AV68" s="14">
        <f>IF(Distances!AV64="N.C.",0,ROUNDUP(AV56+'Délai intermédiaire'!AV64/24,0))</f>
        <v>0</v>
      </c>
      <c r="AW68" s="14">
        <f>IF(Distances!AW64="N.C.",0,ROUNDUP(AW56+'Délai intermédiaire'!AW64/24,0))</f>
        <v>0</v>
      </c>
      <c r="AX68" s="14">
        <f>IF(Distances!AX64="N.C.",0,ROUNDUP(AX56+'Délai intermédiaire'!AX64/24,0))</f>
        <v>0</v>
      </c>
      <c r="AY68" s="14">
        <f>IF(Distances!AY64="N.C.",0,ROUNDUP(AY56+'Délai intermédiaire'!AY64/24,0))</f>
        <v>0</v>
      </c>
      <c r="AZ68" s="14">
        <f>IF(Distances!AZ64="N.C.",0,ROUNDUP(AZ56+'Délai intermédiaire'!AZ64/24,0))</f>
        <v>0</v>
      </c>
      <c r="BA68" s="14">
        <f>IF(Distances!BA64="N.C.",0,ROUNDUP(BA56+'Délai intermédiaire'!BA64/24,0))</f>
        <v>0</v>
      </c>
      <c r="BB68" s="14">
        <f>IF(Distances!BB64="N.C.",0,ROUNDUP(BB56+'Délai intermédiaire'!BB64/24,0))</f>
        <v>0</v>
      </c>
      <c r="BC68" s="14">
        <f>IF(Distances!BC64="N.C.",0,ROUNDUP(BC56+'Délai intermédiaire'!BC64/24,0))</f>
        <v>0</v>
      </c>
      <c r="BD68" s="14">
        <f>IF(Distances!BD64="N.C.",0,ROUNDUP(BD56+'Délai intermédiaire'!BD64/24,0))</f>
        <v>0</v>
      </c>
      <c r="BE68" s="14">
        <f>IF(Distances!BE64="N.C.",0,ROUNDUP(BE56+'Délai intermédiaire'!BE64/24,0))</f>
        <v>0</v>
      </c>
      <c r="BF68" s="14">
        <f>IF(Distances!BF64="N.C.",0,ROUNDUP(BF56+'Délai intermédiaire'!BF64/24,0))</f>
        <v>0</v>
      </c>
      <c r="BG68" s="14">
        <f>IF(Distances!BG64="N.C.",0,ROUNDUP(BG56+'Délai intermédiaire'!BG64/24,0))</f>
        <v>0</v>
      </c>
      <c r="BH68" s="14">
        <f>IF(Distances!BH64="N.C.",0,ROUNDUP(BH56+'Délai intermédiaire'!BH64/24,0))</f>
        <v>0</v>
      </c>
      <c r="BI68" s="14">
        <f>IF(Distances!BI64="N.C.",0,ROUNDUP(BI56+'Délai intermédiaire'!BI64/24,0))</f>
        <v>0</v>
      </c>
      <c r="BJ68" s="15">
        <f>IF(Distances!BJ64="N.C.",0,ROUNDUP(BJ56+'Délai intermédiaire'!BJ64/24,0))</f>
        <v>0</v>
      </c>
    </row>
    <row r="69" spans="1:62" x14ac:dyDescent="0.3">
      <c r="A69" s="10" t="s">
        <v>12</v>
      </c>
      <c r="B69" s="11">
        <f>IF(Distances!B65="N.C.",0,ROUNDUP(B56+'Délai intermédiaire'!B65/24,0))</f>
        <v>5</v>
      </c>
      <c r="C69" s="13">
        <f>IF(Distances!C65="N.C.",0,ROUNDUP(C56+'Délai intermédiaire'!C65/24,0))</f>
        <v>4</v>
      </c>
      <c r="D69" s="13">
        <f>IF(Distances!D65="N.C.",0,ROUNDUP(D56+'Délai intermédiaire'!D65/24,0))</f>
        <v>3</v>
      </c>
      <c r="E69" s="13">
        <f>IF(Distances!E65="N.C.",0,ROUNDUP(E56+'Délai intermédiaire'!E65/24,0))</f>
        <v>3</v>
      </c>
      <c r="F69" s="13">
        <f>IF(Distances!F65="N.C.",0,ROUNDUP(F56+'Délai intermédiaire'!F65/24,0))</f>
        <v>4</v>
      </c>
      <c r="G69" s="13">
        <f>IF(Distances!G65="N.C.",0,ROUNDUP(G56+'Délai intermédiaire'!G65/24,0))</f>
        <v>4</v>
      </c>
      <c r="H69" s="13">
        <f>IF(Distances!H65="N.C.",0,ROUNDUP(H56+'Délai intermédiaire'!H65/24,0))</f>
        <v>2</v>
      </c>
      <c r="I69" s="13">
        <f>IF(Distances!I65="N.C.",0,ROUNDUP(I56+'Délai intermédiaire'!I65/24,0))</f>
        <v>3</v>
      </c>
      <c r="J69" s="13">
        <f>IF(Distances!J65="N.C.",0,ROUNDUP(J56+'Délai intermédiaire'!J65/24,0))</f>
        <v>5</v>
      </c>
      <c r="K69" s="13">
        <f>IF(Distances!K65="N.C.",0,ROUNDUP(K56+'Délai intermédiaire'!K65/24,0))</f>
        <v>5</v>
      </c>
      <c r="L69" s="13">
        <f>IF(Distances!L65="N.C.",0,ROUNDUP(L56+'Délai intermédiaire'!L65/24,0))</f>
        <v>0</v>
      </c>
      <c r="M69" s="12">
        <f>IF(Distances!M65="N.C.",0,ROUNDUP(M56+'Délai intermédiaire'!M65/24,0))</f>
        <v>2</v>
      </c>
      <c r="N69" s="13">
        <f>IF(Distances!N65="N.C.",0,ROUNDUP(N56+'Délai intermédiaire'!N65/24,0))</f>
        <v>0</v>
      </c>
      <c r="O69" s="14">
        <f>IF(Distances!O65="N.C.",0,ROUNDUP(O56+'Délai intermédiaire'!O65/24,0))</f>
        <v>0</v>
      </c>
      <c r="P69" s="14">
        <f>IF(Distances!P65="N.C.",0,ROUNDUP(P56+'Délai intermédiaire'!P65/24,0))</f>
        <v>0</v>
      </c>
      <c r="Q69" s="14">
        <f>IF(Distances!Q65="N.C.",0,ROUNDUP(Q56+'Délai intermédiaire'!Q65/24,0))</f>
        <v>0</v>
      </c>
      <c r="R69" s="14">
        <f>IF(Distances!R65="N.C.",0,ROUNDUP(R56+'Délai intermédiaire'!R65/24,0))</f>
        <v>0</v>
      </c>
      <c r="S69" s="14">
        <f>IF(Distances!S65="N.C.",0,ROUNDUP(S56+'Délai intermédiaire'!S65/24,0))</f>
        <v>0</v>
      </c>
      <c r="T69" s="14">
        <f>IF(Distances!T65="N.C.",0,ROUNDUP(T56+'Délai intermédiaire'!T65/24,0))</f>
        <v>0</v>
      </c>
      <c r="U69" s="14">
        <f>IF(Distances!U65="N.C.",0,ROUNDUP(U56+'Délai intermédiaire'!U65/24,0))</f>
        <v>0</v>
      </c>
      <c r="V69" s="14">
        <f>IF(Distances!V65="N.C.",0,ROUNDUP(V56+'Délai intermédiaire'!V65/24,0))</f>
        <v>0</v>
      </c>
      <c r="W69" s="14">
        <f>IF(Distances!W65="N.C.",0,ROUNDUP(W56+'Délai intermédiaire'!W65/24,0))</f>
        <v>0</v>
      </c>
      <c r="X69" s="14">
        <f>IF(Distances!X65="N.C.",0,ROUNDUP(X56+'Délai intermédiaire'!X65/24,0))</f>
        <v>0</v>
      </c>
      <c r="Y69" s="14">
        <f>IF(Distances!Y65="N.C.",0,ROUNDUP(Y56+'Délai intermédiaire'!Y65/24,0))</f>
        <v>0</v>
      </c>
      <c r="Z69" s="14">
        <f>IF(Distances!Z65="N.C.",0,ROUNDUP(Z56+'Délai intermédiaire'!Z65/24,0))</f>
        <v>0</v>
      </c>
      <c r="AA69" s="14">
        <f>IF(Distances!AA65="N.C.",0,ROUNDUP(AA56+'Délai intermédiaire'!AA65/24,0))</f>
        <v>0</v>
      </c>
      <c r="AB69" s="14">
        <f>IF(Distances!AB65="N.C.",0,ROUNDUP(AB56+'Délai intermédiaire'!AB65/24,0))</f>
        <v>0</v>
      </c>
      <c r="AC69" s="14">
        <f>IF(Distances!AC65="N.C.",0,ROUNDUP(AC56+'Délai intermédiaire'!AC65/24,0))</f>
        <v>0</v>
      </c>
      <c r="AD69" s="14">
        <f>IF(Distances!AD65="N.C.",0,ROUNDUP(AD56+'Délai intermédiaire'!AD65/24,0))</f>
        <v>0</v>
      </c>
      <c r="AE69" s="14">
        <f>IF(Distances!AE65="N.C.",0,ROUNDUP(AE56+'Délai intermédiaire'!AE65/24,0))</f>
        <v>0</v>
      </c>
      <c r="AF69" s="14">
        <f>IF(Distances!AF65="N.C.",0,ROUNDUP(AF56+'Délai intermédiaire'!AF65/24,0))</f>
        <v>0</v>
      </c>
      <c r="AG69" s="14">
        <f>IF(Distances!AG65="N.C.",0,ROUNDUP(AG56+'Délai intermédiaire'!AG65/24,0))</f>
        <v>0</v>
      </c>
      <c r="AH69" s="14">
        <f>IF(Distances!AH65="N.C.",0,ROUNDUP(AH56+'Délai intermédiaire'!AH65/24,0))</f>
        <v>0</v>
      </c>
      <c r="AI69" s="14">
        <f>IF(Distances!AI65="N.C.",0,ROUNDUP(AI56+'Délai intermédiaire'!AI65/24,0))</f>
        <v>0</v>
      </c>
      <c r="AJ69" s="14">
        <f>IF(Distances!AJ65="N.C.",0,ROUNDUP(AJ56+'Délai intermédiaire'!AJ65/24,0))</f>
        <v>0</v>
      </c>
      <c r="AK69" s="14">
        <f>IF(Distances!AK65="N.C.",0,ROUNDUP(AK56+'Délai intermédiaire'!AK65/24,0))</f>
        <v>0</v>
      </c>
      <c r="AL69" s="14">
        <f>IF(Distances!AL65="N.C.",0,ROUNDUP(AL56+'Délai intermédiaire'!AL65/24,0))</f>
        <v>0</v>
      </c>
      <c r="AM69" s="14">
        <f>IF(Distances!AM65="N.C.",0,ROUNDUP(AM56+'Délai intermédiaire'!AM65/24,0))</f>
        <v>0</v>
      </c>
      <c r="AN69" s="14">
        <f>IF(Distances!AN65="N.C.",0,ROUNDUP(AN56+'Délai intermédiaire'!AN65/24,0))</f>
        <v>0</v>
      </c>
      <c r="AO69" s="14">
        <f>IF(Distances!AO65="N.C.",0,ROUNDUP(AO56+'Délai intermédiaire'!AO65/24,0))</f>
        <v>0</v>
      </c>
      <c r="AP69" s="14">
        <f>IF(Distances!AP65="N.C.",0,ROUNDUP(AP56+'Délai intermédiaire'!AP65/24,0))</f>
        <v>0</v>
      </c>
      <c r="AQ69" s="14">
        <f>IF(Distances!AQ65="N.C.",0,ROUNDUP(AQ56+'Délai intermédiaire'!AQ65/24,0))</f>
        <v>0</v>
      </c>
      <c r="AR69" s="14">
        <f>IF(Distances!AR65="N.C.",0,ROUNDUP(AR56+'Délai intermédiaire'!AR65/24,0))</f>
        <v>0</v>
      </c>
      <c r="AS69" s="14">
        <f>IF(Distances!AS65="N.C.",0,ROUNDUP(AS56+'Délai intermédiaire'!AS65/24,0))</f>
        <v>0</v>
      </c>
      <c r="AT69" s="14">
        <f>IF(Distances!AT65="N.C.",0,ROUNDUP(AT56+'Délai intermédiaire'!AT65/24,0))</f>
        <v>0</v>
      </c>
      <c r="AU69" s="14">
        <f>IF(Distances!AU65="N.C.",0,ROUNDUP(AU56+'Délai intermédiaire'!AU65/24,0))</f>
        <v>0</v>
      </c>
      <c r="AV69" s="14">
        <f>IF(Distances!AV65="N.C.",0,ROUNDUP(AV56+'Délai intermédiaire'!AV65/24,0))</f>
        <v>0</v>
      </c>
      <c r="AW69" s="14">
        <f>IF(Distances!AW65="N.C.",0,ROUNDUP(AW56+'Délai intermédiaire'!AW65/24,0))</f>
        <v>0</v>
      </c>
      <c r="AX69" s="14">
        <f>IF(Distances!AX65="N.C.",0,ROUNDUP(AX56+'Délai intermédiaire'!AX65/24,0))</f>
        <v>0</v>
      </c>
      <c r="AY69" s="14">
        <f>IF(Distances!AY65="N.C.",0,ROUNDUP(AY56+'Délai intermédiaire'!AY65/24,0))</f>
        <v>0</v>
      </c>
      <c r="AZ69" s="14">
        <f>IF(Distances!AZ65="N.C.",0,ROUNDUP(AZ56+'Délai intermédiaire'!AZ65/24,0))</f>
        <v>0</v>
      </c>
      <c r="BA69" s="14">
        <f>IF(Distances!BA65="N.C.",0,ROUNDUP(BA56+'Délai intermédiaire'!BA65/24,0))</f>
        <v>0</v>
      </c>
      <c r="BB69" s="14">
        <f>IF(Distances!BB65="N.C.",0,ROUNDUP(BB56+'Délai intermédiaire'!BB65/24,0))</f>
        <v>0</v>
      </c>
      <c r="BC69" s="14">
        <f>IF(Distances!BC65="N.C.",0,ROUNDUP(BC56+'Délai intermédiaire'!BC65/24,0))</f>
        <v>0</v>
      </c>
      <c r="BD69" s="14">
        <f>IF(Distances!BD65="N.C.",0,ROUNDUP(BD56+'Délai intermédiaire'!BD65/24,0))</f>
        <v>0</v>
      </c>
      <c r="BE69" s="14">
        <f>IF(Distances!BE65="N.C.",0,ROUNDUP(BE56+'Délai intermédiaire'!BE65/24,0))</f>
        <v>0</v>
      </c>
      <c r="BF69" s="14">
        <f>IF(Distances!BF65="N.C.",0,ROUNDUP(BF56+'Délai intermédiaire'!BF65/24,0))</f>
        <v>0</v>
      </c>
      <c r="BG69" s="14">
        <f>IF(Distances!BG65="N.C.",0,ROUNDUP(BG56+'Délai intermédiaire'!BG65/24,0))</f>
        <v>0</v>
      </c>
      <c r="BH69" s="14">
        <f>IF(Distances!BH65="N.C.",0,ROUNDUP(BH56+'Délai intermédiaire'!BH65/24,0))</f>
        <v>0</v>
      </c>
      <c r="BI69" s="14">
        <f>IF(Distances!BI65="N.C.",0,ROUNDUP(BI56+'Délai intermédiaire'!BI65/24,0))</f>
        <v>0</v>
      </c>
      <c r="BJ69" s="15">
        <f>IF(Distances!BJ65="N.C.",0,ROUNDUP(BJ56+'Délai intermédiaire'!BJ65/24,0))</f>
        <v>0</v>
      </c>
    </row>
    <row r="70" spans="1:62" x14ac:dyDescent="0.3">
      <c r="A70" s="10" t="s">
        <v>13</v>
      </c>
      <c r="B70" s="11">
        <f>IF(Distances!B66="N.C.",0,ROUNDUP(B56+'Délai intermédiaire'!B66/24,0))</f>
        <v>0</v>
      </c>
      <c r="C70" s="13">
        <f>IF(Distances!C66="N.C.",0,ROUNDUP(C56+'Délai intermédiaire'!C66/24,0))</f>
        <v>0</v>
      </c>
      <c r="D70" s="13">
        <f>IF(Distances!D66="N.C.",0,ROUNDUP(D56+'Délai intermédiaire'!D66/24,0))</f>
        <v>0</v>
      </c>
      <c r="E70" s="13">
        <f>IF(Distances!E66="N.C.",0,ROUNDUP(E56+'Délai intermédiaire'!E66/24,0))</f>
        <v>0</v>
      </c>
      <c r="F70" s="13">
        <f>IF(Distances!F66="N.C.",0,ROUNDUP(F56+'Délai intermédiaire'!F66/24,0))</f>
        <v>0</v>
      </c>
      <c r="G70" s="13">
        <f>IF(Distances!G66="N.C.",0,ROUNDUP(G56+'Délai intermédiaire'!G66/24,0))</f>
        <v>0</v>
      </c>
      <c r="H70" s="13">
        <f>IF(Distances!H66="N.C.",0,ROUNDUP(H56+'Délai intermédiaire'!H66/24,0))</f>
        <v>0</v>
      </c>
      <c r="I70" s="13">
        <f>IF(Distances!I66="N.C.",0,ROUNDUP(I56+'Délai intermédiaire'!I66/24,0))</f>
        <v>0</v>
      </c>
      <c r="J70" s="13">
        <f>IF(Distances!J66="N.C.",0,ROUNDUP(J56+'Délai intermédiaire'!J66/24,0))</f>
        <v>0</v>
      </c>
      <c r="K70" s="13">
        <f>IF(Distances!K66="N.C.",0,ROUNDUP(K56+'Délai intermédiaire'!K66/24,0))</f>
        <v>0</v>
      </c>
      <c r="L70" s="13">
        <f>IF(Distances!L66="N.C.",0,ROUNDUP(L56+'Délai intermédiaire'!L66/24,0))</f>
        <v>0</v>
      </c>
      <c r="M70" s="13">
        <f>IF(Distances!M66="N.C.",0,ROUNDUP(M56+'Délai intermédiaire'!M66/24,0))</f>
        <v>0</v>
      </c>
      <c r="N70" s="12">
        <f>IF(Distances!N66="N.C.",0,ROUNDUP(N56+'Délai intermédiaire'!N66/24,0))</f>
        <v>2</v>
      </c>
      <c r="O70" s="14">
        <f>IF(Distances!O66="N.C.",0,ROUNDUP(O56+'Délai intermédiaire'!O66/24,0))</f>
        <v>0</v>
      </c>
      <c r="P70" s="14">
        <f>IF(Distances!P66="N.C.",0,ROUNDUP(P56+'Délai intermédiaire'!P66/24,0))</f>
        <v>0</v>
      </c>
      <c r="Q70" s="14">
        <f>IF(Distances!Q66="N.C.",0,ROUNDUP(Q56+'Délai intermédiaire'!Q66/24,0))</f>
        <v>0</v>
      </c>
      <c r="R70" s="14">
        <f>IF(Distances!R66="N.C.",0,ROUNDUP(R56+'Délai intermédiaire'!R66/24,0))</f>
        <v>0</v>
      </c>
      <c r="S70" s="14">
        <f>IF(Distances!S66="N.C.",0,ROUNDUP(S56+'Délai intermédiaire'!S66/24,0))</f>
        <v>0</v>
      </c>
      <c r="T70" s="14">
        <f>IF(Distances!T66="N.C.",0,ROUNDUP(T56+'Délai intermédiaire'!T66/24,0))</f>
        <v>0</v>
      </c>
      <c r="U70" s="14">
        <f>IF(Distances!U66="N.C.",0,ROUNDUP(U56+'Délai intermédiaire'!U66/24,0))</f>
        <v>0</v>
      </c>
      <c r="V70" s="14">
        <f>IF(Distances!V66="N.C.",0,ROUNDUP(V56+'Délai intermédiaire'!V66/24,0))</f>
        <v>0</v>
      </c>
      <c r="W70" s="14">
        <f>IF(Distances!W66="N.C.",0,ROUNDUP(W56+'Délai intermédiaire'!W66/24,0))</f>
        <v>0</v>
      </c>
      <c r="X70" s="14">
        <f>IF(Distances!X66="N.C.",0,ROUNDUP(X56+'Délai intermédiaire'!X66/24,0))</f>
        <v>0</v>
      </c>
      <c r="Y70" s="14">
        <f>IF(Distances!Y66="N.C.",0,ROUNDUP(Y56+'Délai intermédiaire'!Y66/24,0))</f>
        <v>0</v>
      </c>
      <c r="Z70" s="14">
        <f>IF(Distances!Z66="N.C.",0,ROUNDUP(Z56+'Délai intermédiaire'!Z66/24,0))</f>
        <v>0</v>
      </c>
      <c r="AA70" s="14">
        <f>IF(Distances!AA66="N.C.",0,ROUNDUP(AA56+'Délai intermédiaire'!AA66/24,0))</f>
        <v>0</v>
      </c>
      <c r="AB70" s="14">
        <f>IF(Distances!AB66="N.C.",0,ROUNDUP(AB56+'Délai intermédiaire'!AB66/24,0))</f>
        <v>0</v>
      </c>
      <c r="AC70" s="14">
        <f>IF(Distances!AC66="N.C.",0,ROUNDUP(AC56+'Délai intermédiaire'!AC66/24,0))</f>
        <v>0</v>
      </c>
      <c r="AD70" s="14">
        <f>IF(Distances!AD66="N.C.",0,ROUNDUP(AD56+'Délai intermédiaire'!AD66/24,0))</f>
        <v>0</v>
      </c>
      <c r="AE70" s="14">
        <f>IF(Distances!AE66="N.C.",0,ROUNDUP(AE56+'Délai intermédiaire'!AE66/24,0))</f>
        <v>0</v>
      </c>
      <c r="AF70" s="14">
        <f>IF(Distances!AF66="N.C.",0,ROUNDUP(AF56+'Délai intermédiaire'!AF66/24,0))</f>
        <v>0</v>
      </c>
      <c r="AG70" s="14">
        <f>IF(Distances!AG66="N.C.",0,ROUNDUP(AG56+'Délai intermédiaire'!AG66/24,0))</f>
        <v>0</v>
      </c>
      <c r="AH70" s="14">
        <f>IF(Distances!AH66="N.C.",0,ROUNDUP(AH56+'Délai intermédiaire'!AH66/24,0))</f>
        <v>0</v>
      </c>
      <c r="AI70" s="14">
        <f>IF(Distances!AI66="N.C.",0,ROUNDUP(AI56+'Délai intermédiaire'!AI66/24,0))</f>
        <v>0</v>
      </c>
      <c r="AJ70" s="14">
        <f>IF(Distances!AJ66="N.C.",0,ROUNDUP(AJ56+'Délai intermédiaire'!AJ66/24,0))</f>
        <v>0</v>
      </c>
      <c r="AK70" s="14">
        <f>IF(Distances!AK66="N.C.",0,ROUNDUP(AK56+'Délai intermédiaire'!AK66/24,0))</f>
        <v>0</v>
      </c>
      <c r="AL70" s="14">
        <f>IF(Distances!AL66="N.C.",0,ROUNDUP(AL56+'Délai intermédiaire'!AL66/24,0))</f>
        <v>0</v>
      </c>
      <c r="AM70" s="14">
        <f>IF(Distances!AM66="N.C.",0,ROUNDUP(AM56+'Délai intermédiaire'!AM66/24,0))</f>
        <v>0</v>
      </c>
      <c r="AN70" s="14">
        <f>IF(Distances!AN66="N.C.",0,ROUNDUP(AN56+'Délai intermédiaire'!AN66/24,0))</f>
        <v>0</v>
      </c>
      <c r="AO70" s="14">
        <f>IF(Distances!AO66="N.C.",0,ROUNDUP(AO56+'Délai intermédiaire'!AO66/24,0))</f>
        <v>0</v>
      </c>
      <c r="AP70" s="14">
        <f>IF(Distances!AP66="N.C.",0,ROUNDUP(AP56+'Délai intermédiaire'!AP66/24,0))</f>
        <v>0</v>
      </c>
      <c r="AQ70" s="14">
        <f>IF(Distances!AQ66="N.C.",0,ROUNDUP(AQ56+'Délai intermédiaire'!AQ66/24,0))</f>
        <v>0</v>
      </c>
      <c r="AR70" s="14">
        <f>IF(Distances!AR66="N.C.",0,ROUNDUP(AR56+'Délai intermédiaire'!AR66/24,0))</f>
        <v>0</v>
      </c>
      <c r="AS70" s="14">
        <f>IF(Distances!AS66="N.C.",0,ROUNDUP(AS56+'Délai intermédiaire'!AS66/24,0))</f>
        <v>0</v>
      </c>
      <c r="AT70" s="14">
        <f>IF(Distances!AT66="N.C.",0,ROUNDUP(AT56+'Délai intermédiaire'!AT66/24,0))</f>
        <v>0</v>
      </c>
      <c r="AU70" s="14">
        <f>IF(Distances!AU66="N.C.",0,ROUNDUP(AU56+'Délai intermédiaire'!AU66/24,0))</f>
        <v>0</v>
      </c>
      <c r="AV70" s="14">
        <f>IF(Distances!AV66="N.C.",0,ROUNDUP(AV56+'Délai intermédiaire'!AV66/24,0))</f>
        <v>0</v>
      </c>
      <c r="AW70" s="14">
        <f>IF(Distances!AW66="N.C.",0,ROUNDUP(AW56+'Délai intermédiaire'!AW66/24,0))</f>
        <v>0</v>
      </c>
      <c r="AX70" s="14">
        <f>IF(Distances!AX66="N.C.",0,ROUNDUP(AX56+'Délai intermédiaire'!AX66/24,0))</f>
        <v>0</v>
      </c>
      <c r="AY70" s="14">
        <f>IF(Distances!AY66="N.C.",0,ROUNDUP(AY56+'Délai intermédiaire'!AY66/24,0))</f>
        <v>0</v>
      </c>
      <c r="AZ70" s="14">
        <f>IF(Distances!AZ66="N.C.",0,ROUNDUP(AZ56+'Délai intermédiaire'!AZ66/24,0))</f>
        <v>0</v>
      </c>
      <c r="BA70" s="14">
        <f>IF(Distances!BA66="N.C.",0,ROUNDUP(BA56+'Délai intermédiaire'!BA66/24,0))</f>
        <v>0</v>
      </c>
      <c r="BB70" s="14">
        <f>IF(Distances!BB66="N.C.",0,ROUNDUP(BB56+'Délai intermédiaire'!BB66/24,0))</f>
        <v>0</v>
      </c>
      <c r="BC70" s="14">
        <f>IF(Distances!BC66="N.C.",0,ROUNDUP(BC56+'Délai intermédiaire'!BC66/24,0))</f>
        <v>0</v>
      </c>
      <c r="BD70" s="14">
        <f>IF(Distances!BD66="N.C.",0,ROUNDUP(BD56+'Délai intermédiaire'!BD66/24,0))</f>
        <v>0</v>
      </c>
      <c r="BE70" s="14">
        <f>IF(Distances!BE66="N.C.",0,ROUNDUP(BE56+'Délai intermédiaire'!BE66/24,0))</f>
        <v>0</v>
      </c>
      <c r="BF70" s="14">
        <f>IF(Distances!BF66="N.C.",0,ROUNDUP(BF56+'Délai intermédiaire'!BF66/24,0))</f>
        <v>0</v>
      </c>
      <c r="BG70" s="14">
        <f>IF(Distances!BG66="N.C.",0,ROUNDUP(BG56+'Délai intermédiaire'!BG66/24,0))</f>
        <v>0</v>
      </c>
      <c r="BH70" s="14">
        <f>IF(Distances!BH66="N.C.",0,ROUNDUP(BH56+'Délai intermédiaire'!BH66/24,0))</f>
        <v>0</v>
      </c>
      <c r="BI70" s="14">
        <f>IF(Distances!BI66="N.C.",0,ROUNDUP(BI56+'Délai intermédiaire'!BI66/24,0))</f>
        <v>0</v>
      </c>
      <c r="BJ70" s="15">
        <f>IF(Distances!BJ66="N.C.",0,ROUNDUP(BJ56+'Délai intermédiaire'!BJ66/24,0))</f>
        <v>0</v>
      </c>
    </row>
    <row r="71" spans="1:62" x14ac:dyDescent="0.3">
      <c r="A71" s="10" t="s">
        <v>14</v>
      </c>
      <c r="B71" s="16">
        <f>IF(Distances!B67="N.C.",0,ROUNDUP(B56+'Délai intermédiaire'!B67/24,0))</f>
        <v>0</v>
      </c>
      <c r="C71" s="14">
        <f>IF(Distances!C67="N.C.",0,ROUNDUP(C56+'Délai intermédiaire'!C67/24,0))</f>
        <v>0</v>
      </c>
      <c r="D71" s="14">
        <f>IF(Distances!D67="N.C.",0,ROUNDUP(D56+'Délai intermédiaire'!D67/24,0))</f>
        <v>0</v>
      </c>
      <c r="E71" s="14">
        <f>IF(Distances!E67="N.C.",0,ROUNDUP(E56+'Délai intermédiaire'!E67/24,0))</f>
        <v>0</v>
      </c>
      <c r="F71" s="14">
        <f>IF(Distances!F67="N.C.",0,ROUNDUP(F56+'Délai intermédiaire'!F67/24,0))</f>
        <v>0</v>
      </c>
      <c r="G71" s="14">
        <f>IF(Distances!G67="N.C.",0,ROUNDUP(G56+'Délai intermédiaire'!G67/24,0))</f>
        <v>0</v>
      </c>
      <c r="H71" s="14">
        <f>IF(Distances!H67="N.C.",0,ROUNDUP(H56+'Délai intermédiaire'!H67/24,0))</f>
        <v>0</v>
      </c>
      <c r="I71" s="14">
        <f>IF(Distances!I67="N.C.",0,ROUNDUP(I56+'Délai intermédiaire'!I67/24,0))</f>
        <v>0</v>
      </c>
      <c r="J71" s="14">
        <f>IF(Distances!J67="N.C.",0,ROUNDUP(J56+'Délai intermédiaire'!J67/24,0))</f>
        <v>0</v>
      </c>
      <c r="K71" s="14">
        <f>IF(Distances!K67="N.C.",0,ROUNDUP(K56+'Délai intermédiaire'!K67/24,0))</f>
        <v>0</v>
      </c>
      <c r="L71" s="14">
        <f>IF(Distances!L67="N.C.",0,ROUNDUP(L56+'Délai intermédiaire'!L67/24,0))</f>
        <v>0</v>
      </c>
      <c r="M71" s="14">
        <f>IF(Distances!M67="N.C.",0,ROUNDUP(M56+'Délai intermédiaire'!M67/24,0))</f>
        <v>0</v>
      </c>
      <c r="N71" s="14">
        <f>IF(Distances!N67="N.C.",0,ROUNDUP(N56+'Délai intermédiaire'!N67/24,0))</f>
        <v>0</v>
      </c>
      <c r="O71" s="12">
        <f>IF(Distances!O67="N.C.",0,ROUNDUP(O56+'Délai intermédiaire'!O67/24,0))</f>
        <v>2</v>
      </c>
      <c r="P71" s="13">
        <f>IF(Distances!P67="N.C.",0,ROUNDUP(P56+'Délai intermédiaire'!P67/24,0))</f>
        <v>0</v>
      </c>
      <c r="Q71" s="14">
        <f>IF(Distances!Q67="N.C.",0,ROUNDUP(Q56+'Délai intermédiaire'!Q67/24,0))</f>
        <v>0</v>
      </c>
      <c r="R71" s="14">
        <f>IF(Distances!R67="N.C.",0,ROUNDUP(R56+'Délai intermédiaire'!R67/24,0))</f>
        <v>0</v>
      </c>
      <c r="S71" s="14">
        <f>IF(Distances!S67="N.C.",0,ROUNDUP(S56+'Délai intermédiaire'!S67/24,0))</f>
        <v>0</v>
      </c>
      <c r="T71" s="14">
        <f>IF(Distances!T67="N.C.",0,ROUNDUP(T56+'Délai intermédiaire'!T67/24,0))</f>
        <v>0</v>
      </c>
      <c r="U71" s="14">
        <f>IF(Distances!U67="N.C.",0,ROUNDUP(U56+'Délai intermédiaire'!U67/24,0))</f>
        <v>0</v>
      </c>
      <c r="V71" s="14">
        <f>IF(Distances!V67="N.C.",0,ROUNDUP(V56+'Délai intermédiaire'!V67/24,0))</f>
        <v>0</v>
      </c>
      <c r="W71" s="14">
        <f>IF(Distances!W67="N.C.",0,ROUNDUP(W56+'Délai intermédiaire'!W67/24,0))</f>
        <v>0</v>
      </c>
      <c r="X71" s="14">
        <f>IF(Distances!X67="N.C.",0,ROUNDUP(X56+'Délai intermédiaire'!X67/24,0))</f>
        <v>0</v>
      </c>
      <c r="Y71" s="14">
        <f>IF(Distances!Y67="N.C.",0,ROUNDUP(Y56+'Délai intermédiaire'!Y67/24,0))</f>
        <v>0</v>
      </c>
      <c r="Z71" s="14">
        <f>IF(Distances!Z67="N.C.",0,ROUNDUP(Z56+'Délai intermédiaire'!Z67/24,0))</f>
        <v>0</v>
      </c>
      <c r="AA71" s="14">
        <f>IF(Distances!AA67="N.C.",0,ROUNDUP(AA56+'Délai intermédiaire'!AA67/24,0))</f>
        <v>0</v>
      </c>
      <c r="AB71" s="14">
        <f>IF(Distances!AB67="N.C.",0,ROUNDUP(AB56+'Délai intermédiaire'!AB67/24,0))</f>
        <v>0</v>
      </c>
      <c r="AC71" s="14">
        <f>IF(Distances!AC67="N.C.",0,ROUNDUP(AC56+'Délai intermédiaire'!AC67/24,0))</f>
        <v>0</v>
      </c>
      <c r="AD71" s="14">
        <f>IF(Distances!AD67="N.C.",0,ROUNDUP(AD56+'Délai intermédiaire'!AD67/24,0))</f>
        <v>0</v>
      </c>
      <c r="AE71" s="14">
        <f>IF(Distances!AE67="N.C.",0,ROUNDUP(AE56+'Délai intermédiaire'!AE67/24,0))</f>
        <v>0</v>
      </c>
      <c r="AF71" s="14">
        <f>IF(Distances!AF67="N.C.",0,ROUNDUP(AF56+'Délai intermédiaire'!AF67/24,0))</f>
        <v>0</v>
      </c>
      <c r="AG71" s="14">
        <f>IF(Distances!AG67="N.C.",0,ROUNDUP(AG56+'Délai intermédiaire'!AG67/24,0))</f>
        <v>0</v>
      </c>
      <c r="AH71" s="14">
        <f>IF(Distances!AH67="N.C.",0,ROUNDUP(AH56+'Délai intermédiaire'!AH67/24,0))</f>
        <v>0</v>
      </c>
      <c r="AI71" s="14">
        <f>IF(Distances!AI67="N.C.",0,ROUNDUP(AI56+'Délai intermédiaire'!AI67/24,0))</f>
        <v>0</v>
      </c>
      <c r="AJ71" s="14">
        <f>IF(Distances!AJ67="N.C.",0,ROUNDUP(AJ56+'Délai intermédiaire'!AJ67/24,0))</f>
        <v>0</v>
      </c>
      <c r="AK71" s="14">
        <f>IF(Distances!AK67="N.C.",0,ROUNDUP(AK56+'Délai intermédiaire'!AK67/24,0))</f>
        <v>0</v>
      </c>
      <c r="AL71" s="14">
        <f>IF(Distances!AL67="N.C.",0,ROUNDUP(AL56+'Délai intermédiaire'!AL67/24,0))</f>
        <v>0</v>
      </c>
      <c r="AM71" s="14">
        <f>IF(Distances!AM67="N.C.",0,ROUNDUP(AM56+'Délai intermédiaire'!AM67/24,0))</f>
        <v>0</v>
      </c>
      <c r="AN71" s="14">
        <f>IF(Distances!AN67="N.C.",0,ROUNDUP(AN56+'Délai intermédiaire'!AN67/24,0))</f>
        <v>0</v>
      </c>
      <c r="AO71" s="14">
        <f>IF(Distances!AO67="N.C.",0,ROUNDUP(AO56+'Délai intermédiaire'!AO67/24,0))</f>
        <v>0</v>
      </c>
      <c r="AP71" s="14">
        <f>IF(Distances!AP67="N.C.",0,ROUNDUP(AP56+'Délai intermédiaire'!AP67/24,0))</f>
        <v>0</v>
      </c>
      <c r="AQ71" s="14">
        <f>IF(Distances!AQ67="N.C.",0,ROUNDUP(AQ56+'Délai intermédiaire'!AQ67/24,0))</f>
        <v>0</v>
      </c>
      <c r="AR71" s="14">
        <f>IF(Distances!AR67="N.C.",0,ROUNDUP(AR56+'Délai intermédiaire'!AR67/24,0))</f>
        <v>0</v>
      </c>
      <c r="AS71" s="14">
        <f>IF(Distances!AS67="N.C.",0,ROUNDUP(AS56+'Délai intermédiaire'!AS67/24,0))</f>
        <v>0</v>
      </c>
      <c r="AT71" s="14">
        <f>IF(Distances!AT67="N.C.",0,ROUNDUP(AT56+'Délai intermédiaire'!AT67/24,0))</f>
        <v>0</v>
      </c>
      <c r="AU71" s="14">
        <f>IF(Distances!AU67="N.C.",0,ROUNDUP(AU56+'Délai intermédiaire'!AU67/24,0))</f>
        <v>0</v>
      </c>
      <c r="AV71" s="14">
        <f>IF(Distances!AV67="N.C.",0,ROUNDUP(AV56+'Délai intermédiaire'!AV67/24,0))</f>
        <v>0</v>
      </c>
      <c r="AW71" s="14">
        <f>IF(Distances!AW67="N.C.",0,ROUNDUP(AW56+'Délai intermédiaire'!AW67/24,0))</f>
        <v>0</v>
      </c>
      <c r="AX71" s="14">
        <f>IF(Distances!AX67="N.C.",0,ROUNDUP(AX56+'Délai intermédiaire'!AX67/24,0))</f>
        <v>0</v>
      </c>
      <c r="AY71" s="14">
        <f>IF(Distances!AY67="N.C.",0,ROUNDUP(AY56+'Délai intermédiaire'!AY67/24,0))</f>
        <v>0</v>
      </c>
      <c r="AZ71" s="14">
        <f>IF(Distances!AZ67="N.C.",0,ROUNDUP(AZ56+'Délai intermédiaire'!AZ67/24,0))</f>
        <v>0</v>
      </c>
      <c r="BA71" s="14">
        <f>IF(Distances!BA67="N.C.",0,ROUNDUP(BA56+'Délai intermédiaire'!BA67/24,0))</f>
        <v>0</v>
      </c>
      <c r="BB71" s="14">
        <f>IF(Distances!BB67="N.C.",0,ROUNDUP(BB56+'Délai intermédiaire'!BB67/24,0))</f>
        <v>0</v>
      </c>
      <c r="BC71" s="14">
        <f>IF(Distances!BC67="N.C.",0,ROUNDUP(BC56+'Délai intermédiaire'!BC67/24,0))</f>
        <v>0</v>
      </c>
      <c r="BD71" s="14">
        <f>IF(Distances!BD67="N.C.",0,ROUNDUP(BD56+'Délai intermédiaire'!BD67/24,0))</f>
        <v>0</v>
      </c>
      <c r="BE71" s="14">
        <f>IF(Distances!BE67="N.C.",0,ROUNDUP(BE56+'Délai intermédiaire'!BE67/24,0))</f>
        <v>0</v>
      </c>
      <c r="BF71" s="14">
        <f>IF(Distances!BF67="N.C.",0,ROUNDUP(BF56+'Délai intermédiaire'!BF67/24,0))</f>
        <v>0</v>
      </c>
      <c r="BG71" s="14">
        <f>IF(Distances!BG67="N.C.",0,ROUNDUP(BG56+'Délai intermédiaire'!BG67/24,0))</f>
        <v>0</v>
      </c>
      <c r="BH71" s="12">
        <f>IF(Distances!BH67="N.C.",0,ROUNDUP(BH56+'Délai intermédiaire'!BH67/24,0))</f>
        <v>0</v>
      </c>
      <c r="BI71" s="12">
        <f>IF(Distances!BI67="N.C.",0,ROUNDUP(BI56+'Délai intermédiaire'!BI67/24,0))</f>
        <v>0</v>
      </c>
      <c r="BJ71" s="17">
        <f>IF(Distances!BJ67="N.C.",0,ROUNDUP(BJ56+'Délai intermédiaire'!BJ67/24,0))</f>
        <v>0</v>
      </c>
    </row>
    <row r="72" spans="1:62" x14ac:dyDescent="0.3">
      <c r="A72" s="10" t="s">
        <v>15</v>
      </c>
      <c r="B72" s="16">
        <f>IF(Distances!B68="N.C.",0,ROUNDUP(B56+'Délai intermédiaire'!B68/24,0))</f>
        <v>0</v>
      </c>
      <c r="C72" s="14">
        <f>IF(Distances!C68="N.C.",0,ROUNDUP(C56+'Délai intermédiaire'!C68/24,0))</f>
        <v>0</v>
      </c>
      <c r="D72" s="14">
        <f>IF(Distances!D68="N.C.",0,ROUNDUP(D56+'Délai intermédiaire'!D68/24,0))</f>
        <v>0</v>
      </c>
      <c r="E72" s="14">
        <f>IF(Distances!E68="N.C.",0,ROUNDUP(E56+'Délai intermédiaire'!E68/24,0))</f>
        <v>0</v>
      </c>
      <c r="F72" s="14">
        <f>IF(Distances!F68="N.C.",0,ROUNDUP(F56+'Délai intermédiaire'!F68/24,0))</f>
        <v>0</v>
      </c>
      <c r="G72" s="14">
        <f>IF(Distances!G68="N.C.",0,ROUNDUP(G56+'Délai intermédiaire'!G68/24,0))</f>
        <v>0</v>
      </c>
      <c r="H72" s="14">
        <f>IF(Distances!H68="N.C.",0,ROUNDUP(H56+'Délai intermédiaire'!H68/24,0))</f>
        <v>0</v>
      </c>
      <c r="I72" s="14">
        <f>IF(Distances!I68="N.C.",0,ROUNDUP(I56+'Délai intermédiaire'!I68/24,0))</f>
        <v>0</v>
      </c>
      <c r="J72" s="14">
        <f>IF(Distances!J68="N.C.",0,ROUNDUP(J56+'Délai intermédiaire'!J68/24,0))</f>
        <v>0</v>
      </c>
      <c r="K72" s="14">
        <f>IF(Distances!K68="N.C.",0,ROUNDUP(K56+'Délai intermédiaire'!K68/24,0))</f>
        <v>0</v>
      </c>
      <c r="L72" s="14">
        <f>IF(Distances!L68="N.C.",0,ROUNDUP(L56+'Délai intermédiaire'!L68/24,0))</f>
        <v>0</v>
      </c>
      <c r="M72" s="14">
        <f>IF(Distances!M68="N.C.",0,ROUNDUP(M56+'Délai intermédiaire'!M68/24,0))</f>
        <v>0</v>
      </c>
      <c r="N72" s="14">
        <f>IF(Distances!N68="N.C.",0,ROUNDUP(N56+'Délai intermédiaire'!N68/24,0))</f>
        <v>0</v>
      </c>
      <c r="O72" s="13">
        <f>IF(Distances!O68="N.C.",0,ROUNDUP(O56+'Délai intermédiaire'!O68/24,0))</f>
        <v>0</v>
      </c>
      <c r="P72" s="12">
        <f>IF(Distances!P68="N.C.",0,ROUNDUP(P56+'Délai intermédiaire'!P68/24,0))</f>
        <v>2</v>
      </c>
      <c r="Q72" s="14">
        <f>IF(Distances!Q68="N.C.",0,ROUNDUP(Q56+'Délai intermédiaire'!Q68/24,0))</f>
        <v>0</v>
      </c>
      <c r="R72" s="14">
        <f>IF(Distances!R68="N.C.",0,ROUNDUP(R56+'Délai intermédiaire'!R68/24,0))</f>
        <v>0</v>
      </c>
      <c r="S72" s="14">
        <f>IF(Distances!S68="N.C.",0,ROUNDUP(S56+'Délai intermédiaire'!S68/24,0))</f>
        <v>0</v>
      </c>
      <c r="T72" s="14">
        <f>IF(Distances!T68="N.C.",0,ROUNDUP(T56+'Délai intermédiaire'!T68/24,0))</f>
        <v>0</v>
      </c>
      <c r="U72" s="14">
        <f>IF(Distances!U68="N.C.",0,ROUNDUP(U56+'Délai intermédiaire'!U68/24,0))</f>
        <v>0</v>
      </c>
      <c r="V72" s="14">
        <f>IF(Distances!V68="N.C.",0,ROUNDUP(V56+'Délai intermédiaire'!V68/24,0))</f>
        <v>0</v>
      </c>
      <c r="W72" s="14">
        <f>IF(Distances!W68="N.C.",0,ROUNDUP(W56+'Délai intermédiaire'!W68/24,0))</f>
        <v>0</v>
      </c>
      <c r="X72" s="14">
        <f>IF(Distances!X68="N.C.",0,ROUNDUP(X56+'Délai intermédiaire'!X68/24,0))</f>
        <v>0</v>
      </c>
      <c r="Y72" s="14">
        <f>IF(Distances!Y68="N.C.",0,ROUNDUP(Y56+'Délai intermédiaire'!Y68/24,0))</f>
        <v>0</v>
      </c>
      <c r="Z72" s="14">
        <f>IF(Distances!Z68="N.C.",0,ROUNDUP(Z56+'Délai intermédiaire'!Z68/24,0))</f>
        <v>0</v>
      </c>
      <c r="AA72" s="14">
        <f>IF(Distances!AA68="N.C.",0,ROUNDUP(AA56+'Délai intermédiaire'!AA68/24,0))</f>
        <v>0</v>
      </c>
      <c r="AB72" s="14">
        <f>IF(Distances!AB68="N.C.",0,ROUNDUP(AB56+'Délai intermédiaire'!AB68/24,0))</f>
        <v>0</v>
      </c>
      <c r="AC72" s="14">
        <f>IF(Distances!AC68="N.C.",0,ROUNDUP(AC56+'Délai intermédiaire'!AC68/24,0))</f>
        <v>0</v>
      </c>
      <c r="AD72" s="14">
        <f>IF(Distances!AD68="N.C.",0,ROUNDUP(AD56+'Délai intermédiaire'!AD68/24,0))</f>
        <v>0</v>
      </c>
      <c r="AE72" s="14">
        <f>IF(Distances!AE68="N.C.",0,ROUNDUP(AE56+'Délai intermédiaire'!AE68/24,0))</f>
        <v>0</v>
      </c>
      <c r="AF72" s="14">
        <f>IF(Distances!AF68="N.C.",0,ROUNDUP(AF56+'Délai intermédiaire'!AF68/24,0))</f>
        <v>0</v>
      </c>
      <c r="AG72" s="14">
        <f>IF(Distances!AG68="N.C.",0,ROUNDUP(AG56+'Délai intermédiaire'!AG68/24,0))</f>
        <v>0</v>
      </c>
      <c r="AH72" s="14">
        <f>IF(Distances!AH68="N.C.",0,ROUNDUP(AH56+'Délai intermédiaire'!AH68/24,0))</f>
        <v>0</v>
      </c>
      <c r="AI72" s="14">
        <f>IF(Distances!AI68="N.C.",0,ROUNDUP(AI56+'Délai intermédiaire'!AI68/24,0))</f>
        <v>0</v>
      </c>
      <c r="AJ72" s="14">
        <f>IF(Distances!AJ68="N.C.",0,ROUNDUP(AJ56+'Délai intermédiaire'!AJ68/24,0))</f>
        <v>0</v>
      </c>
      <c r="AK72" s="14">
        <f>IF(Distances!AK68="N.C.",0,ROUNDUP(AK56+'Délai intermédiaire'!AK68/24,0))</f>
        <v>0</v>
      </c>
      <c r="AL72" s="14">
        <f>IF(Distances!AL68="N.C.",0,ROUNDUP(AL56+'Délai intermédiaire'!AL68/24,0))</f>
        <v>0</v>
      </c>
      <c r="AM72" s="14">
        <f>IF(Distances!AM68="N.C.",0,ROUNDUP(AM56+'Délai intermédiaire'!AM68/24,0))</f>
        <v>0</v>
      </c>
      <c r="AN72" s="14">
        <f>IF(Distances!AN68="N.C.",0,ROUNDUP(AN56+'Délai intermédiaire'!AN68/24,0))</f>
        <v>0</v>
      </c>
      <c r="AO72" s="14">
        <f>IF(Distances!AO68="N.C.",0,ROUNDUP(AO56+'Délai intermédiaire'!AO68/24,0))</f>
        <v>0</v>
      </c>
      <c r="AP72" s="14">
        <f>IF(Distances!AP68="N.C.",0,ROUNDUP(AP56+'Délai intermédiaire'!AP68/24,0))</f>
        <v>0</v>
      </c>
      <c r="AQ72" s="14">
        <f>IF(Distances!AQ68="N.C.",0,ROUNDUP(AQ56+'Délai intermédiaire'!AQ68/24,0))</f>
        <v>0</v>
      </c>
      <c r="AR72" s="14">
        <f>IF(Distances!AR68="N.C.",0,ROUNDUP(AR56+'Délai intermédiaire'!AR68/24,0))</f>
        <v>0</v>
      </c>
      <c r="AS72" s="14">
        <f>IF(Distances!AS68="N.C.",0,ROUNDUP(AS56+'Délai intermédiaire'!AS68/24,0))</f>
        <v>0</v>
      </c>
      <c r="AT72" s="14">
        <f>IF(Distances!AT68="N.C.",0,ROUNDUP(AT56+'Délai intermédiaire'!AT68/24,0))</f>
        <v>0</v>
      </c>
      <c r="AU72" s="14">
        <f>IF(Distances!AU68="N.C.",0,ROUNDUP(AU56+'Délai intermédiaire'!AU68/24,0))</f>
        <v>0</v>
      </c>
      <c r="AV72" s="14">
        <f>IF(Distances!AV68="N.C.",0,ROUNDUP(AV56+'Délai intermédiaire'!AV68/24,0))</f>
        <v>0</v>
      </c>
      <c r="AW72" s="14">
        <f>IF(Distances!AW68="N.C.",0,ROUNDUP(AW56+'Délai intermédiaire'!AW68/24,0))</f>
        <v>0</v>
      </c>
      <c r="AX72" s="14">
        <f>IF(Distances!AX68="N.C.",0,ROUNDUP(AX56+'Délai intermédiaire'!AX68/24,0))</f>
        <v>0</v>
      </c>
      <c r="AY72" s="14">
        <f>IF(Distances!AY68="N.C.",0,ROUNDUP(AY56+'Délai intermédiaire'!AY68/24,0))</f>
        <v>0</v>
      </c>
      <c r="AZ72" s="14">
        <f>IF(Distances!AZ68="N.C.",0,ROUNDUP(AZ56+'Délai intermédiaire'!AZ68/24,0))</f>
        <v>0</v>
      </c>
      <c r="BA72" s="14">
        <f>IF(Distances!BA68="N.C.",0,ROUNDUP(BA56+'Délai intermédiaire'!BA68/24,0))</f>
        <v>0</v>
      </c>
      <c r="BB72" s="14">
        <f>IF(Distances!BB68="N.C.",0,ROUNDUP(BB56+'Délai intermédiaire'!BB68/24,0))</f>
        <v>0</v>
      </c>
      <c r="BC72" s="14">
        <f>IF(Distances!BC68="N.C.",0,ROUNDUP(BC56+'Délai intermédiaire'!BC68/24,0))</f>
        <v>0</v>
      </c>
      <c r="BD72" s="14">
        <f>IF(Distances!BD68="N.C.",0,ROUNDUP(BD56+'Délai intermédiaire'!BD68/24,0))</f>
        <v>0</v>
      </c>
      <c r="BE72" s="14">
        <f>IF(Distances!BE68="N.C.",0,ROUNDUP(BE56+'Délai intermédiaire'!BE68/24,0))</f>
        <v>0</v>
      </c>
      <c r="BF72" s="14">
        <f>IF(Distances!BF68="N.C.",0,ROUNDUP(BF56+'Délai intermédiaire'!BF68/24,0))</f>
        <v>0</v>
      </c>
      <c r="BG72" s="14">
        <f>IF(Distances!BG68="N.C.",0,ROUNDUP(BG56+'Délai intermédiaire'!BG68/24,0))</f>
        <v>0</v>
      </c>
      <c r="BH72" s="13">
        <f>IF(Distances!BH68="N.C.",0,ROUNDUP(BH56+'Délai intermédiaire'!BH68/24,0))</f>
        <v>0</v>
      </c>
      <c r="BI72" s="13">
        <f>IF(Distances!BI68="N.C.",0,ROUNDUP(BI56+'Délai intermédiaire'!BI68/24,0))</f>
        <v>0</v>
      </c>
      <c r="BJ72" s="18">
        <f>IF(Distances!BJ68="N.C.",0,ROUNDUP(BJ56+'Délai intermédiaire'!BJ68/24,0))</f>
        <v>0</v>
      </c>
    </row>
    <row r="73" spans="1:62" x14ac:dyDescent="0.3">
      <c r="A73" s="10" t="s">
        <v>16</v>
      </c>
      <c r="B73" s="16">
        <f>IF(Distances!B69="N.C.",0,ROUNDUP(B56+'Délai intermédiaire'!B69/24,0))</f>
        <v>0</v>
      </c>
      <c r="C73" s="14">
        <f>IF(Distances!C69="N.C.",0,ROUNDUP(C56+'Délai intermédiaire'!C69/24,0))</f>
        <v>0</v>
      </c>
      <c r="D73" s="14">
        <f>IF(Distances!D69="N.C.",0,ROUNDUP(D56+'Délai intermédiaire'!D69/24,0))</f>
        <v>0</v>
      </c>
      <c r="E73" s="14">
        <f>IF(Distances!E69="N.C.",0,ROUNDUP(E56+'Délai intermédiaire'!E69/24,0))</f>
        <v>0</v>
      </c>
      <c r="F73" s="14">
        <f>IF(Distances!F69="N.C.",0,ROUNDUP(F56+'Délai intermédiaire'!F69/24,0))</f>
        <v>0</v>
      </c>
      <c r="G73" s="14">
        <f>IF(Distances!G69="N.C.",0,ROUNDUP(G56+'Délai intermédiaire'!G69/24,0))</f>
        <v>0</v>
      </c>
      <c r="H73" s="14">
        <f>IF(Distances!H69="N.C.",0,ROUNDUP(H56+'Délai intermédiaire'!H69/24,0))</f>
        <v>0</v>
      </c>
      <c r="I73" s="14">
        <f>IF(Distances!I69="N.C.",0,ROUNDUP(I56+'Délai intermédiaire'!I69/24,0))</f>
        <v>0</v>
      </c>
      <c r="J73" s="14">
        <f>IF(Distances!J69="N.C.",0,ROUNDUP(J56+'Délai intermédiaire'!J69/24,0))</f>
        <v>0</v>
      </c>
      <c r="K73" s="14">
        <f>IF(Distances!K69="N.C.",0,ROUNDUP(K56+'Délai intermédiaire'!K69/24,0))</f>
        <v>0</v>
      </c>
      <c r="L73" s="14">
        <f>IF(Distances!L69="N.C.",0,ROUNDUP(L56+'Délai intermédiaire'!L69/24,0))</f>
        <v>0</v>
      </c>
      <c r="M73" s="14">
        <f>IF(Distances!M69="N.C.",0,ROUNDUP(M56+'Délai intermédiaire'!M69/24,0))</f>
        <v>0</v>
      </c>
      <c r="N73" s="14">
        <f>IF(Distances!N69="N.C.",0,ROUNDUP(N56+'Délai intermédiaire'!N69/24,0))</f>
        <v>0</v>
      </c>
      <c r="O73" s="14">
        <f>IF(Distances!O69="N.C.",0,ROUNDUP(O56+'Délai intermédiaire'!O69/24,0))</f>
        <v>0</v>
      </c>
      <c r="P73" s="14">
        <f>IF(Distances!P69="N.C.",0,ROUNDUP(P56+'Délai intermédiaire'!P69/24,0))</f>
        <v>0</v>
      </c>
      <c r="Q73" s="12">
        <f>IF(Distances!Q69="N.C.",0,ROUNDUP(Q56+'Délai intermédiaire'!Q69/24,0))</f>
        <v>1</v>
      </c>
      <c r="R73" s="13">
        <f>IF(Distances!R69="N.C.",0,ROUNDUP(R56+'Délai intermédiaire'!R69/24,0))</f>
        <v>2</v>
      </c>
      <c r="S73" s="13">
        <f>IF(Distances!S69="N.C.",0,ROUNDUP(S56+'Délai intermédiaire'!S69/24,0))</f>
        <v>2</v>
      </c>
      <c r="T73" s="13">
        <f>IF(Distances!T69="N.C.",0,ROUNDUP(T56+'Délai intermédiaire'!T69/24,0))</f>
        <v>2</v>
      </c>
      <c r="U73" s="13">
        <f>IF(Distances!U69="N.C.",0,ROUNDUP(U56+'Délai intermédiaire'!U69/24,0))</f>
        <v>2</v>
      </c>
      <c r="V73" s="13">
        <f>IF(Distances!V69="N.C.",0,ROUNDUP(V56+'Délai intermédiaire'!V69/24,0))</f>
        <v>2</v>
      </c>
      <c r="W73" s="13">
        <f>IF(Distances!W69="N.C.",0,ROUNDUP(W56+'Délai intermédiaire'!W69/24,0))</f>
        <v>2</v>
      </c>
      <c r="X73" s="13">
        <f>IF(Distances!X69="N.C.",0,ROUNDUP(X56+'Délai intermédiaire'!X69/24,0))</f>
        <v>2</v>
      </c>
      <c r="Y73" s="13">
        <f>IF(Distances!Y69="N.C.",0,ROUNDUP(Y56+'Délai intermédiaire'!Y69/24,0))</f>
        <v>2</v>
      </c>
      <c r="Z73" s="13">
        <f>IF(Distances!Z69="N.C.",0,ROUNDUP(Z56+'Délai intermédiaire'!Z69/24,0))</f>
        <v>3</v>
      </c>
      <c r="AA73" s="13">
        <f>IF(Distances!AA69="N.C.",0,ROUNDUP(AA56+'Délai intermédiaire'!AA69/24,0))</f>
        <v>3</v>
      </c>
      <c r="AB73" s="13">
        <f>IF(Distances!AB69="N.C.",0,ROUNDUP(AB56+'Délai intermédiaire'!AB69/24,0))</f>
        <v>2</v>
      </c>
      <c r="AC73" s="13">
        <f>IF(Distances!AC69="N.C.",0,ROUNDUP(AC56+'Délai intermédiaire'!AC69/24,0))</f>
        <v>2</v>
      </c>
      <c r="AD73" s="13">
        <f>IF(Distances!AD69="N.C.",0,ROUNDUP(AD56+'Délai intermédiaire'!AD69/24,0))</f>
        <v>3</v>
      </c>
      <c r="AE73" s="13">
        <f>IF(Distances!AE69="N.C.",0,ROUNDUP(AE56+'Délai intermédiaire'!AE69/24,0))</f>
        <v>3</v>
      </c>
      <c r="AF73" s="13">
        <f>IF(Distances!AF69="N.C.",0,ROUNDUP(AF56+'Délai intermédiaire'!AF69/24,0))</f>
        <v>2</v>
      </c>
      <c r="AG73" s="13">
        <f>IF(Distances!AG69="N.C.",0,ROUNDUP(AG56+'Délai intermédiaire'!AG69/24,0))</f>
        <v>3</v>
      </c>
      <c r="AH73" s="14">
        <f>IF(Distances!AH69="N.C.",0,ROUNDUP(AH56+'Délai intermédiaire'!AH69/24,0))</f>
        <v>0</v>
      </c>
      <c r="AI73" s="14">
        <f>IF(Distances!AI69="N.C.",0,ROUNDUP(AI56+'Délai intermédiaire'!AI69/24,0))</f>
        <v>0</v>
      </c>
      <c r="AJ73" s="14">
        <f>IF(Distances!AJ69="N.C.",0,ROUNDUP(AJ56+'Délai intermédiaire'!AJ69/24,0))</f>
        <v>0</v>
      </c>
      <c r="AK73" s="14">
        <f>IF(Distances!AK69="N.C.",0,ROUNDUP(AK56+'Délai intermédiaire'!AK69/24,0))</f>
        <v>0</v>
      </c>
      <c r="AL73" s="14">
        <f>IF(Distances!AL69="N.C.",0,ROUNDUP(AL56+'Délai intermédiaire'!AL69/24,0))</f>
        <v>0</v>
      </c>
      <c r="AM73" s="14">
        <f>IF(Distances!AM69="N.C.",0,ROUNDUP(AM56+'Délai intermédiaire'!AM69/24,0))</f>
        <v>0</v>
      </c>
      <c r="AN73" s="14">
        <f>IF(Distances!AN69="N.C.",0,ROUNDUP(AN56+'Délai intermédiaire'!AN69/24,0))</f>
        <v>0</v>
      </c>
      <c r="AO73" s="14">
        <f>IF(Distances!AO69="N.C.",0,ROUNDUP(AO56+'Délai intermédiaire'!AO69/24,0))</f>
        <v>0</v>
      </c>
      <c r="AP73" s="14">
        <f>IF(Distances!AP69="N.C.",0,ROUNDUP(AP56+'Délai intermédiaire'!AP69/24,0))</f>
        <v>0</v>
      </c>
      <c r="AQ73" s="14">
        <f>IF(Distances!AQ69="N.C.",0,ROUNDUP(AQ56+'Délai intermédiaire'!AQ69/24,0))</f>
        <v>0</v>
      </c>
      <c r="AR73" s="14">
        <f>IF(Distances!AR69="N.C.",0,ROUNDUP(AR56+'Délai intermédiaire'!AR69/24,0))</f>
        <v>0</v>
      </c>
      <c r="AS73" s="14">
        <f>IF(Distances!AS69="N.C.",0,ROUNDUP(AS56+'Délai intermédiaire'!AS69/24,0))</f>
        <v>0</v>
      </c>
      <c r="AT73" s="14">
        <f>IF(Distances!AT69="N.C.",0,ROUNDUP(AT56+'Délai intermédiaire'!AT69/24,0))</f>
        <v>0</v>
      </c>
      <c r="AU73" s="14">
        <f>IF(Distances!AU69="N.C.",0,ROUNDUP(AU56+'Délai intermédiaire'!AU69/24,0))</f>
        <v>0</v>
      </c>
      <c r="AV73" s="14">
        <f>IF(Distances!AV69="N.C.",0,ROUNDUP(AV56+'Délai intermédiaire'!AV69/24,0))</f>
        <v>6</v>
      </c>
      <c r="AW73" s="14">
        <f>IF(Distances!AW69="N.C.",0,ROUNDUP(AW56+'Délai intermédiaire'!AW69/24,0))</f>
        <v>0</v>
      </c>
      <c r="AX73" s="14">
        <f>IF(Distances!AX69="N.C.",0,ROUNDUP(AX56+'Délai intermédiaire'!AX69/24,0))</f>
        <v>0</v>
      </c>
      <c r="AY73" s="14">
        <f>IF(Distances!AY69="N.C.",0,ROUNDUP(AY56+'Délai intermédiaire'!AY69/24,0))</f>
        <v>0</v>
      </c>
      <c r="AZ73" s="14">
        <f>IF(Distances!AZ69="N.C.",0,ROUNDUP(AZ56+'Délai intermédiaire'!AZ69/24,0))</f>
        <v>0</v>
      </c>
      <c r="BA73" s="14">
        <f>IF(Distances!BA69="N.C.",0,ROUNDUP(BA56+'Délai intermédiaire'!BA69/24,0))</f>
        <v>0</v>
      </c>
      <c r="BB73" s="13">
        <f>IF(Distances!BB69="N.C.",0,ROUNDUP(BB56+'Délai intermédiaire'!BB69/24,0))</f>
        <v>4</v>
      </c>
      <c r="BC73" s="14">
        <f>IF(Distances!BC69="N.C.",0,ROUNDUP(BC56+'Délai intermédiaire'!BC69/24,0))</f>
        <v>0</v>
      </c>
      <c r="BD73" s="14">
        <f>IF(Distances!BD69="N.C.",0,ROUNDUP(BD56+'Délai intermédiaire'!BD69/24,0))</f>
        <v>0</v>
      </c>
      <c r="BE73" s="14">
        <f>IF(Distances!BE69="N.C.",0,ROUNDUP(BE56+'Délai intermédiaire'!BE69/24,0))</f>
        <v>0</v>
      </c>
      <c r="BF73" s="13">
        <f>IF(Distances!BF69="N.C.",0,ROUNDUP(BF56+'Délai intermédiaire'!BF69/24,0))</f>
        <v>4</v>
      </c>
      <c r="BG73" s="13">
        <f>IF(Distances!BG69="N.C.",0,ROUNDUP(BG56+'Délai intermédiaire'!BG69/24,0))</f>
        <v>4</v>
      </c>
      <c r="BH73" s="14">
        <f>IF(Distances!BH69="N.C.",0,ROUNDUP(BH56+'Délai intermédiaire'!BH69/24,0))</f>
        <v>0</v>
      </c>
      <c r="BI73" s="14">
        <f>IF(Distances!BI69="N.C.",0,ROUNDUP(BI56+'Délai intermédiaire'!BI69/24,0))</f>
        <v>0</v>
      </c>
      <c r="BJ73" s="15">
        <f>IF(Distances!BJ69="N.C.",0,ROUNDUP(BJ56+'Délai intermédiaire'!BJ69/24,0))</f>
        <v>0</v>
      </c>
    </row>
    <row r="74" spans="1:62" x14ac:dyDescent="0.3">
      <c r="A74" s="10" t="s">
        <v>17</v>
      </c>
      <c r="B74" s="16">
        <f>IF(Distances!B70="N.C.",0,ROUNDUP(B56+'Délai intermédiaire'!B70/24,0))</f>
        <v>0</v>
      </c>
      <c r="C74" s="14">
        <f>IF(Distances!C70="N.C.",0,ROUNDUP(C56+'Délai intermédiaire'!C70/24,0))</f>
        <v>0</v>
      </c>
      <c r="D74" s="14">
        <f>IF(Distances!D70="N.C.",0,ROUNDUP(D56+'Délai intermédiaire'!D70/24,0))</f>
        <v>0</v>
      </c>
      <c r="E74" s="14">
        <f>IF(Distances!E70="N.C.",0,ROUNDUP(E56+'Délai intermédiaire'!E70/24,0))</f>
        <v>0</v>
      </c>
      <c r="F74" s="14">
        <f>IF(Distances!F70="N.C.",0,ROUNDUP(F56+'Délai intermédiaire'!F70/24,0))</f>
        <v>0</v>
      </c>
      <c r="G74" s="14">
        <f>IF(Distances!G70="N.C.",0,ROUNDUP(G56+'Délai intermédiaire'!G70/24,0))</f>
        <v>0</v>
      </c>
      <c r="H74" s="14">
        <f>IF(Distances!H70="N.C.",0,ROUNDUP(H56+'Délai intermédiaire'!H70/24,0))</f>
        <v>0</v>
      </c>
      <c r="I74" s="14">
        <f>IF(Distances!I70="N.C.",0,ROUNDUP(I56+'Délai intermédiaire'!I70/24,0))</f>
        <v>0</v>
      </c>
      <c r="J74" s="14">
        <f>IF(Distances!J70="N.C.",0,ROUNDUP(J56+'Délai intermédiaire'!J70/24,0))</f>
        <v>0</v>
      </c>
      <c r="K74" s="14">
        <f>IF(Distances!K70="N.C.",0,ROUNDUP(K56+'Délai intermédiaire'!K70/24,0))</f>
        <v>0</v>
      </c>
      <c r="L74" s="14">
        <f>IF(Distances!L70="N.C.",0,ROUNDUP(L56+'Délai intermédiaire'!L70/24,0))</f>
        <v>0</v>
      </c>
      <c r="M74" s="14">
        <f>IF(Distances!M70="N.C.",0,ROUNDUP(M56+'Délai intermédiaire'!M70/24,0))</f>
        <v>0</v>
      </c>
      <c r="N74" s="14">
        <f>IF(Distances!N70="N.C.",0,ROUNDUP(N56+'Délai intermédiaire'!N70/24,0))</f>
        <v>0</v>
      </c>
      <c r="O74" s="14">
        <f>IF(Distances!O70="N.C.",0,ROUNDUP(O56+'Délai intermédiaire'!O70/24,0))</f>
        <v>0</v>
      </c>
      <c r="P74" s="14">
        <f>IF(Distances!P70="N.C.",0,ROUNDUP(P56+'Délai intermédiaire'!P70/24,0))</f>
        <v>0</v>
      </c>
      <c r="Q74" s="13">
        <f>IF(Distances!Q70="N.C.",0,ROUNDUP(Q56+'Délai intermédiaire'!Q70/24,0))</f>
        <v>2</v>
      </c>
      <c r="R74" s="12">
        <f>IF(Distances!R70="N.C.",0,ROUNDUP(R56+'Délai intermédiaire'!R70/24,0))</f>
        <v>1</v>
      </c>
      <c r="S74" s="13">
        <f>IF(Distances!S70="N.C.",0,ROUNDUP(S56+'Délai intermédiaire'!S70/24,0))</f>
        <v>2</v>
      </c>
      <c r="T74" s="13">
        <f>IF(Distances!T70="N.C.",0,ROUNDUP(T56+'Délai intermédiaire'!T70/24,0))</f>
        <v>0</v>
      </c>
      <c r="U74" s="13">
        <f>IF(Distances!U70="N.C.",0,ROUNDUP(U56+'Délai intermédiaire'!U70/24,0))</f>
        <v>0</v>
      </c>
      <c r="V74" s="13">
        <f>IF(Distances!V70="N.C.",0,ROUNDUP(V56+'Délai intermédiaire'!V70/24,0))</f>
        <v>0</v>
      </c>
      <c r="W74" s="13">
        <f>IF(Distances!W70="N.C.",0,ROUNDUP(W56+'Délai intermédiaire'!W70/24,0))</f>
        <v>0</v>
      </c>
      <c r="X74" s="13">
        <f>IF(Distances!X70="N.C.",0,ROUNDUP(X56+'Délai intermédiaire'!X70/24,0))</f>
        <v>0</v>
      </c>
      <c r="Y74" s="13">
        <f>IF(Distances!Y70="N.C.",0,ROUNDUP(Y56+'Délai intermédiaire'!Y70/24,0))</f>
        <v>0</v>
      </c>
      <c r="Z74" s="13">
        <f>IF(Distances!Z70="N.C.",0,ROUNDUP(Z56+'Délai intermédiaire'!Z70/24,0))</f>
        <v>0</v>
      </c>
      <c r="AA74" s="13">
        <f>IF(Distances!AA70="N.C.",0,ROUNDUP(AA56+'Délai intermédiaire'!AA70/24,0))</f>
        <v>0</v>
      </c>
      <c r="AB74" s="13">
        <f>IF(Distances!AB70="N.C.",0,ROUNDUP(AB56+'Délai intermédiaire'!AB70/24,0))</f>
        <v>0</v>
      </c>
      <c r="AC74" s="13">
        <f>IF(Distances!AC70="N.C.",0,ROUNDUP(AC56+'Délai intermédiaire'!AC70/24,0))</f>
        <v>0</v>
      </c>
      <c r="AD74" s="13">
        <f>IF(Distances!AD70="N.C.",0,ROUNDUP(AD56+'Délai intermédiaire'!AD70/24,0))</f>
        <v>0</v>
      </c>
      <c r="AE74" s="13">
        <f>IF(Distances!AE70="N.C.",0,ROUNDUP(AE56+'Délai intermédiaire'!AE70/24,0))</f>
        <v>0</v>
      </c>
      <c r="AF74" s="13">
        <f>IF(Distances!AF70="N.C.",0,ROUNDUP(AF56+'Délai intermédiaire'!AF70/24,0))</f>
        <v>0</v>
      </c>
      <c r="AG74" s="13">
        <f>IF(Distances!AG70="N.C.",0,ROUNDUP(AG56+'Délai intermédiaire'!AG70/24,0))</f>
        <v>0</v>
      </c>
      <c r="AH74" s="14">
        <f>IF(Distances!AH70="N.C.",0,ROUNDUP(AH56+'Délai intermédiaire'!AH70/24,0))</f>
        <v>0</v>
      </c>
      <c r="AI74" s="14">
        <f>IF(Distances!AI70="N.C.",0,ROUNDUP(AI56+'Délai intermédiaire'!AI70/24,0))</f>
        <v>0</v>
      </c>
      <c r="AJ74" s="14">
        <f>IF(Distances!AJ70="N.C.",0,ROUNDUP(AJ56+'Délai intermédiaire'!AJ70/24,0))</f>
        <v>0</v>
      </c>
      <c r="AK74" s="14">
        <f>IF(Distances!AK70="N.C.",0,ROUNDUP(AK56+'Délai intermédiaire'!AK70/24,0))</f>
        <v>0</v>
      </c>
      <c r="AL74" s="14">
        <f>IF(Distances!AL70="N.C.",0,ROUNDUP(AL56+'Délai intermédiaire'!AL70/24,0))</f>
        <v>0</v>
      </c>
      <c r="AM74" s="14">
        <f>IF(Distances!AM70="N.C.",0,ROUNDUP(AM56+'Délai intermédiaire'!AM70/24,0))</f>
        <v>0</v>
      </c>
      <c r="AN74" s="14">
        <f>IF(Distances!AN70="N.C.",0,ROUNDUP(AN56+'Délai intermédiaire'!AN70/24,0))</f>
        <v>0</v>
      </c>
      <c r="AO74" s="14">
        <f>IF(Distances!AO70="N.C.",0,ROUNDUP(AO56+'Délai intermédiaire'!AO70/24,0))</f>
        <v>0</v>
      </c>
      <c r="AP74" s="14">
        <f>IF(Distances!AP70="N.C.",0,ROUNDUP(AP56+'Délai intermédiaire'!AP70/24,0))</f>
        <v>0</v>
      </c>
      <c r="AQ74" s="14">
        <f>IF(Distances!AQ70="N.C.",0,ROUNDUP(AQ56+'Délai intermédiaire'!AQ70/24,0))</f>
        <v>0</v>
      </c>
      <c r="AR74" s="14">
        <f>IF(Distances!AR70="N.C.",0,ROUNDUP(AR56+'Délai intermédiaire'!AR70/24,0))</f>
        <v>0</v>
      </c>
      <c r="AS74" s="14">
        <f>IF(Distances!AS70="N.C.",0,ROUNDUP(AS56+'Délai intermédiaire'!AS70/24,0))</f>
        <v>0</v>
      </c>
      <c r="AT74" s="14">
        <f>IF(Distances!AT70="N.C.",0,ROUNDUP(AT56+'Délai intermédiaire'!AT70/24,0))</f>
        <v>0</v>
      </c>
      <c r="AU74" s="14">
        <f>IF(Distances!AU70="N.C.",0,ROUNDUP(AU56+'Délai intermédiaire'!AU70/24,0))</f>
        <v>0</v>
      </c>
      <c r="AV74" s="14">
        <f>IF(Distances!AV70="N.C.",0,ROUNDUP(AV56+'Délai intermédiaire'!AV70/24,0))</f>
        <v>0</v>
      </c>
      <c r="AW74" s="14">
        <f>IF(Distances!AW70="N.C.",0,ROUNDUP(AW56+'Délai intermédiaire'!AW70/24,0))</f>
        <v>0</v>
      </c>
      <c r="AX74" s="14">
        <f>IF(Distances!AX70="N.C.",0,ROUNDUP(AX56+'Délai intermédiaire'!AX70/24,0))</f>
        <v>0</v>
      </c>
      <c r="AY74" s="14">
        <f>IF(Distances!AY70="N.C.",0,ROUNDUP(AY56+'Délai intermédiaire'!AY70/24,0))</f>
        <v>0</v>
      </c>
      <c r="AZ74" s="14">
        <f>IF(Distances!AZ70="N.C.",0,ROUNDUP(AZ56+'Délai intermédiaire'!AZ70/24,0))</f>
        <v>0</v>
      </c>
      <c r="BA74" s="14">
        <f>IF(Distances!BA70="N.C.",0,ROUNDUP(BA56+'Délai intermédiaire'!BA70/24,0))</f>
        <v>0</v>
      </c>
      <c r="BB74" s="13">
        <f>IF(Distances!BB70="N.C.",0,ROUNDUP(BB56+'Délai intermédiaire'!BB70/24,0))</f>
        <v>0</v>
      </c>
      <c r="BC74" s="14">
        <f>IF(Distances!BC70="N.C.",0,ROUNDUP(BC56+'Délai intermédiaire'!BC70/24,0))</f>
        <v>0</v>
      </c>
      <c r="BD74" s="14">
        <f>IF(Distances!BD70="N.C.",0,ROUNDUP(BD56+'Délai intermédiaire'!BD70/24,0))</f>
        <v>0</v>
      </c>
      <c r="BE74" s="14">
        <f>IF(Distances!BE70="N.C.",0,ROUNDUP(BE56+'Délai intermédiaire'!BE70/24,0))</f>
        <v>0</v>
      </c>
      <c r="BF74" s="13">
        <f>IF(Distances!BF70="N.C.",0,ROUNDUP(BF56+'Délai intermédiaire'!BF70/24,0))</f>
        <v>0</v>
      </c>
      <c r="BG74" s="13">
        <f>IF(Distances!BG70="N.C.",0,ROUNDUP(BG56+'Délai intermédiaire'!BG70/24,0))</f>
        <v>0</v>
      </c>
      <c r="BH74" s="14">
        <f>IF(Distances!BH70="N.C.",0,ROUNDUP(BH56+'Délai intermédiaire'!BH70/24,0))</f>
        <v>0</v>
      </c>
      <c r="BI74" s="14">
        <f>IF(Distances!BI70="N.C.",0,ROUNDUP(BI56+'Délai intermédiaire'!BI70/24,0))</f>
        <v>0</v>
      </c>
      <c r="BJ74" s="15">
        <f>IF(Distances!BJ70="N.C.",0,ROUNDUP(BJ56+'Délai intermédiaire'!BJ70/24,0))</f>
        <v>0</v>
      </c>
    </row>
    <row r="75" spans="1:62" x14ac:dyDescent="0.3">
      <c r="A75" s="10" t="s">
        <v>18</v>
      </c>
      <c r="B75" s="16">
        <f>IF(Distances!B71="N.C.",0,ROUNDUP(B56+'Délai intermédiaire'!B71/24,0))</f>
        <v>0</v>
      </c>
      <c r="C75" s="14">
        <f>IF(Distances!C71="N.C.",0,ROUNDUP(C56+'Délai intermédiaire'!C71/24,0))</f>
        <v>0</v>
      </c>
      <c r="D75" s="14">
        <f>IF(Distances!D71="N.C.",0,ROUNDUP(D56+'Délai intermédiaire'!D71/24,0))</f>
        <v>0</v>
      </c>
      <c r="E75" s="14">
        <f>IF(Distances!E71="N.C.",0,ROUNDUP(E56+'Délai intermédiaire'!E71/24,0))</f>
        <v>0</v>
      </c>
      <c r="F75" s="14">
        <f>IF(Distances!F71="N.C.",0,ROUNDUP(F56+'Délai intermédiaire'!F71/24,0))</f>
        <v>0</v>
      </c>
      <c r="G75" s="14">
        <f>IF(Distances!G71="N.C.",0,ROUNDUP(G56+'Délai intermédiaire'!G71/24,0))</f>
        <v>0</v>
      </c>
      <c r="H75" s="14">
        <f>IF(Distances!H71="N.C.",0,ROUNDUP(H56+'Délai intermédiaire'!H71/24,0))</f>
        <v>0</v>
      </c>
      <c r="I75" s="14">
        <f>IF(Distances!I71="N.C.",0,ROUNDUP(I56+'Délai intermédiaire'!I71/24,0))</f>
        <v>0</v>
      </c>
      <c r="J75" s="14">
        <f>IF(Distances!J71="N.C.",0,ROUNDUP(J56+'Délai intermédiaire'!J71/24,0))</f>
        <v>0</v>
      </c>
      <c r="K75" s="14">
        <f>IF(Distances!K71="N.C.",0,ROUNDUP(K56+'Délai intermédiaire'!K71/24,0))</f>
        <v>0</v>
      </c>
      <c r="L75" s="14">
        <f>IF(Distances!L71="N.C.",0,ROUNDUP(L56+'Délai intermédiaire'!L71/24,0))</f>
        <v>0</v>
      </c>
      <c r="M75" s="14">
        <f>IF(Distances!M71="N.C.",0,ROUNDUP(M56+'Délai intermédiaire'!M71/24,0))</f>
        <v>0</v>
      </c>
      <c r="N75" s="14">
        <f>IF(Distances!N71="N.C.",0,ROUNDUP(N56+'Délai intermédiaire'!N71/24,0))</f>
        <v>0</v>
      </c>
      <c r="O75" s="14">
        <f>IF(Distances!O71="N.C.",0,ROUNDUP(O56+'Délai intermédiaire'!O71/24,0))</f>
        <v>0</v>
      </c>
      <c r="P75" s="14">
        <f>IF(Distances!P71="N.C.",0,ROUNDUP(P56+'Délai intermédiaire'!P71/24,0))</f>
        <v>0</v>
      </c>
      <c r="Q75" s="13">
        <f>IF(Distances!Q71="N.C.",0,ROUNDUP(Q56+'Délai intermédiaire'!Q71/24,0))</f>
        <v>2</v>
      </c>
      <c r="R75" s="13">
        <f>IF(Distances!R71="N.C.",0,ROUNDUP(R56+'Délai intermédiaire'!R71/24,0))</f>
        <v>2</v>
      </c>
      <c r="S75" s="12">
        <f>IF(Distances!S71="N.C.",0,ROUNDUP(S56+'Délai intermédiaire'!S71/24,0))</f>
        <v>1</v>
      </c>
      <c r="T75" s="13">
        <f>IF(Distances!T71="N.C.",0,ROUNDUP(T56+'Délai intermédiaire'!T71/24,0))</f>
        <v>2</v>
      </c>
      <c r="U75" s="13">
        <f>IF(Distances!U71="N.C.",0,ROUNDUP(U56+'Délai intermédiaire'!U71/24,0))</f>
        <v>2</v>
      </c>
      <c r="V75" s="13">
        <f>IF(Distances!V71="N.C.",0,ROUNDUP(V56+'Délai intermédiaire'!V71/24,0))</f>
        <v>2</v>
      </c>
      <c r="W75" s="13">
        <f>IF(Distances!W71="N.C.",0,ROUNDUP(W56+'Délai intermédiaire'!W71/24,0))</f>
        <v>2</v>
      </c>
      <c r="X75" s="13">
        <f>IF(Distances!X71="N.C.",0,ROUNDUP(X56+'Délai intermédiaire'!X71/24,0))</f>
        <v>2</v>
      </c>
      <c r="Y75" s="13">
        <f>IF(Distances!Y71="N.C.",0,ROUNDUP(Y56+'Délai intermédiaire'!Y71/24,0))</f>
        <v>2</v>
      </c>
      <c r="Z75" s="13">
        <f>IF(Distances!Z71="N.C.",0,ROUNDUP(Z56+'Délai intermédiaire'!Z71/24,0))</f>
        <v>3</v>
      </c>
      <c r="AA75" s="13">
        <f>IF(Distances!AA71="N.C.",0,ROUNDUP(AA56+'Délai intermédiaire'!AA71/24,0))</f>
        <v>3</v>
      </c>
      <c r="AB75" s="13">
        <f>IF(Distances!AB71="N.C.",0,ROUNDUP(AB56+'Délai intermédiaire'!AB71/24,0))</f>
        <v>2</v>
      </c>
      <c r="AC75" s="13">
        <f>IF(Distances!AC71="N.C.",0,ROUNDUP(AC56+'Délai intermédiaire'!AC71/24,0))</f>
        <v>2</v>
      </c>
      <c r="AD75" s="13">
        <f>IF(Distances!AD71="N.C.",0,ROUNDUP(AD56+'Délai intermédiaire'!AD71/24,0))</f>
        <v>3</v>
      </c>
      <c r="AE75" s="13">
        <f>IF(Distances!AE71="N.C.",0,ROUNDUP(AE56+'Délai intermédiaire'!AE71/24,0))</f>
        <v>3</v>
      </c>
      <c r="AF75" s="13">
        <f>IF(Distances!AF71="N.C.",0,ROUNDUP(AF56+'Délai intermédiaire'!AF71/24,0))</f>
        <v>2</v>
      </c>
      <c r="AG75" s="13">
        <f>IF(Distances!AG71="N.C.",0,ROUNDUP(AG56+'Délai intermédiaire'!AG71/24,0))</f>
        <v>3</v>
      </c>
      <c r="AH75" s="14">
        <f>IF(Distances!AH71="N.C.",0,ROUNDUP(AH56+'Délai intermédiaire'!AH71/24,0))</f>
        <v>0</v>
      </c>
      <c r="AI75" s="14">
        <f>IF(Distances!AI71="N.C.",0,ROUNDUP(AI56+'Délai intermédiaire'!AI71/24,0))</f>
        <v>0</v>
      </c>
      <c r="AJ75" s="14">
        <f>IF(Distances!AJ71="N.C.",0,ROUNDUP(AJ56+'Délai intermédiaire'!AJ71/24,0))</f>
        <v>0</v>
      </c>
      <c r="AK75" s="14">
        <f>IF(Distances!AK71="N.C.",0,ROUNDUP(AK56+'Délai intermédiaire'!AK71/24,0))</f>
        <v>0</v>
      </c>
      <c r="AL75" s="14">
        <f>IF(Distances!AL71="N.C.",0,ROUNDUP(AL56+'Délai intermédiaire'!AL71/24,0))</f>
        <v>0</v>
      </c>
      <c r="AM75" s="14">
        <f>IF(Distances!AM71="N.C.",0,ROUNDUP(AM56+'Délai intermédiaire'!AM71/24,0))</f>
        <v>0</v>
      </c>
      <c r="AN75" s="14">
        <f>IF(Distances!AN71="N.C.",0,ROUNDUP(AN56+'Délai intermédiaire'!AN71/24,0))</f>
        <v>0</v>
      </c>
      <c r="AO75" s="14">
        <f>IF(Distances!AO71="N.C.",0,ROUNDUP(AO56+'Délai intermédiaire'!AO71/24,0))</f>
        <v>0</v>
      </c>
      <c r="AP75" s="14">
        <f>IF(Distances!AP71="N.C.",0,ROUNDUP(AP56+'Délai intermédiaire'!AP71/24,0))</f>
        <v>0</v>
      </c>
      <c r="AQ75" s="14">
        <f>IF(Distances!AQ71="N.C.",0,ROUNDUP(AQ56+'Délai intermédiaire'!AQ71/24,0))</f>
        <v>0</v>
      </c>
      <c r="AR75" s="14">
        <f>IF(Distances!AR71="N.C.",0,ROUNDUP(AR56+'Délai intermédiaire'!AR71/24,0))</f>
        <v>0</v>
      </c>
      <c r="AS75" s="14">
        <f>IF(Distances!AS71="N.C.",0,ROUNDUP(AS56+'Délai intermédiaire'!AS71/24,0))</f>
        <v>0</v>
      </c>
      <c r="AT75" s="14">
        <f>IF(Distances!AT71="N.C.",0,ROUNDUP(AT56+'Délai intermédiaire'!AT71/24,0))</f>
        <v>0</v>
      </c>
      <c r="AU75" s="14">
        <f>IF(Distances!AU71="N.C.",0,ROUNDUP(AU56+'Délai intermédiaire'!AU71/24,0))</f>
        <v>0</v>
      </c>
      <c r="AV75" s="14">
        <f>IF(Distances!AV71="N.C.",0,ROUNDUP(AV56+'Délai intermédiaire'!AV71/24,0))</f>
        <v>5</v>
      </c>
      <c r="AW75" s="14">
        <f>IF(Distances!AW71="N.C.",0,ROUNDUP(AW56+'Délai intermédiaire'!AW71/24,0))</f>
        <v>0</v>
      </c>
      <c r="AX75" s="14">
        <f>IF(Distances!AX71="N.C.",0,ROUNDUP(AX56+'Délai intermédiaire'!AX71/24,0))</f>
        <v>13</v>
      </c>
      <c r="AY75" s="14">
        <f>IF(Distances!AY71="N.C.",0,ROUNDUP(AY56+'Délai intermédiaire'!AY71/24,0))</f>
        <v>0</v>
      </c>
      <c r="AZ75" s="14">
        <f>IF(Distances!AZ71="N.C.",0,ROUNDUP(AZ56+'Délai intermédiaire'!AZ71/24,0))</f>
        <v>0</v>
      </c>
      <c r="BA75" s="14">
        <f>IF(Distances!BA71="N.C.",0,ROUNDUP(BA56+'Délai intermédiaire'!BA71/24,0))</f>
        <v>0</v>
      </c>
      <c r="BB75" s="13">
        <f>IF(Distances!BB71="N.C.",0,ROUNDUP(BB56+'Délai intermédiaire'!BB71/24,0))</f>
        <v>3</v>
      </c>
      <c r="BC75" s="14">
        <f>IF(Distances!BC71="N.C.",0,ROUNDUP(BC56+'Délai intermédiaire'!BC71/24,0))</f>
        <v>0</v>
      </c>
      <c r="BD75" s="14">
        <f>IF(Distances!BD71="N.C.",0,ROUNDUP(BD56+'Délai intermédiaire'!BD71/24,0))</f>
        <v>0</v>
      </c>
      <c r="BE75" s="14">
        <f>IF(Distances!BE71="N.C.",0,ROUNDUP(BE56+'Délai intermédiaire'!BE71/24,0))</f>
        <v>0</v>
      </c>
      <c r="BF75" s="13">
        <f>IF(Distances!BF71="N.C.",0,ROUNDUP(BF56+'Délai intermédiaire'!BF71/24,0))</f>
        <v>4</v>
      </c>
      <c r="BG75" s="13">
        <f>IF(Distances!BG71="N.C.",0,ROUNDUP(BG56+'Délai intermédiaire'!BG71/24,0))</f>
        <v>4</v>
      </c>
      <c r="BH75" s="14">
        <f>IF(Distances!BH71="N.C.",0,ROUNDUP(BH56+'Délai intermédiaire'!BH71/24,0))</f>
        <v>0</v>
      </c>
      <c r="BI75" s="14">
        <f>IF(Distances!BI71="N.C.",0,ROUNDUP(BI56+'Délai intermédiaire'!BI71/24,0))</f>
        <v>0</v>
      </c>
      <c r="BJ75" s="15">
        <f>IF(Distances!BJ71="N.C.",0,ROUNDUP(BJ56+'Délai intermédiaire'!BJ71/24,0))</f>
        <v>0</v>
      </c>
    </row>
    <row r="76" spans="1:62" x14ac:dyDescent="0.3">
      <c r="A76" s="10" t="s">
        <v>19</v>
      </c>
      <c r="B76" s="16">
        <f>IF(Distances!B72="N.C.",0,ROUNDUP(B56+'Délai intermédiaire'!B72/24,0))</f>
        <v>0</v>
      </c>
      <c r="C76" s="14">
        <f>IF(Distances!C72="N.C.",0,ROUNDUP(C56+'Délai intermédiaire'!C72/24,0))</f>
        <v>0</v>
      </c>
      <c r="D76" s="14">
        <f>IF(Distances!D72="N.C.",0,ROUNDUP(D56+'Délai intermédiaire'!D72/24,0))</f>
        <v>0</v>
      </c>
      <c r="E76" s="14">
        <f>IF(Distances!E72="N.C.",0,ROUNDUP(E56+'Délai intermédiaire'!E72/24,0))</f>
        <v>0</v>
      </c>
      <c r="F76" s="14">
        <f>IF(Distances!F72="N.C.",0,ROUNDUP(F56+'Délai intermédiaire'!F72/24,0))</f>
        <v>0</v>
      </c>
      <c r="G76" s="14">
        <f>IF(Distances!G72="N.C.",0,ROUNDUP(G56+'Délai intermédiaire'!G72/24,0))</f>
        <v>0</v>
      </c>
      <c r="H76" s="14">
        <f>IF(Distances!H72="N.C.",0,ROUNDUP(H56+'Délai intermédiaire'!H72/24,0))</f>
        <v>0</v>
      </c>
      <c r="I76" s="14">
        <f>IF(Distances!I72="N.C.",0,ROUNDUP(I56+'Délai intermédiaire'!I72/24,0))</f>
        <v>0</v>
      </c>
      <c r="J76" s="14">
        <f>IF(Distances!J72="N.C.",0,ROUNDUP(J56+'Délai intermédiaire'!J72/24,0))</f>
        <v>0</v>
      </c>
      <c r="K76" s="14">
        <f>IF(Distances!K72="N.C.",0,ROUNDUP(K56+'Délai intermédiaire'!K72/24,0))</f>
        <v>0</v>
      </c>
      <c r="L76" s="14">
        <f>IF(Distances!L72="N.C.",0,ROUNDUP(L56+'Délai intermédiaire'!L72/24,0))</f>
        <v>0</v>
      </c>
      <c r="M76" s="14">
        <f>IF(Distances!M72="N.C.",0,ROUNDUP(M56+'Délai intermédiaire'!M72/24,0))</f>
        <v>0</v>
      </c>
      <c r="N76" s="14">
        <f>IF(Distances!N72="N.C.",0,ROUNDUP(N56+'Délai intermédiaire'!N72/24,0))</f>
        <v>0</v>
      </c>
      <c r="O76" s="14">
        <f>IF(Distances!O72="N.C.",0,ROUNDUP(O56+'Délai intermédiaire'!O72/24,0))</f>
        <v>0</v>
      </c>
      <c r="P76" s="14">
        <f>IF(Distances!P72="N.C.",0,ROUNDUP(P56+'Délai intermédiaire'!P72/24,0))</f>
        <v>0</v>
      </c>
      <c r="Q76" s="13">
        <f>IF(Distances!Q72="N.C.",0,ROUNDUP(Q56+'Délai intermédiaire'!Q72/24,0))</f>
        <v>2</v>
      </c>
      <c r="R76" s="13">
        <f>IF(Distances!R72="N.C.",0,ROUNDUP(R56+'Délai intermédiaire'!R72/24,0))</f>
        <v>0</v>
      </c>
      <c r="S76" s="13">
        <f>IF(Distances!S72="N.C.",0,ROUNDUP(S56+'Délai intermédiaire'!S72/24,0))</f>
        <v>2</v>
      </c>
      <c r="T76" s="12">
        <f>IF(Distances!T72="N.C.",0,ROUNDUP(T56+'Délai intermédiaire'!T72/24,0))</f>
        <v>1</v>
      </c>
      <c r="U76" s="13">
        <f>IF(Distances!U72="N.C.",0,ROUNDUP(U56+'Délai intermédiaire'!U72/24,0))</f>
        <v>2</v>
      </c>
      <c r="V76" s="13">
        <f>IF(Distances!V72="N.C.",0,ROUNDUP(V56+'Délai intermédiaire'!V72/24,0))</f>
        <v>2</v>
      </c>
      <c r="W76" s="13">
        <f>IF(Distances!W72="N.C.",0,ROUNDUP(W56+'Délai intermédiaire'!W72/24,0))</f>
        <v>2</v>
      </c>
      <c r="X76" s="13">
        <f>IF(Distances!X72="N.C.",0,ROUNDUP(X56+'Délai intermédiaire'!X72/24,0))</f>
        <v>2</v>
      </c>
      <c r="Y76" s="13">
        <f>IF(Distances!Y72="N.C.",0,ROUNDUP(Y56+'Délai intermédiaire'!Y72/24,0))</f>
        <v>2</v>
      </c>
      <c r="Z76" s="13">
        <f>IF(Distances!Z72="N.C.",0,ROUNDUP(Z56+'Délai intermédiaire'!Z72/24,0))</f>
        <v>3</v>
      </c>
      <c r="AA76" s="13">
        <f>IF(Distances!AA72="N.C.",0,ROUNDUP(AA56+'Délai intermédiaire'!AA72/24,0))</f>
        <v>3</v>
      </c>
      <c r="AB76" s="13">
        <f>IF(Distances!AB72="N.C.",0,ROUNDUP(AB56+'Délai intermédiaire'!AB72/24,0))</f>
        <v>2</v>
      </c>
      <c r="AC76" s="13">
        <f>IF(Distances!AC72="N.C.",0,ROUNDUP(AC56+'Délai intermédiaire'!AC72/24,0))</f>
        <v>2</v>
      </c>
      <c r="AD76" s="13">
        <f>IF(Distances!AD72="N.C.",0,ROUNDUP(AD56+'Délai intermédiaire'!AD72/24,0))</f>
        <v>3</v>
      </c>
      <c r="AE76" s="13">
        <f>IF(Distances!AE72="N.C.",0,ROUNDUP(AE56+'Délai intermédiaire'!AE72/24,0))</f>
        <v>3</v>
      </c>
      <c r="AF76" s="13">
        <f>IF(Distances!AF72="N.C.",0,ROUNDUP(AF56+'Délai intermédiaire'!AF72/24,0))</f>
        <v>2</v>
      </c>
      <c r="AG76" s="13">
        <f>IF(Distances!AG72="N.C.",0,ROUNDUP(AG56+'Délai intermédiaire'!AG72/24,0))</f>
        <v>3</v>
      </c>
      <c r="AH76" s="14">
        <f>IF(Distances!AH72="N.C.",0,ROUNDUP(AH56+'Délai intermédiaire'!AH72/24,0))</f>
        <v>0</v>
      </c>
      <c r="AI76" s="14">
        <f>IF(Distances!AI72="N.C.",0,ROUNDUP(AI56+'Délai intermédiaire'!AI72/24,0))</f>
        <v>0</v>
      </c>
      <c r="AJ76" s="14">
        <f>IF(Distances!AJ72="N.C.",0,ROUNDUP(AJ56+'Délai intermédiaire'!AJ72/24,0))</f>
        <v>0</v>
      </c>
      <c r="AK76" s="14">
        <f>IF(Distances!AK72="N.C.",0,ROUNDUP(AK56+'Délai intermédiaire'!AK72/24,0))</f>
        <v>0</v>
      </c>
      <c r="AL76" s="14">
        <f>IF(Distances!AL72="N.C.",0,ROUNDUP(AL56+'Délai intermédiaire'!AL72/24,0))</f>
        <v>0</v>
      </c>
      <c r="AM76" s="14">
        <f>IF(Distances!AM72="N.C.",0,ROUNDUP(AM56+'Délai intermédiaire'!AM72/24,0))</f>
        <v>0</v>
      </c>
      <c r="AN76" s="14">
        <f>IF(Distances!AN72="N.C.",0,ROUNDUP(AN56+'Délai intermédiaire'!AN72/24,0))</f>
        <v>0</v>
      </c>
      <c r="AO76" s="14">
        <f>IF(Distances!AO72="N.C.",0,ROUNDUP(AO56+'Délai intermédiaire'!AO72/24,0))</f>
        <v>0</v>
      </c>
      <c r="AP76" s="14">
        <f>IF(Distances!AP72="N.C.",0,ROUNDUP(AP56+'Délai intermédiaire'!AP72/24,0))</f>
        <v>0</v>
      </c>
      <c r="AQ76" s="14">
        <f>IF(Distances!AQ72="N.C.",0,ROUNDUP(AQ56+'Délai intermédiaire'!AQ72/24,0))</f>
        <v>0</v>
      </c>
      <c r="AR76" s="14">
        <f>IF(Distances!AR72="N.C.",0,ROUNDUP(AR56+'Délai intermédiaire'!AR72/24,0))</f>
        <v>0</v>
      </c>
      <c r="AS76" s="14">
        <f>IF(Distances!AS72="N.C.",0,ROUNDUP(AS56+'Délai intermédiaire'!AS72/24,0))</f>
        <v>0</v>
      </c>
      <c r="AT76" s="14">
        <f>IF(Distances!AT72="N.C.",0,ROUNDUP(AT56+'Délai intermédiaire'!AT72/24,0))</f>
        <v>0</v>
      </c>
      <c r="AU76" s="14">
        <f>IF(Distances!AU72="N.C.",0,ROUNDUP(AU56+'Délai intermédiaire'!AU72/24,0))</f>
        <v>0</v>
      </c>
      <c r="AV76" s="14">
        <f>IF(Distances!AV72="N.C.",0,ROUNDUP(AV56+'Délai intermédiaire'!AV72/24,0))</f>
        <v>5</v>
      </c>
      <c r="AW76" s="14">
        <f>IF(Distances!AW72="N.C.",0,ROUNDUP(AW56+'Délai intermédiaire'!AW72/24,0))</f>
        <v>0</v>
      </c>
      <c r="AX76" s="14">
        <f>IF(Distances!AX72="N.C.",0,ROUNDUP(AX56+'Délai intermédiaire'!AX72/24,0))</f>
        <v>13</v>
      </c>
      <c r="AY76" s="14">
        <f>IF(Distances!AY72="N.C.",0,ROUNDUP(AY56+'Délai intermédiaire'!AY72/24,0))</f>
        <v>0</v>
      </c>
      <c r="AZ76" s="14">
        <f>IF(Distances!AZ72="N.C.",0,ROUNDUP(AZ56+'Délai intermédiaire'!AZ72/24,0))</f>
        <v>0</v>
      </c>
      <c r="BA76" s="14">
        <f>IF(Distances!BA72="N.C.",0,ROUNDUP(BA56+'Délai intermédiaire'!BA72/24,0))</f>
        <v>0</v>
      </c>
      <c r="BB76" s="13">
        <f>IF(Distances!BB72="N.C.",0,ROUNDUP(BB56+'Délai intermédiaire'!BB72/24,0))</f>
        <v>3</v>
      </c>
      <c r="BC76" s="14">
        <f>IF(Distances!BC72="N.C.",0,ROUNDUP(BC56+'Délai intermédiaire'!BC72/24,0))</f>
        <v>0</v>
      </c>
      <c r="BD76" s="14">
        <f>IF(Distances!BD72="N.C.",0,ROUNDUP(BD56+'Délai intermédiaire'!BD72/24,0))</f>
        <v>11</v>
      </c>
      <c r="BE76" s="14">
        <f>IF(Distances!BE72="N.C.",0,ROUNDUP(BE56+'Délai intermédiaire'!BE72/24,0))</f>
        <v>0</v>
      </c>
      <c r="BF76" s="13">
        <f>IF(Distances!BF72="N.C.",0,ROUNDUP(BF56+'Délai intermédiaire'!BF72/24,0))</f>
        <v>4</v>
      </c>
      <c r="BG76" s="13">
        <f>IF(Distances!BG72="N.C.",0,ROUNDUP(BG56+'Délai intermédiaire'!BG72/24,0))</f>
        <v>4</v>
      </c>
      <c r="BH76" s="14">
        <f>IF(Distances!BH72="N.C.",0,ROUNDUP(BH56+'Délai intermédiaire'!BH72/24,0))</f>
        <v>0</v>
      </c>
      <c r="BI76" s="14">
        <f>IF(Distances!BI72="N.C.",0,ROUNDUP(BI56+'Délai intermédiaire'!BI72/24,0))</f>
        <v>0</v>
      </c>
      <c r="BJ76" s="15">
        <f>IF(Distances!BJ72="N.C.",0,ROUNDUP(BJ56+'Délai intermédiaire'!BJ72/24,0))</f>
        <v>0</v>
      </c>
    </row>
    <row r="77" spans="1:62" x14ac:dyDescent="0.3">
      <c r="A77" s="10" t="s">
        <v>20</v>
      </c>
      <c r="B77" s="16">
        <f>IF(Distances!B73="N.C.",0,ROUNDUP(B56+'Délai intermédiaire'!B73/24,0))</f>
        <v>0</v>
      </c>
      <c r="C77" s="14">
        <f>IF(Distances!C73="N.C.",0,ROUNDUP(C56+'Délai intermédiaire'!C73/24,0))</f>
        <v>0</v>
      </c>
      <c r="D77" s="14">
        <f>IF(Distances!D73="N.C.",0,ROUNDUP(D56+'Délai intermédiaire'!D73/24,0))</f>
        <v>0</v>
      </c>
      <c r="E77" s="14">
        <f>IF(Distances!E73="N.C.",0,ROUNDUP(E56+'Délai intermédiaire'!E73/24,0))</f>
        <v>0</v>
      </c>
      <c r="F77" s="14">
        <f>IF(Distances!F73="N.C.",0,ROUNDUP(F56+'Délai intermédiaire'!F73/24,0))</f>
        <v>0</v>
      </c>
      <c r="G77" s="14">
        <f>IF(Distances!G73="N.C.",0,ROUNDUP(G56+'Délai intermédiaire'!G73/24,0))</f>
        <v>0</v>
      </c>
      <c r="H77" s="14">
        <f>IF(Distances!H73="N.C.",0,ROUNDUP(H56+'Délai intermédiaire'!H73/24,0))</f>
        <v>0</v>
      </c>
      <c r="I77" s="14">
        <f>IF(Distances!I73="N.C.",0,ROUNDUP(I56+'Délai intermédiaire'!I73/24,0))</f>
        <v>0</v>
      </c>
      <c r="J77" s="14">
        <f>IF(Distances!J73="N.C.",0,ROUNDUP(J56+'Délai intermédiaire'!J73/24,0))</f>
        <v>0</v>
      </c>
      <c r="K77" s="14">
        <f>IF(Distances!K73="N.C.",0,ROUNDUP(K56+'Délai intermédiaire'!K73/24,0))</f>
        <v>0</v>
      </c>
      <c r="L77" s="14">
        <f>IF(Distances!L73="N.C.",0,ROUNDUP(L56+'Délai intermédiaire'!L73/24,0))</f>
        <v>0</v>
      </c>
      <c r="M77" s="14">
        <f>IF(Distances!M73="N.C.",0,ROUNDUP(M56+'Délai intermédiaire'!M73/24,0))</f>
        <v>0</v>
      </c>
      <c r="N77" s="14">
        <f>IF(Distances!N73="N.C.",0,ROUNDUP(N56+'Délai intermédiaire'!N73/24,0))</f>
        <v>0</v>
      </c>
      <c r="O77" s="14">
        <f>IF(Distances!O73="N.C.",0,ROUNDUP(O56+'Délai intermédiaire'!O73/24,0))</f>
        <v>0</v>
      </c>
      <c r="P77" s="14">
        <f>IF(Distances!P73="N.C.",0,ROUNDUP(P56+'Délai intermédiaire'!P73/24,0))</f>
        <v>0</v>
      </c>
      <c r="Q77" s="13">
        <f>IF(Distances!Q73="N.C.",0,ROUNDUP(Q56+'Délai intermédiaire'!Q73/24,0))</f>
        <v>2</v>
      </c>
      <c r="R77" s="13">
        <f>IF(Distances!R73="N.C.",0,ROUNDUP(R56+'Délai intermédiaire'!R73/24,0))</f>
        <v>0</v>
      </c>
      <c r="S77" s="13">
        <f>IF(Distances!S73="N.C.",0,ROUNDUP(S56+'Délai intermédiaire'!S73/24,0))</f>
        <v>2</v>
      </c>
      <c r="T77" s="13">
        <f>IF(Distances!T73="N.C.",0,ROUNDUP(T56+'Délai intermédiaire'!T73/24,0))</f>
        <v>2</v>
      </c>
      <c r="U77" s="12">
        <f>IF(Distances!U73="N.C.",0,ROUNDUP(U56+'Délai intermédiaire'!U73/24,0))</f>
        <v>1</v>
      </c>
      <c r="V77" s="13">
        <f>IF(Distances!V73="N.C.",0,ROUNDUP(V56+'Délai intermédiaire'!V73/24,0))</f>
        <v>2</v>
      </c>
      <c r="W77" s="13">
        <f>IF(Distances!W73="N.C.",0,ROUNDUP(W56+'Délai intermédiaire'!W73/24,0))</f>
        <v>2</v>
      </c>
      <c r="X77" s="13">
        <f>IF(Distances!X73="N.C.",0,ROUNDUP(X56+'Délai intermédiaire'!X73/24,0))</f>
        <v>2</v>
      </c>
      <c r="Y77" s="13">
        <f>IF(Distances!Y73="N.C.",0,ROUNDUP(Y56+'Délai intermédiaire'!Y73/24,0))</f>
        <v>2</v>
      </c>
      <c r="Z77" s="13">
        <f>IF(Distances!Z73="N.C.",0,ROUNDUP(Z56+'Délai intermédiaire'!Z73/24,0))</f>
        <v>3</v>
      </c>
      <c r="AA77" s="13">
        <f>IF(Distances!AA73="N.C.",0,ROUNDUP(AA56+'Délai intermédiaire'!AA73/24,0))</f>
        <v>3</v>
      </c>
      <c r="AB77" s="13">
        <f>IF(Distances!AB73="N.C.",0,ROUNDUP(AB56+'Délai intermédiaire'!AB73/24,0))</f>
        <v>2</v>
      </c>
      <c r="AC77" s="13">
        <f>IF(Distances!AC73="N.C.",0,ROUNDUP(AC56+'Délai intermédiaire'!AC73/24,0))</f>
        <v>2</v>
      </c>
      <c r="AD77" s="13">
        <f>IF(Distances!AD73="N.C.",0,ROUNDUP(AD56+'Délai intermédiaire'!AD73/24,0))</f>
        <v>3</v>
      </c>
      <c r="AE77" s="13">
        <f>IF(Distances!AE73="N.C.",0,ROUNDUP(AE56+'Délai intermédiaire'!AE73/24,0))</f>
        <v>3</v>
      </c>
      <c r="AF77" s="13">
        <f>IF(Distances!AF73="N.C.",0,ROUNDUP(AF56+'Délai intermédiaire'!AF73/24,0))</f>
        <v>2</v>
      </c>
      <c r="AG77" s="13">
        <f>IF(Distances!AG73="N.C.",0,ROUNDUP(AG56+'Délai intermédiaire'!AG73/24,0))</f>
        <v>3</v>
      </c>
      <c r="AH77" s="14">
        <f>IF(Distances!AH73="N.C.",0,ROUNDUP(AH56+'Délai intermédiaire'!AH73/24,0))</f>
        <v>0</v>
      </c>
      <c r="AI77" s="14">
        <f>IF(Distances!AI73="N.C.",0,ROUNDUP(AI56+'Délai intermédiaire'!AI73/24,0))</f>
        <v>0</v>
      </c>
      <c r="AJ77" s="14">
        <f>IF(Distances!AJ73="N.C.",0,ROUNDUP(AJ56+'Délai intermédiaire'!AJ73/24,0))</f>
        <v>0</v>
      </c>
      <c r="AK77" s="14">
        <f>IF(Distances!AK73="N.C.",0,ROUNDUP(AK56+'Délai intermédiaire'!AK73/24,0))</f>
        <v>0</v>
      </c>
      <c r="AL77" s="14">
        <f>IF(Distances!AL73="N.C.",0,ROUNDUP(AL56+'Délai intermédiaire'!AL73/24,0))</f>
        <v>0</v>
      </c>
      <c r="AM77" s="14">
        <f>IF(Distances!AM73="N.C.",0,ROUNDUP(AM56+'Délai intermédiaire'!AM73/24,0))</f>
        <v>0</v>
      </c>
      <c r="AN77" s="14">
        <f>IF(Distances!AN73="N.C.",0,ROUNDUP(AN56+'Délai intermédiaire'!AN73/24,0))</f>
        <v>0</v>
      </c>
      <c r="AO77" s="14">
        <f>IF(Distances!AO73="N.C.",0,ROUNDUP(AO56+'Délai intermédiaire'!AO73/24,0))</f>
        <v>0</v>
      </c>
      <c r="AP77" s="14">
        <f>IF(Distances!AP73="N.C.",0,ROUNDUP(AP56+'Délai intermédiaire'!AP73/24,0))</f>
        <v>0</v>
      </c>
      <c r="AQ77" s="14">
        <f>IF(Distances!AQ73="N.C.",0,ROUNDUP(AQ56+'Délai intermédiaire'!AQ73/24,0))</f>
        <v>0</v>
      </c>
      <c r="AR77" s="14">
        <f>IF(Distances!AR73="N.C.",0,ROUNDUP(AR56+'Délai intermédiaire'!AR73/24,0))</f>
        <v>0</v>
      </c>
      <c r="AS77" s="14">
        <f>IF(Distances!AS73="N.C.",0,ROUNDUP(AS56+'Délai intermédiaire'!AS73/24,0))</f>
        <v>0</v>
      </c>
      <c r="AT77" s="14">
        <f>IF(Distances!AT73="N.C.",0,ROUNDUP(AT56+'Délai intermédiaire'!AT73/24,0))</f>
        <v>0</v>
      </c>
      <c r="AU77" s="14">
        <f>IF(Distances!AU73="N.C.",0,ROUNDUP(AU56+'Délai intermédiaire'!AU73/24,0))</f>
        <v>0</v>
      </c>
      <c r="AV77" s="14">
        <f>IF(Distances!AV73="N.C.",0,ROUNDUP(AV56+'Délai intermédiaire'!AV73/24,0))</f>
        <v>5</v>
      </c>
      <c r="AW77" s="14">
        <f>IF(Distances!AW73="N.C.",0,ROUNDUP(AW56+'Délai intermédiaire'!AW73/24,0))</f>
        <v>9</v>
      </c>
      <c r="AX77" s="14">
        <f>IF(Distances!AX73="N.C.",0,ROUNDUP(AX56+'Délai intermédiaire'!AX73/24,0))</f>
        <v>13</v>
      </c>
      <c r="AY77" s="14">
        <f>IF(Distances!AY73="N.C.",0,ROUNDUP(AY56+'Délai intermédiaire'!AY73/24,0))</f>
        <v>0</v>
      </c>
      <c r="AZ77" s="14">
        <f>IF(Distances!AZ73="N.C.",0,ROUNDUP(AZ56+'Délai intermédiaire'!AZ73/24,0))</f>
        <v>0</v>
      </c>
      <c r="BA77" s="14">
        <f>IF(Distances!BA73="N.C.",0,ROUNDUP(BA56+'Délai intermédiaire'!BA73/24,0))</f>
        <v>0</v>
      </c>
      <c r="BB77" s="13">
        <f>IF(Distances!BB73="N.C.",0,ROUNDUP(BB56+'Délai intermédiaire'!BB73/24,0))</f>
        <v>4</v>
      </c>
      <c r="BC77" s="14">
        <f>IF(Distances!BC73="N.C.",0,ROUNDUP(BC56+'Délai intermédiaire'!BC73/24,0))</f>
        <v>0</v>
      </c>
      <c r="BD77" s="14">
        <f>IF(Distances!BD73="N.C.",0,ROUNDUP(BD56+'Délai intermédiaire'!BD73/24,0))</f>
        <v>11</v>
      </c>
      <c r="BE77" s="14">
        <f>IF(Distances!BE73="N.C.",0,ROUNDUP(BE56+'Délai intermédiaire'!BE73/24,0))</f>
        <v>0</v>
      </c>
      <c r="BF77" s="13">
        <f>IF(Distances!BF73="N.C.",0,ROUNDUP(BF56+'Délai intermédiaire'!BF73/24,0))</f>
        <v>4</v>
      </c>
      <c r="BG77" s="13">
        <f>IF(Distances!BG73="N.C.",0,ROUNDUP(BG56+'Délai intermédiaire'!BG73/24,0))</f>
        <v>4</v>
      </c>
      <c r="BH77" s="14">
        <f>IF(Distances!BH73="N.C.",0,ROUNDUP(BH56+'Délai intermédiaire'!BH73/24,0))</f>
        <v>0</v>
      </c>
      <c r="BI77" s="14">
        <f>IF(Distances!BI73="N.C.",0,ROUNDUP(BI56+'Délai intermédiaire'!BI73/24,0))</f>
        <v>0</v>
      </c>
      <c r="BJ77" s="15">
        <f>IF(Distances!BJ73="N.C.",0,ROUNDUP(BJ56+'Délai intermédiaire'!BJ73/24,0))</f>
        <v>0</v>
      </c>
    </row>
    <row r="78" spans="1:62" x14ac:dyDescent="0.3">
      <c r="A78" s="10" t="s">
        <v>21</v>
      </c>
      <c r="B78" s="16">
        <f>IF(Distances!B74="N.C.",0,ROUNDUP(B56+'Délai intermédiaire'!B74/24,0))</f>
        <v>0</v>
      </c>
      <c r="C78" s="14">
        <f>IF(Distances!C74="N.C.",0,ROUNDUP(C56+'Délai intermédiaire'!C74/24,0))</f>
        <v>0</v>
      </c>
      <c r="D78" s="14">
        <f>IF(Distances!D74="N.C.",0,ROUNDUP(D56+'Délai intermédiaire'!D74/24,0))</f>
        <v>0</v>
      </c>
      <c r="E78" s="14">
        <f>IF(Distances!E74="N.C.",0,ROUNDUP(E56+'Délai intermédiaire'!E74/24,0))</f>
        <v>0</v>
      </c>
      <c r="F78" s="14">
        <f>IF(Distances!F74="N.C.",0,ROUNDUP(F56+'Délai intermédiaire'!F74/24,0))</f>
        <v>0</v>
      </c>
      <c r="G78" s="14">
        <f>IF(Distances!G74="N.C.",0,ROUNDUP(G56+'Délai intermédiaire'!G74/24,0))</f>
        <v>0</v>
      </c>
      <c r="H78" s="14">
        <f>IF(Distances!H74="N.C.",0,ROUNDUP(H56+'Délai intermédiaire'!H74/24,0))</f>
        <v>0</v>
      </c>
      <c r="I78" s="14">
        <f>IF(Distances!I74="N.C.",0,ROUNDUP(I56+'Délai intermédiaire'!I74/24,0))</f>
        <v>0</v>
      </c>
      <c r="J78" s="14">
        <f>IF(Distances!J74="N.C.",0,ROUNDUP(J56+'Délai intermédiaire'!J74/24,0))</f>
        <v>0</v>
      </c>
      <c r="K78" s="14">
        <f>IF(Distances!K74="N.C.",0,ROUNDUP(K56+'Délai intermédiaire'!K74/24,0))</f>
        <v>0</v>
      </c>
      <c r="L78" s="14">
        <f>IF(Distances!L74="N.C.",0,ROUNDUP(L56+'Délai intermédiaire'!L74/24,0))</f>
        <v>0</v>
      </c>
      <c r="M78" s="14">
        <f>IF(Distances!M74="N.C.",0,ROUNDUP(M56+'Délai intermédiaire'!M74/24,0))</f>
        <v>0</v>
      </c>
      <c r="N78" s="14">
        <f>IF(Distances!N74="N.C.",0,ROUNDUP(N56+'Délai intermédiaire'!N74/24,0))</f>
        <v>0</v>
      </c>
      <c r="O78" s="14">
        <f>IF(Distances!O74="N.C.",0,ROUNDUP(O56+'Délai intermédiaire'!O74/24,0))</f>
        <v>0</v>
      </c>
      <c r="P78" s="14">
        <f>IF(Distances!P74="N.C.",0,ROUNDUP(P56+'Délai intermédiaire'!P74/24,0))</f>
        <v>0</v>
      </c>
      <c r="Q78" s="13">
        <f>IF(Distances!Q74="N.C.",0,ROUNDUP(Q56+'Délai intermédiaire'!Q74/24,0))</f>
        <v>2</v>
      </c>
      <c r="R78" s="13">
        <f>IF(Distances!R74="N.C.",0,ROUNDUP(R56+'Délai intermédiaire'!R74/24,0))</f>
        <v>0</v>
      </c>
      <c r="S78" s="13">
        <f>IF(Distances!S74="N.C.",0,ROUNDUP(S56+'Délai intermédiaire'!S74/24,0))</f>
        <v>2</v>
      </c>
      <c r="T78" s="13">
        <f>IF(Distances!T74="N.C.",0,ROUNDUP(T56+'Délai intermédiaire'!T74/24,0))</f>
        <v>2</v>
      </c>
      <c r="U78" s="13">
        <f>IF(Distances!U74="N.C.",0,ROUNDUP(U56+'Délai intermédiaire'!U74/24,0))</f>
        <v>2</v>
      </c>
      <c r="V78" s="12">
        <f>IF(Distances!V74="N.C.",0,ROUNDUP(V56+'Délai intermédiaire'!V74/24,0))</f>
        <v>1</v>
      </c>
      <c r="W78" s="13">
        <f>IF(Distances!W74="N.C.",0,ROUNDUP(W56+'Délai intermédiaire'!W74/24,0))</f>
        <v>2</v>
      </c>
      <c r="X78" s="13">
        <f>IF(Distances!X74="N.C.",0,ROUNDUP(X56+'Délai intermédiaire'!X74/24,0))</f>
        <v>2</v>
      </c>
      <c r="Y78" s="13">
        <f>IF(Distances!Y74="N.C.",0,ROUNDUP(Y56+'Délai intermédiaire'!Y74/24,0))</f>
        <v>2</v>
      </c>
      <c r="Z78" s="13">
        <f>IF(Distances!Z74="N.C.",0,ROUNDUP(Z56+'Délai intermédiaire'!Z74/24,0))</f>
        <v>3</v>
      </c>
      <c r="AA78" s="13">
        <f>IF(Distances!AA74="N.C.",0,ROUNDUP(AA56+'Délai intermédiaire'!AA74/24,0))</f>
        <v>3</v>
      </c>
      <c r="AB78" s="13">
        <f>IF(Distances!AB74="N.C.",0,ROUNDUP(AB56+'Délai intermédiaire'!AB74/24,0))</f>
        <v>0</v>
      </c>
      <c r="AC78" s="13">
        <f>IF(Distances!AC74="N.C.",0,ROUNDUP(AC56+'Délai intermédiaire'!AC74/24,0))</f>
        <v>0</v>
      </c>
      <c r="AD78" s="13">
        <f>IF(Distances!AD74="N.C.",0,ROUNDUP(AD56+'Délai intermédiaire'!AD74/24,0))</f>
        <v>3</v>
      </c>
      <c r="AE78" s="13">
        <f>IF(Distances!AE74="N.C.",0,ROUNDUP(AE56+'Délai intermédiaire'!AE74/24,0))</f>
        <v>3</v>
      </c>
      <c r="AF78" s="13">
        <f>IF(Distances!AF74="N.C.",0,ROUNDUP(AF56+'Délai intermédiaire'!AF74/24,0))</f>
        <v>2</v>
      </c>
      <c r="AG78" s="13">
        <f>IF(Distances!AG74="N.C.",0,ROUNDUP(AG56+'Délai intermédiaire'!AG74/24,0))</f>
        <v>3</v>
      </c>
      <c r="AH78" s="14">
        <f>IF(Distances!AH74="N.C.",0,ROUNDUP(AH56+'Délai intermédiaire'!AH74/24,0))</f>
        <v>0</v>
      </c>
      <c r="AI78" s="14">
        <f>IF(Distances!AI74="N.C.",0,ROUNDUP(AI56+'Délai intermédiaire'!AI74/24,0))</f>
        <v>0</v>
      </c>
      <c r="AJ78" s="14">
        <f>IF(Distances!AJ74="N.C.",0,ROUNDUP(AJ56+'Délai intermédiaire'!AJ74/24,0))</f>
        <v>0</v>
      </c>
      <c r="AK78" s="14">
        <f>IF(Distances!AK74="N.C.",0,ROUNDUP(AK56+'Délai intermédiaire'!AK74/24,0))</f>
        <v>0</v>
      </c>
      <c r="AL78" s="14">
        <f>IF(Distances!AL74="N.C.",0,ROUNDUP(AL56+'Délai intermédiaire'!AL74/24,0))</f>
        <v>0</v>
      </c>
      <c r="AM78" s="14">
        <f>IF(Distances!AM74="N.C.",0,ROUNDUP(AM56+'Délai intermédiaire'!AM74/24,0))</f>
        <v>0</v>
      </c>
      <c r="AN78" s="14">
        <f>IF(Distances!AN74="N.C.",0,ROUNDUP(AN56+'Délai intermédiaire'!AN74/24,0))</f>
        <v>0</v>
      </c>
      <c r="AO78" s="14">
        <f>IF(Distances!AO74="N.C.",0,ROUNDUP(AO56+'Délai intermédiaire'!AO74/24,0))</f>
        <v>0</v>
      </c>
      <c r="AP78" s="14">
        <f>IF(Distances!AP74="N.C.",0,ROUNDUP(AP56+'Délai intermédiaire'!AP74/24,0))</f>
        <v>0</v>
      </c>
      <c r="AQ78" s="14">
        <f>IF(Distances!AQ74="N.C.",0,ROUNDUP(AQ56+'Délai intermédiaire'!AQ74/24,0))</f>
        <v>0</v>
      </c>
      <c r="AR78" s="14">
        <f>IF(Distances!AR74="N.C.",0,ROUNDUP(AR56+'Délai intermédiaire'!AR74/24,0))</f>
        <v>0</v>
      </c>
      <c r="AS78" s="14">
        <f>IF(Distances!AS74="N.C.",0,ROUNDUP(AS56+'Délai intermédiaire'!AS74/24,0))</f>
        <v>0</v>
      </c>
      <c r="AT78" s="14">
        <f>IF(Distances!AT74="N.C.",0,ROUNDUP(AT56+'Délai intermédiaire'!AT74/24,0))</f>
        <v>0</v>
      </c>
      <c r="AU78" s="14">
        <f>IF(Distances!AU74="N.C.",0,ROUNDUP(AU56+'Délai intermédiaire'!AU74/24,0))</f>
        <v>0</v>
      </c>
      <c r="AV78" s="14">
        <f>IF(Distances!AV74="N.C.",0,ROUNDUP(AV56+'Délai intermédiaire'!AV74/24,0))</f>
        <v>5</v>
      </c>
      <c r="AW78" s="14">
        <f>IF(Distances!AW74="N.C.",0,ROUNDUP(AW56+'Délai intermédiaire'!AW74/24,0))</f>
        <v>8</v>
      </c>
      <c r="AX78" s="14">
        <f>IF(Distances!AX74="N.C.",0,ROUNDUP(AX56+'Délai intermédiaire'!AX74/24,0))</f>
        <v>11</v>
      </c>
      <c r="AY78" s="14">
        <f>IF(Distances!AY74="N.C.",0,ROUNDUP(AY56+'Délai intermédiaire'!AY74/24,0))</f>
        <v>0</v>
      </c>
      <c r="AZ78" s="14">
        <f>IF(Distances!AZ74="N.C.",0,ROUNDUP(AZ56+'Délai intermédiaire'!AZ74/24,0))</f>
        <v>0</v>
      </c>
      <c r="BA78" s="14">
        <f>IF(Distances!BA74="N.C.",0,ROUNDUP(BA56+'Délai intermédiaire'!BA74/24,0))</f>
        <v>0</v>
      </c>
      <c r="BB78" s="13">
        <f>IF(Distances!BB74="N.C.",0,ROUNDUP(BB56+'Délai intermédiaire'!BB74/24,0))</f>
        <v>3</v>
      </c>
      <c r="BC78" s="14">
        <f>IF(Distances!BC74="N.C.",0,ROUNDUP(BC56+'Délai intermédiaire'!BC74/24,0))</f>
        <v>0</v>
      </c>
      <c r="BD78" s="14">
        <f>IF(Distances!BD74="N.C.",0,ROUNDUP(BD56+'Délai intermédiaire'!BD74/24,0))</f>
        <v>0</v>
      </c>
      <c r="BE78" s="14">
        <f>IF(Distances!BE74="N.C.",0,ROUNDUP(BE56+'Délai intermédiaire'!BE74/24,0))</f>
        <v>0</v>
      </c>
      <c r="BF78" s="13">
        <f>IF(Distances!BF74="N.C.",0,ROUNDUP(BF56+'Délai intermédiaire'!BF74/24,0))</f>
        <v>0</v>
      </c>
      <c r="BG78" s="13">
        <f>IF(Distances!BG74="N.C.",0,ROUNDUP(BG56+'Délai intermédiaire'!BG74/24,0))</f>
        <v>0</v>
      </c>
      <c r="BH78" s="14">
        <f>IF(Distances!BH74="N.C.",0,ROUNDUP(BH56+'Délai intermédiaire'!BH74/24,0))</f>
        <v>0</v>
      </c>
      <c r="BI78" s="14">
        <f>IF(Distances!BI74="N.C.",0,ROUNDUP(BI56+'Délai intermédiaire'!BI74/24,0))</f>
        <v>0</v>
      </c>
      <c r="BJ78" s="15">
        <f>IF(Distances!BJ74="N.C.",0,ROUNDUP(BJ56+'Délai intermédiaire'!BJ74/24,0))</f>
        <v>0</v>
      </c>
    </row>
    <row r="79" spans="1:62" x14ac:dyDescent="0.3">
      <c r="A79" s="10" t="s">
        <v>22</v>
      </c>
      <c r="B79" s="16">
        <f>IF(Distances!B75="N.C.",0,ROUNDUP(B56+'Délai intermédiaire'!B75/24,0))</f>
        <v>0</v>
      </c>
      <c r="C79" s="14">
        <f>IF(Distances!C75="N.C.",0,ROUNDUP(C56+'Délai intermédiaire'!C75/24,0))</f>
        <v>0</v>
      </c>
      <c r="D79" s="14">
        <f>IF(Distances!D75="N.C.",0,ROUNDUP(D56+'Délai intermédiaire'!D75/24,0))</f>
        <v>0</v>
      </c>
      <c r="E79" s="14">
        <f>IF(Distances!E75="N.C.",0,ROUNDUP(E56+'Délai intermédiaire'!E75/24,0))</f>
        <v>0</v>
      </c>
      <c r="F79" s="14">
        <f>IF(Distances!F75="N.C.",0,ROUNDUP(F56+'Délai intermédiaire'!F75/24,0))</f>
        <v>0</v>
      </c>
      <c r="G79" s="14">
        <f>IF(Distances!G75="N.C.",0,ROUNDUP(G56+'Délai intermédiaire'!G75/24,0))</f>
        <v>0</v>
      </c>
      <c r="H79" s="14">
        <f>IF(Distances!H75="N.C.",0,ROUNDUP(H56+'Délai intermédiaire'!H75/24,0))</f>
        <v>0</v>
      </c>
      <c r="I79" s="14">
        <f>IF(Distances!I75="N.C.",0,ROUNDUP(I56+'Délai intermédiaire'!I75/24,0))</f>
        <v>0</v>
      </c>
      <c r="J79" s="14">
        <f>IF(Distances!J75="N.C.",0,ROUNDUP(J56+'Délai intermédiaire'!J75/24,0))</f>
        <v>0</v>
      </c>
      <c r="K79" s="14">
        <f>IF(Distances!K75="N.C.",0,ROUNDUP(K56+'Délai intermédiaire'!K75/24,0))</f>
        <v>0</v>
      </c>
      <c r="L79" s="14">
        <f>IF(Distances!L75="N.C.",0,ROUNDUP(L56+'Délai intermédiaire'!L75/24,0))</f>
        <v>0</v>
      </c>
      <c r="M79" s="14">
        <f>IF(Distances!M75="N.C.",0,ROUNDUP(M56+'Délai intermédiaire'!M75/24,0))</f>
        <v>0</v>
      </c>
      <c r="N79" s="14">
        <f>IF(Distances!N75="N.C.",0,ROUNDUP(N56+'Délai intermédiaire'!N75/24,0))</f>
        <v>0</v>
      </c>
      <c r="O79" s="14">
        <f>IF(Distances!O75="N.C.",0,ROUNDUP(O56+'Délai intermédiaire'!O75/24,0))</f>
        <v>0</v>
      </c>
      <c r="P79" s="14">
        <f>IF(Distances!P75="N.C.",0,ROUNDUP(P56+'Délai intermédiaire'!P75/24,0))</f>
        <v>0</v>
      </c>
      <c r="Q79" s="13">
        <f>IF(Distances!Q75="N.C.",0,ROUNDUP(Q56+'Délai intermédiaire'!Q75/24,0))</f>
        <v>2</v>
      </c>
      <c r="R79" s="13">
        <f>IF(Distances!R75="N.C.",0,ROUNDUP(R56+'Délai intermédiaire'!R75/24,0))</f>
        <v>0</v>
      </c>
      <c r="S79" s="13">
        <f>IF(Distances!S75="N.C.",0,ROUNDUP(S56+'Délai intermédiaire'!S75/24,0))</f>
        <v>2</v>
      </c>
      <c r="T79" s="13">
        <f>IF(Distances!T75="N.C.",0,ROUNDUP(T56+'Délai intermédiaire'!T75/24,0))</f>
        <v>2</v>
      </c>
      <c r="U79" s="13">
        <f>IF(Distances!U75="N.C.",0,ROUNDUP(U56+'Délai intermédiaire'!U75/24,0))</f>
        <v>2</v>
      </c>
      <c r="V79" s="13">
        <f>IF(Distances!V75="N.C.",0,ROUNDUP(V56+'Délai intermédiaire'!V75/24,0))</f>
        <v>2</v>
      </c>
      <c r="W79" s="12">
        <f>IF(Distances!W75="N.C.",0,ROUNDUP(W56+'Délai intermédiaire'!W75/24,0))</f>
        <v>1</v>
      </c>
      <c r="X79" s="13">
        <f>IF(Distances!X75="N.C.",0,ROUNDUP(X56+'Délai intermédiaire'!X75/24,0))</f>
        <v>2</v>
      </c>
      <c r="Y79" s="13">
        <f>IF(Distances!Y75="N.C.",0,ROUNDUP(Y56+'Délai intermédiaire'!Y75/24,0))</f>
        <v>2</v>
      </c>
      <c r="Z79" s="13">
        <f>IF(Distances!Z75="N.C.",0,ROUNDUP(Z56+'Délai intermédiaire'!Z75/24,0))</f>
        <v>3</v>
      </c>
      <c r="AA79" s="13">
        <f>IF(Distances!AA75="N.C.",0,ROUNDUP(AA56+'Délai intermédiaire'!AA75/24,0))</f>
        <v>3</v>
      </c>
      <c r="AB79" s="13">
        <f>IF(Distances!AB75="N.C.",0,ROUNDUP(AB56+'Délai intermédiaire'!AB75/24,0))</f>
        <v>2</v>
      </c>
      <c r="AC79" s="13">
        <f>IF(Distances!AC75="N.C.",0,ROUNDUP(AC56+'Délai intermédiaire'!AC75/24,0))</f>
        <v>2</v>
      </c>
      <c r="AD79" s="13">
        <f>IF(Distances!AD75="N.C.",0,ROUNDUP(AD56+'Délai intermédiaire'!AD75/24,0))</f>
        <v>3</v>
      </c>
      <c r="AE79" s="13">
        <f>IF(Distances!AE75="N.C.",0,ROUNDUP(AE56+'Délai intermédiaire'!AE75/24,0))</f>
        <v>3</v>
      </c>
      <c r="AF79" s="13">
        <f>IF(Distances!AF75="N.C.",0,ROUNDUP(AF56+'Délai intermédiaire'!AF75/24,0))</f>
        <v>2</v>
      </c>
      <c r="AG79" s="13">
        <f>IF(Distances!AG75="N.C.",0,ROUNDUP(AG56+'Délai intermédiaire'!AG75/24,0))</f>
        <v>3</v>
      </c>
      <c r="AH79" s="14">
        <f>IF(Distances!AH75="N.C.",0,ROUNDUP(AH56+'Délai intermédiaire'!AH75/24,0))</f>
        <v>0</v>
      </c>
      <c r="AI79" s="14">
        <f>IF(Distances!AI75="N.C.",0,ROUNDUP(AI56+'Délai intermédiaire'!AI75/24,0))</f>
        <v>0</v>
      </c>
      <c r="AJ79" s="14">
        <f>IF(Distances!AJ75="N.C.",0,ROUNDUP(AJ56+'Délai intermédiaire'!AJ75/24,0))</f>
        <v>0</v>
      </c>
      <c r="AK79" s="14">
        <f>IF(Distances!AK75="N.C.",0,ROUNDUP(AK56+'Délai intermédiaire'!AK75/24,0))</f>
        <v>0</v>
      </c>
      <c r="AL79" s="14">
        <f>IF(Distances!AL75="N.C.",0,ROUNDUP(AL56+'Délai intermédiaire'!AL75/24,0))</f>
        <v>0</v>
      </c>
      <c r="AM79" s="14">
        <f>IF(Distances!AM75="N.C.",0,ROUNDUP(AM56+'Délai intermédiaire'!AM75/24,0))</f>
        <v>0</v>
      </c>
      <c r="AN79" s="14">
        <f>IF(Distances!AN75="N.C.",0,ROUNDUP(AN56+'Délai intermédiaire'!AN75/24,0))</f>
        <v>0</v>
      </c>
      <c r="AO79" s="14">
        <f>IF(Distances!AO75="N.C.",0,ROUNDUP(AO56+'Délai intermédiaire'!AO75/24,0))</f>
        <v>0</v>
      </c>
      <c r="AP79" s="14">
        <f>IF(Distances!AP75="N.C.",0,ROUNDUP(AP56+'Délai intermédiaire'!AP75/24,0))</f>
        <v>0</v>
      </c>
      <c r="AQ79" s="14">
        <f>IF(Distances!AQ75="N.C.",0,ROUNDUP(AQ56+'Délai intermédiaire'!AQ75/24,0))</f>
        <v>0</v>
      </c>
      <c r="AR79" s="14">
        <f>IF(Distances!AR75="N.C.",0,ROUNDUP(AR56+'Délai intermédiaire'!AR75/24,0))</f>
        <v>0</v>
      </c>
      <c r="AS79" s="14">
        <f>IF(Distances!AS75="N.C.",0,ROUNDUP(AS56+'Délai intermédiaire'!AS75/24,0))</f>
        <v>0</v>
      </c>
      <c r="AT79" s="14">
        <f>IF(Distances!AT75="N.C.",0,ROUNDUP(AT56+'Délai intermédiaire'!AT75/24,0))</f>
        <v>0</v>
      </c>
      <c r="AU79" s="14">
        <f>IF(Distances!AU75="N.C.",0,ROUNDUP(AU56+'Délai intermédiaire'!AU75/24,0))</f>
        <v>0</v>
      </c>
      <c r="AV79" s="14">
        <f>IF(Distances!AV75="N.C.",0,ROUNDUP(AV56+'Délai intermédiaire'!AV75/24,0))</f>
        <v>5</v>
      </c>
      <c r="AW79" s="14">
        <f>IF(Distances!AW75="N.C.",0,ROUNDUP(AW56+'Délai intermédiaire'!AW75/24,0))</f>
        <v>8</v>
      </c>
      <c r="AX79" s="14">
        <f>IF(Distances!AX75="N.C.",0,ROUNDUP(AX56+'Délai intermédiaire'!AX75/24,0))</f>
        <v>11</v>
      </c>
      <c r="AY79" s="14">
        <f>IF(Distances!AY75="N.C.",0,ROUNDUP(AY56+'Délai intermédiaire'!AY75/24,0))</f>
        <v>0</v>
      </c>
      <c r="AZ79" s="14">
        <f>IF(Distances!AZ75="N.C.",0,ROUNDUP(AZ56+'Délai intermédiaire'!AZ75/24,0))</f>
        <v>0</v>
      </c>
      <c r="BA79" s="14">
        <f>IF(Distances!BA75="N.C.",0,ROUNDUP(BA56+'Délai intermédiaire'!BA75/24,0))</f>
        <v>0</v>
      </c>
      <c r="BB79" s="12">
        <f>IF(Distances!BB75="N.C.",0,ROUNDUP(BB56+'Délai intermédiaire'!BB75/24,0))</f>
        <v>3</v>
      </c>
      <c r="BC79" s="14">
        <f>IF(Distances!BC75="N.C.",0,ROUNDUP(BC56+'Délai intermédiaire'!BC75/24,0))</f>
        <v>0</v>
      </c>
      <c r="BD79" s="14">
        <f>IF(Distances!BD75="N.C.",0,ROUNDUP(BD56+'Délai intermédiaire'!BD75/24,0))</f>
        <v>0</v>
      </c>
      <c r="BE79" s="14">
        <f>IF(Distances!BE75="N.C.",0,ROUNDUP(BE56+'Délai intermédiaire'!BE75/24,0))</f>
        <v>0</v>
      </c>
      <c r="BF79" s="13">
        <f>IF(Distances!BF75="N.C.",0,ROUNDUP(BF56+'Délai intermédiaire'!BF75/24,0))</f>
        <v>4</v>
      </c>
      <c r="BG79" s="13">
        <f>IF(Distances!BG75="N.C.",0,ROUNDUP(BG56+'Délai intermédiaire'!BG75/24,0))</f>
        <v>4</v>
      </c>
      <c r="BH79" s="14">
        <f>IF(Distances!BH75="N.C.",0,ROUNDUP(BH56+'Délai intermédiaire'!BH75/24,0))</f>
        <v>0</v>
      </c>
      <c r="BI79" s="14">
        <f>IF(Distances!BI75="N.C.",0,ROUNDUP(BI56+'Délai intermédiaire'!BI75/24,0))</f>
        <v>0</v>
      </c>
      <c r="BJ79" s="15">
        <f>IF(Distances!BJ75="N.C.",0,ROUNDUP(BJ56+'Délai intermédiaire'!BJ75/24,0))</f>
        <v>0</v>
      </c>
    </row>
    <row r="80" spans="1:62" x14ac:dyDescent="0.3">
      <c r="A80" s="10" t="s">
        <v>23</v>
      </c>
      <c r="B80" s="16">
        <f>IF(Distances!B76="N.C.",0,ROUNDUP(B56+'Délai intermédiaire'!B76/24,0))</f>
        <v>0</v>
      </c>
      <c r="C80" s="14">
        <f>IF(Distances!C76="N.C.",0,ROUNDUP(C56+'Délai intermédiaire'!C76/24,0))</f>
        <v>0</v>
      </c>
      <c r="D80" s="14">
        <f>IF(Distances!D76="N.C.",0,ROUNDUP(D56+'Délai intermédiaire'!D76/24,0))</f>
        <v>0</v>
      </c>
      <c r="E80" s="14">
        <f>IF(Distances!E76="N.C.",0,ROUNDUP(E56+'Délai intermédiaire'!E76/24,0))</f>
        <v>0</v>
      </c>
      <c r="F80" s="14">
        <f>IF(Distances!F76="N.C.",0,ROUNDUP(F56+'Délai intermédiaire'!F76/24,0))</f>
        <v>0</v>
      </c>
      <c r="G80" s="14">
        <f>IF(Distances!G76="N.C.",0,ROUNDUP(G56+'Délai intermédiaire'!G76/24,0))</f>
        <v>0</v>
      </c>
      <c r="H80" s="14">
        <f>IF(Distances!H76="N.C.",0,ROUNDUP(H56+'Délai intermédiaire'!H76/24,0))</f>
        <v>0</v>
      </c>
      <c r="I80" s="14">
        <f>IF(Distances!I76="N.C.",0,ROUNDUP(I56+'Délai intermédiaire'!I76/24,0))</f>
        <v>0</v>
      </c>
      <c r="J80" s="14">
        <f>IF(Distances!J76="N.C.",0,ROUNDUP(J56+'Délai intermédiaire'!J76/24,0))</f>
        <v>0</v>
      </c>
      <c r="K80" s="14">
        <f>IF(Distances!K76="N.C.",0,ROUNDUP(K56+'Délai intermédiaire'!K76/24,0))</f>
        <v>0</v>
      </c>
      <c r="L80" s="14">
        <f>IF(Distances!L76="N.C.",0,ROUNDUP(L56+'Délai intermédiaire'!L76/24,0))</f>
        <v>0</v>
      </c>
      <c r="M80" s="14">
        <f>IF(Distances!M76="N.C.",0,ROUNDUP(M56+'Délai intermédiaire'!M76/24,0))</f>
        <v>0</v>
      </c>
      <c r="N80" s="14">
        <f>IF(Distances!N76="N.C.",0,ROUNDUP(N56+'Délai intermédiaire'!N76/24,0))</f>
        <v>0</v>
      </c>
      <c r="O80" s="14">
        <f>IF(Distances!O76="N.C.",0,ROUNDUP(O56+'Délai intermédiaire'!O76/24,0))</f>
        <v>0</v>
      </c>
      <c r="P80" s="14">
        <f>IF(Distances!P76="N.C.",0,ROUNDUP(P56+'Délai intermédiaire'!P76/24,0))</f>
        <v>0</v>
      </c>
      <c r="Q80" s="13">
        <f>IF(Distances!Q76="N.C.",0,ROUNDUP(Q56+'Délai intermédiaire'!Q76/24,0))</f>
        <v>2</v>
      </c>
      <c r="R80" s="13">
        <f>IF(Distances!R76="N.C.",0,ROUNDUP(R56+'Délai intermédiaire'!R76/24,0))</f>
        <v>0</v>
      </c>
      <c r="S80" s="13">
        <f>IF(Distances!S76="N.C.",0,ROUNDUP(S56+'Délai intermédiaire'!S76/24,0))</f>
        <v>2</v>
      </c>
      <c r="T80" s="13">
        <f>IF(Distances!T76="N.C.",0,ROUNDUP(T56+'Délai intermédiaire'!T76/24,0))</f>
        <v>2</v>
      </c>
      <c r="U80" s="13">
        <f>IF(Distances!U76="N.C.",0,ROUNDUP(U56+'Délai intermédiaire'!U76/24,0))</f>
        <v>2</v>
      </c>
      <c r="V80" s="13">
        <f>IF(Distances!V76="N.C.",0,ROUNDUP(V56+'Délai intermédiaire'!V76/24,0))</f>
        <v>2</v>
      </c>
      <c r="W80" s="13">
        <f>IF(Distances!W76="N.C.",0,ROUNDUP(W56+'Délai intermédiaire'!W76/24,0))</f>
        <v>2</v>
      </c>
      <c r="X80" s="12">
        <f>IF(Distances!X76="N.C.",0,ROUNDUP(X56+'Délai intermédiaire'!X76/24,0))</f>
        <v>1</v>
      </c>
      <c r="Y80" s="13">
        <f>IF(Distances!Y76="N.C.",0,ROUNDUP(Y56+'Délai intermédiaire'!Y76/24,0))</f>
        <v>2</v>
      </c>
      <c r="Z80" s="13">
        <f>IF(Distances!Z76="N.C.",0,ROUNDUP(Z56+'Délai intermédiaire'!Z76/24,0))</f>
        <v>3</v>
      </c>
      <c r="AA80" s="13">
        <f>IF(Distances!AA76="N.C.",0,ROUNDUP(AA56+'Délai intermédiaire'!AA76/24,0))</f>
        <v>3</v>
      </c>
      <c r="AB80" s="13">
        <f>IF(Distances!AB76="N.C.",0,ROUNDUP(AB56+'Délai intermédiaire'!AB76/24,0))</f>
        <v>2</v>
      </c>
      <c r="AC80" s="13">
        <f>IF(Distances!AC76="N.C.",0,ROUNDUP(AC56+'Délai intermédiaire'!AC76/24,0))</f>
        <v>2</v>
      </c>
      <c r="AD80" s="13">
        <f>IF(Distances!AD76="N.C.",0,ROUNDUP(AD56+'Délai intermédiaire'!AD76/24,0))</f>
        <v>3</v>
      </c>
      <c r="AE80" s="13">
        <f>IF(Distances!AE76="N.C.",0,ROUNDUP(AE56+'Délai intermédiaire'!AE76/24,0))</f>
        <v>3</v>
      </c>
      <c r="AF80" s="13">
        <f>IF(Distances!AF76="N.C.",0,ROUNDUP(AF56+'Délai intermédiaire'!AF76/24,0))</f>
        <v>2</v>
      </c>
      <c r="AG80" s="13">
        <f>IF(Distances!AG76="N.C.",0,ROUNDUP(AG56+'Délai intermédiaire'!AG76/24,0))</f>
        <v>3</v>
      </c>
      <c r="AH80" s="14">
        <f>IF(Distances!AH76="N.C.",0,ROUNDUP(AH56+'Délai intermédiaire'!AH76/24,0))</f>
        <v>0</v>
      </c>
      <c r="AI80" s="14">
        <f>IF(Distances!AI76="N.C.",0,ROUNDUP(AI56+'Délai intermédiaire'!AI76/24,0))</f>
        <v>0</v>
      </c>
      <c r="AJ80" s="14">
        <f>IF(Distances!AJ76="N.C.",0,ROUNDUP(AJ56+'Délai intermédiaire'!AJ76/24,0))</f>
        <v>0</v>
      </c>
      <c r="AK80" s="14">
        <f>IF(Distances!AK76="N.C.",0,ROUNDUP(AK56+'Délai intermédiaire'!AK76/24,0))</f>
        <v>0</v>
      </c>
      <c r="AL80" s="14">
        <f>IF(Distances!AL76="N.C.",0,ROUNDUP(AL56+'Délai intermédiaire'!AL76/24,0))</f>
        <v>0</v>
      </c>
      <c r="AM80" s="14">
        <f>IF(Distances!AM76="N.C.",0,ROUNDUP(AM56+'Délai intermédiaire'!AM76/24,0))</f>
        <v>0</v>
      </c>
      <c r="AN80" s="14">
        <f>IF(Distances!AN76="N.C.",0,ROUNDUP(AN56+'Délai intermédiaire'!AN76/24,0))</f>
        <v>0</v>
      </c>
      <c r="AO80" s="14">
        <f>IF(Distances!AO76="N.C.",0,ROUNDUP(AO56+'Délai intermédiaire'!AO76/24,0))</f>
        <v>0</v>
      </c>
      <c r="AP80" s="14">
        <f>IF(Distances!AP76="N.C.",0,ROUNDUP(AP56+'Délai intermédiaire'!AP76/24,0))</f>
        <v>0</v>
      </c>
      <c r="AQ80" s="14">
        <f>IF(Distances!AQ76="N.C.",0,ROUNDUP(AQ56+'Délai intermédiaire'!AQ76/24,0))</f>
        <v>0</v>
      </c>
      <c r="AR80" s="14">
        <f>IF(Distances!AR76="N.C.",0,ROUNDUP(AR56+'Délai intermédiaire'!AR76/24,0))</f>
        <v>0</v>
      </c>
      <c r="AS80" s="14">
        <f>IF(Distances!AS76="N.C.",0,ROUNDUP(AS56+'Délai intermédiaire'!AS76/24,0))</f>
        <v>0</v>
      </c>
      <c r="AT80" s="14">
        <f>IF(Distances!AT76="N.C.",0,ROUNDUP(AT56+'Délai intermédiaire'!AT76/24,0))</f>
        <v>0</v>
      </c>
      <c r="AU80" s="14">
        <f>IF(Distances!AU76="N.C.",0,ROUNDUP(AU56+'Délai intermédiaire'!AU76/24,0))</f>
        <v>0</v>
      </c>
      <c r="AV80" s="14">
        <f>IF(Distances!AV76="N.C.",0,ROUNDUP(AV56+'Délai intermédiaire'!AV76/24,0))</f>
        <v>5</v>
      </c>
      <c r="AW80" s="14">
        <f>IF(Distances!AW76="N.C.",0,ROUNDUP(AW56+'Délai intermédiaire'!AW76/24,0))</f>
        <v>8</v>
      </c>
      <c r="AX80" s="14">
        <f>IF(Distances!AX76="N.C.",0,ROUNDUP(AX56+'Délai intermédiaire'!AX76/24,0))</f>
        <v>11</v>
      </c>
      <c r="AY80" s="14">
        <f>IF(Distances!AY76="N.C.",0,ROUNDUP(AY56+'Délai intermédiaire'!AY76/24,0))</f>
        <v>0</v>
      </c>
      <c r="AZ80" s="14">
        <f>IF(Distances!AZ76="N.C.",0,ROUNDUP(AZ56+'Délai intermédiaire'!AZ76/24,0))</f>
        <v>0</v>
      </c>
      <c r="BA80" s="14">
        <f>IF(Distances!BA76="N.C.",0,ROUNDUP(BA56+'Délai intermédiaire'!BA76/24,0))</f>
        <v>0</v>
      </c>
      <c r="BB80" s="13">
        <f>IF(Distances!BB76="N.C.",0,ROUNDUP(BB56+'Délai intermédiaire'!BB76/24,0))</f>
        <v>3</v>
      </c>
      <c r="BC80" s="14">
        <f>IF(Distances!BC76="N.C.",0,ROUNDUP(BC56+'Délai intermédiaire'!BC76/24,0))</f>
        <v>0</v>
      </c>
      <c r="BD80" s="14">
        <f>IF(Distances!BD76="N.C.",0,ROUNDUP(BD56+'Délai intermédiaire'!BD76/24,0))</f>
        <v>0</v>
      </c>
      <c r="BE80" s="14">
        <f>IF(Distances!BE76="N.C.",0,ROUNDUP(BE56+'Délai intermédiaire'!BE76/24,0))</f>
        <v>0</v>
      </c>
      <c r="BF80" s="13">
        <f>IF(Distances!BF76="N.C.",0,ROUNDUP(BF56+'Délai intermédiaire'!BF76/24,0))</f>
        <v>3</v>
      </c>
      <c r="BG80" s="13">
        <f>IF(Distances!BG76="N.C.",0,ROUNDUP(BG56+'Délai intermédiaire'!BG76/24,0))</f>
        <v>4</v>
      </c>
      <c r="BH80" s="14">
        <f>IF(Distances!BH76="N.C.",0,ROUNDUP(BH56+'Délai intermédiaire'!BH76/24,0))</f>
        <v>0</v>
      </c>
      <c r="BI80" s="14">
        <f>IF(Distances!BI76="N.C.",0,ROUNDUP(BI56+'Délai intermédiaire'!BI76/24,0))</f>
        <v>0</v>
      </c>
      <c r="BJ80" s="15">
        <f>IF(Distances!BJ76="N.C.",0,ROUNDUP(BJ56+'Délai intermédiaire'!BJ76/24,0))</f>
        <v>0</v>
      </c>
    </row>
    <row r="81" spans="1:62" x14ac:dyDescent="0.3">
      <c r="A81" s="10" t="s">
        <v>24</v>
      </c>
      <c r="B81" s="16">
        <f>IF(Distances!B77="N.C.",0,ROUNDUP(B56+'Délai intermédiaire'!B77/24,0))</f>
        <v>0</v>
      </c>
      <c r="C81" s="14">
        <f>IF(Distances!C77="N.C.",0,ROUNDUP(C56+'Délai intermédiaire'!C77/24,0))</f>
        <v>0</v>
      </c>
      <c r="D81" s="14">
        <f>IF(Distances!D77="N.C.",0,ROUNDUP(D56+'Délai intermédiaire'!D77/24,0))</f>
        <v>0</v>
      </c>
      <c r="E81" s="14">
        <f>IF(Distances!E77="N.C.",0,ROUNDUP(E56+'Délai intermédiaire'!E77/24,0))</f>
        <v>0</v>
      </c>
      <c r="F81" s="14">
        <f>IF(Distances!F77="N.C.",0,ROUNDUP(F56+'Délai intermédiaire'!F77/24,0))</f>
        <v>0</v>
      </c>
      <c r="G81" s="14">
        <f>IF(Distances!G77="N.C.",0,ROUNDUP(G56+'Délai intermédiaire'!G77/24,0))</f>
        <v>0</v>
      </c>
      <c r="H81" s="14">
        <f>IF(Distances!H77="N.C.",0,ROUNDUP(H56+'Délai intermédiaire'!H77/24,0))</f>
        <v>0</v>
      </c>
      <c r="I81" s="14">
        <f>IF(Distances!I77="N.C.",0,ROUNDUP(I56+'Délai intermédiaire'!I77/24,0))</f>
        <v>0</v>
      </c>
      <c r="J81" s="14">
        <f>IF(Distances!J77="N.C.",0,ROUNDUP(J56+'Délai intermédiaire'!J77/24,0))</f>
        <v>0</v>
      </c>
      <c r="K81" s="14">
        <f>IF(Distances!K77="N.C.",0,ROUNDUP(K56+'Délai intermédiaire'!K77/24,0))</f>
        <v>0</v>
      </c>
      <c r="L81" s="14">
        <f>IF(Distances!L77="N.C.",0,ROUNDUP(L56+'Délai intermédiaire'!L77/24,0))</f>
        <v>0</v>
      </c>
      <c r="M81" s="14">
        <f>IF(Distances!M77="N.C.",0,ROUNDUP(M56+'Délai intermédiaire'!M77/24,0))</f>
        <v>0</v>
      </c>
      <c r="N81" s="14">
        <f>IF(Distances!N77="N.C.",0,ROUNDUP(N56+'Délai intermédiaire'!N77/24,0))</f>
        <v>0</v>
      </c>
      <c r="O81" s="14">
        <f>IF(Distances!O77="N.C.",0,ROUNDUP(O56+'Délai intermédiaire'!O77/24,0))</f>
        <v>0</v>
      </c>
      <c r="P81" s="14">
        <f>IF(Distances!P77="N.C.",0,ROUNDUP(P56+'Délai intermédiaire'!P77/24,0))</f>
        <v>0</v>
      </c>
      <c r="Q81" s="13">
        <f>IF(Distances!Q77="N.C.",0,ROUNDUP(Q56+'Délai intermédiaire'!Q77/24,0))</f>
        <v>2</v>
      </c>
      <c r="R81" s="13">
        <f>IF(Distances!R77="N.C.",0,ROUNDUP(R56+'Délai intermédiaire'!R77/24,0))</f>
        <v>0</v>
      </c>
      <c r="S81" s="13">
        <f>IF(Distances!S77="N.C.",0,ROUNDUP(S56+'Délai intermédiaire'!S77/24,0))</f>
        <v>2</v>
      </c>
      <c r="T81" s="13">
        <f>IF(Distances!T77="N.C.",0,ROUNDUP(T56+'Délai intermédiaire'!T77/24,0))</f>
        <v>2</v>
      </c>
      <c r="U81" s="13">
        <f>IF(Distances!U77="N.C.",0,ROUNDUP(U56+'Délai intermédiaire'!U77/24,0))</f>
        <v>2</v>
      </c>
      <c r="V81" s="13">
        <f>IF(Distances!V77="N.C.",0,ROUNDUP(V56+'Délai intermédiaire'!V77/24,0))</f>
        <v>2</v>
      </c>
      <c r="W81" s="13">
        <f>IF(Distances!W77="N.C.",0,ROUNDUP(W56+'Délai intermédiaire'!W77/24,0))</f>
        <v>2</v>
      </c>
      <c r="X81" s="13">
        <f>IF(Distances!X77="N.C.",0,ROUNDUP(X56+'Délai intermédiaire'!X77/24,0))</f>
        <v>2</v>
      </c>
      <c r="Y81" s="12">
        <f>IF(Distances!Y77="N.C.",0,ROUNDUP(Y56+'Délai intermédiaire'!Y77/24,0))</f>
        <v>1</v>
      </c>
      <c r="Z81" s="13">
        <f>IF(Distances!Z77="N.C.",0,ROUNDUP(Z56+'Délai intermédiaire'!Z77/24,0))</f>
        <v>3</v>
      </c>
      <c r="AA81" s="13">
        <f>IF(Distances!AA77="N.C.",0,ROUNDUP(AA56+'Délai intermédiaire'!AA77/24,0))</f>
        <v>3</v>
      </c>
      <c r="AB81" s="13">
        <f>IF(Distances!AB77="N.C.",0,ROUNDUP(AB56+'Délai intermédiaire'!AB77/24,0))</f>
        <v>2</v>
      </c>
      <c r="AC81" s="13">
        <f>IF(Distances!AC77="N.C.",0,ROUNDUP(AC56+'Délai intermédiaire'!AC77/24,0))</f>
        <v>2</v>
      </c>
      <c r="AD81" s="13">
        <f>IF(Distances!AD77="N.C.",0,ROUNDUP(AD56+'Délai intermédiaire'!AD77/24,0))</f>
        <v>3</v>
      </c>
      <c r="AE81" s="13">
        <f>IF(Distances!AE77="N.C.",0,ROUNDUP(AE56+'Délai intermédiaire'!AE77/24,0))</f>
        <v>3</v>
      </c>
      <c r="AF81" s="13">
        <f>IF(Distances!AF77="N.C.",0,ROUNDUP(AF56+'Délai intermédiaire'!AF77/24,0))</f>
        <v>2</v>
      </c>
      <c r="AG81" s="13">
        <f>IF(Distances!AG77="N.C.",0,ROUNDUP(AG56+'Délai intermédiaire'!AG77/24,0))</f>
        <v>3</v>
      </c>
      <c r="AH81" s="14">
        <f>IF(Distances!AH77="N.C.",0,ROUNDUP(AH56+'Délai intermédiaire'!AH77/24,0))</f>
        <v>0</v>
      </c>
      <c r="AI81" s="14">
        <f>IF(Distances!AI77="N.C.",0,ROUNDUP(AI56+'Délai intermédiaire'!AI77/24,0))</f>
        <v>0</v>
      </c>
      <c r="AJ81" s="14">
        <f>IF(Distances!AJ77="N.C.",0,ROUNDUP(AJ56+'Délai intermédiaire'!AJ77/24,0))</f>
        <v>0</v>
      </c>
      <c r="AK81" s="14">
        <f>IF(Distances!AK77="N.C.",0,ROUNDUP(AK56+'Délai intermédiaire'!AK77/24,0))</f>
        <v>0</v>
      </c>
      <c r="AL81" s="14">
        <f>IF(Distances!AL77="N.C.",0,ROUNDUP(AL56+'Délai intermédiaire'!AL77/24,0))</f>
        <v>0</v>
      </c>
      <c r="AM81" s="14">
        <f>IF(Distances!AM77="N.C.",0,ROUNDUP(AM56+'Délai intermédiaire'!AM77/24,0))</f>
        <v>0</v>
      </c>
      <c r="AN81" s="14">
        <f>IF(Distances!AN77="N.C.",0,ROUNDUP(AN56+'Délai intermédiaire'!AN77/24,0))</f>
        <v>0</v>
      </c>
      <c r="AO81" s="14">
        <f>IF(Distances!AO77="N.C.",0,ROUNDUP(AO56+'Délai intermédiaire'!AO77/24,0))</f>
        <v>0</v>
      </c>
      <c r="AP81" s="14">
        <f>IF(Distances!AP77="N.C.",0,ROUNDUP(AP56+'Délai intermédiaire'!AP77/24,0))</f>
        <v>0</v>
      </c>
      <c r="AQ81" s="14">
        <f>IF(Distances!AQ77="N.C.",0,ROUNDUP(AQ56+'Délai intermédiaire'!AQ77/24,0))</f>
        <v>0</v>
      </c>
      <c r="AR81" s="14">
        <f>IF(Distances!AR77="N.C.",0,ROUNDUP(AR56+'Délai intermédiaire'!AR77/24,0))</f>
        <v>0</v>
      </c>
      <c r="AS81" s="14">
        <f>IF(Distances!AS77="N.C.",0,ROUNDUP(AS56+'Délai intermédiaire'!AS77/24,0))</f>
        <v>0</v>
      </c>
      <c r="AT81" s="14">
        <f>IF(Distances!AT77="N.C.",0,ROUNDUP(AT56+'Délai intermédiaire'!AT77/24,0))</f>
        <v>0</v>
      </c>
      <c r="AU81" s="14">
        <f>IF(Distances!AU77="N.C.",0,ROUNDUP(AU56+'Délai intermédiaire'!AU77/24,0))</f>
        <v>0</v>
      </c>
      <c r="AV81" s="14">
        <f>IF(Distances!AV77="N.C.",0,ROUNDUP(AV56+'Délai intermédiaire'!AV77/24,0))</f>
        <v>5</v>
      </c>
      <c r="AW81" s="14">
        <f>IF(Distances!AW77="N.C.",0,ROUNDUP(AW56+'Délai intermédiaire'!AW77/24,0))</f>
        <v>8</v>
      </c>
      <c r="AX81" s="14">
        <f>IF(Distances!AX77="N.C.",0,ROUNDUP(AX56+'Délai intermédiaire'!AX77/24,0))</f>
        <v>11</v>
      </c>
      <c r="AY81" s="14">
        <f>IF(Distances!AY77="N.C.",0,ROUNDUP(AY56+'Délai intermédiaire'!AY77/24,0))</f>
        <v>0</v>
      </c>
      <c r="AZ81" s="14">
        <f>IF(Distances!AZ77="N.C.",0,ROUNDUP(AZ56+'Délai intermédiaire'!AZ77/24,0))</f>
        <v>0</v>
      </c>
      <c r="BA81" s="14">
        <f>IF(Distances!BA77="N.C.",0,ROUNDUP(BA56+'Délai intermédiaire'!BA77/24,0))</f>
        <v>0</v>
      </c>
      <c r="BB81" s="13">
        <f>IF(Distances!BB77="N.C.",0,ROUNDUP(BB56+'Délai intermédiaire'!BB77/24,0))</f>
        <v>3</v>
      </c>
      <c r="BC81" s="14">
        <f>IF(Distances!BC77="N.C.",0,ROUNDUP(BC56+'Délai intermédiaire'!BC77/24,0))</f>
        <v>0</v>
      </c>
      <c r="BD81" s="14">
        <f>IF(Distances!BD77="N.C.",0,ROUNDUP(BD56+'Délai intermédiaire'!BD77/24,0))</f>
        <v>0</v>
      </c>
      <c r="BE81" s="14">
        <f>IF(Distances!BE77="N.C.",0,ROUNDUP(BE56+'Délai intermédiaire'!BE77/24,0))</f>
        <v>0</v>
      </c>
      <c r="BF81" s="13">
        <f>IF(Distances!BF77="N.C.",0,ROUNDUP(BF56+'Délai intermédiaire'!BF77/24,0))</f>
        <v>4</v>
      </c>
      <c r="BG81" s="13">
        <f>IF(Distances!BG77="N.C.",0,ROUNDUP(BG56+'Délai intermédiaire'!BG77/24,0))</f>
        <v>4</v>
      </c>
      <c r="BH81" s="14">
        <f>IF(Distances!BH77="N.C.",0,ROUNDUP(BH56+'Délai intermédiaire'!BH77/24,0))</f>
        <v>0</v>
      </c>
      <c r="BI81" s="14">
        <f>IF(Distances!BI77="N.C.",0,ROUNDUP(BI56+'Délai intermédiaire'!BI77/24,0))</f>
        <v>0</v>
      </c>
      <c r="BJ81" s="15">
        <f>IF(Distances!BJ77="N.C.",0,ROUNDUP(BJ56+'Délai intermédiaire'!BJ77/24,0))</f>
        <v>0</v>
      </c>
    </row>
    <row r="82" spans="1:62" x14ac:dyDescent="0.3">
      <c r="A82" s="10" t="s">
        <v>25</v>
      </c>
      <c r="B82" s="16">
        <f>IF(Distances!B78="N.C.",0,ROUNDUP(B56+'Délai intermédiaire'!B78/24,0))</f>
        <v>0</v>
      </c>
      <c r="C82" s="14">
        <f>IF(Distances!C78="N.C.",0,ROUNDUP(C56+'Délai intermédiaire'!C78/24,0))</f>
        <v>0</v>
      </c>
      <c r="D82" s="14">
        <f>IF(Distances!D78="N.C.",0,ROUNDUP(D56+'Délai intermédiaire'!D78/24,0))</f>
        <v>0</v>
      </c>
      <c r="E82" s="14">
        <f>IF(Distances!E78="N.C.",0,ROUNDUP(E56+'Délai intermédiaire'!E78/24,0))</f>
        <v>0</v>
      </c>
      <c r="F82" s="14">
        <f>IF(Distances!F78="N.C.",0,ROUNDUP(F56+'Délai intermédiaire'!F78/24,0))</f>
        <v>0</v>
      </c>
      <c r="G82" s="14">
        <f>IF(Distances!G78="N.C.",0,ROUNDUP(G56+'Délai intermédiaire'!G78/24,0))</f>
        <v>0</v>
      </c>
      <c r="H82" s="14">
        <f>IF(Distances!H78="N.C.",0,ROUNDUP(H56+'Délai intermédiaire'!H78/24,0))</f>
        <v>0</v>
      </c>
      <c r="I82" s="14">
        <f>IF(Distances!I78="N.C.",0,ROUNDUP(I56+'Délai intermédiaire'!I78/24,0))</f>
        <v>0</v>
      </c>
      <c r="J82" s="14">
        <f>IF(Distances!J78="N.C.",0,ROUNDUP(J56+'Délai intermédiaire'!J78/24,0))</f>
        <v>0</v>
      </c>
      <c r="K82" s="14">
        <f>IF(Distances!K78="N.C.",0,ROUNDUP(K56+'Délai intermédiaire'!K78/24,0))</f>
        <v>0</v>
      </c>
      <c r="L82" s="14">
        <f>IF(Distances!L78="N.C.",0,ROUNDUP(L56+'Délai intermédiaire'!L78/24,0))</f>
        <v>0</v>
      </c>
      <c r="M82" s="14">
        <f>IF(Distances!M78="N.C.",0,ROUNDUP(M56+'Délai intermédiaire'!M78/24,0))</f>
        <v>0</v>
      </c>
      <c r="N82" s="14">
        <f>IF(Distances!N78="N.C.",0,ROUNDUP(N56+'Délai intermédiaire'!N78/24,0))</f>
        <v>0</v>
      </c>
      <c r="O82" s="14">
        <f>IF(Distances!O78="N.C.",0,ROUNDUP(O56+'Délai intermédiaire'!O78/24,0))</f>
        <v>0</v>
      </c>
      <c r="P82" s="14">
        <f>IF(Distances!P78="N.C.",0,ROUNDUP(P56+'Délai intermédiaire'!P78/24,0))</f>
        <v>0</v>
      </c>
      <c r="Q82" s="13">
        <f>IF(Distances!Q78="N.C.",0,ROUNDUP(Q56+'Délai intermédiaire'!Q78/24,0))</f>
        <v>2</v>
      </c>
      <c r="R82" s="13">
        <f>IF(Distances!R78="N.C.",0,ROUNDUP(R56+'Délai intermédiaire'!R78/24,0))</f>
        <v>0</v>
      </c>
      <c r="S82" s="13">
        <f>IF(Distances!S78="N.C.",0,ROUNDUP(S56+'Délai intermédiaire'!S78/24,0))</f>
        <v>2</v>
      </c>
      <c r="T82" s="13">
        <f>IF(Distances!T78="N.C.",0,ROUNDUP(T56+'Délai intermédiaire'!T78/24,0))</f>
        <v>2</v>
      </c>
      <c r="U82" s="13">
        <f>IF(Distances!U78="N.C.",0,ROUNDUP(U56+'Délai intermédiaire'!U78/24,0))</f>
        <v>2</v>
      </c>
      <c r="V82" s="13">
        <f>IF(Distances!V78="N.C.",0,ROUNDUP(V56+'Délai intermédiaire'!V78/24,0))</f>
        <v>2</v>
      </c>
      <c r="W82" s="13">
        <f>IF(Distances!W78="N.C.",0,ROUNDUP(W56+'Délai intermédiaire'!W78/24,0))</f>
        <v>2</v>
      </c>
      <c r="X82" s="13">
        <f>IF(Distances!X78="N.C.",0,ROUNDUP(X56+'Délai intermédiaire'!X78/24,0))</f>
        <v>2</v>
      </c>
      <c r="Y82" s="13">
        <f>IF(Distances!Y78="N.C.",0,ROUNDUP(Y56+'Délai intermédiaire'!Y78/24,0))</f>
        <v>2</v>
      </c>
      <c r="Z82" s="12">
        <f>IF(Distances!Z78="N.C.",0,ROUNDUP(Z56+'Délai intermédiaire'!Z78/24,0))</f>
        <v>2</v>
      </c>
      <c r="AA82" s="13">
        <f>IF(Distances!AA78="N.C.",0,ROUNDUP(AA56+'Délai intermédiaire'!AA78/24,0))</f>
        <v>3</v>
      </c>
      <c r="AB82" s="13">
        <f>IF(Distances!AB78="N.C.",0,ROUNDUP(AB56+'Délai intermédiaire'!AB78/24,0))</f>
        <v>2</v>
      </c>
      <c r="AC82" s="13">
        <f>IF(Distances!AC78="N.C.",0,ROUNDUP(AC56+'Délai intermédiaire'!AC78/24,0))</f>
        <v>2</v>
      </c>
      <c r="AD82" s="13">
        <f>IF(Distances!AD78="N.C.",0,ROUNDUP(AD56+'Délai intermédiaire'!AD78/24,0))</f>
        <v>3</v>
      </c>
      <c r="AE82" s="13">
        <f>IF(Distances!AE78="N.C.",0,ROUNDUP(AE56+'Délai intermédiaire'!AE78/24,0))</f>
        <v>3</v>
      </c>
      <c r="AF82" s="13">
        <f>IF(Distances!AF78="N.C.",0,ROUNDUP(AF56+'Délai intermédiaire'!AF78/24,0))</f>
        <v>2</v>
      </c>
      <c r="AG82" s="13">
        <f>IF(Distances!AG78="N.C.",0,ROUNDUP(AG56+'Délai intermédiaire'!AG78/24,0))</f>
        <v>3</v>
      </c>
      <c r="AH82" s="14">
        <f>IF(Distances!AH78="N.C.",0,ROUNDUP(AH56+'Délai intermédiaire'!AH78/24,0))</f>
        <v>0</v>
      </c>
      <c r="AI82" s="14">
        <f>IF(Distances!AI78="N.C.",0,ROUNDUP(AI56+'Délai intermédiaire'!AI78/24,0))</f>
        <v>0</v>
      </c>
      <c r="AJ82" s="14">
        <f>IF(Distances!AJ78="N.C.",0,ROUNDUP(AJ56+'Délai intermédiaire'!AJ78/24,0))</f>
        <v>0</v>
      </c>
      <c r="AK82" s="14">
        <f>IF(Distances!AK78="N.C.",0,ROUNDUP(AK56+'Délai intermédiaire'!AK78/24,0))</f>
        <v>0</v>
      </c>
      <c r="AL82" s="14">
        <f>IF(Distances!AL78="N.C.",0,ROUNDUP(AL56+'Délai intermédiaire'!AL78/24,0))</f>
        <v>0</v>
      </c>
      <c r="AM82" s="14">
        <f>IF(Distances!AM78="N.C.",0,ROUNDUP(AM56+'Délai intermédiaire'!AM78/24,0))</f>
        <v>0</v>
      </c>
      <c r="AN82" s="14">
        <f>IF(Distances!AN78="N.C.",0,ROUNDUP(AN56+'Délai intermédiaire'!AN78/24,0))</f>
        <v>0</v>
      </c>
      <c r="AO82" s="14">
        <f>IF(Distances!AO78="N.C.",0,ROUNDUP(AO56+'Délai intermédiaire'!AO78/24,0))</f>
        <v>0</v>
      </c>
      <c r="AP82" s="14">
        <f>IF(Distances!AP78="N.C.",0,ROUNDUP(AP56+'Délai intermédiaire'!AP78/24,0))</f>
        <v>0</v>
      </c>
      <c r="AQ82" s="14">
        <f>IF(Distances!AQ78="N.C.",0,ROUNDUP(AQ56+'Délai intermédiaire'!AQ78/24,0))</f>
        <v>0</v>
      </c>
      <c r="AR82" s="14">
        <f>IF(Distances!AR78="N.C.",0,ROUNDUP(AR56+'Délai intermédiaire'!AR78/24,0))</f>
        <v>0</v>
      </c>
      <c r="AS82" s="14">
        <f>IF(Distances!AS78="N.C.",0,ROUNDUP(AS56+'Délai intermédiaire'!AS78/24,0))</f>
        <v>0</v>
      </c>
      <c r="AT82" s="14">
        <f>IF(Distances!AT78="N.C.",0,ROUNDUP(AT56+'Délai intermédiaire'!AT78/24,0))</f>
        <v>0</v>
      </c>
      <c r="AU82" s="14">
        <f>IF(Distances!AU78="N.C.",0,ROUNDUP(AU56+'Délai intermédiaire'!AU78/24,0))</f>
        <v>0</v>
      </c>
      <c r="AV82" s="14">
        <f>IF(Distances!AV78="N.C.",0,ROUNDUP(AV56+'Délai intermédiaire'!AV78/24,0))</f>
        <v>5</v>
      </c>
      <c r="AW82" s="14">
        <f>IF(Distances!AW78="N.C.",0,ROUNDUP(AW56+'Délai intermédiaire'!AW78/24,0))</f>
        <v>9</v>
      </c>
      <c r="AX82" s="14">
        <f>IF(Distances!AX78="N.C.",0,ROUNDUP(AX56+'Délai intermédiaire'!AX78/24,0))</f>
        <v>13</v>
      </c>
      <c r="AY82" s="14">
        <f>IF(Distances!AY78="N.C.",0,ROUNDUP(AY56+'Délai intermédiaire'!AY78/24,0))</f>
        <v>0</v>
      </c>
      <c r="AZ82" s="14">
        <f>IF(Distances!AZ78="N.C.",0,ROUNDUP(AZ56+'Délai intermédiaire'!AZ78/24,0))</f>
        <v>0</v>
      </c>
      <c r="BA82" s="14">
        <f>IF(Distances!BA78="N.C.",0,ROUNDUP(BA56+'Délai intermédiaire'!BA78/24,0))</f>
        <v>0</v>
      </c>
      <c r="BB82" s="13">
        <f>IF(Distances!BB78="N.C.",0,ROUNDUP(BB56+'Délai intermédiaire'!BB78/24,0))</f>
        <v>4</v>
      </c>
      <c r="BC82" s="14">
        <f>IF(Distances!BC78="N.C.",0,ROUNDUP(BC56+'Délai intermédiaire'!BC78/24,0))</f>
        <v>0</v>
      </c>
      <c r="BD82" s="14">
        <f>IF(Distances!BD78="N.C.",0,ROUNDUP(BD56+'Délai intermédiaire'!BD78/24,0))</f>
        <v>11</v>
      </c>
      <c r="BE82" s="14">
        <f>IF(Distances!BE78="N.C.",0,ROUNDUP(BE56+'Délai intermédiaire'!BE78/24,0))</f>
        <v>0</v>
      </c>
      <c r="BF82" s="13">
        <f>IF(Distances!BF78="N.C.",0,ROUNDUP(BF56+'Délai intermédiaire'!BF78/24,0))</f>
        <v>0</v>
      </c>
      <c r="BG82" s="13">
        <f>IF(Distances!BG78="N.C.",0,ROUNDUP(BG56+'Délai intermédiaire'!BG78/24,0))</f>
        <v>0</v>
      </c>
      <c r="BH82" s="14">
        <f>IF(Distances!BH78="N.C.",0,ROUNDUP(BH56+'Délai intermédiaire'!BH78/24,0))</f>
        <v>0</v>
      </c>
      <c r="BI82" s="14">
        <f>IF(Distances!BI78="N.C.",0,ROUNDUP(BI56+'Délai intermédiaire'!BI78/24,0))</f>
        <v>0</v>
      </c>
      <c r="BJ82" s="15">
        <f>IF(Distances!BJ78="N.C.",0,ROUNDUP(BJ56+'Délai intermédiaire'!BJ78/24,0))</f>
        <v>0</v>
      </c>
    </row>
    <row r="83" spans="1:62" x14ac:dyDescent="0.3">
      <c r="A83" s="10" t="s">
        <v>26</v>
      </c>
      <c r="B83" s="16">
        <f>IF(Distances!B79="N.C.",0,ROUNDUP(B56+'Délai intermédiaire'!B79/24,0))</f>
        <v>0</v>
      </c>
      <c r="C83" s="14">
        <f>IF(Distances!C79="N.C.",0,ROUNDUP(C56+'Délai intermédiaire'!C79/24,0))</f>
        <v>0</v>
      </c>
      <c r="D83" s="14">
        <f>IF(Distances!D79="N.C.",0,ROUNDUP(D56+'Délai intermédiaire'!D79/24,0))</f>
        <v>0</v>
      </c>
      <c r="E83" s="14">
        <f>IF(Distances!E79="N.C.",0,ROUNDUP(E56+'Délai intermédiaire'!E79/24,0))</f>
        <v>0</v>
      </c>
      <c r="F83" s="14">
        <f>IF(Distances!F79="N.C.",0,ROUNDUP(F56+'Délai intermédiaire'!F79/24,0))</f>
        <v>0</v>
      </c>
      <c r="G83" s="14">
        <f>IF(Distances!G79="N.C.",0,ROUNDUP(G56+'Délai intermédiaire'!G79/24,0))</f>
        <v>0</v>
      </c>
      <c r="H83" s="14">
        <f>IF(Distances!H79="N.C.",0,ROUNDUP(H56+'Délai intermédiaire'!H79/24,0))</f>
        <v>0</v>
      </c>
      <c r="I83" s="14">
        <f>IF(Distances!I79="N.C.",0,ROUNDUP(I56+'Délai intermédiaire'!I79/24,0))</f>
        <v>0</v>
      </c>
      <c r="J83" s="14">
        <f>IF(Distances!J79="N.C.",0,ROUNDUP(J56+'Délai intermédiaire'!J79/24,0))</f>
        <v>0</v>
      </c>
      <c r="K83" s="14">
        <f>IF(Distances!K79="N.C.",0,ROUNDUP(K56+'Délai intermédiaire'!K79/24,0))</f>
        <v>0</v>
      </c>
      <c r="L83" s="14">
        <f>IF(Distances!L79="N.C.",0,ROUNDUP(L56+'Délai intermédiaire'!L79/24,0))</f>
        <v>0</v>
      </c>
      <c r="M83" s="14">
        <f>IF(Distances!M79="N.C.",0,ROUNDUP(M56+'Délai intermédiaire'!M79/24,0))</f>
        <v>0</v>
      </c>
      <c r="N83" s="14">
        <f>IF(Distances!N79="N.C.",0,ROUNDUP(N56+'Délai intermédiaire'!N79/24,0))</f>
        <v>0</v>
      </c>
      <c r="O83" s="14">
        <f>IF(Distances!O79="N.C.",0,ROUNDUP(O56+'Délai intermédiaire'!O79/24,0))</f>
        <v>0</v>
      </c>
      <c r="P83" s="14">
        <f>IF(Distances!P79="N.C.",0,ROUNDUP(P56+'Délai intermédiaire'!P79/24,0))</f>
        <v>0</v>
      </c>
      <c r="Q83" s="13">
        <f>IF(Distances!Q79="N.C.",0,ROUNDUP(Q56+'Délai intermédiaire'!Q79/24,0))</f>
        <v>2</v>
      </c>
      <c r="R83" s="13">
        <f>IF(Distances!R79="N.C.",0,ROUNDUP(R56+'Délai intermédiaire'!R79/24,0))</f>
        <v>0</v>
      </c>
      <c r="S83" s="13">
        <f>IF(Distances!S79="N.C.",0,ROUNDUP(S56+'Délai intermédiaire'!S79/24,0))</f>
        <v>2</v>
      </c>
      <c r="T83" s="13">
        <f>IF(Distances!T79="N.C.",0,ROUNDUP(T56+'Délai intermédiaire'!T79/24,0))</f>
        <v>2</v>
      </c>
      <c r="U83" s="13">
        <f>IF(Distances!U79="N.C.",0,ROUNDUP(U56+'Délai intermédiaire'!U79/24,0))</f>
        <v>2</v>
      </c>
      <c r="V83" s="13">
        <f>IF(Distances!V79="N.C.",0,ROUNDUP(V56+'Délai intermédiaire'!V79/24,0))</f>
        <v>2</v>
      </c>
      <c r="W83" s="13">
        <f>IF(Distances!W79="N.C.",0,ROUNDUP(W56+'Délai intermédiaire'!W79/24,0))</f>
        <v>2</v>
      </c>
      <c r="X83" s="13">
        <f>IF(Distances!X79="N.C.",0,ROUNDUP(X56+'Délai intermédiaire'!X79/24,0))</f>
        <v>2</v>
      </c>
      <c r="Y83" s="13">
        <f>IF(Distances!Y79="N.C.",0,ROUNDUP(Y56+'Délai intermédiaire'!Y79/24,0))</f>
        <v>2</v>
      </c>
      <c r="Z83" s="13">
        <f>IF(Distances!Z79="N.C.",0,ROUNDUP(Z56+'Délai intermédiaire'!Z79/24,0))</f>
        <v>3</v>
      </c>
      <c r="AA83" s="12">
        <f>IF(Distances!AA79="N.C.",0,ROUNDUP(AA56+'Délai intermédiaire'!AA79/24,0))</f>
        <v>2</v>
      </c>
      <c r="AB83" s="13">
        <f>IF(Distances!AB79="N.C.",0,ROUNDUP(AB56+'Délai intermédiaire'!AB79/24,0))</f>
        <v>2</v>
      </c>
      <c r="AC83" s="13">
        <f>IF(Distances!AC79="N.C.",0,ROUNDUP(AC56+'Délai intermédiaire'!AC79/24,0))</f>
        <v>2</v>
      </c>
      <c r="AD83" s="13">
        <f>IF(Distances!AD79="N.C.",0,ROUNDUP(AD56+'Délai intermédiaire'!AD79/24,0))</f>
        <v>3</v>
      </c>
      <c r="AE83" s="13">
        <f>IF(Distances!AE79="N.C.",0,ROUNDUP(AE56+'Délai intermédiaire'!AE79/24,0))</f>
        <v>3</v>
      </c>
      <c r="AF83" s="13">
        <f>IF(Distances!AF79="N.C.",0,ROUNDUP(AF56+'Délai intermédiaire'!AF79/24,0))</f>
        <v>2</v>
      </c>
      <c r="AG83" s="13">
        <f>IF(Distances!AG79="N.C.",0,ROUNDUP(AG56+'Délai intermédiaire'!AG79/24,0))</f>
        <v>3</v>
      </c>
      <c r="AH83" s="14">
        <f>IF(Distances!AH79="N.C.",0,ROUNDUP(AH56+'Délai intermédiaire'!AH79/24,0))</f>
        <v>0</v>
      </c>
      <c r="AI83" s="14">
        <f>IF(Distances!AI79="N.C.",0,ROUNDUP(AI56+'Délai intermédiaire'!AI79/24,0))</f>
        <v>0</v>
      </c>
      <c r="AJ83" s="14">
        <f>IF(Distances!AJ79="N.C.",0,ROUNDUP(AJ56+'Délai intermédiaire'!AJ79/24,0))</f>
        <v>0</v>
      </c>
      <c r="AK83" s="14">
        <f>IF(Distances!AK79="N.C.",0,ROUNDUP(AK56+'Délai intermédiaire'!AK79/24,0))</f>
        <v>0</v>
      </c>
      <c r="AL83" s="14">
        <f>IF(Distances!AL79="N.C.",0,ROUNDUP(AL56+'Délai intermédiaire'!AL79/24,0))</f>
        <v>0</v>
      </c>
      <c r="AM83" s="14">
        <f>IF(Distances!AM79="N.C.",0,ROUNDUP(AM56+'Délai intermédiaire'!AM79/24,0))</f>
        <v>0</v>
      </c>
      <c r="AN83" s="14">
        <f>IF(Distances!AN79="N.C.",0,ROUNDUP(AN56+'Délai intermédiaire'!AN79/24,0))</f>
        <v>0</v>
      </c>
      <c r="AO83" s="14">
        <f>IF(Distances!AO79="N.C.",0,ROUNDUP(AO56+'Délai intermédiaire'!AO79/24,0))</f>
        <v>0</v>
      </c>
      <c r="AP83" s="14">
        <f>IF(Distances!AP79="N.C.",0,ROUNDUP(AP56+'Délai intermédiaire'!AP79/24,0))</f>
        <v>0</v>
      </c>
      <c r="AQ83" s="14">
        <f>IF(Distances!AQ79="N.C.",0,ROUNDUP(AQ56+'Délai intermédiaire'!AQ79/24,0))</f>
        <v>0</v>
      </c>
      <c r="AR83" s="14">
        <f>IF(Distances!AR79="N.C.",0,ROUNDUP(AR56+'Délai intermédiaire'!AR79/24,0))</f>
        <v>0</v>
      </c>
      <c r="AS83" s="14">
        <f>IF(Distances!AS79="N.C.",0,ROUNDUP(AS56+'Délai intermédiaire'!AS79/24,0))</f>
        <v>0</v>
      </c>
      <c r="AT83" s="14">
        <f>IF(Distances!AT79="N.C.",0,ROUNDUP(AT56+'Délai intermédiaire'!AT79/24,0))</f>
        <v>0</v>
      </c>
      <c r="AU83" s="14">
        <f>IF(Distances!AU79="N.C.",0,ROUNDUP(AU56+'Délai intermédiaire'!AU79/24,0))</f>
        <v>0</v>
      </c>
      <c r="AV83" s="14">
        <f>IF(Distances!AV79="N.C.",0,ROUNDUP(AV56+'Délai intermédiaire'!AV79/24,0))</f>
        <v>5</v>
      </c>
      <c r="AW83" s="14">
        <f>IF(Distances!AW79="N.C.",0,ROUNDUP(AW56+'Délai intermédiaire'!AW79/24,0))</f>
        <v>9</v>
      </c>
      <c r="AX83" s="14">
        <f>IF(Distances!AX79="N.C.",0,ROUNDUP(AX56+'Délai intermédiaire'!AX79/24,0))</f>
        <v>0</v>
      </c>
      <c r="AY83" s="14">
        <f>IF(Distances!AY79="N.C.",0,ROUNDUP(AY56+'Délai intermédiaire'!AY79/24,0))</f>
        <v>0</v>
      </c>
      <c r="AZ83" s="14">
        <f>IF(Distances!AZ79="N.C.",0,ROUNDUP(AZ56+'Délai intermédiaire'!AZ79/24,0))</f>
        <v>0</v>
      </c>
      <c r="BA83" s="14">
        <f>IF(Distances!BA79="N.C.",0,ROUNDUP(BA56+'Délai intermédiaire'!BA79/24,0))</f>
        <v>0</v>
      </c>
      <c r="BB83" s="13">
        <f>IF(Distances!BB79="N.C.",0,ROUNDUP(BB56+'Délai intermédiaire'!BB79/24,0))</f>
        <v>4</v>
      </c>
      <c r="BC83" s="14">
        <f>IF(Distances!BC79="N.C.",0,ROUNDUP(BC56+'Délai intermédiaire'!BC79/24,0))</f>
        <v>0</v>
      </c>
      <c r="BD83" s="14">
        <f>IF(Distances!BD79="N.C.",0,ROUNDUP(BD56+'Délai intermédiaire'!BD79/24,0))</f>
        <v>11</v>
      </c>
      <c r="BE83" s="14">
        <f>IF(Distances!BE79="N.C.",0,ROUNDUP(BE56+'Délai intermédiaire'!BE79/24,0))</f>
        <v>0</v>
      </c>
      <c r="BF83" s="13">
        <f>IF(Distances!BF79="N.C.",0,ROUNDUP(BF56+'Délai intermédiaire'!BF79/24,0))</f>
        <v>0</v>
      </c>
      <c r="BG83" s="13">
        <f>IF(Distances!BG79="N.C.",0,ROUNDUP(BG56+'Délai intermédiaire'!BG79/24,0))</f>
        <v>0</v>
      </c>
      <c r="BH83" s="14">
        <f>IF(Distances!BH79="N.C.",0,ROUNDUP(BH56+'Délai intermédiaire'!BH79/24,0))</f>
        <v>0</v>
      </c>
      <c r="BI83" s="14">
        <f>IF(Distances!BI79="N.C.",0,ROUNDUP(BI56+'Délai intermédiaire'!BI79/24,0))</f>
        <v>0</v>
      </c>
      <c r="BJ83" s="15">
        <f>IF(Distances!BJ79="N.C.",0,ROUNDUP(BJ56+'Délai intermédiaire'!BJ79/24,0))</f>
        <v>0</v>
      </c>
    </row>
    <row r="84" spans="1:62" x14ac:dyDescent="0.3">
      <c r="A84" s="10" t="s">
        <v>27</v>
      </c>
      <c r="B84" s="16">
        <f>IF(Distances!B80="N.C.",0,ROUNDUP(B56+'Délai intermédiaire'!B80/24,0))</f>
        <v>0</v>
      </c>
      <c r="C84" s="14">
        <f>IF(Distances!C80="N.C.",0,ROUNDUP(C56+'Délai intermédiaire'!C80/24,0))</f>
        <v>0</v>
      </c>
      <c r="D84" s="14">
        <f>IF(Distances!D80="N.C.",0,ROUNDUP(D56+'Délai intermédiaire'!D80/24,0))</f>
        <v>0</v>
      </c>
      <c r="E84" s="14">
        <f>IF(Distances!E80="N.C.",0,ROUNDUP(E56+'Délai intermédiaire'!E80/24,0))</f>
        <v>0</v>
      </c>
      <c r="F84" s="14">
        <f>IF(Distances!F80="N.C.",0,ROUNDUP(F56+'Délai intermédiaire'!F80/24,0))</f>
        <v>0</v>
      </c>
      <c r="G84" s="14">
        <f>IF(Distances!G80="N.C.",0,ROUNDUP(G56+'Délai intermédiaire'!G80/24,0))</f>
        <v>0</v>
      </c>
      <c r="H84" s="14">
        <f>IF(Distances!H80="N.C.",0,ROUNDUP(H56+'Délai intermédiaire'!H80/24,0))</f>
        <v>0</v>
      </c>
      <c r="I84" s="14">
        <f>IF(Distances!I80="N.C.",0,ROUNDUP(I56+'Délai intermédiaire'!I80/24,0))</f>
        <v>0</v>
      </c>
      <c r="J84" s="14">
        <f>IF(Distances!J80="N.C.",0,ROUNDUP(J56+'Délai intermédiaire'!J80/24,0))</f>
        <v>0</v>
      </c>
      <c r="K84" s="14">
        <f>IF(Distances!K80="N.C.",0,ROUNDUP(K56+'Délai intermédiaire'!K80/24,0))</f>
        <v>0</v>
      </c>
      <c r="L84" s="14">
        <f>IF(Distances!L80="N.C.",0,ROUNDUP(L56+'Délai intermédiaire'!L80/24,0))</f>
        <v>0</v>
      </c>
      <c r="M84" s="14">
        <f>IF(Distances!M80="N.C.",0,ROUNDUP(M56+'Délai intermédiaire'!M80/24,0))</f>
        <v>0</v>
      </c>
      <c r="N84" s="14">
        <f>IF(Distances!N80="N.C.",0,ROUNDUP(N56+'Délai intermédiaire'!N80/24,0))</f>
        <v>0</v>
      </c>
      <c r="O84" s="14">
        <f>IF(Distances!O80="N.C.",0,ROUNDUP(O56+'Délai intermédiaire'!O80/24,0))</f>
        <v>0</v>
      </c>
      <c r="P84" s="14">
        <f>IF(Distances!P80="N.C.",0,ROUNDUP(P56+'Délai intermédiaire'!P80/24,0))</f>
        <v>0</v>
      </c>
      <c r="Q84" s="13">
        <f>IF(Distances!Q80="N.C.",0,ROUNDUP(Q56+'Délai intermédiaire'!Q80/24,0))</f>
        <v>2</v>
      </c>
      <c r="R84" s="13">
        <f>IF(Distances!R80="N.C.",0,ROUNDUP(R56+'Délai intermédiaire'!R80/24,0))</f>
        <v>0</v>
      </c>
      <c r="S84" s="13">
        <f>IF(Distances!S80="N.C.",0,ROUNDUP(S56+'Délai intermédiaire'!S80/24,0))</f>
        <v>2</v>
      </c>
      <c r="T84" s="13">
        <f>IF(Distances!T80="N.C.",0,ROUNDUP(T56+'Délai intermédiaire'!T80/24,0))</f>
        <v>2</v>
      </c>
      <c r="U84" s="13">
        <f>IF(Distances!U80="N.C.",0,ROUNDUP(U56+'Délai intermédiaire'!U80/24,0))</f>
        <v>2</v>
      </c>
      <c r="V84" s="13">
        <f>IF(Distances!V80="N.C.",0,ROUNDUP(V56+'Délai intermédiaire'!V80/24,0))</f>
        <v>0</v>
      </c>
      <c r="W84" s="13">
        <f>IF(Distances!W80="N.C.",0,ROUNDUP(W56+'Délai intermédiaire'!W80/24,0))</f>
        <v>2</v>
      </c>
      <c r="X84" s="13">
        <f>IF(Distances!X80="N.C.",0,ROUNDUP(X56+'Délai intermédiaire'!X80/24,0))</f>
        <v>2</v>
      </c>
      <c r="Y84" s="13">
        <f>IF(Distances!Y80="N.C.",0,ROUNDUP(Y56+'Délai intermédiaire'!Y80/24,0))</f>
        <v>2</v>
      </c>
      <c r="Z84" s="13">
        <f>IF(Distances!Z80="N.C.",0,ROUNDUP(Z56+'Délai intermédiaire'!Z80/24,0))</f>
        <v>3</v>
      </c>
      <c r="AA84" s="13">
        <f>IF(Distances!AA80="N.C.",0,ROUNDUP(AA56+'Délai intermédiaire'!AA80/24,0))</f>
        <v>3</v>
      </c>
      <c r="AB84" s="12">
        <f>IF(Distances!AB80="N.C.",0,ROUNDUP(AB56+'Délai intermédiaire'!AB80/24,0))</f>
        <v>1</v>
      </c>
      <c r="AC84" s="13">
        <f>IF(Distances!AC80="N.C.",0,ROUNDUP(AC56+'Délai intermédiaire'!AC80/24,0))</f>
        <v>2</v>
      </c>
      <c r="AD84" s="13">
        <f>IF(Distances!AD80="N.C.",0,ROUNDUP(AD56+'Délai intermédiaire'!AD80/24,0))</f>
        <v>4</v>
      </c>
      <c r="AE84" s="13">
        <f>IF(Distances!AE80="N.C.",0,ROUNDUP(AE56+'Délai intermédiaire'!AE80/24,0))</f>
        <v>0</v>
      </c>
      <c r="AF84" s="13">
        <f>IF(Distances!AF80="N.C.",0,ROUNDUP(AF56+'Délai intermédiaire'!AF80/24,0))</f>
        <v>2</v>
      </c>
      <c r="AG84" s="13">
        <f>IF(Distances!AG80="N.C.",0,ROUNDUP(AG56+'Délai intermédiaire'!AG80/24,0))</f>
        <v>0</v>
      </c>
      <c r="AH84" s="14">
        <f>IF(Distances!AH80="N.C.",0,ROUNDUP(AH56+'Délai intermédiaire'!AH80/24,0))</f>
        <v>0</v>
      </c>
      <c r="AI84" s="14">
        <f>IF(Distances!AI80="N.C.",0,ROUNDUP(AI56+'Délai intermédiaire'!AI80/24,0))</f>
        <v>0</v>
      </c>
      <c r="AJ84" s="14">
        <f>IF(Distances!AJ80="N.C.",0,ROUNDUP(AJ56+'Délai intermédiaire'!AJ80/24,0))</f>
        <v>0</v>
      </c>
      <c r="AK84" s="14">
        <f>IF(Distances!AK80="N.C.",0,ROUNDUP(AK56+'Délai intermédiaire'!AK80/24,0))</f>
        <v>0</v>
      </c>
      <c r="AL84" s="14">
        <f>IF(Distances!AL80="N.C.",0,ROUNDUP(AL56+'Délai intermédiaire'!AL80/24,0))</f>
        <v>0</v>
      </c>
      <c r="AM84" s="14">
        <f>IF(Distances!AM80="N.C.",0,ROUNDUP(AM56+'Délai intermédiaire'!AM80/24,0))</f>
        <v>0</v>
      </c>
      <c r="AN84" s="14">
        <f>IF(Distances!AN80="N.C.",0,ROUNDUP(AN56+'Délai intermédiaire'!AN80/24,0))</f>
        <v>0</v>
      </c>
      <c r="AO84" s="14">
        <f>IF(Distances!AO80="N.C.",0,ROUNDUP(AO56+'Délai intermédiaire'!AO80/24,0))</f>
        <v>0</v>
      </c>
      <c r="AP84" s="14">
        <f>IF(Distances!AP80="N.C.",0,ROUNDUP(AP56+'Délai intermédiaire'!AP80/24,0))</f>
        <v>0</v>
      </c>
      <c r="AQ84" s="14">
        <f>IF(Distances!AQ80="N.C.",0,ROUNDUP(AQ56+'Délai intermédiaire'!AQ80/24,0))</f>
        <v>0</v>
      </c>
      <c r="AR84" s="14">
        <f>IF(Distances!AR80="N.C.",0,ROUNDUP(AR56+'Délai intermédiaire'!AR80/24,0))</f>
        <v>0</v>
      </c>
      <c r="AS84" s="14">
        <f>IF(Distances!AS80="N.C.",0,ROUNDUP(AS56+'Délai intermédiaire'!AS80/24,0))</f>
        <v>0</v>
      </c>
      <c r="AT84" s="14">
        <f>IF(Distances!AT80="N.C.",0,ROUNDUP(AT56+'Délai intermédiaire'!AT80/24,0))</f>
        <v>0</v>
      </c>
      <c r="AU84" s="14">
        <f>IF(Distances!AU80="N.C.",0,ROUNDUP(AU56+'Délai intermédiaire'!AU80/24,0))</f>
        <v>0</v>
      </c>
      <c r="AV84" s="14">
        <f>IF(Distances!AV80="N.C.",0,ROUNDUP(AV56+'Délai intermédiaire'!AV80/24,0))</f>
        <v>0</v>
      </c>
      <c r="AW84" s="14">
        <f>IF(Distances!AW80="N.C.",0,ROUNDUP(AW56+'Délai intermédiaire'!AW80/24,0))</f>
        <v>0</v>
      </c>
      <c r="AX84" s="14">
        <f>IF(Distances!AX80="N.C.",0,ROUNDUP(AX56+'Délai intermédiaire'!AX80/24,0))</f>
        <v>0</v>
      </c>
      <c r="AY84" s="14">
        <f>IF(Distances!AY80="N.C.",0,ROUNDUP(AY56+'Délai intermédiaire'!AY80/24,0))</f>
        <v>0</v>
      </c>
      <c r="AZ84" s="14">
        <f>IF(Distances!AZ80="N.C.",0,ROUNDUP(AZ56+'Délai intermédiaire'!AZ80/24,0))</f>
        <v>0</v>
      </c>
      <c r="BA84" s="14">
        <f>IF(Distances!BA80="N.C.",0,ROUNDUP(BA56+'Délai intermédiaire'!BA80/24,0))</f>
        <v>0</v>
      </c>
      <c r="BB84" s="13">
        <f>IF(Distances!BB80="N.C.",0,ROUNDUP(BB56+'Délai intermédiaire'!BB80/24,0))</f>
        <v>4</v>
      </c>
      <c r="BC84" s="14">
        <f>IF(Distances!BC80="N.C.",0,ROUNDUP(BC56+'Délai intermédiaire'!BC80/24,0))</f>
        <v>0</v>
      </c>
      <c r="BD84" s="14">
        <f>IF(Distances!BD80="N.C.",0,ROUNDUP(BD56+'Délai intermédiaire'!BD80/24,0))</f>
        <v>0</v>
      </c>
      <c r="BE84" s="14">
        <f>IF(Distances!BE80="N.C.",0,ROUNDUP(BE56+'Délai intermédiaire'!BE80/24,0))</f>
        <v>0</v>
      </c>
      <c r="BF84" s="13">
        <f>IF(Distances!BF80="N.C.",0,ROUNDUP(BF56+'Délai intermédiaire'!BF80/24,0))</f>
        <v>4</v>
      </c>
      <c r="BG84" s="13">
        <f>IF(Distances!BG80="N.C.",0,ROUNDUP(BG56+'Délai intermédiaire'!BG80/24,0))</f>
        <v>0</v>
      </c>
      <c r="BH84" s="14">
        <f>IF(Distances!BH80="N.C.",0,ROUNDUP(BH56+'Délai intermédiaire'!BH80/24,0))</f>
        <v>0</v>
      </c>
      <c r="BI84" s="14">
        <f>IF(Distances!BI80="N.C.",0,ROUNDUP(BI56+'Délai intermédiaire'!BI80/24,0))</f>
        <v>0</v>
      </c>
      <c r="BJ84" s="15">
        <f>IF(Distances!BJ80="N.C.",0,ROUNDUP(BJ56+'Délai intermédiaire'!BJ80/24,0))</f>
        <v>0</v>
      </c>
    </row>
    <row r="85" spans="1:62" x14ac:dyDescent="0.3">
      <c r="A85" s="10" t="s">
        <v>65</v>
      </c>
      <c r="B85" s="16">
        <f>IF(Distances!B81="N.C.",0,ROUNDUP(B56+'Délai intermédiaire'!B81/24,0))</f>
        <v>0</v>
      </c>
      <c r="C85" s="14">
        <f>IF(Distances!C81="N.C.",0,ROUNDUP(C56+'Délai intermédiaire'!C81/24,0))</f>
        <v>0</v>
      </c>
      <c r="D85" s="14">
        <f>IF(Distances!D81="N.C.",0,ROUNDUP(D56+'Délai intermédiaire'!D81/24,0))</f>
        <v>0</v>
      </c>
      <c r="E85" s="14">
        <f>IF(Distances!E81="N.C.",0,ROUNDUP(E56+'Délai intermédiaire'!E81/24,0))</f>
        <v>0</v>
      </c>
      <c r="F85" s="14">
        <f>IF(Distances!F81="N.C.",0,ROUNDUP(F56+'Délai intermédiaire'!F81/24,0))</f>
        <v>0</v>
      </c>
      <c r="G85" s="14">
        <f>IF(Distances!G81="N.C.",0,ROUNDUP(G56+'Délai intermédiaire'!G81/24,0))</f>
        <v>0</v>
      </c>
      <c r="H85" s="14">
        <f>IF(Distances!H81="N.C.",0,ROUNDUP(H56+'Délai intermédiaire'!H81/24,0))</f>
        <v>0</v>
      </c>
      <c r="I85" s="14">
        <f>IF(Distances!I81="N.C.",0,ROUNDUP(I56+'Délai intermédiaire'!I81/24,0))</f>
        <v>0</v>
      </c>
      <c r="J85" s="14">
        <f>IF(Distances!J81="N.C.",0,ROUNDUP(J56+'Délai intermédiaire'!J81/24,0))</f>
        <v>0</v>
      </c>
      <c r="K85" s="14">
        <f>IF(Distances!K81="N.C.",0,ROUNDUP(K56+'Délai intermédiaire'!K81/24,0))</f>
        <v>0</v>
      </c>
      <c r="L85" s="14">
        <f>IF(Distances!L81="N.C.",0,ROUNDUP(L56+'Délai intermédiaire'!L81/24,0))</f>
        <v>0</v>
      </c>
      <c r="M85" s="14">
        <f>IF(Distances!M81="N.C.",0,ROUNDUP(M56+'Délai intermédiaire'!M81/24,0))</f>
        <v>0</v>
      </c>
      <c r="N85" s="14">
        <f>IF(Distances!N81="N.C.",0,ROUNDUP(N56+'Délai intermédiaire'!N81/24,0))</f>
        <v>0</v>
      </c>
      <c r="O85" s="14">
        <f>IF(Distances!O81="N.C.",0,ROUNDUP(O56+'Délai intermédiaire'!O81/24,0))</f>
        <v>0</v>
      </c>
      <c r="P85" s="14">
        <f>IF(Distances!P81="N.C.",0,ROUNDUP(P56+'Délai intermédiaire'!P81/24,0))</f>
        <v>0</v>
      </c>
      <c r="Q85" s="13">
        <f>IF(Distances!Q81="N.C.",0,ROUNDUP(Q56+'Délai intermédiaire'!Q81/24,0))</f>
        <v>2</v>
      </c>
      <c r="R85" s="13">
        <f>IF(Distances!R81="N.C.",0,ROUNDUP(R56+'Délai intermédiaire'!R81/24,0))</f>
        <v>0</v>
      </c>
      <c r="S85" s="13">
        <f>IF(Distances!S81="N.C.",0,ROUNDUP(S56+'Délai intermédiaire'!S81/24,0))</f>
        <v>2</v>
      </c>
      <c r="T85" s="13">
        <f>IF(Distances!T81="N.C.",0,ROUNDUP(T56+'Délai intermédiaire'!T81/24,0))</f>
        <v>2</v>
      </c>
      <c r="U85" s="13">
        <f>IF(Distances!U81="N.C.",0,ROUNDUP(U56+'Délai intermédiaire'!U81/24,0))</f>
        <v>2</v>
      </c>
      <c r="V85" s="13">
        <f>IF(Distances!V81="N.C.",0,ROUNDUP(V56+'Délai intermédiaire'!V81/24,0))</f>
        <v>0</v>
      </c>
      <c r="W85" s="13">
        <f>IF(Distances!W81="N.C.",0,ROUNDUP(W56+'Délai intermédiaire'!W81/24,0))</f>
        <v>2</v>
      </c>
      <c r="X85" s="13">
        <f>IF(Distances!X81="N.C.",0,ROUNDUP(X56+'Délai intermédiaire'!X81/24,0))</f>
        <v>2</v>
      </c>
      <c r="Y85" s="13">
        <f>IF(Distances!Y81="N.C.",0,ROUNDUP(Y56+'Délai intermédiaire'!Y81/24,0))</f>
        <v>2</v>
      </c>
      <c r="Z85" s="13">
        <f>IF(Distances!Z81="N.C.",0,ROUNDUP(Z56+'Délai intermédiaire'!Z81/24,0))</f>
        <v>3</v>
      </c>
      <c r="AA85" s="13">
        <f>IF(Distances!AA81="N.C.",0,ROUNDUP(AA56+'Délai intermédiaire'!AA81/24,0))</f>
        <v>3</v>
      </c>
      <c r="AB85" s="13">
        <f>IF(Distances!AB81="N.C.",0,ROUNDUP(AB56+'Délai intermédiaire'!AB81/24,0))</f>
        <v>2</v>
      </c>
      <c r="AC85" s="12">
        <f>IF(Distances!AC81="N.C.",0,ROUNDUP(AC56+'Délai intermédiaire'!AC81/24,0))</f>
        <v>1</v>
      </c>
      <c r="AD85" s="13">
        <f>IF(Distances!AD81="N.C.",0,ROUNDUP(AD56+'Délai intermédiaire'!AD81/24,0))</f>
        <v>3</v>
      </c>
      <c r="AE85" s="13">
        <f>IF(Distances!AE81="N.C.",0,ROUNDUP(AE56+'Délai intermédiaire'!AE81/24,0))</f>
        <v>4</v>
      </c>
      <c r="AF85" s="13">
        <f>IF(Distances!AF81="N.C.",0,ROUNDUP(AF56+'Délai intermédiaire'!AF81/24,0))</f>
        <v>3</v>
      </c>
      <c r="AG85" s="13">
        <f>IF(Distances!AG81="N.C.",0,ROUNDUP(AG56+'Délai intermédiaire'!AG81/24,0))</f>
        <v>3</v>
      </c>
      <c r="AH85" s="14">
        <f>IF(Distances!AH81="N.C.",0,ROUNDUP(AH56+'Délai intermédiaire'!AH81/24,0))</f>
        <v>0</v>
      </c>
      <c r="AI85" s="14">
        <f>IF(Distances!AI81="N.C.",0,ROUNDUP(AI56+'Délai intermédiaire'!AI81/24,0))</f>
        <v>0</v>
      </c>
      <c r="AJ85" s="14">
        <f>IF(Distances!AJ81="N.C.",0,ROUNDUP(AJ56+'Délai intermédiaire'!AJ81/24,0))</f>
        <v>0</v>
      </c>
      <c r="AK85" s="14">
        <f>IF(Distances!AK81="N.C.",0,ROUNDUP(AK56+'Délai intermédiaire'!AK81/24,0))</f>
        <v>0</v>
      </c>
      <c r="AL85" s="14">
        <f>IF(Distances!AL81="N.C.",0,ROUNDUP(AL56+'Délai intermédiaire'!AL81/24,0))</f>
        <v>0</v>
      </c>
      <c r="AM85" s="14">
        <f>IF(Distances!AM81="N.C.",0,ROUNDUP(AM56+'Délai intermédiaire'!AM81/24,0))</f>
        <v>0</v>
      </c>
      <c r="AN85" s="14">
        <f>IF(Distances!AN81="N.C.",0,ROUNDUP(AN56+'Délai intermédiaire'!AN81/24,0))</f>
        <v>0</v>
      </c>
      <c r="AO85" s="14">
        <f>IF(Distances!AO81="N.C.",0,ROUNDUP(AO56+'Délai intermédiaire'!AO81/24,0))</f>
        <v>0</v>
      </c>
      <c r="AP85" s="14">
        <f>IF(Distances!AP81="N.C.",0,ROUNDUP(AP56+'Délai intermédiaire'!AP81/24,0))</f>
        <v>0</v>
      </c>
      <c r="AQ85" s="14">
        <f>IF(Distances!AQ81="N.C.",0,ROUNDUP(AQ56+'Délai intermédiaire'!AQ81/24,0))</f>
        <v>0</v>
      </c>
      <c r="AR85" s="14">
        <f>IF(Distances!AR81="N.C.",0,ROUNDUP(AR56+'Délai intermédiaire'!AR81/24,0))</f>
        <v>0</v>
      </c>
      <c r="AS85" s="14">
        <f>IF(Distances!AS81="N.C.",0,ROUNDUP(AS56+'Délai intermédiaire'!AS81/24,0))</f>
        <v>0</v>
      </c>
      <c r="AT85" s="14">
        <f>IF(Distances!AT81="N.C.",0,ROUNDUP(AT56+'Délai intermédiaire'!AT81/24,0))</f>
        <v>0</v>
      </c>
      <c r="AU85" s="14">
        <f>IF(Distances!AU81="N.C.",0,ROUNDUP(AU56+'Délai intermédiaire'!AU81/24,0))</f>
        <v>0</v>
      </c>
      <c r="AV85" s="14">
        <f>IF(Distances!AV81="N.C.",0,ROUNDUP(AV56+'Délai intermédiaire'!AV81/24,0))</f>
        <v>0</v>
      </c>
      <c r="AW85" s="14">
        <f>IF(Distances!AW81="N.C.",0,ROUNDUP(AW56+'Délai intermédiaire'!AW81/24,0))</f>
        <v>0</v>
      </c>
      <c r="AX85" s="14">
        <f>IF(Distances!AX81="N.C.",0,ROUNDUP(AX56+'Délai intermédiaire'!AX81/24,0))</f>
        <v>0</v>
      </c>
      <c r="AY85" s="14">
        <f>IF(Distances!AY81="N.C.",0,ROUNDUP(AY56+'Délai intermédiaire'!AY81/24,0))</f>
        <v>0</v>
      </c>
      <c r="AZ85" s="14">
        <f>IF(Distances!AZ81="N.C.",0,ROUNDUP(AZ56+'Délai intermédiaire'!AZ81/24,0))</f>
        <v>0</v>
      </c>
      <c r="BA85" s="14">
        <f>IF(Distances!BA81="N.C.",0,ROUNDUP(BA56+'Délai intermédiaire'!BA81/24,0))</f>
        <v>0</v>
      </c>
      <c r="BB85" s="13">
        <f>IF(Distances!BB81="N.C.",0,ROUNDUP(BB56+'Délai intermédiaire'!BB81/24,0))</f>
        <v>4</v>
      </c>
      <c r="BC85" s="14">
        <f>IF(Distances!BC81="N.C.",0,ROUNDUP(BC56+'Délai intermédiaire'!BC81/24,0))</f>
        <v>0</v>
      </c>
      <c r="BD85" s="14">
        <f>IF(Distances!BD81="N.C.",0,ROUNDUP(BD56+'Délai intermédiaire'!BD81/24,0))</f>
        <v>0</v>
      </c>
      <c r="BE85" s="14">
        <f>IF(Distances!BE81="N.C.",0,ROUNDUP(BE56+'Délai intermédiaire'!BE81/24,0))</f>
        <v>0</v>
      </c>
      <c r="BF85" s="13">
        <f>IF(Distances!BF81="N.C.",0,ROUNDUP(BF56+'Délai intermédiaire'!BF81/24,0))</f>
        <v>4</v>
      </c>
      <c r="BG85" s="13">
        <f>IF(Distances!BG81="N.C.",0,ROUNDUP(BG56+'Délai intermédiaire'!BG81/24,0))</f>
        <v>4</v>
      </c>
      <c r="BH85" s="14">
        <f>IF(Distances!BH81="N.C.",0,ROUNDUP(BH56+'Délai intermédiaire'!BH81/24,0))</f>
        <v>0</v>
      </c>
      <c r="BI85" s="14">
        <f>IF(Distances!BI81="N.C.",0,ROUNDUP(BI56+'Délai intermédiaire'!BI81/24,0))</f>
        <v>0</v>
      </c>
      <c r="BJ85" s="15">
        <f>IF(Distances!BJ81="N.C.",0,ROUNDUP(BJ56+'Délai intermédiaire'!BJ81/24,0))</f>
        <v>0</v>
      </c>
    </row>
    <row r="86" spans="1:62" x14ac:dyDescent="0.3">
      <c r="A86" s="10" t="s">
        <v>29</v>
      </c>
      <c r="B86" s="16">
        <f>IF(Distances!B82="N.C.",0,ROUNDUP(B56+'Délai intermédiaire'!B82/24,0))</f>
        <v>0</v>
      </c>
      <c r="C86" s="14">
        <f>IF(Distances!C82="N.C.",0,ROUNDUP(C56+'Délai intermédiaire'!C82/24,0))</f>
        <v>0</v>
      </c>
      <c r="D86" s="14">
        <f>IF(Distances!D82="N.C.",0,ROUNDUP(D56+'Délai intermédiaire'!D82/24,0))</f>
        <v>0</v>
      </c>
      <c r="E86" s="14">
        <f>IF(Distances!E82="N.C.",0,ROUNDUP(E56+'Délai intermédiaire'!E82/24,0))</f>
        <v>0</v>
      </c>
      <c r="F86" s="14">
        <f>IF(Distances!F82="N.C.",0,ROUNDUP(F56+'Délai intermédiaire'!F82/24,0))</f>
        <v>0</v>
      </c>
      <c r="G86" s="14">
        <f>IF(Distances!G82="N.C.",0,ROUNDUP(G56+'Délai intermédiaire'!G82/24,0))</f>
        <v>0</v>
      </c>
      <c r="H86" s="14">
        <f>IF(Distances!H82="N.C.",0,ROUNDUP(H56+'Délai intermédiaire'!H82/24,0))</f>
        <v>0</v>
      </c>
      <c r="I86" s="14">
        <f>IF(Distances!I82="N.C.",0,ROUNDUP(I56+'Délai intermédiaire'!I82/24,0))</f>
        <v>0</v>
      </c>
      <c r="J86" s="14">
        <f>IF(Distances!J82="N.C.",0,ROUNDUP(J56+'Délai intermédiaire'!J82/24,0))</f>
        <v>0</v>
      </c>
      <c r="K86" s="14">
        <f>IF(Distances!K82="N.C.",0,ROUNDUP(K56+'Délai intermédiaire'!K82/24,0))</f>
        <v>0</v>
      </c>
      <c r="L86" s="14">
        <f>IF(Distances!L82="N.C.",0,ROUNDUP(L56+'Délai intermédiaire'!L82/24,0))</f>
        <v>0</v>
      </c>
      <c r="M86" s="14">
        <f>IF(Distances!M82="N.C.",0,ROUNDUP(M56+'Délai intermédiaire'!M82/24,0))</f>
        <v>0</v>
      </c>
      <c r="N86" s="14">
        <f>IF(Distances!N82="N.C.",0,ROUNDUP(N56+'Délai intermédiaire'!N82/24,0))</f>
        <v>0</v>
      </c>
      <c r="O86" s="14">
        <f>IF(Distances!O82="N.C.",0,ROUNDUP(O56+'Délai intermédiaire'!O82/24,0))</f>
        <v>0</v>
      </c>
      <c r="P86" s="14">
        <f>IF(Distances!P82="N.C.",0,ROUNDUP(P56+'Délai intermédiaire'!P82/24,0))</f>
        <v>0</v>
      </c>
      <c r="Q86" s="13">
        <f>IF(Distances!Q82="N.C.",0,ROUNDUP(Q56+'Délai intermédiaire'!Q82/24,0))</f>
        <v>2</v>
      </c>
      <c r="R86" s="13">
        <f>IF(Distances!R82="N.C.",0,ROUNDUP(R56+'Délai intermédiaire'!R82/24,0))</f>
        <v>0</v>
      </c>
      <c r="S86" s="13">
        <f>IF(Distances!S82="N.C.",0,ROUNDUP(S56+'Délai intermédiaire'!S82/24,0))</f>
        <v>2</v>
      </c>
      <c r="T86" s="13">
        <f>IF(Distances!T82="N.C.",0,ROUNDUP(T56+'Délai intermédiaire'!T82/24,0))</f>
        <v>2</v>
      </c>
      <c r="U86" s="13">
        <f>IF(Distances!U82="N.C.",0,ROUNDUP(U56+'Délai intermédiaire'!U82/24,0))</f>
        <v>2</v>
      </c>
      <c r="V86" s="13">
        <f>IF(Distances!V82="N.C.",0,ROUNDUP(V56+'Délai intermédiaire'!V82/24,0))</f>
        <v>2</v>
      </c>
      <c r="W86" s="13">
        <f>IF(Distances!W82="N.C.",0,ROUNDUP(W56+'Délai intermédiaire'!W82/24,0))</f>
        <v>2</v>
      </c>
      <c r="X86" s="13">
        <f>IF(Distances!X82="N.C.",0,ROUNDUP(X56+'Délai intermédiaire'!X82/24,0))</f>
        <v>2</v>
      </c>
      <c r="Y86" s="13">
        <f>IF(Distances!Y82="N.C.",0,ROUNDUP(Y56+'Délai intermédiaire'!Y82/24,0))</f>
        <v>2</v>
      </c>
      <c r="Z86" s="13">
        <f>IF(Distances!Z82="N.C.",0,ROUNDUP(Z56+'Délai intermédiaire'!Z82/24,0))</f>
        <v>3</v>
      </c>
      <c r="AA86" s="13">
        <f>IF(Distances!AA82="N.C.",0,ROUNDUP(AA56+'Délai intermédiaire'!AA82/24,0))</f>
        <v>3</v>
      </c>
      <c r="AB86" s="13">
        <f>IF(Distances!AB82="N.C.",0,ROUNDUP(AB56+'Délai intermédiaire'!AB82/24,0))</f>
        <v>3</v>
      </c>
      <c r="AC86" s="13">
        <f>IF(Distances!AC82="N.C.",0,ROUNDUP(AC56+'Délai intermédiaire'!AC82/24,0))</f>
        <v>2</v>
      </c>
      <c r="AD86" s="12">
        <f>IF(Distances!AD82="N.C.",0,ROUNDUP(AD56+'Délai intermédiaire'!AD82/24,0))</f>
        <v>2</v>
      </c>
      <c r="AE86" s="13">
        <f>IF(Distances!AE82="N.C.",0,ROUNDUP(AE56+'Délai intermédiaire'!AE82/24,0))</f>
        <v>3</v>
      </c>
      <c r="AF86" s="13">
        <f>IF(Distances!AF82="N.C.",0,ROUNDUP(AF56+'Délai intermédiaire'!AF82/24,0))</f>
        <v>2</v>
      </c>
      <c r="AG86" s="13">
        <f>IF(Distances!AG82="N.C.",0,ROUNDUP(AG56+'Délai intermédiaire'!AG82/24,0))</f>
        <v>3</v>
      </c>
      <c r="AH86" s="14">
        <f>IF(Distances!AH82="N.C.",0,ROUNDUP(AH56+'Délai intermédiaire'!AH82/24,0))</f>
        <v>0</v>
      </c>
      <c r="AI86" s="14">
        <f>IF(Distances!AI82="N.C.",0,ROUNDUP(AI56+'Délai intermédiaire'!AI82/24,0))</f>
        <v>0</v>
      </c>
      <c r="AJ86" s="14">
        <f>IF(Distances!AJ82="N.C.",0,ROUNDUP(AJ56+'Délai intermédiaire'!AJ82/24,0))</f>
        <v>0</v>
      </c>
      <c r="AK86" s="14">
        <f>IF(Distances!AK82="N.C.",0,ROUNDUP(AK56+'Délai intermédiaire'!AK82/24,0))</f>
        <v>0</v>
      </c>
      <c r="AL86" s="14">
        <f>IF(Distances!AL82="N.C.",0,ROUNDUP(AL56+'Délai intermédiaire'!AL82/24,0))</f>
        <v>0</v>
      </c>
      <c r="AM86" s="14">
        <f>IF(Distances!AM82="N.C.",0,ROUNDUP(AM56+'Délai intermédiaire'!AM82/24,0))</f>
        <v>0</v>
      </c>
      <c r="AN86" s="14">
        <f>IF(Distances!AN82="N.C.",0,ROUNDUP(AN56+'Délai intermédiaire'!AN82/24,0))</f>
        <v>0</v>
      </c>
      <c r="AO86" s="14">
        <f>IF(Distances!AO82="N.C.",0,ROUNDUP(AO56+'Délai intermédiaire'!AO82/24,0))</f>
        <v>0</v>
      </c>
      <c r="AP86" s="14">
        <f>IF(Distances!AP82="N.C.",0,ROUNDUP(AP56+'Délai intermédiaire'!AP82/24,0))</f>
        <v>0</v>
      </c>
      <c r="AQ86" s="14">
        <f>IF(Distances!AQ82="N.C.",0,ROUNDUP(AQ56+'Délai intermédiaire'!AQ82/24,0))</f>
        <v>0</v>
      </c>
      <c r="AR86" s="14">
        <f>IF(Distances!AR82="N.C.",0,ROUNDUP(AR56+'Délai intermédiaire'!AR82/24,0))</f>
        <v>0</v>
      </c>
      <c r="AS86" s="14">
        <f>IF(Distances!AS82="N.C.",0,ROUNDUP(AS56+'Délai intermédiaire'!AS82/24,0))</f>
        <v>0</v>
      </c>
      <c r="AT86" s="14">
        <f>IF(Distances!AT82="N.C.",0,ROUNDUP(AT56+'Délai intermédiaire'!AT82/24,0))</f>
        <v>0</v>
      </c>
      <c r="AU86" s="14">
        <f>IF(Distances!AU82="N.C.",0,ROUNDUP(AU56+'Délai intermédiaire'!AU82/24,0))</f>
        <v>0</v>
      </c>
      <c r="AV86" s="14">
        <f>IF(Distances!AV82="N.C.",0,ROUNDUP(AV56+'Délai intermédiaire'!AV82/24,0))</f>
        <v>5</v>
      </c>
      <c r="AW86" s="14">
        <f>IF(Distances!AW82="N.C.",0,ROUNDUP(AW56+'Délai intermédiaire'!AW82/24,0))</f>
        <v>8</v>
      </c>
      <c r="AX86" s="14">
        <f>IF(Distances!AX82="N.C.",0,ROUNDUP(AX56+'Délai intermédiaire'!AX82/24,0))</f>
        <v>11</v>
      </c>
      <c r="AY86" s="14">
        <f>IF(Distances!AY82="N.C.",0,ROUNDUP(AY56+'Délai intermédiaire'!AY82/24,0))</f>
        <v>0</v>
      </c>
      <c r="AZ86" s="14">
        <f>IF(Distances!AZ82="N.C.",0,ROUNDUP(AZ56+'Délai intermédiaire'!AZ82/24,0))</f>
        <v>0</v>
      </c>
      <c r="BA86" s="14">
        <f>IF(Distances!BA82="N.C.",0,ROUNDUP(BA56+'Délai intermédiaire'!BA82/24,0))</f>
        <v>0</v>
      </c>
      <c r="BB86" s="13">
        <f>IF(Distances!BB82="N.C.",0,ROUNDUP(BB56+'Délai intermédiaire'!BB82/24,0))</f>
        <v>0</v>
      </c>
      <c r="BC86" s="14">
        <f>IF(Distances!BC82="N.C.",0,ROUNDUP(BC56+'Délai intermédiaire'!BC82/24,0))</f>
        <v>0</v>
      </c>
      <c r="BD86" s="14">
        <f>IF(Distances!BD82="N.C.",0,ROUNDUP(BD56+'Délai intermédiaire'!BD82/24,0))</f>
        <v>0</v>
      </c>
      <c r="BE86" s="14">
        <f>IF(Distances!BE82="N.C.",0,ROUNDUP(BE56+'Délai intermédiaire'!BE82/24,0))</f>
        <v>0</v>
      </c>
      <c r="BF86" s="13">
        <f>IF(Distances!BF82="N.C.",0,ROUNDUP(BF56+'Délai intermédiaire'!BF82/24,0))</f>
        <v>4</v>
      </c>
      <c r="BG86" s="13">
        <f>IF(Distances!BG82="N.C.",0,ROUNDUP(BG56+'Délai intermédiaire'!BG82/24,0))</f>
        <v>0</v>
      </c>
      <c r="BH86" s="14">
        <f>IF(Distances!BH82="N.C.",0,ROUNDUP(BH56+'Délai intermédiaire'!BH82/24,0))</f>
        <v>0</v>
      </c>
      <c r="BI86" s="14">
        <f>IF(Distances!BI82="N.C.",0,ROUNDUP(BI56+'Délai intermédiaire'!BI82/24,0))</f>
        <v>0</v>
      </c>
      <c r="BJ86" s="15">
        <f>IF(Distances!BJ82="N.C.",0,ROUNDUP(BJ56+'Délai intermédiaire'!BJ82/24,0))</f>
        <v>0</v>
      </c>
    </row>
    <row r="87" spans="1:62" x14ac:dyDescent="0.3">
      <c r="A87" s="10" t="s">
        <v>30</v>
      </c>
      <c r="B87" s="16">
        <f>IF(Distances!B83="N.C.",0,ROUNDUP(B56+'Délai intermédiaire'!B83/24,0))</f>
        <v>0</v>
      </c>
      <c r="C87" s="14">
        <f>IF(Distances!C83="N.C.",0,ROUNDUP(C56+'Délai intermédiaire'!C83/24,0))</f>
        <v>0</v>
      </c>
      <c r="D87" s="14">
        <f>IF(Distances!D83="N.C.",0,ROUNDUP(D56+'Délai intermédiaire'!D83/24,0))</f>
        <v>0</v>
      </c>
      <c r="E87" s="14">
        <f>IF(Distances!E83="N.C.",0,ROUNDUP(E56+'Délai intermédiaire'!E83/24,0))</f>
        <v>0</v>
      </c>
      <c r="F87" s="14">
        <f>IF(Distances!F83="N.C.",0,ROUNDUP(F56+'Délai intermédiaire'!F83/24,0))</f>
        <v>0</v>
      </c>
      <c r="G87" s="14">
        <f>IF(Distances!G83="N.C.",0,ROUNDUP(G56+'Délai intermédiaire'!G83/24,0))</f>
        <v>0</v>
      </c>
      <c r="H87" s="14">
        <f>IF(Distances!H83="N.C.",0,ROUNDUP(H56+'Délai intermédiaire'!H83/24,0))</f>
        <v>0</v>
      </c>
      <c r="I87" s="14">
        <f>IF(Distances!I83="N.C.",0,ROUNDUP(I56+'Délai intermédiaire'!I83/24,0))</f>
        <v>0</v>
      </c>
      <c r="J87" s="14">
        <f>IF(Distances!J83="N.C.",0,ROUNDUP(J56+'Délai intermédiaire'!J83/24,0))</f>
        <v>0</v>
      </c>
      <c r="K87" s="14">
        <f>IF(Distances!K83="N.C.",0,ROUNDUP(K56+'Délai intermédiaire'!K83/24,0))</f>
        <v>0</v>
      </c>
      <c r="L87" s="14">
        <f>IF(Distances!L83="N.C.",0,ROUNDUP(L56+'Délai intermédiaire'!L83/24,0))</f>
        <v>0</v>
      </c>
      <c r="M87" s="14">
        <f>IF(Distances!M83="N.C.",0,ROUNDUP(M56+'Délai intermédiaire'!M83/24,0))</f>
        <v>0</v>
      </c>
      <c r="N87" s="14">
        <f>IF(Distances!N83="N.C.",0,ROUNDUP(N56+'Délai intermédiaire'!N83/24,0))</f>
        <v>0</v>
      </c>
      <c r="O87" s="14">
        <f>IF(Distances!O83="N.C.",0,ROUNDUP(O56+'Délai intermédiaire'!O83/24,0))</f>
        <v>0</v>
      </c>
      <c r="P87" s="14">
        <f>IF(Distances!P83="N.C.",0,ROUNDUP(P56+'Délai intermédiaire'!P83/24,0))</f>
        <v>0</v>
      </c>
      <c r="Q87" s="13">
        <f>IF(Distances!Q83="N.C.",0,ROUNDUP(Q56+'Délai intermédiaire'!Q83/24,0))</f>
        <v>2</v>
      </c>
      <c r="R87" s="13">
        <f>IF(Distances!R83="N.C.",0,ROUNDUP(R56+'Délai intermédiaire'!R83/24,0))</f>
        <v>0</v>
      </c>
      <c r="S87" s="13">
        <f>IF(Distances!S83="N.C.",0,ROUNDUP(S56+'Délai intermédiaire'!S83/24,0))</f>
        <v>2</v>
      </c>
      <c r="T87" s="13">
        <f>IF(Distances!T83="N.C.",0,ROUNDUP(T56+'Délai intermédiaire'!T83/24,0))</f>
        <v>2</v>
      </c>
      <c r="U87" s="13">
        <f>IF(Distances!U83="N.C.",0,ROUNDUP(U56+'Délai intermédiaire'!U83/24,0))</f>
        <v>2</v>
      </c>
      <c r="V87" s="13">
        <f>IF(Distances!V83="N.C.",0,ROUNDUP(V56+'Délai intermédiaire'!V83/24,0))</f>
        <v>2</v>
      </c>
      <c r="W87" s="13">
        <f>IF(Distances!W83="N.C.",0,ROUNDUP(W56+'Délai intermédiaire'!W83/24,0))</f>
        <v>2</v>
      </c>
      <c r="X87" s="13">
        <f>IF(Distances!X83="N.C.",0,ROUNDUP(X56+'Délai intermédiaire'!X83/24,0))</f>
        <v>2</v>
      </c>
      <c r="Y87" s="13">
        <f>IF(Distances!Y83="N.C.",0,ROUNDUP(Y56+'Délai intermédiaire'!Y83/24,0))</f>
        <v>2</v>
      </c>
      <c r="Z87" s="13">
        <f>IF(Distances!Z83="N.C.",0,ROUNDUP(Z56+'Délai intermédiaire'!Z83/24,0))</f>
        <v>3</v>
      </c>
      <c r="AA87" s="13">
        <f>IF(Distances!AA83="N.C.",0,ROUNDUP(AA56+'Délai intermédiaire'!AA83/24,0))</f>
        <v>3</v>
      </c>
      <c r="AB87" s="13">
        <f>IF(Distances!AB83="N.C.",0,ROUNDUP(AB56+'Délai intermédiaire'!AB83/24,0))</f>
        <v>0</v>
      </c>
      <c r="AC87" s="13">
        <f>IF(Distances!AC83="N.C.",0,ROUNDUP(AC56+'Délai intermédiaire'!AC83/24,0))</f>
        <v>3</v>
      </c>
      <c r="AD87" s="13">
        <f>IF(Distances!AD83="N.C.",0,ROUNDUP(AD56+'Délai intermédiaire'!AD83/24,0))</f>
        <v>3</v>
      </c>
      <c r="AE87" s="12">
        <f>IF(Distances!AE83="N.C.",0,ROUNDUP(AE56+'Délai intermédiaire'!AE83/24,0))</f>
        <v>2</v>
      </c>
      <c r="AF87" s="13">
        <f>IF(Distances!AF83="N.C.",0,ROUNDUP(AF56+'Délai intermédiaire'!AF83/24,0))</f>
        <v>2</v>
      </c>
      <c r="AG87" s="13">
        <f>IF(Distances!AG83="N.C.",0,ROUNDUP(AG56+'Délai intermédiaire'!AG83/24,0))</f>
        <v>3</v>
      </c>
      <c r="AH87" s="14">
        <f>IF(Distances!AH83="N.C.",0,ROUNDUP(AH56+'Délai intermédiaire'!AH83/24,0))</f>
        <v>0</v>
      </c>
      <c r="AI87" s="14">
        <f>IF(Distances!AI83="N.C.",0,ROUNDUP(AI56+'Délai intermédiaire'!AI83/24,0))</f>
        <v>0</v>
      </c>
      <c r="AJ87" s="14">
        <f>IF(Distances!AJ83="N.C.",0,ROUNDUP(AJ56+'Délai intermédiaire'!AJ83/24,0))</f>
        <v>0</v>
      </c>
      <c r="AK87" s="14">
        <f>IF(Distances!AK83="N.C.",0,ROUNDUP(AK56+'Délai intermédiaire'!AK83/24,0))</f>
        <v>0</v>
      </c>
      <c r="AL87" s="14">
        <f>IF(Distances!AL83="N.C.",0,ROUNDUP(AL56+'Délai intermédiaire'!AL83/24,0))</f>
        <v>0</v>
      </c>
      <c r="AM87" s="14">
        <f>IF(Distances!AM83="N.C.",0,ROUNDUP(AM56+'Délai intermédiaire'!AM83/24,0))</f>
        <v>0</v>
      </c>
      <c r="AN87" s="14">
        <f>IF(Distances!AN83="N.C.",0,ROUNDUP(AN56+'Délai intermédiaire'!AN83/24,0))</f>
        <v>0</v>
      </c>
      <c r="AO87" s="14">
        <f>IF(Distances!AO83="N.C.",0,ROUNDUP(AO56+'Délai intermédiaire'!AO83/24,0))</f>
        <v>0</v>
      </c>
      <c r="AP87" s="14">
        <f>IF(Distances!AP83="N.C.",0,ROUNDUP(AP56+'Délai intermédiaire'!AP83/24,0))</f>
        <v>0</v>
      </c>
      <c r="AQ87" s="14">
        <f>IF(Distances!AQ83="N.C.",0,ROUNDUP(AQ56+'Délai intermédiaire'!AQ83/24,0))</f>
        <v>0</v>
      </c>
      <c r="AR87" s="14">
        <f>IF(Distances!AR83="N.C.",0,ROUNDUP(AR56+'Délai intermédiaire'!AR83/24,0))</f>
        <v>0</v>
      </c>
      <c r="AS87" s="14">
        <f>IF(Distances!AS83="N.C.",0,ROUNDUP(AS56+'Délai intermédiaire'!AS83/24,0))</f>
        <v>0</v>
      </c>
      <c r="AT87" s="14">
        <f>IF(Distances!AT83="N.C.",0,ROUNDUP(AT56+'Délai intermédiaire'!AT83/24,0))</f>
        <v>0</v>
      </c>
      <c r="AU87" s="14">
        <f>IF(Distances!AU83="N.C.",0,ROUNDUP(AU56+'Délai intermédiaire'!AU83/24,0))</f>
        <v>0</v>
      </c>
      <c r="AV87" s="12">
        <f>IF(Distances!AV83="N.C.",0,ROUNDUP(AV56+'Délai intermédiaire'!AV83/24,0))</f>
        <v>5</v>
      </c>
      <c r="AW87" s="14">
        <f>IF(Distances!AW83="N.C.",0,ROUNDUP(AW56+'Délai intermédiaire'!AW83/24,0))</f>
        <v>7</v>
      </c>
      <c r="AX87" s="14">
        <f>IF(Distances!AX83="N.C.",0,ROUNDUP(AX56+'Délai intermédiaire'!AX83/24,0))</f>
        <v>11</v>
      </c>
      <c r="AY87" s="14">
        <f>IF(Distances!AY83="N.C.",0,ROUNDUP(AY56+'Délai intermédiaire'!AY83/24,0))</f>
        <v>0</v>
      </c>
      <c r="AZ87" s="14">
        <f>IF(Distances!AZ83="N.C.",0,ROUNDUP(AZ56+'Délai intermédiaire'!AZ83/24,0))</f>
        <v>0</v>
      </c>
      <c r="BA87" s="14">
        <f>IF(Distances!BA83="N.C.",0,ROUNDUP(BA56+'Délai intermédiaire'!BA83/24,0))</f>
        <v>0</v>
      </c>
      <c r="BB87" s="13">
        <f>IF(Distances!BB83="N.C.",0,ROUNDUP(BB56+'Délai intermédiaire'!BB83/24,0))</f>
        <v>4</v>
      </c>
      <c r="BC87" s="14">
        <f>IF(Distances!BC83="N.C.",0,ROUNDUP(BC56+'Délai intermédiaire'!BC83/24,0))</f>
        <v>0</v>
      </c>
      <c r="BD87" s="14">
        <f>IF(Distances!BD83="N.C.",0,ROUNDUP(BD56+'Délai intermédiaire'!BD83/24,0))</f>
        <v>0</v>
      </c>
      <c r="BE87" s="14">
        <f>IF(Distances!BE83="N.C.",0,ROUNDUP(BE56+'Délai intermédiaire'!BE83/24,0))</f>
        <v>0</v>
      </c>
      <c r="BF87" s="12">
        <f>IF(Distances!BF83="N.C.",0,ROUNDUP(BF56+'Délai intermédiaire'!BF83/24,0))</f>
        <v>3</v>
      </c>
      <c r="BG87" s="13">
        <f>IF(Distances!BG83="N.C.",0,ROUNDUP(BG56+'Délai intermédiaire'!BG83/24,0))</f>
        <v>0</v>
      </c>
      <c r="BH87" s="14">
        <f>IF(Distances!BH83="N.C.",0,ROUNDUP(BH56+'Délai intermédiaire'!BH83/24,0))</f>
        <v>0</v>
      </c>
      <c r="BI87" s="14">
        <f>IF(Distances!BI83="N.C.",0,ROUNDUP(BI56+'Délai intermédiaire'!BI83/24,0))</f>
        <v>0</v>
      </c>
      <c r="BJ87" s="15">
        <f>IF(Distances!BJ83="N.C.",0,ROUNDUP(BJ56+'Délai intermédiaire'!BJ83/24,0))</f>
        <v>0</v>
      </c>
    </row>
    <row r="88" spans="1:62" x14ac:dyDescent="0.3">
      <c r="A88" s="10" t="s">
        <v>31</v>
      </c>
      <c r="B88" s="16">
        <f>IF(Distances!B84="N.C.",0,ROUNDUP(B56+'Délai intermédiaire'!B84/24,0))</f>
        <v>0</v>
      </c>
      <c r="C88" s="14">
        <f>IF(Distances!C84="N.C.",0,ROUNDUP(C56+'Délai intermédiaire'!C84/24,0))</f>
        <v>0</v>
      </c>
      <c r="D88" s="14">
        <f>IF(Distances!D84="N.C.",0,ROUNDUP(D56+'Délai intermédiaire'!D84/24,0))</f>
        <v>0</v>
      </c>
      <c r="E88" s="14">
        <f>IF(Distances!E84="N.C.",0,ROUNDUP(E56+'Délai intermédiaire'!E84/24,0))</f>
        <v>0</v>
      </c>
      <c r="F88" s="14">
        <f>IF(Distances!F84="N.C.",0,ROUNDUP(F56+'Délai intermédiaire'!F84/24,0))</f>
        <v>0</v>
      </c>
      <c r="G88" s="14">
        <f>IF(Distances!G84="N.C.",0,ROUNDUP(G56+'Délai intermédiaire'!G84/24,0))</f>
        <v>0</v>
      </c>
      <c r="H88" s="14">
        <f>IF(Distances!H84="N.C.",0,ROUNDUP(H56+'Délai intermédiaire'!H84/24,0))</f>
        <v>0</v>
      </c>
      <c r="I88" s="14">
        <f>IF(Distances!I84="N.C.",0,ROUNDUP(I56+'Délai intermédiaire'!I84/24,0))</f>
        <v>0</v>
      </c>
      <c r="J88" s="14">
        <f>IF(Distances!J84="N.C.",0,ROUNDUP(J56+'Délai intermédiaire'!J84/24,0))</f>
        <v>0</v>
      </c>
      <c r="K88" s="14">
        <f>IF(Distances!K84="N.C.",0,ROUNDUP(K56+'Délai intermédiaire'!K84/24,0))</f>
        <v>0</v>
      </c>
      <c r="L88" s="14">
        <f>IF(Distances!L84="N.C.",0,ROUNDUP(L56+'Délai intermédiaire'!L84/24,0))</f>
        <v>0</v>
      </c>
      <c r="M88" s="14">
        <f>IF(Distances!M84="N.C.",0,ROUNDUP(M56+'Délai intermédiaire'!M84/24,0))</f>
        <v>0</v>
      </c>
      <c r="N88" s="14">
        <f>IF(Distances!N84="N.C.",0,ROUNDUP(N56+'Délai intermédiaire'!N84/24,0))</f>
        <v>0</v>
      </c>
      <c r="O88" s="14">
        <f>IF(Distances!O84="N.C.",0,ROUNDUP(O56+'Délai intermédiaire'!O84/24,0))</f>
        <v>0</v>
      </c>
      <c r="P88" s="14">
        <f>IF(Distances!P84="N.C.",0,ROUNDUP(P56+'Délai intermédiaire'!P84/24,0))</f>
        <v>0</v>
      </c>
      <c r="Q88" s="13">
        <f>IF(Distances!Q84="N.C.",0,ROUNDUP(Q56+'Délai intermédiaire'!Q84/24,0))</f>
        <v>2</v>
      </c>
      <c r="R88" s="13">
        <f>IF(Distances!R84="N.C.",0,ROUNDUP(R56+'Délai intermédiaire'!R84/24,0))</f>
        <v>0</v>
      </c>
      <c r="S88" s="13">
        <f>IF(Distances!S84="N.C.",0,ROUNDUP(S56+'Délai intermédiaire'!S84/24,0))</f>
        <v>2</v>
      </c>
      <c r="T88" s="13">
        <f>IF(Distances!T84="N.C.",0,ROUNDUP(T56+'Délai intermédiaire'!T84/24,0))</f>
        <v>2</v>
      </c>
      <c r="U88" s="13">
        <f>IF(Distances!U84="N.C.",0,ROUNDUP(U56+'Délai intermédiaire'!U84/24,0))</f>
        <v>2</v>
      </c>
      <c r="V88" s="13">
        <f>IF(Distances!V84="N.C.",0,ROUNDUP(V56+'Délai intermédiaire'!V84/24,0))</f>
        <v>2</v>
      </c>
      <c r="W88" s="13">
        <f>IF(Distances!W84="N.C.",0,ROUNDUP(W56+'Délai intermédiaire'!W84/24,0))</f>
        <v>2</v>
      </c>
      <c r="X88" s="13">
        <f>IF(Distances!X84="N.C.",0,ROUNDUP(X56+'Délai intermédiaire'!X84/24,0))</f>
        <v>2</v>
      </c>
      <c r="Y88" s="13">
        <f>IF(Distances!Y84="N.C.",0,ROUNDUP(Y56+'Délai intermédiaire'!Y84/24,0))</f>
        <v>2</v>
      </c>
      <c r="Z88" s="13">
        <f>IF(Distances!Z84="N.C.",0,ROUNDUP(Z56+'Délai intermédiaire'!Z84/24,0))</f>
        <v>3</v>
      </c>
      <c r="AA88" s="13">
        <f>IF(Distances!AA84="N.C.",0,ROUNDUP(AA56+'Délai intermédiaire'!AA84/24,0))</f>
        <v>3</v>
      </c>
      <c r="AB88" s="13">
        <f>IF(Distances!AB84="N.C.",0,ROUNDUP(AB56+'Délai intermédiaire'!AB84/24,0))</f>
        <v>2</v>
      </c>
      <c r="AC88" s="13">
        <f>IF(Distances!AC84="N.C.",0,ROUNDUP(AC56+'Délai intermédiaire'!AC84/24,0))</f>
        <v>3</v>
      </c>
      <c r="AD88" s="13">
        <f>IF(Distances!AD84="N.C.",0,ROUNDUP(AD56+'Délai intermédiaire'!AD84/24,0))</f>
        <v>3</v>
      </c>
      <c r="AE88" s="13">
        <f>IF(Distances!AE84="N.C.",0,ROUNDUP(AE56+'Délai intermédiaire'!AE84/24,0))</f>
        <v>3</v>
      </c>
      <c r="AF88" s="12">
        <f>IF(Distances!AF84="N.C.",0,ROUNDUP(AF56+'Délai intermédiaire'!AF84/24,0))</f>
        <v>1</v>
      </c>
      <c r="AG88" s="13">
        <f>IF(Distances!AG84="N.C.",0,ROUNDUP(AG56+'Délai intermédiaire'!AG84/24,0))</f>
        <v>3</v>
      </c>
      <c r="AH88" s="14">
        <f>IF(Distances!AH84="N.C.",0,ROUNDUP(AH56+'Délai intermédiaire'!AH84/24,0))</f>
        <v>0</v>
      </c>
      <c r="AI88" s="14">
        <f>IF(Distances!AI84="N.C.",0,ROUNDUP(AI56+'Délai intermédiaire'!AI84/24,0))</f>
        <v>0</v>
      </c>
      <c r="AJ88" s="14">
        <f>IF(Distances!AJ84="N.C.",0,ROUNDUP(AJ56+'Délai intermédiaire'!AJ84/24,0))</f>
        <v>0</v>
      </c>
      <c r="AK88" s="14">
        <f>IF(Distances!AK84="N.C.",0,ROUNDUP(AK56+'Délai intermédiaire'!AK84/24,0))</f>
        <v>0</v>
      </c>
      <c r="AL88" s="14">
        <f>IF(Distances!AL84="N.C.",0,ROUNDUP(AL56+'Délai intermédiaire'!AL84/24,0))</f>
        <v>0</v>
      </c>
      <c r="AM88" s="14">
        <f>IF(Distances!AM84="N.C.",0,ROUNDUP(AM56+'Délai intermédiaire'!AM84/24,0))</f>
        <v>0</v>
      </c>
      <c r="AN88" s="14">
        <f>IF(Distances!AN84="N.C.",0,ROUNDUP(AN56+'Délai intermédiaire'!AN84/24,0))</f>
        <v>0</v>
      </c>
      <c r="AO88" s="14">
        <f>IF(Distances!AO84="N.C.",0,ROUNDUP(AO56+'Délai intermédiaire'!AO84/24,0))</f>
        <v>0</v>
      </c>
      <c r="AP88" s="14">
        <f>IF(Distances!AP84="N.C.",0,ROUNDUP(AP56+'Délai intermédiaire'!AP84/24,0))</f>
        <v>0</v>
      </c>
      <c r="AQ88" s="14">
        <f>IF(Distances!AQ84="N.C.",0,ROUNDUP(AQ56+'Délai intermédiaire'!AQ84/24,0))</f>
        <v>0</v>
      </c>
      <c r="AR88" s="14">
        <f>IF(Distances!AR84="N.C.",0,ROUNDUP(AR56+'Délai intermédiaire'!AR84/24,0))</f>
        <v>0</v>
      </c>
      <c r="AS88" s="14">
        <f>IF(Distances!AS84="N.C.",0,ROUNDUP(AS56+'Délai intermédiaire'!AS84/24,0))</f>
        <v>0</v>
      </c>
      <c r="AT88" s="14">
        <f>IF(Distances!AT84="N.C.",0,ROUNDUP(AT56+'Délai intermédiaire'!AT84/24,0))</f>
        <v>0</v>
      </c>
      <c r="AU88" s="14">
        <f>IF(Distances!AU84="N.C.",0,ROUNDUP(AU56+'Délai intermédiaire'!AU84/24,0))</f>
        <v>0</v>
      </c>
      <c r="AV88" s="14">
        <f>IF(Distances!AV84="N.C.",0,ROUNDUP(AV56+'Délai intermédiaire'!AV84/24,0))</f>
        <v>5</v>
      </c>
      <c r="AW88" s="14">
        <f>IF(Distances!AW84="N.C.",0,ROUNDUP(AW56+'Délai intermédiaire'!AW84/24,0))</f>
        <v>7</v>
      </c>
      <c r="AX88" s="14">
        <f>IF(Distances!AX84="N.C.",0,ROUNDUP(AX56+'Délai intermédiaire'!AX84/24,0))</f>
        <v>11</v>
      </c>
      <c r="AY88" s="14">
        <f>IF(Distances!AY84="N.C.",0,ROUNDUP(AY56+'Délai intermédiaire'!AY84/24,0))</f>
        <v>0</v>
      </c>
      <c r="AZ88" s="14">
        <f>IF(Distances!AZ84="N.C.",0,ROUNDUP(AZ56+'Délai intermédiaire'!AZ84/24,0))</f>
        <v>0</v>
      </c>
      <c r="BA88" s="14">
        <f>IF(Distances!BA84="N.C.",0,ROUNDUP(BA56+'Délai intermédiaire'!BA84/24,0))</f>
        <v>0</v>
      </c>
      <c r="BB88" s="13">
        <f>IF(Distances!BB84="N.C.",0,ROUNDUP(BB56+'Délai intermédiaire'!BB84/24,0))</f>
        <v>3</v>
      </c>
      <c r="BC88" s="14">
        <f>IF(Distances!BC84="N.C.",0,ROUNDUP(BC56+'Délai intermédiaire'!BC84/24,0))</f>
        <v>0</v>
      </c>
      <c r="BD88" s="14">
        <f>IF(Distances!BD84="N.C.",0,ROUNDUP(BD56+'Délai intermédiaire'!BD84/24,0))</f>
        <v>0</v>
      </c>
      <c r="BE88" s="14">
        <f>IF(Distances!BE84="N.C.",0,ROUNDUP(BE56+'Délai intermédiaire'!BE84/24,0))</f>
        <v>0</v>
      </c>
      <c r="BF88" s="13">
        <f>IF(Distances!BF84="N.C.",0,ROUNDUP(BF56+'Délai intermédiaire'!BF84/24,0))</f>
        <v>4</v>
      </c>
      <c r="BG88" s="13">
        <f>IF(Distances!BG84="N.C.",0,ROUNDUP(BG56+'Délai intermédiaire'!BG84/24,0))</f>
        <v>0</v>
      </c>
      <c r="BH88" s="14">
        <f>IF(Distances!BH84="N.C.",0,ROUNDUP(BH56+'Délai intermédiaire'!BH84/24,0))</f>
        <v>0</v>
      </c>
      <c r="BI88" s="14">
        <f>IF(Distances!BI84="N.C.",0,ROUNDUP(BI56+'Délai intermédiaire'!BI84/24,0))</f>
        <v>0</v>
      </c>
      <c r="BJ88" s="15">
        <f>IF(Distances!BJ84="N.C.",0,ROUNDUP(BJ56+'Délai intermédiaire'!BJ84/24,0))</f>
        <v>0</v>
      </c>
    </row>
    <row r="89" spans="1:62" x14ac:dyDescent="0.3">
      <c r="A89" s="10" t="s">
        <v>32</v>
      </c>
      <c r="B89" s="16">
        <f>IF(Distances!B85="N.C.",0,ROUNDUP(B56+'Délai intermédiaire'!B85/24,0))</f>
        <v>0</v>
      </c>
      <c r="C89" s="14">
        <f>IF(Distances!C85="N.C.",0,ROUNDUP(C56+'Délai intermédiaire'!C85/24,0))</f>
        <v>0</v>
      </c>
      <c r="D89" s="14">
        <f>IF(Distances!D85="N.C.",0,ROUNDUP(D56+'Délai intermédiaire'!D85/24,0))</f>
        <v>0</v>
      </c>
      <c r="E89" s="14">
        <f>IF(Distances!E85="N.C.",0,ROUNDUP(E56+'Délai intermédiaire'!E85/24,0))</f>
        <v>0</v>
      </c>
      <c r="F89" s="14">
        <f>IF(Distances!F85="N.C.",0,ROUNDUP(F56+'Délai intermédiaire'!F85/24,0))</f>
        <v>0</v>
      </c>
      <c r="G89" s="14">
        <f>IF(Distances!G85="N.C.",0,ROUNDUP(G56+'Délai intermédiaire'!G85/24,0))</f>
        <v>0</v>
      </c>
      <c r="H89" s="14">
        <f>IF(Distances!H85="N.C.",0,ROUNDUP(H56+'Délai intermédiaire'!H85/24,0))</f>
        <v>0</v>
      </c>
      <c r="I89" s="14">
        <f>IF(Distances!I85="N.C.",0,ROUNDUP(I56+'Délai intermédiaire'!I85/24,0))</f>
        <v>0</v>
      </c>
      <c r="J89" s="14">
        <f>IF(Distances!J85="N.C.",0,ROUNDUP(J56+'Délai intermédiaire'!J85/24,0))</f>
        <v>0</v>
      </c>
      <c r="K89" s="14">
        <f>IF(Distances!K85="N.C.",0,ROUNDUP(K56+'Délai intermédiaire'!K85/24,0))</f>
        <v>0</v>
      </c>
      <c r="L89" s="14">
        <f>IF(Distances!L85="N.C.",0,ROUNDUP(L56+'Délai intermédiaire'!L85/24,0))</f>
        <v>0</v>
      </c>
      <c r="M89" s="14">
        <f>IF(Distances!M85="N.C.",0,ROUNDUP(M56+'Délai intermédiaire'!M85/24,0))</f>
        <v>0</v>
      </c>
      <c r="N89" s="14">
        <f>IF(Distances!N85="N.C.",0,ROUNDUP(N56+'Délai intermédiaire'!N85/24,0))</f>
        <v>0</v>
      </c>
      <c r="O89" s="14">
        <f>IF(Distances!O85="N.C.",0,ROUNDUP(O56+'Délai intermédiaire'!O85/24,0))</f>
        <v>0</v>
      </c>
      <c r="P89" s="14">
        <f>IF(Distances!P85="N.C.",0,ROUNDUP(P56+'Délai intermédiaire'!P85/24,0))</f>
        <v>0</v>
      </c>
      <c r="Q89" s="13">
        <f>IF(Distances!Q85="N.C.",0,ROUNDUP(Q56+'Délai intermédiaire'!Q85/24,0))</f>
        <v>2</v>
      </c>
      <c r="R89" s="13">
        <f>IF(Distances!R85="N.C.",0,ROUNDUP(R56+'Délai intermédiaire'!R85/24,0))</f>
        <v>0</v>
      </c>
      <c r="S89" s="13">
        <f>IF(Distances!S85="N.C.",0,ROUNDUP(S56+'Délai intermédiaire'!S85/24,0))</f>
        <v>2</v>
      </c>
      <c r="T89" s="13">
        <f>IF(Distances!T85="N.C.",0,ROUNDUP(T56+'Délai intermédiaire'!T85/24,0))</f>
        <v>2</v>
      </c>
      <c r="U89" s="13">
        <f>IF(Distances!U85="N.C.",0,ROUNDUP(U56+'Délai intermédiaire'!U85/24,0))</f>
        <v>2</v>
      </c>
      <c r="V89" s="13">
        <f>IF(Distances!V85="N.C.",0,ROUNDUP(V56+'Délai intermédiaire'!V85/24,0))</f>
        <v>2</v>
      </c>
      <c r="W89" s="13">
        <f>IF(Distances!W85="N.C.",0,ROUNDUP(W56+'Délai intermédiaire'!W85/24,0))</f>
        <v>2</v>
      </c>
      <c r="X89" s="13">
        <f>IF(Distances!X85="N.C.",0,ROUNDUP(X56+'Délai intermédiaire'!X85/24,0))</f>
        <v>2</v>
      </c>
      <c r="Y89" s="13">
        <f>IF(Distances!Y85="N.C.",0,ROUNDUP(Y56+'Délai intermédiaire'!Y85/24,0))</f>
        <v>2</v>
      </c>
      <c r="Z89" s="13">
        <f>IF(Distances!Z85="N.C.",0,ROUNDUP(Z56+'Délai intermédiaire'!Z85/24,0))</f>
        <v>3</v>
      </c>
      <c r="AA89" s="13">
        <f>IF(Distances!AA85="N.C.",0,ROUNDUP(AA56+'Délai intermédiaire'!AA85/24,0))</f>
        <v>3</v>
      </c>
      <c r="AB89" s="13">
        <f>IF(Distances!AB85="N.C.",0,ROUNDUP(AB56+'Délai intermédiaire'!AB85/24,0))</f>
        <v>0</v>
      </c>
      <c r="AC89" s="13">
        <f>IF(Distances!AC85="N.C.",0,ROUNDUP(AC56+'Délai intermédiaire'!AC85/24,0))</f>
        <v>2</v>
      </c>
      <c r="AD89" s="13">
        <f>IF(Distances!AD85="N.C.",0,ROUNDUP(AD56+'Délai intermédiaire'!AD85/24,0))</f>
        <v>3</v>
      </c>
      <c r="AE89" s="13">
        <f>IF(Distances!AE85="N.C.",0,ROUNDUP(AE56+'Délai intermédiaire'!AE85/24,0))</f>
        <v>3</v>
      </c>
      <c r="AF89" s="13">
        <f>IF(Distances!AF85="N.C.",0,ROUNDUP(AF56+'Délai intermédiaire'!AF85/24,0))</f>
        <v>2</v>
      </c>
      <c r="AG89" s="12">
        <f>IF(Distances!AG85="N.C.",0,ROUNDUP(AG56+'Délai intermédiaire'!AG85/24,0))</f>
        <v>2</v>
      </c>
      <c r="AH89" s="14">
        <f>IF(Distances!AH85="N.C.",0,ROUNDUP(AH56+'Délai intermédiaire'!AH85/24,0))</f>
        <v>0</v>
      </c>
      <c r="AI89" s="14">
        <f>IF(Distances!AI85="N.C.",0,ROUNDUP(AI56+'Délai intermédiaire'!AI85/24,0))</f>
        <v>0</v>
      </c>
      <c r="AJ89" s="14">
        <f>IF(Distances!AJ85="N.C.",0,ROUNDUP(AJ56+'Délai intermédiaire'!AJ85/24,0))</f>
        <v>0</v>
      </c>
      <c r="AK89" s="14">
        <f>IF(Distances!AK85="N.C.",0,ROUNDUP(AK56+'Délai intermédiaire'!AK85/24,0))</f>
        <v>0</v>
      </c>
      <c r="AL89" s="14">
        <f>IF(Distances!AL85="N.C.",0,ROUNDUP(AL56+'Délai intermédiaire'!AL85/24,0))</f>
        <v>0</v>
      </c>
      <c r="AM89" s="14">
        <f>IF(Distances!AM85="N.C.",0,ROUNDUP(AM56+'Délai intermédiaire'!AM85/24,0))</f>
        <v>0</v>
      </c>
      <c r="AN89" s="14">
        <f>IF(Distances!AN85="N.C.",0,ROUNDUP(AN56+'Délai intermédiaire'!AN85/24,0))</f>
        <v>0</v>
      </c>
      <c r="AO89" s="14">
        <f>IF(Distances!AO85="N.C.",0,ROUNDUP(AO56+'Délai intermédiaire'!AO85/24,0))</f>
        <v>0</v>
      </c>
      <c r="AP89" s="14">
        <f>IF(Distances!AP85="N.C.",0,ROUNDUP(AP56+'Délai intermédiaire'!AP85/24,0))</f>
        <v>0</v>
      </c>
      <c r="AQ89" s="14">
        <f>IF(Distances!AQ85="N.C.",0,ROUNDUP(AQ56+'Délai intermédiaire'!AQ85/24,0))</f>
        <v>0</v>
      </c>
      <c r="AR89" s="14">
        <f>IF(Distances!AR85="N.C.",0,ROUNDUP(AR56+'Délai intermédiaire'!AR85/24,0))</f>
        <v>0</v>
      </c>
      <c r="AS89" s="14">
        <f>IF(Distances!AS85="N.C.",0,ROUNDUP(AS56+'Délai intermédiaire'!AS85/24,0))</f>
        <v>0</v>
      </c>
      <c r="AT89" s="14">
        <f>IF(Distances!AT85="N.C.",0,ROUNDUP(AT56+'Délai intermédiaire'!AT85/24,0))</f>
        <v>0</v>
      </c>
      <c r="AU89" s="14">
        <f>IF(Distances!AU85="N.C.",0,ROUNDUP(AU56+'Délai intermédiaire'!AU85/24,0))</f>
        <v>0</v>
      </c>
      <c r="AV89" s="14">
        <f>IF(Distances!AV85="N.C.",0,ROUNDUP(AV56+'Délai intermédiaire'!AV85/24,0))</f>
        <v>5</v>
      </c>
      <c r="AW89" s="14">
        <f>IF(Distances!AW85="N.C.",0,ROUNDUP(AW56+'Délai intermédiaire'!AW85/24,0))</f>
        <v>8</v>
      </c>
      <c r="AX89" s="14">
        <f>IF(Distances!AX85="N.C.",0,ROUNDUP(AX56+'Délai intermédiaire'!AX85/24,0))</f>
        <v>11</v>
      </c>
      <c r="AY89" s="14">
        <f>IF(Distances!AY85="N.C.",0,ROUNDUP(AY56+'Délai intermédiaire'!AY85/24,0))</f>
        <v>0</v>
      </c>
      <c r="AZ89" s="14">
        <f>IF(Distances!AZ85="N.C.",0,ROUNDUP(AZ56+'Délai intermédiaire'!AZ85/24,0))</f>
        <v>0</v>
      </c>
      <c r="BA89" s="14">
        <f>IF(Distances!BA85="N.C.",0,ROUNDUP(BA56+'Délai intermédiaire'!BA85/24,0))</f>
        <v>0</v>
      </c>
      <c r="BB89" s="13">
        <f>IF(Distances!BB85="N.C.",0,ROUNDUP(BB56+'Délai intermédiaire'!BB85/24,0))</f>
        <v>3</v>
      </c>
      <c r="BC89" s="14">
        <f>IF(Distances!BC85="N.C.",0,ROUNDUP(BC56+'Délai intermédiaire'!BC85/24,0))</f>
        <v>0</v>
      </c>
      <c r="BD89" s="14">
        <f>IF(Distances!BD85="N.C.",0,ROUNDUP(BD56+'Délai intermédiaire'!BD85/24,0))</f>
        <v>0</v>
      </c>
      <c r="BE89" s="14">
        <f>IF(Distances!BE85="N.C.",0,ROUNDUP(BE56+'Délai intermédiaire'!BE85/24,0))</f>
        <v>0</v>
      </c>
      <c r="BF89" s="13">
        <f>IF(Distances!BF85="N.C.",0,ROUNDUP(BF56+'Délai intermédiaire'!BF85/24,0))</f>
        <v>4</v>
      </c>
      <c r="BG89" s="12">
        <f>IF(Distances!BG85="N.C.",0,ROUNDUP(BG56+'Délai intermédiaire'!BG85/24,0))</f>
        <v>0</v>
      </c>
      <c r="BH89" s="14">
        <f>IF(Distances!BH85="N.C.",0,ROUNDUP(BH56+'Délai intermédiaire'!BH85/24,0))</f>
        <v>0</v>
      </c>
      <c r="BI89" s="14">
        <f>IF(Distances!BI85="N.C.",0,ROUNDUP(BI56+'Délai intermédiaire'!BI85/24,0))</f>
        <v>0</v>
      </c>
      <c r="BJ89" s="15">
        <f>IF(Distances!BJ85="N.C.",0,ROUNDUP(BJ56+'Délai intermédiaire'!BJ85/24,0))</f>
        <v>0</v>
      </c>
    </row>
    <row r="90" spans="1:62" x14ac:dyDescent="0.3">
      <c r="A90" s="10" t="s">
        <v>33</v>
      </c>
      <c r="B90" s="16">
        <f>IF(Distances!B86="N.C.",0,ROUNDUP(B56+'Délai intermédiaire'!B86/24,0))</f>
        <v>0</v>
      </c>
      <c r="C90" s="14">
        <f>IF(Distances!C86="N.C.",0,ROUNDUP(C56+'Délai intermédiaire'!C86/24,0))</f>
        <v>0</v>
      </c>
      <c r="D90" s="14">
        <f>IF(Distances!D86="N.C.",0,ROUNDUP(D56+'Délai intermédiaire'!D86/24,0))</f>
        <v>0</v>
      </c>
      <c r="E90" s="14">
        <f>IF(Distances!E86="N.C.",0,ROUNDUP(E56+'Délai intermédiaire'!E86/24,0))</f>
        <v>0</v>
      </c>
      <c r="F90" s="14">
        <f>IF(Distances!F86="N.C.",0,ROUNDUP(F56+'Délai intermédiaire'!F86/24,0))</f>
        <v>0</v>
      </c>
      <c r="G90" s="14">
        <f>IF(Distances!G86="N.C.",0,ROUNDUP(G56+'Délai intermédiaire'!G86/24,0))</f>
        <v>0</v>
      </c>
      <c r="H90" s="14">
        <f>IF(Distances!H86="N.C.",0,ROUNDUP(H56+'Délai intermédiaire'!H86/24,0))</f>
        <v>0</v>
      </c>
      <c r="I90" s="14">
        <f>IF(Distances!I86="N.C.",0,ROUNDUP(I56+'Délai intermédiaire'!I86/24,0))</f>
        <v>0</v>
      </c>
      <c r="J90" s="14">
        <f>IF(Distances!J86="N.C.",0,ROUNDUP(J56+'Délai intermédiaire'!J86/24,0))</f>
        <v>0</v>
      </c>
      <c r="K90" s="14">
        <f>IF(Distances!K86="N.C.",0,ROUNDUP(K56+'Délai intermédiaire'!K86/24,0))</f>
        <v>0</v>
      </c>
      <c r="L90" s="14">
        <f>IF(Distances!L86="N.C.",0,ROUNDUP(L56+'Délai intermédiaire'!L86/24,0))</f>
        <v>0</v>
      </c>
      <c r="M90" s="14">
        <f>IF(Distances!M86="N.C.",0,ROUNDUP(M56+'Délai intermédiaire'!M86/24,0))</f>
        <v>0</v>
      </c>
      <c r="N90" s="14">
        <f>IF(Distances!N86="N.C.",0,ROUNDUP(N56+'Délai intermédiaire'!N86/24,0))</f>
        <v>0</v>
      </c>
      <c r="O90" s="14">
        <f>IF(Distances!O86="N.C.",0,ROUNDUP(O56+'Délai intermédiaire'!O86/24,0))</f>
        <v>0</v>
      </c>
      <c r="P90" s="14">
        <f>IF(Distances!P86="N.C.",0,ROUNDUP(P56+'Délai intermédiaire'!P86/24,0))</f>
        <v>0</v>
      </c>
      <c r="Q90" s="14">
        <f>IF(Distances!Q86="N.C.",0,ROUNDUP(Q56+'Délai intermédiaire'!Q86/24,0))</f>
        <v>0</v>
      </c>
      <c r="R90" s="14">
        <f>IF(Distances!R86="N.C.",0,ROUNDUP(R56+'Délai intermédiaire'!R86/24,0))</f>
        <v>0</v>
      </c>
      <c r="S90" s="14">
        <f>IF(Distances!S86="N.C.",0,ROUNDUP(S56+'Délai intermédiaire'!S86/24,0))</f>
        <v>0</v>
      </c>
      <c r="T90" s="14">
        <f>IF(Distances!T86="N.C.",0,ROUNDUP(T56+'Délai intermédiaire'!T86/24,0))</f>
        <v>0</v>
      </c>
      <c r="U90" s="14">
        <f>IF(Distances!U86="N.C.",0,ROUNDUP(U56+'Délai intermédiaire'!U86/24,0))</f>
        <v>0</v>
      </c>
      <c r="V90" s="14">
        <f>IF(Distances!V86="N.C.",0,ROUNDUP(V56+'Délai intermédiaire'!V86/24,0))</f>
        <v>0</v>
      </c>
      <c r="W90" s="14">
        <f>IF(Distances!W86="N.C.",0,ROUNDUP(W56+'Délai intermédiaire'!W86/24,0))</f>
        <v>0</v>
      </c>
      <c r="X90" s="14">
        <f>IF(Distances!X86="N.C.",0,ROUNDUP(X56+'Délai intermédiaire'!X86/24,0))</f>
        <v>0</v>
      </c>
      <c r="Y90" s="14">
        <f>IF(Distances!Y86="N.C.",0,ROUNDUP(Y56+'Délai intermédiaire'!Y86/24,0))</f>
        <v>0</v>
      </c>
      <c r="Z90" s="14">
        <f>IF(Distances!Z86="N.C.",0,ROUNDUP(Z56+'Délai intermédiaire'!Z86/24,0))</f>
        <v>0</v>
      </c>
      <c r="AA90" s="14">
        <f>IF(Distances!AA86="N.C.",0,ROUNDUP(AA56+'Délai intermédiaire'!AA86/24,0))</f>
        <v>0</v>
      </c>
      <c r="AB90" s="14">
        <f>IF(Distances!AB86="N.C.",0,ROUNDUP(AB56+'Délai intermédiaire'!AB86/24,0))</f>
        <v>0</v>
      </c>
      <c r="AC90" s="14">
        <f>IF(Distances!AC86="N.C.",0,ROUNDUP(AC56+'Délai intermédiaire'!AC86/24,0))</f>
        <v>0</v>
      </c>
      <c r="AD90" s="14">
        <f>IF(Distances!AD86="N.C.",0,ROUNDUP(AD56+'Délai intermédiaire'!AD86/24,0))</f>
        <v>0</v>
      </c>
      <c r="AE90" s="14">
        <f>IF(Distances!AE86="N.C.",0,ROUNDUP(AE56+'Délai intermédiaire'!AE86/24,0))</f>
        <v>0</v>
      </c>
      <c r="AF90" s="14">
        <f>IF(Distances!AF86="N.C.",0,ROUNDUP(AF56+'Délai intermédiaire'!AF86/24,0))</f>
        <v>0</v>
      </c>
      <c r="AG90" s="14">
        <f>IF(Distances!AG86="N.C.",0,ROUNDUP(AG56+'Délai intermédiaire'!AG86/24,0))</f>
        <v>0</v>
      </c>
      <c r="AH90" s="12">
        <f>IF(Distances!AH86="N.C.",0,ROUNDUP(AH56+'Délai intermédiaire'!AH86/24,0))</f>
        <v>2</v>
      </c>
      <c r="AI90" s="13">
        <f>IF(Distances!AI86="N.C.",0,ROUNDUP(AI56+'Délai intermédiaire'!AI86/24,0))</f>
        <v>3</v>
      </c>
      <c r="AJ90" s="13">
        <f>IF(Distances!AJ86="N.C.",0,ROUNDUP(AJ56+'Délai intermédiaire'!AJ86/24,0))</f>
        <v>3</v>
      </c>
      <c r="AK90" s="13">
        <f>IF(Distances!AK86="N.C.",0,ROUNDUP(AK56+'Délai intermédiaire'!AK86/24,0))</f>
        <v>4</v>
      </c>
      <c r="AL90" s="13">
        <f>IF(Distances!AL86="N.C.",0,ROUNDUP(AL56+'Délai intermédiaire'!AL86/24,0))</f>
        <v>0</v>
      </c>
      <c r="AM90" s="13">
        <f>IF(Distances!AM86="N.C.",0,ROUNDUP(AM56+'Délai intermédiaire'!AM86/24,0))</f>
        <v>0</v>
      </c>
      <c r="AN90" s="13">
        <f>IF(Distances!AN86="N.C.",0,ROUNDUP(AN56+'Délai intermédiaire'!AN86/24,0))</f>
        <v>0</v>
      </c>
      <c r="AO90" s="14">
        <f>IF(Distances!AO86="N.C.",0,ROUNDUP(AO56+'Délai intermédiaire'!AO86/24,0))</f>
        <v>0</v>
      </c>
      <c r="AP90" s="14">
        <f>IF(Distances!AP86="N.C.",0,ROUNDUP(AP56+'Délai intermédiaire'!AP86/24,0))</f>
        <v>0</v>
      </c>
      <c r="AQ90" s="14">
        <f>IF(Distances!AQ86="N.C.",0,ROUNDUP(AQ56+'Délai intermédiaire'!AQ86/24,0))</f>
        <v>0</v>
      </c>
      <c r="AR90" s="13">
        <f>IF(Distances!AR86="N.C.",0,ROUNDUP(AR56+'Délai intermédiaire'!AR86/24,0))</f>
        <v>0</v>
      </c>
      <c r="AS90" s="13">
        <f>IF(Distances!AS86="N.C.",0,ROUNDUP(AS56+'Délai intermédiaire'!AS86/24,0))</f>
        <v>0</v>
      </c>
      <c r="AT90" s="13">
        <f>IF(Distances!AT86="N.C.",0,ROUNDUP(AT56+'Délai intermédiaire'!AT86/24,0))</f>
        <v>0</v>
      </c>
      <c r="AU90" s="13">
        <f>IF(Distances!AU86="N.C.",0,ROUNDUP(AU56+'Délai intermédiaire'!AU86/24,0))</f>
        <v>0</v>
      </c>
      <c r="AV90" s="13">
        <f>IF(Distances!AV86="N.C.",0,ROUNDUP(AV56+'Délai intermédiaire'!AV86/24,0))</f>
        <v>0</v>
      </c>
      <c r="AW90" s="12">
        <f>IF(Distances!AW86="N.C.",0,ROUNDUP(AW56+'Délai intermédiaire'!AW86/24,0))</f>
        <v>10</v>
      </c>
      <c r="AX90" s="13">
        <f>IF(Distances!AX86="N.C.",0,ROUNDUP(AX56+'Délai intermédiaire'!AX86/24,0))</f>
        <v>0</v>
      </c>
      <c r="AY90" s="14">
        <f>IF(Distances!AY86="N.C.",0,ROUNDUP(AY56+'Délai intermédiaire'!AY86/24,0))</f>
        <v>0</v>
      </c>
      <c r="AZ90" s="14">
        <f>IF(Distances!AZ86="N.C.",0,ROUNDUP(AZ56+'Délai intermédiaire'!AZ86/24,0))</f>
        <v>0</v>
      </c>
      <c r="BA90" s="13">
        <f>IF(Distances!BA86="N.C.",0,ROUNDUP(BA56+'Délai intermédiaire'!BA86/24,0))</f>
        <v>0</v>
      </c>
      <c r="BB90" s="14">
        <f>IF(Distances!BB86="N.C.",0,ROUNDUP(BB56+'Délai intermédiaire'!BB86/24,0))</f>
        <v>0</v>
      </c>
      <c r="BC90" s="13">
        <f>IF(Distances!BC86="N.C.",0,ROUNDUP(BC56+'Délai intermédiaire'!BC86/24,0))</f>
        <v>0</v>
      </c>
      <c r="BD90" s="13">
        <f>IF(Distances!BD86="N.C.",0,ROUNDUP(BD56+'Délai intermédiaire'!BD86/24,0))</f>
        <v>6</v>
      </c>
      <c r="BE90" s="13">
        <f>IF(Distances!BE86="N.C.",0,ROUNDUP(BE56+'Délai intermédiaire'!BE86/24,0))</f>
        <v>6</v>
      </c>
      <c r="BF90" s="14">
        <f>IF(Distances!BF86="N.C.",0,ROUNDUP(BF56+'Délai intermédiaire'!BF86/24,0))</f>
        <v>0</v>
      </c>
      <c r="BG90" s="14">
        <f>IF(Distances!BG86="N.C.",0,ROUNDUP(BG56+'Délai intermédiaire'!BG86/24,0))</f>
        <v>0</v>
      </c>
      <c r="BH90" s="14">
        <f>IF(Distances!BH86="N.C.",0,ROUNDUP(BH56+'Délai intermédiaire'!BH86/24,0))</f>
        <v>0</v>
      </c>
      <c r="BI90" s="14">
        <f>IF(Distances!BI86="N.C.",0,ROUNDUP(BI56+'Délai intermédiaire'!BI86/24,0))</f>
        <v>0</v>
      </c>
      <c r="BJ90" s="15">
        <f>IF(Distances!BJ86="N.C.",0,ROUNDUP(BJ56+'Délai intermédiaire'!BJ86/24,0))</f>
        <v>0</v>
      </c>
    </row>
    <row r="91" spans="1:62" x14ac:dyDescent="0.3">
      <c r="A91" s="10" t="s">
        <v>34</v>
      </c>
      <c r="B91" s="16">
        <f>IF(Distances!B87="N.C.",0,ROUNDUP(B56+'Délai intermédiaire'!B87/24,0))</f>
        <v>0</v>
      </c>
      <c r="C91" s="14">
        <f>IF(Distances!C87="N.C.",0,ROUNDUP(C56+'Délai intermédiaire'!C87/24,0))</f>
        <v>0</v>
      </c>
      <c r="D91" s="14">
        <f>IF(Distances!D87="N.C.",0,ROUNDUP(D56+'Délai intermédiaire'!D87/24,0))</f>
        <v>0</v>
      </c>
      <c r="E91" s="14">
        <f>IF(Distances!E87="N.C.",0,ROUNDUP(E56+'Délai intermédiaire'!E87/24,0))</f>
        <v>0</v>
      </c>
      <c r="F91" s="14">
        <f>IF(Distances!F87="N.C.",0,ROUNDUP(F56+'Délai intermédiaire'!F87/24,0))</f>
        <v>0</v>
      </c>
      <c r="G91" s="14">
        <f>IF(Distances!G87="N.C.",0,ROUNDUP(G56+'Délai intermédiaire'!G87/24,0))</f>
        <v>0</v>
      </c>
      <c r="H91" s="14">
        <f>IF(Distances!H87="N.C.",0,ROUNDUP(H56+'Délai intermédiaire'!H87/24,0))</f>
        <v>0</v>
      </c>
      <c r="I91" s="14">
        <f>IF(Distances!I87="N.C.",0,ROUNDUP(I56+'Délai intermédiaire'!I87/24,0))</f>
        <v>0</v>
      </c>
      <c r="J91" s="14">
        <f>IF(Distances!J87="N.C.",0,ROUNDUP(J56+'Délai intermédiaire'!J87/24,0))</f>
        <v>0</v>
      </c>
      <c r="K91" s="14">
        <f>IF(Distances!K87="N.C.",0,ROUNDUP(K56+'Délai intermédiaire'!K87/24,0))</f>
        <v>0</v>
      </c>
      <c r="L91" s="14">
        <f>IF(Distances!L87="N.C.",0,ROUNDUP(L56+'Délai intermédiaire'!L87/24,0))</f>
        <v>0</v>
      </c>
      <c r="M91" s="14">
        <f>IF(Distances!M87="N.C.",0,ROUNDUP(M56+'Délai intermédiaire'!M87/24,0))</f>
        <v>0</v>
      </c>
      <c r="N91" s="14">
        <f>IF(Distances!N87="N.C.",0,ROUNDUP(N56+'Délai intermédiaire'!N87/24,0))</f>
        <v>0</v>
      </c>
      <c r="O91" s="14">
        <f>IF(Distances!O87="N.C.",0,ROUNDUP(O56+'Délai intermédiaire'!O87/24,0))</f>
        <v>0</v>
      </c>
      <c r="P91" s="14">
        <f>IF(Distances!P87="N.C.",0,ROUNDUP(P56+'Délai intermédiaire'!P87/24,0))</f>
        <v>0</v>
      </c>
      <c r="Q91" s="14">
        <f>IF(Distances!Q87="N.C.",0,ROUNDUP(Q56+'Délai intermédiaire'!Q87/24,0))</f>
        <v>0</v>
      </c>
      <c r="R91" s="14">
        <f>IF(Distances!R87="N.C.",0,ROUNDUP(R56+'Délai intermédiaire'!R87/24,0))</f>
        <v>0</v>
      </c>
      <c r="S91" s="14">
        <f>IF(Distances!S87="N.C.",0,ROUNDUP(S56+'Délai intermédiaire'!S87/24,0))</f>
        <v>0</v>
      </c>
      <c r="T91" s="14">
        <f>IF(Distances!T87="N.C.",0,ROUNDUP(T56+'Délai intermédiaire'!T87/24,0))</f>
        <v>0</v>
      </c>
      <c r="U91" s="14">
        <f>IF(Distances!U87="N.C.",0,ROUNDUP(U56+'Délai intermédiaire'!U87/24,0))</f>
        <v>0</v>
      </c>
      <c r="V91" s="14">
        <f>IF(Distances!V87="N.C.",0,ROUNDUP(V56+'Délai intermédiaire'!V87/24,0))</f>
        <v>0</v>
      </c>
      <c r="W91" s="14">
        <f>IF(Distances!W87="N.C.",0,ROUNDUP(W56+'Délai intermédiaire'!W87/24,0))</f>
        <v>0</v>
      </c>
      <c r="X91" s="14">
        <f>IF(Distances!X87="N.C.",0,ROUNDUP(X56+'Délai intermédiaire'!X87/24,0))</f>
        <v>0</v>
      </c>
      <c r="Y91" s="14">
        <f>IF(Distances!Y87="N.C.",0,ROUNDUP(Y56+'Délai intermédiaire'!Y87/24,0))</f>
        <v>0</v>
      </c>
      <c r="Z91" s="14">
        <f>IF(Distances!Z87="N.C.",0,ROUNDUP(Z56+'Délai intermédiaire'!Z87/24,0))</f>
        <v>0</v>
      </c>
      <c r="AA91" s="14">
        <f>IF(Distances!AA87="N.C.",0,ROUNDUP(AA56+'Délai intermédiaire'!AA87/24,0))</f>
        <v>0</v>
      </c>
      <c r="AB91" s="14">
        <f>IF(Distances!AB87="N.C.",0,ROUNDUP(AB56+'Délai intermédiaire'!AB87/24,0))</f>
        <v>0</v>
      </c>
      <c r="AC91" s="14">
        <f>IF(Distances!AC87="N.C.",0,ROUNDUP(AC56+'Délai intermédiaire'!AC87/24,0))</f>
        <v>0</v>
      </c>
      <c r="AD91" s="14">
        <f>IF(Distances!AD87="N.C.",0,ROUNDUP(AD56+'Délai intermédiaire'!AD87/24,0))</f>
        <v>0</v>
      </c>
      <c r="AE91" s="14">
        <f>IF(Distances!AE87="N.C.",0,ROUNDUP(AE56+'Délai intermédiaire'!AE87/24,0))</f>
        <v>0</v>
      </c>
      <c r="AF91" s="14">
        <f>IF(Distances!AF87="N.C.",0,ROUNDUP(AF56+'Délai intermédiaire'!AF87/24,0))</f>
        <v>0</v>
      </c>
      <c r="AG91" s="14">
        <f>IF(Distances!AG87="N.C.",0,ROUNDUP(AG56+'Délai intermédiaire'!AG87/24,0))</f>
        <v>0</v>
      </c>
      <c r="AH91" s="13">
        <f>IF(Distances!AH87="N.C.",0,ROUNDUP(AH56+'Délai intermédiaire'!AH87/24,0))</f>
        <v>3</v>
      </c>
      <c r="AI91" s="12">
        <f>IF(Distances!AI87="N.C.",0,ROUNDUP(AI56+'Délai intermédiaire'!AI87/24,0))</f>
        <v>2</v>
      </c>
      <c r="AJ91" s="13">
        <f>IF(Distances!AJ87="N.C.",0,ROUNDUP(AJ56+'Délai intermédiaire'!AJ87/24,0))</f>
        <v>4</v>
      </c>
      <c r="AK91" s="13">
        <f>IF(Distances!AK87="N.C.",0,ROUNDUP(AK56+'Délai intermédiaire'!AK87/24,0))</f>
        <v>4</v>
      </c>
      <c r="AL91" s="13">
        <f>IF(Distances!AL87="N.C.",0,ROUNDUP(AL56+'Délai intermédiaire'!AL87/24,0))</f>
        <v>0</v>
      </c>
      <c r="AM91" s="13">
        <f>IF(Distances!AM87="N.C.",0,ROUNDUP(AM56+'Délai intermédiaire'!AM87/24,0))</f>
        <v>0</v>
      </c>
      <c r="AN91" s="13">
        <f>IF(Distances!AN87="N.C.",0,ROUNDUP(AN56+'Délai intermédiaire'!AN87/24,0))</f>
        <v>0</v>
      </c>
      <c r="AO91" s="14">
        <f>IF(Distances!AO87="N.C.",0,ROUNDUP(AO56+'Délai intermédiaire'!AO87/24,0))</f>
        <v>0</v>
      </c>
      <c r="AP91" s="14">
        <f>IF(Distances!AP87="N.C.",0,ROUNDUP(AP56+'Délai intermédiaire'!AP87/24,0))</f>
        <v>0</v>
      </c>
      <c r="AQ91" s="14">
        <f>IF(Distances!AQ87="N.C.",0,ROUNDUP(AQ56+'Délai intermédiaire'!AQ87/24,0))</f>
        <v>0</v>
      </c>
      <c r="AR91" s="13">
        <f>IF(Distances!AR87="N.C.",0,ROUNDUP(AR56+'Délai intermédiaire'!AR87/24,0))</f>
        <v>0</v>
      </c>
      <c r="AS91" s="13">
        <f>IF(Distances!AS87="N.C.",0,ROUNDUP(AS56+'Délai intermédiaire'!AS87/24,0))</f>
        <v>0</v>
      </c>
      <c r="AT91" s="13">
        <f>IF(Distances!AT87="N.C.",0,ROUNDUP(AT56+'Délai intermédiaire'!AT87/24,0))</f>
        <v>0</v>
      </c>
      <c r="AU91" s="12">
        <f>IF(Distances!AU87="N.C.",0,ROUNDUP(AU56+'Délai intermédiaire'!AU87/24,0))</f>
        <v>0</v>
      </c>
      <c r="AV91" s="13">
        <f>IF(Distances!AV87="N.C.",0,ROUNDUP(AV56+'Délai intermédiaire'!AV87/24,0))</f>
        <v>0</v>
      </c>
      <c r="AW91" s="13">
        <f>IF(Distances!AW87="N.C.",0,ROUNDUP(AW56+'Délai intermédiaire'!AW87/24,0))</f>
        <v>0</v>
      </c>
      <c r="AX91" s="12">
        <f>IF(Distances!AX87="N.C.",0,ROUNDUP(AX56+'Délai intermédiaire'!AX87/24,0))</f>
        <v>0</v>
      </c>
      <c r="AY91" s="14">
        <f>IF(Distances!AY87="N.C.",0,ROUNDUP(AY56+'Délai intermédiaire'!AY87/24,0))</f>
        <v>0</v>
      </c>
      <c r="AZ91" s="14">
        <f>IF(Distances!AZ87="N.C.",0,ROUNDUP(AZ56+'Délai intermédiaire'!AZ87/24,0))</f>
        <v>0</v>
      </c>
      <c r="BA91" s="13">
        <f>IF(Distances!BA87="N.C.",0,ROUNDUP(BA56+'Délai intermédiaire'!BA87/24,0))</f>
        <v>0</v>
      </c>
      <c r="BB91" s="14">
        <f>IF(Distances!BB87="N.C.",0,ROUNDUP(BB56+'Délai intermédiaire'!BB87/24,0))</f>
        <v>0</v>
      </c>
      <c r="BC91" s="12">
        <f>IF(Distances!BC87="N.C.",0,ROUNDUP(BC56+'Délai intermédiaire'!BC87/24,0))</f>
        <v>0</v>
      </c>
      <c r="BD91" s="12">
        <f>IF(Distances!BD87="N.C.",0,ROUNDUP(BD56+'Délai intermédiaire'!BD87/24,0))</f>
        <v>5</v>
      </c>
      <c r="BE91" s="12">
        <f>IF(Distances!BE87="N.C.",0,ROUNDUP(BE56+'Délai intermédiaire'!BE87/24,0))</f>
        <v>6</v>
      </c>
      <c r="BF91" s="14">
        <f>IF(Distances!BF87="N.C.",0,ROUNDUP(BF56+'Délai intermédiaire'!BF87/24,0))</f>
        <v>0</v>
      </c>
      <c r="BG91" s="14">
        <f>IF(Distances!BG87="N.C.",0,ROUNDUP(BG56+'Délai intermédiaire'!BG87/24,0))</f>
        <v>0</v>
      </c>
      <c r="BH91" s="14">
        <f>IF(Distances!BH87="N.C.",0,ROUNDUP(BH56+'Délai intermédiaire'!BH87/24,0))</f>
        <v>0</v>
      </c>
      <c r="BI91" s="14">
        <f>IF(Distances!BI87="N.C.",0,ROUNDUP(BI56+'Délai intermédiaire'!BI87/24,0))</f>
        <v>0</v>
      </c>
      <c r="BJ91" s="15">
        <f>IF(Distances!BJ87="N.C.",0,ROUNDUP(BJ56+'Délai intermédiaire'!BJ87/24,0))</f>
        <v>0</v>
      </c>
    </row>
    <row r="92" spans="1:62" x14ac:dyDescent="0.3">
      <c r="A92" s="10" t="s">
        <v>35</v>
      </c>
      <c r="B92" s="16">
        <f>IF(Distances!B88="N.C.",0,ROUNDUP(B56+'Délai intermédiaire'!B88/24,0))</f>
        <v>0</v>
      </c>
      <c r="C92" s="14">
        <f>IF(Distances!C88="N.C.",0,ROUNDUP(C56+'Délai intermédiaire'!C88/24,0))</f>
        <v>0</v>
      </c>
      <c r="D92" s="14">
        <f>IF(Distances!D88="N.C.",0,ROUNDUP(D56+'Délai intermédiaire'!D88/24,0))</f>
        <v>0</v>
      </c>
      <c r="E92" s="14">
        <f>IF(Distances!E88="N.C.",0,ROUNDUP(E56+'Délai intermédiaire'!E88/24,0))</f>
        <v>0</v>
      </c>
      <c r="F92" s="14">
        <f>IF(Distances!F88="N.C.",0,ROUNDUP(F56+'Délai intermédiaire'!F88/24,0))</f>
        <v>0</v>
      </c>
      <c r="G92" s="14">
        <f>IF(Distances!G88="N.C.",0,ROUNDUP(G56+'Délai intermédiaire'!G88/24,0))</f>
        <v>0</v>
      </c>
      <c r="H92" s="14">
        <f>IF(Distances!H88="N.C.",0,ROUNDUP(H56+'Délai intermédiaire'!H88/24,0))</f>
        <v>0</v>
      </c>
      <c r="I92" s="14">
        <f>IF(Distances!I88="N.C.",0,ROUNDUP(I56+'Délai intermédiaire'!I88/24,0))</f>
        <v>0</v>
      </c>
      <c r="J92" s="14">
        <f>IF(Distances!J88="N.C.",0,ROUNDUP(J56+'Délai intermédiaire'!J88/24,0))</f>
        <v>0</v>
      </c>
      <c r="K92" s="14">
        <f>IF(Distances!K88="N.C.",0,ROUNDUP(K56+'Délai intermédiaire'!K88/24,0))</f>
        <v>0</v>
      </c>
      <c r="L92" s="14">
        <f>IF(Distances!L88="N.C.",0,ROUNDUP(L56+'Délai intermédiaire'!L88/24,0))</f>
        <v>0</v>
      </c>
      <c r="M92" s="14">
        <f>IF(Distances!M88="N.C.",0,ROUNDUP(M56+'Délai intermédiaire'!M88/24,0))</f>
        <v>0</v>
      </c>
      <c r="N92" s="14">
        <f>IF(Distances!N88="N.C.",0,ROUNDUP(N56+'Délai intermédiaire'!N88/24,0))</f>
        <v>0</v>
      </c>
      <c r="O92" s="14">
        <f>IF(Distances!O88="N.C.",0,ROUNDUP(O56+'Délai intermédiaire'!O88/24,0))</f>
        <v>0</v>
      </c>
      <c r="P92" s="14">
        <f>IF(Distances!P88="N.C.",0,ROUNDUP(P56+'Délai intermédiaire'!P88/24,0))</f>
        <v>0</v>
      </c>
      <c r="Q92" s="14">
        <f>IF(Distances!Q88="N.C.",0,ROUNDUP(Q56+'Délai intermédiaire'!Q88/24,0))</f>
        <v>0</v>
      </c>
      <c r="R92" s="14">
        <f>IF(Distances!R88="N.C.",0,ROUNDUP(R56+'Délai intermédiaire'!R88/24,0))</f>
        <v>0</v>
      </c>
      <c r="S92" s="14">
        <f>IF(Distances!S88="N.C.",0,ROUNDUP(S56+'Délai intermédiaire'!S88/24,0))</f>
        <v>0</v>
      </c>
      <c r="T92" s="14">
        <f>IF(Distances!T88="N.C.",0,ROUNDUP(T56+'Délai intermédiaire'!T88/24,0))</f>
        <v>0</v>
      </c>
      <c r="U92" s="14">
        <f>IF(Distances!U88="N.C.",0,ROUNDUP(U56+'Délai intermédiaire'!U88/24,0))</f>
        <v>0</v>
      </c>
      <c r="V92" s="14">
        <f>IF(Distances!V88="N.C.",0,ROUNDUP(V56+'Délai intermédiaire'!V88/24,0))</f>
        <v>0</v>
      </c>
      <c r="W92" s="14">
        <f>IF(Distances!W88="N.C.",0,ROUNDUP(W56+'Délai intermédiaire'!W88/24,0))</f>
        <v>0</v>
      </c>
      <c r="X92" s="14">
        <f>IF(Distances!X88="N.C.",0,ROUNDUP(X56+'Délai intermédiaire'!X88/24,0))</f>
        <v>0</v>
      </c>
      <c r="Y92" s="14">
        <f>IF(Distances!Y88="N.C.",0,ROUNDUP(Y56+'Délai intermédiaire'!Y88/24,0))</f>
        <v>0</v>
      </c>
      <c r="Z92" s="14">
        <f>IF(Distances!Z88="N.C.",0,ROUNDUP(Z56+'Délai intermédiaire'!Z88/24,0))</f>
        <v>0</v>
      </c>
      <c r="AA92" s="14">
        <f>IF(Distances!AA88="N.C.",0,ROUNDUP(AA56+'Délai intermédiaire'!AA88/24,0))</f>
        <v>0</v>
      </c>
      <c r="AB92" s="14">
        <f>IF(Distances!AB88="N.C.",0,ROUNDUP(AB56+'Délai intermédiaire'!AB88/24,0))</f>
        <v>0</v>
      </c>
      <c r="AC92" s="14">
        <f>IF(Distances!AC88="N.C.",0,ROUNDUP(AC56+'Délai intermédiaire'!AC88/24,0))</f>
        <v>0</v>
      </c>
      <c r="AD92" s="14">
        <f>IF(Distances!AD88="N.C.",0,ROUNDUP(AD56+'Délai intermédiaire'!AD88/24,0))</f>
        <v>0</v>
      </c>
      <c r="AE92" s="14">
        <f>IF(Distances!AE88="N.C.",0,ROUNDUP(AE56+'Délai intermédiaire'!AE88/24,0))</f>
        <v>0</v>
      </c>
      <c r="AF92" s="14">
        <f>IF(Distances!AF88="N.C.",0,ROUNDUP(AF56+'Délai intermédiaire'!AF88/24,0))</f>
        <v>0</v>
      </c>
      <c r="AG92" s="14">
        <f>IF(Distances!AG88="N.C.",0,ROUNDUP(AG56+'Délai intermédiaire'!AG88/24,0))</f>
        <v>0</v>
      </c>
      <c r="AH92" s="13">
        <f>IF(Distances!AH88="N.C.",0,ROUNDUP(AH56+'Délai intermédiaire'!AH88/24,0))</f>
        <v>3</v>
      </c>
      <c r="AI92" s="13">
        <f>IF(Distances!AI88="N.C.",0,ROUNDUP(AI56+'Délai intermédiaire'!AI88/24,0))</f>
        <v>4</v>
      </c>
      <c r="AJ92" s="12">
        <f>IF(Distances!AJ88="N.C.",0,ROUNDUP(AJ56+'Délai intermédiaire'!AJ88/24,0))</f>
        <v>2</v>
      </c>
      <c r="AK92" s="13">
        <f>IF(Distances!AK88="N.C.",0,ROUNDUP(AK56+'Délai intermédiaire'!AK88/24,0))</f>
        <v>3</v>
      </c>
      <c r="AL92" s="13">
        <f>IF(Distances!AL88="N.C.",0,ROUNDUP(AL56+'Délai intermédiaire'!AL88/24,0))</f>
        <v>0</v>
      </c>
      <c r="AM92" s="13">
        <f>IF(Distances!AM88="N.C.",0,ROUNDUP(AM56+'Délai intermédiaire'!AM88/24,0))</f>
        <v>0</v>
      </c>
      <c r="AN92" s="13">
        <f>IF(Distances!AN88="N.C.",0,ROUNDUP(AN56+'Délai intermédiaire'!AN88/24,0))</f>
        <v>0</v>
      </c>
      <c r="AO92" s="14">
        <f>IF(Distances!AO88="N.C.",0,ROUNDUP(AO56+'Délai intermédiaire'!AO88/24,0))</f>
        <v>0</v>
      </c>
      <c r="AP92" s="14">
        <f>IF(Distances!AP88="N.C.",0,ROUNDUP(AP56+'Délai intermédiaire'!AP88/24,0))</f>
        <v>0</v>
      </c>
      <c r="AQ92" s="14">
        <f>IF(Distances!AQ88="N.C.",0,ROUNDUP(AQ56+'Délai intermédiaire'!AQ88/24,0))</f>
        <v>0</v>
      </c>
      <c r="AR92" s="13">
        <f>IF(Distances!AR88="N.C.",0,ROUNDUP(AR56+'Délai intermédiaire'!AR88/24,0))</f>
        <v>0</v>
      </c>
      <c r="AS92" s="13">
        <f>IF(Distances!AS88="N.C.",0,ROUNDUP(AS56+'Délai intermédiaire'!AS88/24,0))</f>
        <v>0</v>
      </c>
      <c r="AT92" s="13">
        <f>IF(Distances!AT88="N.C.",0,ROUNDUP(AT56+'Délai intermédiaire'!AT88/24,0))</f>
        <v>0</v>
      </c>
      <c r="AU92" s="13">
        <f>IF(Distances!AU88="N.C.",0,ROUNDUP(AU56+'Délai intermédiaire'!AU88/24,0))</f>
        <v>0</v>
      </c>
      <c r="AV92" s="13">
        <f>IF(Distances!AV88="N.C.",0,ROUNDUP(AV56+'Délai intermédiaire'!AV88/24,0))</f>
        <v>0</v>
      </c>
      <c r="AW92" s="13">
        <f>IF(Distances!AW88="N.C.",0,ROUNDUP(AW56+'Délai intermédiaire'!AW88/24,0))</f>
        <v>0</v>
      </c>
      <c r="AX92" s="13">
        <f>IF(Distances!AX88="N.C.",0,ROUNDUP(AX56+'Délai intermédiaire'!AX88/24,0))</f>
        <v>0</v>
      </c>
      <c r="AY92" s="14">
        <f>IF(Distances!AY88="N.C.",0,ROUNDUP(AY56+'Délai intermédiaire'!AY88/24,0))</f>
        <v>0</v>
      </c>
      <c r="AZ92" s="14">
        <f>IF(Distances!AZ88="N.C.",0,ROUNDUP(AZ56+'Délai intermédiaire'!AZ88/24,0))</f>
        <v>0</v>
      </c>
      <c r="BA92" s="13">
        <f>IF(Distances!BA88="N.C.",0,ROUNDUP(BA56+'Délai intermédiaire'!BA88/24,0))</f>
        <v>0</v>
      </c>
      <c r="BB92" s="14">
        <f>IF(Distances!BB88="N.C.",0,ROUNDUP(BB56+'Délai intermédiaire'!BB88/24,0))</f>
        <v>0</v>
      </c>
      <c r="BC92" s="13">
        <f>IF(Distances!BC88="N.C.",0,ROUNDUP(BC56+'Délai intermédiaire'!BC88/24,0))</f>
        <v>0</v>
      </c>
      <c r="BD92" s="13">
        <f>IF(Distances!BD88="N.C.",0,ROUNDUP(BD56+'Délai intermédiaire'!BD88/24,0))</f>
        <v>7</v>
      </c>
      <c r="BE92" s="13">
        <f>IF(Distances!BE88="N.C.",0,ROUNDUP(BE56+'Délai intermédiaire'!BE88/24,0))</f>
        <v>0</v>
      </c>
      <c r="BF92" s="14">
        <f>IF(Distances!BF88="N.C.",0,ROUNDUP(BF56+'Délai intermédiaire'!BF88/24,0))</f>
        <v>0</v>
      </c>
      <c r="BG92" s="14">
        <f>IF(Distances!BG88="N.C.",0,ROUNDUP(BG56+'Délai intermédiaire'!BG88/24,0))</f>
        <v>0</v>
      </c>
      <c r="BH92" s="14">
        <f>IF(Distances!BH88="N.C.",0,ROUNDUP(BH56+'Délai intermédiaire'!BH88/24,0))</f>
        <v>0</v>
      </c>
      <c r="BI92" s="14">
        <f>IF(Distances!BI88="N.C.",0,ROUNDUP(BI56+'Délai intermédiaire'!BI88/24,0))</f>
        <v>0</v>
      </c>
      <c r="BJ92" s="15">
        <f>IF(Distances!BJ88="N.C.",0,ROUNDUP(BJ56+'Délai intermédiaire'!BJ88/24,0))</f>
        <v>0</v>
      </c>
    </row>
    <row r="93" spans="1:62" x14ac:dyDescent="0.3">
      <c r="A93" s="10" t="s">
        <v>36</v>
      </c>
      <c r="B93" s="16">
        <f>IF(Distances!B89="N.C.",0,ROUNDUP(B56+'Délai intermédiaire'!B89/24,0))</f>
        <v>0</v>
      </c>
      <c r="C93" s="14">
        <f>IF(Distances!C89="N.C.",0,ROUNDUP(C56+'Délai intermédiaire'!C89/24,0))</f>
        <v>0</v>
      </c>
      <c r="D93" s="14">
        <f>IF(Distances!D89="N.C.",0,ROUNDUP(D56+'Délai intermédiaire'!D89/24,0))</f>
        <v>0</v>
      </c>
      <c r="E93" s="14">
        <f>IF(Distances!E89="N.C.",0,ROUNDUP(E56+'Délai intermédiaire'!E89/24,0))</f>
        <v>0</v>
      </c>
      <c r="F93" s="14">
        <f>IF(Distances!F89="N.C.",0,ROUNDUP(F56+'Délai intermédiaire'!F89/24,0))</f>
        <v>0</v>
      </c>
      <c r="G93" s="14">
        <f>IF(Distances!G89="N.C.",0,ROUNDUP(G56+'Délai intermédiaire'!G89/24,0))</f>
        <v>0</v>
      </c>
      <c r="H93" s="14">
        <f>IF(Distances!H89="N.C.",0,ROUNDUP(H56+'Délai intermédiaire'!H89/24,0))</f>
        <v>0</v>
      </c>
      <c r="I93" s="14">
        <f>IF(Distances!I89="N.C.",0,ROUNDUP(I56+'Délai intermédiaire'!I89/24,0))</f>
        <v>0</v>
      </c>
      <c r="J93" s="14">
        <f>IF(Distances!J89="N.C.",0,ROUNDUP(J56+'Délai intermédiaire'!J89/24,0))</f>
        <v>0</v>
      </c>
      <c r="K93" s="14">
        <f>IF(Distances!K89="N.C.",0,ROUNDUP(K56+'Délai intermédiaire'!K89/24,0))</f>
        <v>0</v>
      </c>
      <c r="L93" s="14">
        <f>IF(Distances!L89="N.C.",0,ROUNDUP(L56+'Délai intermédiaire'!L89/24,0))</f>
        <v>0</v>
      </c>
      <c r="M93" s="14">
        <f>IF(Distances!M89="N.C.",0,ROUNDUP(M56+'Délai intermédiaire'!M89/24,0))</f>
        <v>0</v>
      </c>
      <c r="N93" s="14">
        <f>IF(Distances!N89="N.C.",0,ROUNDUP(N56+'Délai intermédiaire'!N89/24,0))</f>
        <v>0</v>
      </c>
      <c r="O93" s="14">
        <f>IF(Distances!O89="N.C.",0,ROUNDUP(O56+'Délai intermédiaire'!O89/24,0))</f>
        <v>0</v>
      </c>
      <c r="P93" s="14">
        <f>IF(Distances!P89="N.C.",0,ROUNDUP(P56+'Délai intermédiaire'!P89/24,0))</f>
        <v>0</v>
      </c>
      <c r="Q93" s="14">
        <f>IF(Distances!Q89="N.C.",0,ROUNDUP(Q56+'Délai intermédiaire'!Q89/24,0))</f>
        <v>0</v>
      </c>
      <c r="R93" s="14">
        <f>IF(Distances!R89="N.C.",0,ROUNDUP(R56+'Délai intermédiaire'!R89/24,0))</f>
        <v>0</v>
      </c>
      <c r="S93" s="14">
        <f>IF(Distances!S89="N.C.",0,ROUNDUP(S56+'Délai intermédiaire'!S89/24,0))</f>
        <v>0</v>
      </c>
      <c r="T93" s="14">
        <f>IF(Distances!T89="N.C.",0,ROUNDUP(T56+'Délai intermédiaire'!T89/24,0))</f>
        <v>0</v>
      </c>
      <c r="U93" s="14">
        <f>IF(Distances!U89="N.C.",0,ROUNDUP(U56+'Délai intermédiaire'!U89/24,0))</f>
        <v>0</v>
      </c>
      <c r="V93" s="14">
        <f>IF(Distances!V89="N.C.",0,ROUNDUP(V56+'Délai intermédiaire'!V89/24,0))</f>
        <v>0</v>
      </c>
      <c r="W93" s="14">
        <f>IF(Distances!W89="N.C.",0,ROUNDUP(W56+'Délai intermédiaire'!W89/24,0))</f>
        <v>0</v>
      </c>
      <c r="X93" s="14">
        <f>IF(Distances!X89="N.C.",0,ROUNDUP(X56+'Délai intermédiaire'!X89/24,0))</f>
        <v>0</v>
      </c>
      <c r="Y93" s="14">
        <f>IF(Distances!Y89="N.C.",0,ROUNDUP(Y56+'Délai intermédiaire'!Y89/24,0))</f>
        <v>0</v>
      </c>
      <c r="Z93" s="14">
        <f>IF(Distances!Z89="N.C.",0,ROUNDUP(Z56+'Délai intermédiaire'!Z89/24,0))</f>
        <v>0</v>
      </c>
      <c r="AA93" s="14">
        <f>IF(Distances!AA89="N.C.",0,ROUNDUP(AA56+'Délai intermédiaire'!AA89/24,0))</f>
        <v>0</v>
      </c>
      <c r="AB93" s="14">
        <f>IF(Distances!AB89="N.C.",0,ROUNDUP(AB56+'Délai intermédiaire'!AB89/24,0))</f>
        <v>0</v>
      </c>
      <c r="AC93" s="14">
        <f>IF(Distances!AC89="N.C.",0,ROUNDUP(AC56+'Délai intermédiaire'!AC89/24,0))</f>
        <v>0</v>
      </c>
      <c r="AD93" s="14">
        <f>IF(Distances!AD89="N.C.",0,ROUNDUP(AD56+'Délai intermédiaire'!AD89/24,0))</f>
        <v>0</v>
      </c>
      <c r="AE93" s="14">
        <f>IF(Distances!AE89="N.C.",0,ROUNDUP(AE56+'Délai intermédiaire'!AE89/24,0))</f>
        <v>0</v>
      </c>
      <c r="AF93" s="14">
        <f>IF(Distances!AF89="N.C.",0,ROUNDUP(AF56+'Délai intermédiaire'!AF89/24,0))</f>
        <v>0</v>
      </c>
      <c r="AG93" s="14">
        <f>IF(Distances!AG89="N.C.",0,ROUNDUP(AG56+'Délai intermédiaire'!AG89/24,0))</f>
        <v>0</v>
      </c>
      <c r="AH93" s="13">
        <f>IF(Distances!AH89="N.C.",0,ROUNDUP(AH56+'Délai intermédiaire'!AH89/24,0))</f>
        <v>4</v>
      </c>
      <c r="AI93" s="13">
        <f>IF(Distances!AI89="N.C.",0,ROUNDUP(AI56+'Délai intermédiaire'!AI89/24,0))</f>
        <v>4</v>
      </c>
      <c r="AJ93" s="13">
        <f>IF(Distances!AJ89="N.C.",0,ROUNDUP(AJ56+'Délai intermédiaire'!AJ89/24,0))</f>
        <v>3</v>
      </c>
      <c r="AK93" s="12">
        <f>IF(Distances!AK89="N.C.",0,ROUNDUP(AK56+'Délai intermédiaire'!AK89/24,0))</f>
        <v>2</v>
      </c>
      <c r="AL93" s="13">
        <f>IF(Distances!AL89="N.C.",0,ROUNDUP(AL56+'Délai intermédiaire'!AL89/24,0))</f>
        <v>0</v>
      </c>
      <c r="AM93" s="13">
        <f>IF(Distances!AM89="N.C.",0,ROUNDUP(AM56+'Délai intermédiaire'!AM89/24,0))</f>
        <v>0</v>
      </c>
      <c r="AN93" s="13">
        <f>IF(Distances!AN89="N.C.",0,ROUNDUP(AN56+'Délai intermédiaire'!AN89/24,0))</f>
        <v>0</v>
      </c>
      <c r="AO93" s="14">
        <f>IF(Distances!AO89="N.C.",0,ROUNDUP(AO56+'Délai intermédiaire'!AO89/24,0))</f>
        <v>0</v>
      </c>
      <c r="AP93" s="14">
        <f>IF(Distances!AP89="N.C.",0,ROUNDUP(AP56+'Délai intermédiaire'!AP89/24,0))</f>
        <v>0</v>
      </c>
      <c r="AQ93" s="14">
        <f>IF(Distances!AQ89="N.C.",0,ROUNDUP(AQ56+'Délai intermédiaire'!AQ89/24,0))</f>
        <v>0</v>
      </c>
      <c r="AR93" s="13">
        <f>IF(Distances!AR89="N.C.",0,ROUNDUP(AR56+'Délai intermédiaire'!AR89/24,0))</f>
        <v>0</v>
      </c>
      <c r="AS93" s="13">
        <f>IF(Distances!AS89="N.C.",0,ROUNDUP(AS56+'Délai intermédiaire'!AS89/24,0))</f>
        <v>0</v>
      </c>
      <c r="AT93" s="13">
        <f>IF(Distances!AT89="N.C.",0,ROUNDUP(AT56+'Délai intermédiaire'!AT89/24,0))</f>
        <v>0</v>
      </c>
      <c r="AU93" s="13">
        <f>IF(Distances!AU89="N.C.",0,ROUNDUP(AU56+'Délai intermédiaire'!AU89/24,0))</f>
        <v>0</v>
      </c>
      <c r="AV93" s="13">
        <f>IF(Distances!AV89="N.C.",0,ROUNDUP(AV56+'Délai intermédiaire'!AV89/24,0))</f>
        <v>0</v>
      </c>
      <c r="AW93" s="13">
        <f>IF(Distances!AW89="N.C.",0,ROUNDUP(AW56+'Délai intermédiaire'!AW89/24,0))</f>
        <v>11</v>
      </c>
      <c r="AX93" s="13">
        <f>IF(Distances!AX89="N.C.",0,ROUNDUP(AX56+'Délai intermédiaire'!AX89/24,0))</f>
        <v>0</v>
      </c>
      <c r="AY93" s="14">
        <f>IF(Distances!AY89="N.C.",0,ROUNDUP(AY56+'Délai intermédiaire'!AY89/24,0))</f>
        <v>0</v>
      </c>
      <c r="AZ93" s="14">
        <f>IF(Distances!AZ89="N.C.",0,ROUNDUP(AZ56+'Délai intermédiaire'!AZ89/24,0))</f>
        <v>0</v>
      </c>
      <c r="BA93" s="13">
        <f>IF(Distances!BA89="N.C.",0,ROUNDUP(BA56+'Délai intermédiaire'!BA89/24,0))</f>
        <v>0</v>
      </c>
      <c r="BB93" s="14">
        <f>IF(Distances!BB89="N.C.",0,ROUNDUP(BB56+'Délai intermédiaire'!BB89/24,0))</f>
        <v>0</v>
      </c>
      <c r="BC93" s="13">
        <f>IF(Distances!BC89="N.C.",0,ROUNDUP(BC56+'Délai intermédiaire'!BC89/24,0))</f>
        <v>0</v>
      </c>
      <c r="BD93" s="13">
        <f>IF(Distances!BD89="N.C.",0,ROUNDUP(BD56+'Délai intermédiaire'!BD89/24,0))</f>
        <v>6</v>
      </c>
      <c r="BE93" s="13">
        <f>IF(Distances!BE89="N.C.",0,ROUNDUP(BE56+'Délai intermédiaire'!BE89/24,0))</f>
        <v>7</v>
      </c>
      <c r="BF93" s="14">
        <f>IF(Distances!BF89="N.C.",0,ROUNDUP(BF56+'Délai intermédiaire'!BF89/24,0))</f>
        <v>0</v>
      </c>
      <c r="BG93" s="14">
        <f>IF(Distances!BG89="N.C.",0,ROUNDUP(BG56+'Délai intermédiaire'!BG89/24,0))</f>
        <v>0</v>
      </c>
      <c r="BH93" s="14">
        <f>IF(Distances!BH89="N.C.",0,ROUNDUP(BH56+'Délai intermédiaire'!BH89/24,0))</f>
        <v>0</v>
      </c>
      <c r="BI93" s="14">
        <f>IF(Distances!BI89="N.C.",0,ROUNDUP(BI56+'Délai intermédiaire'!BI89/24,0))</f>
        <v>0</v>
      </c>
      <c r="BJ93" s="15">
        <f>IF(Distances!BJ89="N.C.",0,ROUNDUP(BJ56+'Délai intermédiaire'!BJ89/24,0))</f>
        <v>0</v>
      </c>
    </row>
    <row r="94" spans="1:62" x14ac:dyDescent="0.3">
      <c r="A94" s="10" t="s">
        <v>37</v>
      </c>
      <c r="B94" s="16">
        <f>IF(Distances!B90="N.C.",0,ROUNDUP(B56+'Délai intermédiaire'!B90/24,0))</f>
        <v>0</v>
      </c>
      <c r="C94" s="14">
        <f>IF(Distances!C90="N.C.",0,ROUNDUP(C56+'Délai intermédiaire'!C90/24,0))</f>
        <v>0</v>
      </c>
      <c r="D94" s="14">
        <f>IF(Distances!D90="N.C.",0,ROUNDUP(D56+'Délai intermédiaire'!D90/24,0))</f>
        <v>0</v>
      </c>
      <c r="E94" s="14">
        <f>IF(Distances!E90="N.C.",0,ROUNDUP(E56+'Délai intermédiaire'!E90/24,0))</f>
        <v>0</v>
      </c>
      <c r="F94" s="14">
        <f>IF(Distances!F90="N.C.",0,ROUNDUP(F56+'Délai intermédiaire'!F90/24,0))</f>
        <v>0</v>
      </c>
      <c r="G94" s="14">
        <f>IF(Distances!G90="N.C.",0,ROUNDUP(G56+'Délai intermédiaire'!G90/24,0))</f>
        <v>0</v>
      </c>
      <c r="H94" s="14">
        <f>IF(Distances!H90="N.C.",0,ROUNDUP(H56+'Délai intermédiaire'!H90/24,0))</f>
        <v>0</v>
      </c>
      <c r="I94" s="14">
        <f>IF(Distances!I90="N.C.",0,ROUNDUP(I56+'Délai intermédiaire'!I90/24,0))</f>
        <v>0</v>
      </c>
      <c r="J94" s="14">
        <f>IF(Distances!J90="N.C.",0,ROUNDUP(J56+'Délai intermédiaire'!J90/24,0))</f>
        <v>0</v>
      </c>
      <c r="K94" s="14">
        <f>IF(Distances!K90="N.C.",0,ROUNDUP(K56+'Délai intermédiaire'!K90/24,0))</f>
        <v>0</v>
      </c>
      <c r="L94" s="14">
        <f>IF(Distances!L90="N.C.",0,ROUNDUP(L56+'Délai intermédiaire'!L90/24,0))</f>
        <v>0</v>
      </c>
      <c r="M94" s="14">
        <f>IF(Distances!M90="N.C.",0,ROUNDUP(M56+'Délai intermédiaire'!M90/24,0))</f>
        <v>0</v>
      </c>
      <c r="N94" s="14">
        <f>IF(Distances!N90="N.C.",0,ROUNDUP(N56+'Délai intermédiaire'!N90/24,0))</f>
        <v>0</v>
      </c>
      <c r="O94" s="14">
        <f>IF(Distances!O90="N.C.",0,ROUNDUP(O56+'Délai intermédiaire'!O90/24,0))</f>
        <v>0</v>
      </c>
      <c r="P94" s="14">
        <f>IF(Distances!P90="N.C.",0,ROUNDUP(P56+'Délai intermédiaire'!P90/24,0))</f>
        <v>0</v>
      </c>
      <c r="Q94" s="14">
        <f>IF(Distances!Q90="N.C.",0,ROUNDUP(Q56+'Délai intermédiaire'!Q90/24,0))</f>
        <v>0</v>
      </c>
      <c r="R94" s="14">
        <f>IF(Distances!R90="N.C.",0,ROUNDUP(R56+'Délai intermédiaire'!R90/24,0))</f>
        <v>0</v>
      </c>
      <c r="S94" s="14">
        <f>IF(Distances!S90="N.C.",0,ROUNDUP(S56+'Délai intermédiaire'!S90/24,0))</f>
        <v>0</v>
      </c>
      <c r="T94" s="14">
        <f>IF(Distances!T90="N.C.",0,ROUNDUP(T56+'Délai intermédiaire'!T90/24,0))</f>
        <v>0</v>
      </c>
      <c r="U94" s="14">
        <f>IF(Distances!U90="N.C.",0,ROUNDUP(U56+'Délai intermédiaire'!U90/24,0))</f>
        <v>0</v>
      </c>
      <c r="V94" s="14">
        <f>IF(Distances!V90="N.C.",0,ROUNDUP(V56+'Délai intermédiaire'!V90/24,0))</f>
        <v>0</v>
      </c>
      <c r="W94" s="14">
        <f>IF(Distances!W90="N.C.",0,ROUNDUP(W56+'Délai intermédiaire'!W90/24,0))</f>
        <v>0</v>
      </c>
      <c r="X94" s="14">
        <f>IF(Distances!X90="N.C.",0,ROUNDUP(X56+'Délai intermédiaire'!X90/24,0))</f>
        <v>0</v>
      </c>
      <c r="Y94" s="14">
        <f>IF(Distances!Y90="N.C.",0,ROUNDUP(Y56+'Délai intermédiaire'!Y90/24,0))</f>
        <v>0</v>
      </c>
      <c r="Z94" s="14">
        <f>IF(Distances!Z90="N.C.",0,ROUNDUP(Z56+'Délai intermédiaire'!Z90/24,0))</f>
        <v>0</v>
      </c>
      <c r="AA94" s="14">
        <f>IF(Distances!AA90="N.C.",0,ROUNDUP(AA56+'Délai intermédiaire'!AA90/24,0))</f>
        <v>0</v>
      </c>
      <c r="AB94" s="14">
        <f>IF(Distances!AB90="N.C.",0,ROUNDUP(AB56+'Délai intermédiaire'!AB90/24,0))</f>
        <v>0</v>
      </c>
      <c r="AC94" s="14">
        <f>IF(Distances!AC90="N.C.",0,ROUNDUP(AC56+'Délai intermédiaire'!AC90/24,0))</f>
        <v>0</v>
      </c>
      <c r="AD94" s="14">
        <f>IF(Distances!AD90="N.C.",0,ROUNDUP(AD56+'Délai intermédiaire'!AD90/24,0))</f>
        <v>0</v>
      </c>
      <c r="AE94" s="14">
        <f>IF(Distances!AE90="N.C.",0,ROUNDUP(AE56+'Délai intermédiaire'!AE90/24,0))</f>
        <v>0</v>
      </c>
      <c r="AF94" s="14">
        <f>IF(Distances!AF90="N.C.",0,ROUNDUP(AF56+'Délai intermédiaire'!AF90/24,0))</f>
        <v>0</v>
      </c>
      <c r="AG94" s="14">
        <f>IF(Distances!AG90="N.C.",0,ROUNDUP(AG56+'Délai intermédiaire'!AG90/24,0))</f>
        <v>0</v>
      </c>
      <c r="AH94" s="13">
        <f>IF(Distances!AH90="N.C.",0,ROUNDUP(AH56+'Délai intermédiaire'!AH90/24,0))</f>
        <v>0</v>
      </c>
      <c r="AI94" s="13">
        <f>IF(Distances!AI90="N.C.",0,ROUNDUP(AI56+'Délai intermédiaire'!AI90/24,0))</f>
        <v>0</v>
      </c>
      <c r="AJ94" s="13">
        <f>IF(Distances!AJ90="N.C.",0,ROUNDUP(AJ56+'Délai intermédiaire'!AJ90/24,0))</f>
        <v>0</v>
      </c>
      <c r="AK94" s="13">
        <f>IF(Distances!AK90="N.C.",0,ROUNDUP(AK56+'Délai intermédiaire'!AK90/24,0))</f>
        <v>0</v>
      </c>
      <c r="AL94" s="12">
        <f>IF(Distances!AL90="N.C.",0,ROUNDUP(AL56+'Délai intermédiaire'!AL90/24,0))</f>
        <v>1</v>
      </c>
      <c r="AM94" s="13">
        <f>IF(Distances!AM90="N.C.",0,ROUNDUP(AM56+'Délai intermédiaire'!AM90/24,0))</f>
        <v>2</v>
      </c>
      <c r="AN94" s="13">
        <f>IF(Distances!AN90="N.C.",0,ROUNDUP(AN56+'Délai intermédiaire'!AN90/24,0))</f>
        <v>2</v>
      </c>
      <c r="AO94" s="14">
        <f>IF(Distances!AO90="N.C.",0,ROUNDUP(AO56+'Délai intermédiaire'!AO90/24,0))</f>
        <v>0</v>
      </c>
      <c r="AP94" s="14">
        <f>IF(Distances!AP90="N.C.",0,ROUNDUP(AP56+'Délai intermédiaire'!AP90/24,0))</f>
        <v>0</v>
      </c>
      <c r="AQ94" s="14">
        <f>IF(Distances!AQ90="N.C.",0,ROUNDUP(AQ56+'Délai intermédiaire'!AQ90/24,0))</f>
        <v>0</v>
      </c>
      <c r="AR94" s="13">
        <f>IF(Distances!AR90="N.C.",0,ROUNDUP(AR56+'Délai intermédiaire'!AR90/24,0))</f>
        <v>0</v>
      </c>
      <c r="AS94" s="13">
        <f>IF(Distances!AS90="N.C.",0,ROUNDUP(AS56+'Délai intermédiaire'!AS90/24,0))</f>
        <v>0</v>
      </c>
      <c r="AT94" s="13">
        <f>IF(Distances!AT90="N.C.",0,ROUNDUP(AT56+'Délai intermédiaire'!AT90/24,0))</f>
        <v>0</v>
      </c>
      <c r="AU94" s="13">
        <f>IF(Distances!AU90="N.C.",0,ROUNDUP(AU56+'Délai intermédiaire'!AU90/24,0))</f>
        <v>0</v>
      </c>
      <c r="AV94" s="13">
        <f>IF(Distances!AV90="N.C.",0,ROUNDUP(AV56+'Délai intermédiaire'!AV90/24,0))</f>
        <v>0</v>
      </c>
      <c r="AW94" s="13">
        <f>IF(Distances!AW90="N.C.",0,ROUNDUP(AW56+'Délai intermédiaire'!AW90/24,0))</f>
        <v>0</v>
      </c>
      <c r="AX94" s="13">
        <f>IF(Distances!AX90="N.C.",0,ROUNDUP(AX56+'Délai intermédiaire'!AX90/24,0))</f>
        <v>0</v>
      </c>
      <c r="AY94" s="14">
        <f>IF(Distances!AY90="N.C.",0,ROUNDUP(AY56+'Délai intermédiaire'!AY90/24,0))</f>
        <v>0</v>
      </c>
      <c r="AZ94" s="14">
        <f>IF(Distances!AZ90="N.C.",0,ROUNDUP(AZ56+'Délai intermédiaire'!AZ90/24,0))</f>
        <v>0</v>
      </c>
      <c r="BA94" s="13">
        <f>IF(Distances!BA90="N.C.",0,ROUNDUP(BA56+'Délai intermédiaire'!BA90/24,0))</f>
        <v>0</v>
      </c>
      <c r="BB94" s="14">
        <f>IF(Distances!BB90="N.C.",0,ROUNDUP(BB56+'Délai intermédiaire'!BB90/24,0))</f>
        <v>0</v>
      </c>
      <c r="BC94" s="13">
        <f>IF(Distances!BC90="N.C.",0,ROUNDUP(BC56+'Délai intermédiaire'!BC90/24,0))</f>
        <v>0</v>
      </c>
      <c r="BD94" s="13">
        <f>IF(Distances!BD90="N.C.",0,ROUNDUP(BD56+'Délai intermédiaire'!BD90/24,0))</f>
        <v>0</v>
      </c>
      <c r="BE94" s="13">
        <f>IF(Distances!BE90="N.C.",0,ROUNDUP(BE56+'Délai intermédiaire'!BE90/24,0))</f>
        <v>0</v>
      </c>
      <c r="BF94" s="14">
        <f>IF(Distances!BF90="N.C.",0,ROUNDUP(BF56+'Délai intermédiaire'!BF90/24,0))</f>
        <v>0</v>
      </c>
      <c r="BG94" s="14">
        <f>IF(Distances!BG90="N.C.",0,ROUNDUP(BG56+'Délai intermédiaire'!BG90/24,0))</f>
        <v>0</v>
      </c>
      <c r="BH94" s="14">
        <f>IF(Distances!BH90="N.C.",0,ROUNDUP(BH56+'Délai intermédiaire'!BH90/24,0))</f>
        <v>0</v>
      </c>
      <c r="BI94" s="14">
        <f>IF(Distances!BI90="N.C.",0,ROUNDUP(BI56+'Délai intermédiaire'!BI90/24,0))</f>
        <v>0</v>
      </c>
      <c r="BJ94" s="15">
        <f>IF(Distances!BJ90="N.C.",0,ROUNDUP(BJ56+'Délai intermédiaire'!BJ90/24,0))</f>
        <v>0</v>
      </c>
    </row>
    <row r="95" spans="1:62" x14ac:dyDescent="0.3">
      <c r="A95" s="10" t="s">
        <v>38</v>
      </c>
      <c r="B95" s="16">
        <f>IF(Distances!B91="N.C.",0,ROUNDUP(B56+'Délai intermédiaire'!B91/24,0))</f>
        <v>0</v>
      </c>
      <c r="C95" s="14">
        <f>IF(Distances!C91="N.C.",0,ROUNDUP(C56+'Délai intermédiaire'!C91/24,0))</f>
        <v>0</v>
      </c>
      <c r="D95" s="14">
        <f>IF(Distances!D91="N.C.",0,ROUNDUP(D56+'Délai intermédiaire'!D91/24,0))</f>
        <v>0</v>
      </c>
      <c r="E95" s="14">
        <f>IF(Distances!E91="N.C.",0,ROUNDUP(E56+'Délai intermédiaire'!E91/24,0))</f>
        <v>0</v>
      </c>
      <c r="F95" s="14">
        <f>IF(Distances!F91="N.C.",0,ROUNDUP(F56+'Délai intermédiaire'!F91/24,0))</f>
        <v>0</v>
      </c>
      <c r="G95" s="14">
        <f>IF(Distances!G91="N.C.",0,ROUNDUP(G56+'Délai intermédiaire'!G91/24,0))</f>
        <v>0</v>
      </c>
      <c r="H95" s="14">
        <f>IF(Distances!H91="N.C.",0,ROUNDUP(H56+'Délai intermédiaire'!H91/24,0))</f>
        <v>0</v>
      </c>
      <c r="I95" s="14">
        <f>IF(Distances!I91="N.C.",0,ROUNDUP(I56+'Délai intermédiaire'!I91/24,0))</f>
        <v>0</v>
      </c>
      <c r="J95" s="14">
        <f>IF(Distances!J91="N.C.",0,ROUNDUP(J56+'Délai intermédiaire'!J91/24,0))</f>
        <v>0</v>
      </c>
      <c r="K95" s="14">
        <f>IF(Distances!K91="N.C.",0,ROUNDUP(K56+'Délai intermédiaire'!K91/24,0))</f>
        <v>0</v>
      </c>
      <c r="L95" s="14">
        <f>IF(Distances!L91="N.C.",0,ROUNDUP(L56+'Délai intermédiaire'!L91/24,0))</f>
        <v>0</v>
      </c>
      <c r="M95" s="14">
        <f>IF(Distances!M91="N.C.",0,ROUNDUP(M56+'Délai intermédiaire'!M91/24,0))</f>
        <v>0</v>
      </c>
      <c r="N95" s="14">
        <f>IF(Distances!N91="N.C.",0,ROUNDUP(N56+'Délai intermédiaire'!N91/24,0))</f>
        <v>0</v>
      </c>
      <c r="O95" s="14">
        <f>IF(Distances!O91="N.C.",0,ROUNDUP(O56+'Délai intermédiaire'!O91/24,0))</f>
        <v>0</v>
      </c>
      <c r="P95" s="14">
        <f>IF(Distances!P91="N.C.",0,ROUNDUP(P56+'Délai intermédiaire'!P91/24,0))</f>
        <v>0</v>
      </c>
      <c r="Q95" s="14">
        <f>IF(Distances!Q91="N.C.",0,ROUNDUP(Q56+'Délai intermédiaire'!Q91/24,0))</f>
        <v>0</v>
      </c>
      <c r="R95" s="14">
        <f>IF(Distances!R91="N.C.",0,ROUNDUP(R56+'Délai intermédiaire'!R91/24,0))</f>
        <v>0</v>
      </c>
      <c r="S95" s="14">
        <f>IF(Distances!S91="N.C.",0,ROUNDUP(S56+'Délai intermédiaire'!S91/24,0))</f>
        <v>0</v>
      </c>
      <c r="T95" s="14">
        <f>IF(Distances!T91="N.C.",0,ROUNDUP(T56+'Délai intermédiaire'!T91/24,0))</f>
        <v>0</v>
      </c>
      <c r="U95" s="14">
        <f>IF(Distances!U91="N.C.",0,ROUNDUP(U56+'Délai intermédiaire'!U91/24,0))</f>
        <v>0</v>
      </c>
      <c r="V95" s="14">
        <f>IF(Distances!V91="N.C.",0,ROUNDUP(V56+'Délai intermédiaire'!V91/24,0))</f>
        <v>0</v>
      </c>
      <c r="W95" s="14">
        <f>IF(Distances!W91="N.C.",0,ROUNDUP(W56+'Délai intermédiaire'!W91/24,0))</f>
        <v>0</v>
      </c>
      <c r="X95" s="14">
        <f>IF(Distances!X91="N.C.",0,ROUNDUP(X56+'Délai intermédiaire'!X91/24,0))</f>
        <v>0</v>
      </c>
      <c r="Y95" s="14">
        <f>IF(Distances!Y91="N.C.",0,ROUNDUP(Y56+'Délai intermédiaire'!Y91/24,0))</f>
        <v>0</v>
      </c>
      <c r="Z95" s="14">
        <f>IF(Distances!Z91="N.C.",0,ROUNDUP(Z56+'Délai intermédiaire'!Z91/24,0))</f>
        <v>0</v>
      </c>
      <c r="AA95" s="14">
        <f>IF(Distances!AA91="N.C.",0,ROUNDUP(AA56+'Délai intermédiaire'!AA91/24,0))</f>
        <v>0</v>
      </c>
      <c r="AB95" s="14">
        <f>IF(Distances!AB91="N.C.",0,ROUNDUP(AB56+'Délai intermédiaire'!AB91/24,0))</f>
        <v>0</v>
      </c>
      <c r="AC95" s="14">
        <f>IF(Distances!AC91="N.C.",0,ROUNDUP(AC56+'Délai intermédiaire'!AC91/24,0))</f>
        <v>0</v>
      </c>
      <c r="AD95" s="14">
        <f>IF(Distances!AD91="N.C.",0,ROUNDUP(AD56+'Délai intermédiaire'!AD91/24,0))</f>
        <v>0</v>
      </c>
      <c r="AE95" s="14">
        <f>IF(Distances!AE91="N.C.",0,ROUNDUP(AE56+'Délai intermédiaire'!AE91/24,0))</f>
        <v>0</v>
      </c>
      <c r="AF95" s="14">
        <f>IF(Distances!AF91="N.C.",0,ROUNDUP(AF56+'Délai intermédiaire'!AF91/24,0))</f>
        <v>0</v>
      </c>
      <c r="AG95" s="14">
        <f>IF(Distances!AG91="N.C.",0,ROUNDUP(AG56+'Délai intermédiaire'!AG91/24,0))</f>
        <v>0</v>
      </c>
      <c r="AH95" s="13">
        <f>IF(Distances!AH91="N.C.",0,ROUNDUP(AH56+'Délai intermédiaire'!AH91/24,0))</f>
        <v>0</v>
      </c>
      <c r="AI95" s="13">
        <f>IF(Distances!AI91="N.C.",0,ROUNDUP(AI56+'Délai intermédiaire'!AI91/24,0))</f>
        <v>0</v>
      </c>
      <c r="AJ95" s="13">
        <f>IF(Distances!AJ91="N.C.",0,ROUNDUP(AJ56+'Délai intermédiaire'!AJ91/24,0))</f>
        <v>0</v>
      </c>
      <c r="AK95" s="13">
        <f>IF(Distances!AK91="N.C.",0,ROUNDUP(AK56+'Délai intermédiaire'!AK91/24,0))</f>
        <v>0</v>
      </c>
      <c r="AL95" s="13">
        <f>IF(Distances!AL91="N.C.",0,ROUNDUP(AL56+'Délai intermédiaire'!AL91/24,0))</f>
        <v>2</v>
      </c>
      <c r="AM95" s="12">
        <f>IF(Distances!AM91="N.C.",0,ROUNDUP(AM56+'Délai intermédiaire'!AM91/24,0))</f>
        <v>1</v>
      </c>
      <c r="AN95" s="13">
        <f>IF(Distances!AN91="N.C.",0,ROUNDUP(AN56+'Délai intermédiaire'!AN91/24,0))</f>
        <v>2</v>
      </c>
      <c r="AO95" s="14">
        <f>IF(Distances!AO91="N.C.",0,ROUNDUP(AO56+'Délai intermédiaire'!AO91/24,0))</f>
        <v>0</v>
      </c>
      <c r="AP95" s="14">
        <f>IF(Distances!AP91="N.C.",0,ROUNDUP(AP56+'Délai intermédiaire'!AP91/24,0))</f>
        <v>0</v>
      </c>
      <c r="AQ95" s="14">
        <f>IF(Distances!AQ91="N.C.",0,ROUNDUP(AQ56+'Délai intermédiaire'!AQ91/24,0))</f>
        <v>0</v>
      </c>
      <c r="AR95" s="13">
        <f>IF(Distances!AR91="N.C.",0,ROUNDUP(AR56+'Délai intermédiaire'!AR91/24,0))</f>
        <v>0</v>
      </c>
      <c r="AS95" s="13">
        <f>IF(Distances!AS91="N.C.",0,ROUNDUP(AS56+'Délai intermédiaire'!AS91/24,0))</f>
        <v>0</v>
      </c>
      <c r="AT95" s="13">
        <f>IF(Distances!AT91="N.C.",0,ROUNDUP(AT56+'Délai intermédiaire'!AT91/24,0))</f>
        <v>0</v>
      </c>
      <c r="AU95" s="13">
        <f>IF(Distances!AU91="N.C.",0,ROUNDUP(AU56+'Délai intermédiaire'!AU91/24,0))</f>
        <v>0</v>
      </c>
      <c r="AV95" s="13">
        <f>IF(Distances!AV91="N.C.",0,ROUNDUP(AV56+'Délai intermédiaire'!AV91/24,0))</f>
        <v>0</v>
      </c>
      <c r="AW95" s="13">
        <f>IF(Distances!AW91="N.C.",0,ROUNDUP(AW56+'Délai intermédiaire'!AW91/24,0))</f>
        <v>0</v>
      </c>
      <c r="AX95" s="13">
        <f>IF(Distances!AX91="N.C.",0,ROUNDUP(AX56+'Délai intermédiaire'!AX91/24,0))</f>
        <v>0</v>
      </c>
      <c r="AY95" s="14">
        <f>IF(Distances!AY91="N.C.",0,ROUNDUP(AY56+'Délai intermédiaire'!AY91/24,0))</f>
        <v>0</v>
      </c>
      <c r="AZ95" s="14">
        <f>IF(Distances!AZ91="N.C.",0,ROUNDUP(AZ56+'Délai intermédiaire'!AZ91/24,0))</f>
        <v>0</v>
      </c>
      <c r="BA95" s="13">
        <f>IF(Distances!BA91="N.C.",0,ROUNDUP(BA56+'Délai intermédiaire'!BA91/24,0))</f>
        <v>0</v>
      </c>
      <c r="BB95" s="14">
        <f>IF(Distances!BB91="N.C.",0,ROUNDUP(BB56+'Délai intermédiaire'!BB91/24,0))</f>
        <v>0</v>
      </c>
      <c r="BC95" s="13">
        <f>IF(Distances!BC91="N.C.",0,ROUNDUP(BC56+'Délai intermédiaire'!BC91/24,0))</f>
        <v>0</v>
      </c>
      <c r="BD95" s="13">
        <f>IF(Distances!BD91="N.C.",0,ROUNDUP(BD56+'Délai intermédiaire'!BD91/24,0))</f>
        <v>0</v>
      </c>
      <c r="BE95" s="13">
        <f>IF(Distances!BE91="N.C.",0,ROUNDUP(BE56+'Délai intermédiaire'!BE91/24,0))</f>
        <v>0</v>
      </c>
      <c r="BF95" s="14">
        <f>IF(Distances!BF91="N.C.",0,ROUNDUP(BF56+'Délai intermédiaire'!BF91/24,0))</f>
        <v>0</v>
      </c>
      <c r="BG95" s="14">
        <f>IF(Distances!BG91="N.C.",0,ROUNDUP(BG56+'Délai intermédiaire'!BG91/24,0))</f>
        <v>0</v>
      </c>
      <c r="BH95" s="14">
        <f>IF(Distances!BH91="N.C.",0,ROUNDUP(BH56+'Délai intermédiaire'!BH91/24,0))</f>
        <v>0</v>
      </c>
      <c r="BI95" s="14">
        <f>IF(Distances!BI91="N.C.",0,ROUNDUP(BI56+'Délai intermédiaire'!BI91/24,0))</f>
        <v>0</v>
      </c>
      <c r="BJ95" s="15">
        <f>IF(Distances!BJ91="N.C.",0,ROUNDUP(BJ56+'Délai intermédiaire'!BJ91/24,0))</f>
        <v>0</v>
      </c>
    </row>
    <row r="96" spans="1:62" x14ac:dyDescent="0.3">
      <c r="A96" s="10" t="s">
        <v>39</v>
      </c>
      <c r="B96" s="16">
        <f>IF(Distances!B92="N.C.",0,ROUNDUP(B56+'Délai intermédiaire'!B92/24,0))</f>
        <v>0</v>
      </c>
      <c r="C96" s="14">
        <f>IF(Distances!C92="N.C.",0,ROUNDUP(C56+'Délai intermédiaire'!C92/24,0))</f>
        <v>0</v>
      </c>
      <c r="D96" s="14">
        <f>IF(Distances!D92="N.C.",0,ROUNDUP(D56+'Délai intermédiaire'!D92/24,0))</f>
        <v>0</v>
      </c>
      <c r="E96" s="14">
        <f>IF(Distances!E92="N.C.",0,ROUNDUP(E56+'Délai intermédiaire'!E92/24,0))</f>
        <v>0</v>
      </c>
      <c r="F96" s="14">
        <f>IF(Distances!F92="N.C.",0,ROUNDUP(F56+'Délai intermédiaire'!F92/24,0))</f>
        <v>0</v>
      </c>
      <c r="G96" s="14">
        <f>IF(Distances!G92="N.C.",0,ROUNDUP(G56+'Délai intermédiaire'!G92/24,0))</f>
        <v>0</v>
      </c>
      <c r="H96" s="14">
        <f>IF(Distances!H92="N.C.",0,ROUNDUP(H56+'Délai intermédiaire'!H92/24,0))</f>
        <v>0</v>
      </c>
      <c r="I96" s="14">
        <f>IF(Distances!I92="N.C.",0,ROUNDUP(I56+'Délai intermédiaire'!I92/24,0))</f>
        <v>0</v>
      </c>
      <c r="J96" s="14">
        <f>IF(Distances!J92="N.C.",0,ROUNDUP(J56+'Délai intermédiaire'!J92/24,0))</f>
        <v>0</v>
      </c>
      <c r="K96" s="14">
        <f>IF(Distances!K92="N.C.",0,ROUNDUP(K56+'Délai intermédiaire'!K92/24,0))</f>
        <v>0</v>
      </c>
      <c r="L96" s="14">
        <f>IF(Distances!L92="N.C.",0,ROUNDUP(L56+'Délai intermédiaire'!L92/24,0))</f>
        <v>0</v>
      </c>
      <c r="M96" s="14">
        <f>IF(Distances!M92="N.C.",0,ROUNDUP(M56+'Délai intermédiaire'!M92/24,0))</f>
        <v>0</v>
      </c>
      <c r="N96" s="14">
        <f>IF(Distances!N92="N.C.",0,ROUNDUP(N56+'Délai intermédiaire'!N92/24,0))</f>
        <v>0</v>
      </c>
      <c r="O96" s="14">
        <f>IF(Distances!O92="N.C.",0,ROUNDUP(O56+'Délai intermédiaire'!O92/24,0))</f>
        <v>0</v>
      </c>
      <c r="P96" s="14">
        <f>IF(Distances!P92="N.C.",0,ROUNDUP(P56+'Délai intermédiaire'!P92/24,0))</f>
        <v>0</v>
      </c>
      <c r="Q96" s="14">
        <f>IF(Distances!Q92="N.C.",0,ROUNDUP(Q56+'Délai intermédiaire'!Q92/24,0))</f>
        <v>0</v>
      </c>
      <c r="R96" s="14">
        <f>IF(Distances!R92="N.C.",0,ROUNDUP(R56+'Délai intermédiaire'!R92/24,0))</f>
        <v>0</v>
      </c>
      <c r="S96" s="14">
        <f>IF(Distances!S92="N.C.",0,ROUNDUP(S56+'Délai intermédiaire'!S92/24,0))</f>
        <v>0</v>
      </c>
      <c r="T96" s="14">
        <f>IF(Distances!T92="N.C.",0,ROUNDUP(T56+'Délai intermédiaire'!T92/24,0))</f>
        <v>0</v>
      </c>
      <c r="U96" s="14">
        <f>IF(Distances!U92="N.C.",0,ROUNDUP(U56+'Délai intermédiaire'!U92/24,0))</f>
        <v>0</v>
      </c>
      <c r="V96" s="14">
        <f>IF(Distances!V92="N.C.",0,ROUNDUP(V56+'Délai intermédiaire'!V92/24,0))</f>
        <v>0</v>
      </c>
      <c r="W96" s="14">
        <f>IF(Distances!W92="N.C.",0,ROUNDUP(W56+'Délai intermédiaire'!W92/24,0))</f>
        <v>0</v>
      </c>
      <c r="X96" s="14">
        <f>IF(Distances!X92="N.C.",0,ROUNDUP(X56+'Délai intermédiaire'!X92/24,0))</f>
        <v>0</v>
      </c>
      <c r="Y96" s="14">
        <f>IF(Distances!Y92="N.C.",0,ROUNDUP(Y56+'Délai intermédiaire'!Y92/24,0))</f>
        <v>0</v>
      </c>
      <c r="Z96" s="14">
        <f>IF(Distances!Z92="N.C.",0,ROUNDUP(Z56+'Délai intermédiaire'!Z92/24,0))</f>
        <v>0</v>
      </c>
      <c r="AA96" s="14">
        <f>IF(Distances!AA92="N.C.",0,ROUNDUP(AA56+'Délai intermédiaire'!AA92/24,0))</f>
        <v>0</v>
      </c>
      <c r="AB96" s="14">
        <f>IF(Distances!AB92="N.C.",0,ROUNDUP(AB56+'Délai intermédiaire'!AB92/24,0))</f>
        <v>0</v>
      </c>
      <c r="AC96" s="14">
        <f>IF(Distances!AC92="N.C.",0,ROUNDUP(AC56+'Délai intermédiaire'!AC92/24,0))</f>
        <v>0</v>
      </c>
      <c r="AD96" s="14">
        <f>IF(Distances!AD92="N.C.",0,ROUNDUP(AD56+'Délai intermédiaire'!AD92/24,0))</f>
        <v>0</v>
      </c>
      <c r="AE96" s="14">
        <f>IF(Distances!AE92="N.C.",0,ROUNDUP(AE56+'Délai intermédiaire'!AE92/24,0))</f>
        <v>0</v>
      </c>
      <c r="AF96" s="14">
        <f>IF(Distances!AF92="N.C.",0,ROUNDUP(AF56+'Délai intermédiaire'!AF92/24,0))</f>
        <v>0</v>
      </c>
      <c r="AG96" s="14">
        <f>IF(Distances!AG92="N.C.",0,ROUNDUP(AG56+'Délai intermédiaire'!AG92/24,0))</f>
        <v>0</v>
      </c>
      <c r="AH96" s="13">
        <f>IF(Distances!AH92="N.C.",0,ROUNDUP(AH56+'Délai intermédiaire'!AH92/24,0))</f>
        <v>0</v>
      </c>
      <c r="AI96" s="13">
        <f>IF(Distances!AI92="N.C.",0,ROUNDUP(AI56+'Délai intermédiaire'!AI92/24,0))</f>
        <v>0</v>
      </c>
      <c r="AJ96" s="13">
        <f>IF(Distances!AJ92="N.C.",0,ROUNDUP(AJ56+'Délai intermédiaire'!AJ92/24,0))</f>
        <v>0</v>
      </c>
      <c r="AK96" s="13">
        <f>IF(Distances!AK92="N.C.",0,ROUNDUP(AK56+'Délai intermédiaire'!AK92/24,0))</f>
        <v>0</v>
      </c>
      <c r="AL96" s="13">
        <f>IF(Distances!AL92="N.C.",0,ROUNDUP(AL56+'Délai intermédiaire'!AL92/24,0))</f>
        <v>2</v>
      </c>
      <c r="AM96" s="13">
        <f>IF(Distances!AM92="N.C.",0,ROUNDUP(AM56+'Délai intermédiaire'!AM92/24,0))</f>
        <v>2</v>
      </c>
      <c r="AN96" s="12">
        <f>IF(Distances!AN92="N.C.",0,ROUNDUP(AN56+'Délai intermédiaire'!AN92/24,0))</f>
        <v>1</v>
      </c>
      <c r="AO96" s="14">
        <f>IF(Distances!AO92="N.C.",0,ROUNDUP(AO56+'Délai intermédiaire'!AO92/24,0))</f>
        <v>0</v>
      </c>
      <c r="AP96" s="14">
        <f>IF(Distances!AP92="N.C.",0,ROUNDUP(AP56+'Délai intermédiaire'!AP92/24,0))</f>
        <v>0</v>
      </c>
      <c r="AQ96" s="14">
        <f>IF(Distances!AQ92="N.C.",0,ROUNDUP(AQ56+'Délai intermédiaire'!AQ92/24,0))</f>
        <v>0</v>
      </c>
      <c r="AR96" s="13">
        <f>IF(Distances!AR92="N.C.",0,ROUNDUP(AR56+'Délai intermédiaire'!AR92/24,0))</f>
        <v>0</v>
      </c>
      <c r="AS96" s="13">
        <f>IF(Distances!AS92="N.C.",0,ROUNDUP(AS56+'Délai intermédiaire'!AS92/24,0))</f>
        <v>0</v>
      </c>
      <c r="AT96" s="13">
        <f>IF(Distances!AT92="N.C.",0,ROUNDUP(AT56+'Délai intermédiaire'!AT92/24,0))</f>
        <v>0</v>
      </c>
      <c r="AU96" s="13">
        <f>IF(Distances!AU92="N.C.",0,ROUNDUP(AU56+'Délai intermédiaire'!AU92/24,0))</f>
        <v>0</v>
      </c>
      <c r="AV96" s="13">
        <f>IF(Distances!AV92="N.C.",0,ROUNDUP(AV56+'Délai intermédiaire'!AV92/24,0))</f>
        <v>0</v>
      </c>
      <c r="AW96" s="13">
        <f>IF(Distances!AW92="N.C.",0,ROUNDUP(AW56+'Délai intermédiaire'!AW92/24,0))</f>
        <v>0</v>
      </c>
      <c r="AX96" s="13">
        <f>IF(Distances!AX92="N.C.",0,ROUNDUP(AX56+'Délai intermédiaire'!AX92/24,0))</f>
        <v>0</v>
      </c>
      <c r="AY96" s="14">
        <f>IF(Distances!AY92="N.C.",0,ROUNDUP(AY56+'Délai intermédiaire'!AY92/24,0))</f>
        <v>0</v>
      </c>
      <c r="AZ96" s="14">
        <f>IF(Distances!AZ92="N.C.",0,ROUNDUP(AZ56+'Délai intermédiaire'!AZ92/24,0))</f>
        <v>0</v>
      </c>
      <c r="BA96" s="13">
        <f>IF(Distances!BA92="N.C.",0,ROUNDUP(BA56+'Délai intermédiaire'!BA92/24,0))</f>
        <v>0</v>
      </c>
      <c r="BB96" s="14">
        <f>IF(Distances!BB92="N.C.",0,ROUNDUP(BB56+'Délai intermédiaire'!BB92/24,0))</f>
        <v>0</v>
      </c>
      <c r="BC96" s="13">
        <f>IF(Distances!BC92="N.C.",0,ROUNDUP(BC56+'Délai intermédiaire'!BC92/24,0))</f>
        <v>0</v>
      </c>
      <c r="BD96" s="13">
        <f>IF(Distances!BD92="N.C.",0,ROUNDUP(BD56+'Délai intermédiaire'!BD92/24,0))</f>
        <v>0</v>
      </c>
      <c r="BE96" s="13">
        <f>IF(Distances!BE92="N.C.",0,ROUNDUP(BE56+'Délai intermédiaire'!BE92/24,0))</f>
        <v>0</v>
      </c>
      <c r="BF96" s="14">
        <f>IF(Distances!BF92="N.C.",0,ROUNDUP(BF56+'Délai intermédiaire'!BF92/24,0))</f>
        <v>0</v>
      </c>
      <c r="BG96" s="14">
        <f>IF(Distances!BG92="N.C.",0,ROUNDUP(BG56+'Délai intermédiaire'!BG92/24,0))</f>
        <v>0</v>
      </c>
      <c r="BH96" s="14">
        <f>IF(Distances!BH92="N.C.",0,ROUNDUP(BH56+'Délai intermédiaire'!BH92/24,0))</f>
        <v>0</v>
      </c>
      <c r="BI96" s="14">
        <f>IF(Distances!BI92="N.C.",0,ROUNDUP(BI56+'Délai intermédiaire'!BI92/24,0))</f>
        <v>0</v>
      </c>
      <c r="BJ96" s="15">
        <f>IF(Distances!BJ92="N.C.",0,ROUNDUP(BJ56+'Délai intermédiaire'!BJ92/24,0))</f>
        <v>0</v>
      </c>
    </row>
    <row r="97" spans="1:62" x14ac:dyDescent="0.3">
      <c r="A97" s="10" t="s">
        <v>40</v>
      </c>
      <c r="B97" s="16">
        <f>IF(Distances!B93="N.C.",0,ROUNDUP(B56+'Délai intermédiaire'!B93/24,0))</f>
        <v>0</v>
      </c>
      <c r="C97" s="14">
        <f>IF(Distances!C93="N.C.",0,ROUNDUP(C56+'Délai intermédiaire'!C93/24,0))</f>
        <v>0</v>
      </c>
      <c r="D97" s="14">
        <f>IF(Distances!D93="N.C.",0,ROUNDUP(D56+'Délai intermédiaire'!D93/24,0))</f>
        <v>0</v>
      </c>
      <c r="E97" s="14">
        <f>IF(Distances!E93="N.C.",0,ROUNDUP(E56+'Délai intermédiaire'!E93/24,0))</f>
        <v>0</v>
      </c>
      <c r="F97" s="14">
        <f>IF(Distances!F93="N.C.",0,ROUNDUP(F56+'Délai intermédiaire'!F93/24,0))</f>
        <v>0</v>
      </c>
      <c r="G97" s="14">
        <f>IF(Distances!G93="N.C.",0,ROUNDUP(G56+'Délai intermédiaire'!G93/24,0))</f>
        <v>0</v>
      </c>
      <c r="H97" s="14">
        <f>IF(Distances!H93="N.C.",0,ROUNDUP(H56+'Délai intermédiaire'!H93/24,0))</f>
        <v>0</v>
      </c>
      <c r="I97" s="14">
        <f>IF(Distances!I93="N.C.",0,ROUNDUP(I56+'Délai intermédiaire'!I93/24,0))</f>
        <v>0</v>
      </c>
      <c r="J97" s="14">
        <f>IF(Distances!J93="N.C.",0,ROUNDUP(J56+'Délai intermédiaire'!J93/24,0))</f>
        <v>0</v>
      </c>
      <c r="K97" s="14">
        <f>IF(Distances!K93="N.C.",0,ROUNDUP(K56+'Délai intermédiaire'!K93/24,0))</f>
        <v>0</v>
      </c>
      <c r="L97" s="14">
        <f>IF(Distances!L93="N.C.",0,ROUNDUP(L56+'Délai intermédiaire'!L93/24,0))</f>
        <v>0</v>
      </c>
      <c r="M97" s="14">
        <f>IF(Distances!M93="N.C.",0,ROUNDUP(M56+'Délai intermédiaire'!M93/24,0))</f>
        <v>0</v>
      </c>
      <c r="N97" s="14">
        <f>IF(Distances!N93="N.C.",0,ROUNDUP(N56+'Délai intermédiaire'!N93/24,0))</f>
        <v>0</v>
      </c>
      <c r="O97" s="14">
        <f>IF(Distances!O93="N.C.",0,ROUNDUP(O56+'Délai intermédiaire'!O93/24,0))</f>
        <v>0</v>
      </c>
      <c r="P97" s="14">
        <f>IF(Distances!P93="N.C.",0,ROUNDUP(P56+'Délai intermédiaire'!P93/24,0))</f>
        <v>0</v>
      </c>
      <c r="Q97" s="14">
        <f>IF(Distances!Q93="N.C.",0,ROUNDUP(Q56+'Délai intermédiaire'!Q93/24,0))</f>
        <v>0</v>
      </c>
      <c r="R97" s="14">
        <f>IF(Distances!R93="N.C.",0,ROUNDUP(R56+'Délai intermédiaire'!R93/24,0))</f>
        <v>0</v>
      </c>
      <c r="S97" s="14">
        <f>IF(Distances!S93="N.C.",0,ROUNDUP(S56+'Délai intermédiaire'!S93/24,0))</f>
        <v>0</v>
      </c>
      <c r="T97" s="14">
        <f>IF(Distances!T93="N.C.",0,ROUNDUP(T56+'Délai intermédiaire'!T93/24,0))</f>
        <v>0</v>
      </c>
      <c r="U97" s="14">
        <f>IF(Distances!U93="N.C.",0,ROUNDUP(U56+'Délai intermédiaire'!U93/24,0))</f>
        <v>0</v>
      </c>
      <c r="V97" s="14">
        <f>IF(Distances!V93="N.C.",0,ROUNDUP(V56+'Délai intermédiaire'!V93/24,0))</f>
        <v>0</v>
      </c>
      <c r="W97" s="14">
        <f>IF(Distances!W93="N.C.",0,ROUNDUP(W56+'Délai intermédiaire'!W93/24,0))</f>
        <v>0</v>
      </c>
      <c r="X97" s="14">
        <f>IF(Distances!X93="N.C.",0,ROUNDUP(X56+'Délai intermédiaire'!X93/24,0))</f>
        <v>0</v>
      </c>
      <c r="Y97" s="14">
        <f>IF(Distances!Y93="N.C.",0,ROUNDUP(Y56+'Délai intermédiaire'!Y93/24,0))</f>
        <v>0</v>
      </c>
      <c r="Z97" s="14">
        <f>IF(Distances!Z93="N.C.",0,ROUNDUP(Z56+'Délai intermédiaire'!Z93/24,0))</f>
        <v>0</v>
      </c>
      <c r="AA97" s="14">
        <f>IF(Distances!AA93="N.C.",0,ROUNDUP(AA56+'Délai intermédiaire'!AA93/24,0))</f>
        <v>0</v>
      </c>
      <c r="AB97" s="14">
        <f>IF(Distances!AB93="N.C.",0,ROUNDUP(AB56+'Délai intermédiaire'!AB93/24,0))</f>
        <v>0</v>
      </c>
      <c r="AC97" s="14">
        <f>IF(Distances!AC93="N.C.",0,ROUNDUP(AC56+'Délai intermédiaire'!AC93/24,0))</f>
        <v>0</v>
      </c>
      <c r="AD97" s="14">
        <f>IF(Distances!AD93="N.C.",0,ROUNDUP(AD56+'Délai intermédiaire'!AD93/24,0))</f>
        <v>0</v>
      </c>
      <c r="AE97" s="14">
        <f>IF(Distances!AE93="N.C.",0,ROUNDUP(AE56+'Délai intermédiaire'!AE93/24,0))</f>
        <v>0</v>
      </c>
      <c r="AF97" s="14">
        <f>IF(Distances!AF93="N.C.",0,ROUNDUP(AF56+'Délai intermédiaire'!AF93/24,0))</f>
        <v>0</v>
      </c>
      <c r="AG97" s="14">
        <f>IF(Distances!AG93="N.C.",0,ROUNDUP(AG56+'Délai intermédiaire'!AG93/24,0))</f>
        <v>0</v>
      </c>
      <c r="AH97" s="14">
        <f>IF(Distances!AH93="N.C.",0,ROUNDUP(AH56+'Délai intermédiaire'!AH93/24,0))</f>
        <v>0</v>
      </c>
      <c r="AI97" s="14">
        <f>IF(Distances!AI93="N.C.",0,ROUNDUP(AI56+'Délai intermédiaire'!AI93/24,0))</f>
        <v>0</v>
      </c>
      <c r="AJ97" s="14">
        <f>IF(Distances!AJ93="N.C.",0,ROUNDUP(AJ56+'Délai intermédiaire'!AJ93/24,0))</f>
        <v>0</v>
      </c>
      <c r="AK97" s="14">
        <f>IF(Distances!AK93="N.C.",0,ROUNDUP(AK56+'Délai intermédiaire'!AK93/24,0))</f>
        <v>0</v>
      </c>
      <c r="AL97" s="14">
        <f>IF(Distances!AL93="N.C.",0,ROUNDUP(AL56+'Délai intermédiaire'!AL93/24,0))</f>
        <v>0</v>
      </c>
      <c r="AM97" s="14">
        <f>IF(Distances!AM93="N.C.",0,ROUNDUP(AM56+'Délai intermédiaire'!AM93/24,0))</f>
        <v>0</v>
      </c>
      <c r="AN97" s="14">
        <f>IF(Distances!AN93="N.C.",0,ROUNDUP(AN56+'Délai intermédiaire'!AN93/24,0))</f>
        <v>0</v>
      </c>
      <c r="AO97" s="12">
        <f>IF(Distances!AO93="N.C.",0,ROUNDUP(AO56+'Délai intermédiaire'!AO93/24,0))</f>
        <v>2</v>
      </c>
      <c r="AP97" s="19">
        <f>IF(Distances!AP93="N.C.",0,ROUNDUP(AP56+'Délai intermédiaire'!AP93/24,0))</f>
        <v>3</v>
      </c>
      <c r="AQ97" s="19">
        <f>IF(Distances!AQ93="N.C.",0,ROUNDUP(AQ56+'Délai intermédiaire'!AQ93/24,0))</f>
        <v>5</v>
      </c>
      <c r="AR97" s="14">
        <f>IF(Distances!AR93="N.C.",0,ROUNDUP(AR56+'Délai intermédiaire'!AR93/24,0))</f>
        <v>0</v>
      </c>
      <c r="AS97" s="14">
        <f>IF(Distances!AS93="N.C.",0,ROUNDUP(AS56+'Délai intermédiaire'!AS93/24,0))</f>
        <v>0</v>
      </c>
      <c r="AT97" s="14">
        <f>IF(Distances!AT93="N.C.",0,ROUNDUP(AT56+'Délai intermédiaire'!AT93/24,0))</f>
        <v>0</v>
      </c>
      <c r="AU97" s="14">
        <f>IF(Distances!AU93="N.C.",0,ROUNDUP(AU56+'Délai intermédiaire'!AU93/24,0))</f>
        <v>0</v>
      </c>
      <c r="AV97" s="14">
        <f>IF(Distances!AV93="N.C.",0,ROUNDUP(AV56+'Délai intermédiaire'!AV93/24,0))</f>
        <v>0</v>
      </c>
      <c r="AW97" s="14">
        <f>IF(Distances!AW93="N.C.",0,ROUNDUP(AW56+'Délai intermédiaire'!AW93/24,0))</f>
        <v>0</v>
      </c>
      <c r="AX97" s="14">
        <f>IF(Distances!AX93="N.C.",0,ROUNDUP(AX56+'Délai intermédiaire'!AX93/24,0))</f>
        <v>0</v>
      </c>
      <c r="AY97" s="14">
        <f>IF(Distances!AY93="N.C.",0,ROUNDUP(AY56+'Délai intermédiaire'!AY93/24,0))</f>
        <v>0</v>
      </c>
      <c r="AZ97" s="14">
        <f>IF(Distances!AZ93="N.C.",0,ROUNDUP(AZ56+'Délai intermédiaire'!AZ93/24,0))</f>
        <v>0</v>
      </c>
      <c r="BA97" s="14">
        <f>IF(Distances!BA93="N.C.",0,ROUNDUP(BA56+'Délai intermédiaire'!BA93/24,0))</f>
        <v>0</v>
      </c>
      <c r="BB97" s="14">
        <f>IF(Distances!BB93="N.C.",0,ROUNDUP(BB56+'Délai intermédiaire'!BB93/24,0))</f>
        <v>0</v>
      </c>
      <c r="BC97" s="14">
        <f>IF(Distances!BC93="N.C.",0,ROUNDUP(BC56+'Délai intermédiaire'!BC93/24,0))</f>
        <v>0</v>
      </c>
      <c r="BD97" s="14">
        <f>IF(Distances!BD93="N.C.",0,ROUNDUP(BD56+'Délai intermédiaire'!BD93/24,0))</f>
        <v>0</v>
      </c>
      <c r="BE97" s="14">
        <f>IF(Distances!BE93="N.C.",0,ROUNDUP(BE56+'Délai intermédiaire'!BE93/24,0))</f>
        <v>0</v>
      </c>
      <c r="BF97" s="14">
        <f>IF(Distances!BF93="N.C.",0,ROUNDUP(BF56+'Délai intermédiaire'!BF93/24,0))</f>
        <v>0</v>
      </c>
      <c r="BG97" s="14">
        <f>IF(Distances!BG93="N.C.",0,ROUNDUP(BG56+'Délai intermédiaire'!BG93/24,0))</f>
        <v>0</v>
      </c>
      <c r="BH97" s="14">
        <f>IF(Distances!BH93="N.C.",0,ROUNDUP(BH56+'Délai intermédiaire'!BH93/24,0))</f>
        <v>0</v>
      </c>
      <c r="BI97" s="14">
        <f>IF(Distances!BI93="N.C.",0,ROUNDUP(BI56+'Délai intermédiaire'!BI93/24,0))</f>
        <v>0</v>
      </c>
      <c r="BJ97" s="15">
        <f>IF(Distances!BJ93="N.C.",0,ROUNDUP(BJ56+'Délai intermédiaire'!BJ93/24,0))</f>
        <v>0</v>
      </c>
    </row>
    <row r="98" spans="1:62" x14ac:dyDescent="0.3">
      <c r="A98" s="10" t="s">
        <v>41</v>
      </c>
      <c r="B98" s="16">
        <f>IF(Distances!B94="N.C.",0,ROUNDUP(B56+'Délai intermédiaire'!B94/24,0))</f>
        <v>0</v>
      </c>
      <c r="C98" s="14">
        <f>IF(Distances!C94="N.C.",0,ROUNDUP(C56+'Délai intermédiaire'!C94/24,0))</f>
        <v>0</v>
      </c>
      <c r="D98" s="14">
        <f>IF(Distances!D94="N.C.",0,ROUNDUP(D56+'Délai intermédiaire'!D94/24,0))</f>
        <v>0</v>
      </c>
      <c r="E98" s="14">
        <f>IF(Distances!E94="N.C.",0,ROUNDUP(E56+'Délai intermédiaire'!E94/24,0))</f>
        <v>0</v>
      </c>
      <c r="F98" s="14">
        <f>IF(Distances!F94="N.C.",0,ROUNDUP(F56+'Délai intermédiaire'!F94/24,0))</f>
        <v>0</v>
      </c>
      <c r="G98" s="14">
        <f>IF(Distances!G94="N.C.",0,ROUNDUP(G56+'Délai intermédiaire'!G94/24,0))</f>
        <v>0</v>
      </c>
      <c r="H98" s="14">
        <f>IF(Distances!H94="N.C.",0,ROUNDUP(H56+'Délai intermédiaire'!H94/24,0))</f>
        <v>0</v>
      </c>
      <c r="I98" s="14">
        <f>IF(Distances!I94="N.C.",0,ROUNDUP(I56+'Délai intermédiaire'!I94/24,0))</f>
        <v>0</v>
      </c>
      <c r="J98" s="14">
        <f>IF(Distances!J94="N.C.",0,ROUNDUP(J56+'Délai intermédiaire'!J94/24,0))</f>
        <v>0</v>
      </c>
      <c r="K98" s="14">
        <f>IF(Distances!K94="N.C.",0,ROUNDUP(K56+'Délai intermédiaire'!K94/24,0))</f>
        <v>0</v>
      </c>
      <c r="L98" s="14">
        <f>IF(Distances!L94="N.C.",0,ROUNDUP(L56+'Délai intermédiaire'!L94/24,0))</f>
        <v>0</v>
      </c>
      <c r="M98" s="14">
        <f>IF(Distances!M94="N.C.",0,ROUNDUP(M56+'Délai intermédiaire'!M94/24,0))</f>
        <v>0</v>
      </c>
      <c r="N98" s="14">
        <f>IF(Distances!N94="N.C.",0,ROUNDUP(N56+'Délai intermédiaire'!N94/24,0))</f>
        <v>0</v>
      </c>
      <c r="O98" s="14">
        <f>IF(Distances!O94="N.C.",0,ROUNDUP(O56+'Délai intermédiaire'!O94/24,0))</f>
        <v>0</v>
      </c>
      <c r="P98" s="14">
        <f>IF(Distances!P94="N.C.",0,ROUNDUP(P56+'Délai intermédiaire'!P94/24,0))</f>
        <v>0</v>
      </c>
      <c r="Q98" s="14">
        <f>IF(Distances!Q94="N.C.",0,ROUNDUP(Q56+'Délai intermédiaire'!Q94/24,0))</f>
        <v>0</v>
      </c>
      <c r="R98" s="14">
        <f>IF(Distances!R94="N.C.",0,ROUNDUP(R56+'Délai intermédiaire'!R94/24,0))</f>
        <v>0</v>
      </c>
      <c r="S98" s="14">
        <f>IF(Distances!S94="N.C.",0,ROUNDUP(S56+'Délai intermédiaire'!S94/24,0))</f>
        <v>0</v>
      </c>
      <c r="T98" s="14">
        <f>IF(Distances!T94="N.C.",0,ROUNDUP(T56+'Délai intermédiaire'!T94/24,0))</f>
        <v>0</v>
      </c>
      <c r="U98" s="14">
        <f>IF(Distances!U94="N.C.",0,ROUNDUP(U56+'Délai intermédiaire'!U94/24,0))</f>
        <v>0</v>
      </c>
      <c r="V98" s="14">
        <f>IF(Distances!V94="N.C.",0,ROUNDUP(V56+'Délai intermédiaire'!V94/24,0))</f>
        <v>0</v>
      </c>
      <c r="W98" s="14">
        <f>IF(Distances!W94="N.C.",0,ROUNDUP(W56+'Délai intermédiaire'!W94/24,0))</f>
        <v>0</v>
      </c>
      <c r="X98" s="14">
        <f>IF(Distances!X94="N.C.",0,ROUNDUP(X56+'Délai intermédiaire'!X94/24,0))</f>
        <v>0</v>
      </c>
      <c r="Y98" s="14">
        <f>IF(Distances!Y94="N.C.",0,ROUNDUP(Y56+'Délai intermédiaire'!Y94/24,0))</f>
        <v>0</v>
      </c>
      <c r="Z98" s="14">
        <f>IF(Distances!Z94="N.C.",0,ROUNDUP(Z56+'Délai intermédiaire'!Z94/24,0))</f>
        <v>0</v>
      </c>
      <c r="AA98" s="14">
        <f>IF(Distances!AA94="N.C.",0,ROUNDUP(AA56+'Délai intermédiaire'!AA94/24,0))</f>
        <v>0</v>
      </c>
      <c r="AB98" s="14">
        <f>IF(Distances!AB94="N.C.",0,ROUNDUP(AB56+'Délai intermédiaire'!AB94/24,0))</f>
        <v>0</v>
      </c>
      <c r="AC98" s="14">
        <f>IF(Distances!AC94="N.C.",0,ROUNDUP(AC56+'Délai intermédiaire'!AC94/24,0))</f>
        <v>0</v>
      </c>
      <c r="AD98" s="14">
        <f>IF(Distances!AD94="N.C.",0,ROUNDUP(AD56+'Délai intermédiaire'!AD94/24,0))</f>
        <v>0</v>
      </c>
      <c r="AE98" s="14">
        <f>IF(Distances!AE94="N.C.",0,ROUNDUP(AE56+'Délai intermédiaire'!AE94/24,0))</f>
        <v>0</v>
      </c>
      <c r="AF98" s="14">
        <f>IF(Distances!AF94="N.C.",0,ROUNDUP(AF56+'Délai intermédiaire'!AF94/24,0))</f>
        <v>0</v>
      </c>
      <c r="AG98" s="14">
        <f>IF(Distances!AG94="N.C.",0,ROUNDUP(AG56+'Délai intermédiaire'!AG94/24,0))</f>
        <v>0</v>
      </c>
      <c r="AH98" s="14">
        <f>IF(Distances!AH94="N.C.",0,ROUNDUP(AH56+'Délai intermédiaire'!AH94/24,0))</f>
        <v>0</v>
      </c>
      <c r="AI98" s="14">
        <f>IF(Distances!AI94="N.C.",0,ROUNDUP(AI56+'Délai intermédiaire'!AI94/24,0))</f>
        <v>0</v>
      </c>
      <c r="AJ98" s="14">
        <f>IF(Distances!AJ94="N.C.",0,ROUNDUP(AJ56+'Délai intermédiaire'!AJ94/24,0))</f>
        <v>0</v>
      </c>
      <c r="AK98" s="14">
        <f>IF(Distances!AK94="N.C.",0,ROUNDUP(AK56+'Délai intermédiaire'!AK94/24,0))</f>
        <v>0</v>
      </c>
      <c r="AL98" s="14">
        <f>IF(Distances!AL94="N.C.",0,ROUNDUP(AL56+'Délai intermédiaire'!AL94/24,0))</f>
        <v>0</v>
      </c>
      <c r="AM98" s="14">
        <f>IF(Distances!AM94="N.C.",0,ROUNDUP(AM56+'Délai intermédiaire'!AM94/24,0))</f>
        <v>0</v>
      </c>
      <c r="AN98" s="14">
        <f>IF(Distances!AN94="N.C.",0,ROUNDUP(AN56+'Délai intermédiaire'!AN94/24,0))</f>
        <v>0</v>
      </c>
      <c r="AO98" s="13">
        <f>IF(Distances!AO94="N.C.",0,ROUNDUP(AO56+'Délai intermédiaire'!AO94/24,0))</f>
        <v>3</v>
      </c>
      <c r="AP98" s="12">
        <f>IF(Distances!AP94="N.C.",0,ROUNDUP(AP56+'Délai intermédiaire'!AP94/24,0))</f>
        <v>2</v>
      </c>
      <c r="AQ98" s="13">
        <f>IF(Distances!AQ94="N.C.",0,ROUNDUP(AQ56+'Délai intermédiaire'!AQ94/24,0))</f>
        <v>6</v>
      </c>
      <c r="AR98" s="14">
        <f>IF(Distances!AR94="N.C.",0,ROUNDUP(AR56+'Délai intermédiaire'!AR94/24,0))</f>
        <v>0</v>
      </c>
      <c r="AS98" s="14">
        <f>IF(Distances!AS94="N.C.",0,ROUNDUP(AS56+'Délai intermédiaire'!AS94/24,0))</f>
        <v>0</v>
      </c>
      <c r="AT98" s="14">
        <f>IF(Distances!AT94="N.C.",0,ROUNDUP(AT56+'Délai intermédiaire'!AT94/24,0))</f>
        <v>0</v>
      </c>
      <c r="AU98" s="14">
        <f>IF(Distances!AU94="N.C.",0,ROUNDUP(AU56+'Délai intermédiaire'!AU94/24,0))</f>
        <v>0</v>
      </c>
      <c r="AV98" s="14">
        <f>IF(Distances!AV94="N.C.",0,ROUNDUP(AV56+'Délai intermédiaire'!AV94/24,0))</f>
        <v>0</v>
      </c>
      <c r="AW98" s="14">
        <f>IF(Distances!AW94="N.C.",0,ROUNDUP(AW56+'Délai intermédiaire'!AW94/24,0))</f>
        <v>0</v>
      </c>
      <c r="AX98" s="14">
        <f>IF(Distances!AX94="N.C.",0,ROUNDUP(AX56+'Délai intermédiaire'!AX94/24,0))</f>
        <v>0</v>
      </c>
      <c r="AY98" s="14">
        <f>IF(Distances!AY94="N.C.",0,ROUNDUP(AY56+'Délai intermédiaire'!AY94/24,0))</f>
        <v>0</v>
      </c>
      <c r="AZ98" s="14">
        <f>IF(Distances!AZ94="N.C.",0,ROUNDUP(AZ56+'Délai intermédiaire'!AZ94/24,0))</f>
        <v>0</v>
      </c>
      <c r="BA98" s="14">
        <f>IF(Distances!BA94="N.C.",0,ROUNDUP(BA56+'Délai intermédiaire'!BA94/24,0))</f>
        <v>0</v>
      </c>
      <c r="BB98" s="14">
        <f>IF(Distances!BB94="N.C.",0,ROUNDUP(BB56+'Délai intermédiaire'!BB94/24,0))</f>
        <v>0</v>
      </c>
      <c r="BC98" s="14">
        <f>IF(Distances!BC94="N.C.",0,ROUNDUP(BC56+'Délai intermédiaire'!BC94/24,0))</f>
        <v>0</v>
      </c>
      <c r="BD98" s="14">
        <f>IF(Distances!BD94="N.C.",0,ROUNDUP(BD56+'Délai intermédiaire'!BD94/24,0))</f>
        <v>0</v>
      </c>
      <c r="BE98" s="14">
        <f>IF(Distances!BE94="N.C.",0,ROUNDUP(BE56+'Délai intermédiaire'!BE94/24,0))</f>
        <v>0</v>
      </c>
      <c r="BF98" s="14">
        <f>IF(Distances!BF94="N.C.",0,ROUNDUP(BF56+'Délai intermédiaire'!BF94/24,0))</f>
        <v>0</v>
      </c>
      <c r="BG98" s="14">
        <f>IF(Distances!BG94="N.C.",0,ROUNDUP(BG56+'Délai intermédiaire'!BG94/24,0))</f>
        <v>0</v>
      </c>
      <c r="BH98" s="14">
        <f>IF(Distances!BH94="N.C.",0,ROUNDUP(BH56+'Délai intermédiaire'!BH94/24,0))</f>
        <v>0</v>
      </c>
      <c r="BI98" s="14">
        <f>IF(Distances!BI94="N.C.",0,ROUNDUP(BI56+'Délai intermédiaire'!BI94/24,0))</f>
        <v>0</v>
      </c>
      <c r="BJ98" s="15">
        <f>IF(Distances!BJ94="N.C.",0,ROUNDUP(BJ56+'Délai intermédiaire'!BJ94/24,0))</f>
        <v>0</v>
      </c>
    </row>
    <row r="99" spans="1:62" x14ac:dyDescent="0.3">
      <c r="A99" s="10" t="s">
        <v>42</v>
      </c>
      <c r="B99" s="16">
        <f>IF(Distances!B95="N.C.",0,ROUNDUP(B56+'Délai intermédiaire'!B95/24,0))</f>
        <v>0</v>
      </c>
      <c r="C99" s="14">
        <f>IF(Distances!C95="N.C.",0,ROUNDUP(C56+'Délai intermédiaire'!C95/24,0))</f>
        <v>0</v>
      </c>
      <c r="D99" s="14">
        <f>IF(Distances!D95="N.C.",0,ROUNDUP(D56+'Délai intermédiaire'!D95/24,0))</f>
        <v>0</v>
      </c>
      <c r="E99" s="14">
        <f>IF(Distances!E95="N.C.",0,ROUNDUP(E56+'Délai intermédiaire'!E95/24,0))</f>
        <v>0</v>
      </c>
      <c r="F99" s="14">
        <f>IF(Distances!F95="N.C.",0,ROUNDUP(F56+'Délai intermédiaire'!F95/24,0))</f>
        <v>0</v>
      </c>
      <c r="G99" s="14">
        <f>IF(Distances!G95="N.C.",0,ROUNDUP(G56+'Délai intermédiaire'!G95/24,0))</f>
        <v>0</v>
      </c>
      <c r="H99" s="14">
        <f>IF(Distances!H95="N.C.",0,ROUNDUP(H56+'Délai intermédiaire'!H95/24,0))</f>
        <v>0</v>
      </c>
      <c r="I99" s="14">
        <f>IF(Distances!I95="N.C.",0,ROUNDUP(I56+'Délai intermédiaire'!I95/24,0))</f>
        <v>0</v>
      </c>
      <c r="J99" s="14">
        <f>IF(Distances!J95="N.C.",0,ROUNDUP(J56+'Délai intermédiaire'!J95/24,0))</f>
        <v>0</v>
      </c>
      <c r="K99" s="14">
        <f>IF(Distances!K95="N.C.",0,ROUNDUP(K56+'Délai intermédiaire'!K95/24,0))</f>
        <v>0</v>
      </c>
      <c r="L99" s="14">
        <f>IF(Distances!L95="N.C.",0,ROUNDUP(L56+'Délai intermédiaire'!L95/24,0))</f>
        <v>0</v>
      </c>
      <c r="M99" s="14">
        <f>IF(Distances!M95="N.C.",0,ROUNDUP(M56+'Délai intermédiaire'!M95/24,0))</f>
        <v>0</v>
      </c>
      <c r="N99" s="14">
        <f>IF(Distances!N95="N.C.",0,ROUNDUP(N56+'Délai intermédiaire'!N95/24,0))</f>
        <v>0</v>
      </c>
      <c r="O99" s="14">
        <f>IF(Distances!O95="N.C.",0,ROUNDUP(O56+'Délai intermédiaire'!O95/24,0))</f>
        <v>0</v>
      </c>
      <c r="P99" s="14">
        <f>IF(Distances!P95="N.C.",0,ROUNDUP(P56+'Délai intermédiaire'!P95/24,0))</f>
        <v>0</v>
      </c>
      <c r="Q99" s="14">
        <f>IF(Distances!Q95="N.C.",0,ROUNDUP(Q56+'Délai intermédiaire'!Q95/24,0))</f>
        <v>0</v>
      </c>
      <c r="R99" s="14">
        <f>IF(Distances!R95="N.C.",0,ROUNDUP(R56+'Délai intermédiaire'!R95/24,0))</f>
        <v>0</v>
      </c>
      <c r="S99" s="14">
        <f>IF(Distances!S95="N.C.",0,ROUNDUP(S56+'Délai intermédiaire'!S95/24,0))</f>
        <v>0</v>
      </c>
      <c r="T99" s="14">
        <f>IF(Distances!T95="N.C.",0,ROUNDUP(T56+'Délai intermédiaire'!T95/24,0))</f>
        <v>0</v>
      </c>
      <c r="U99" s="14">
        <f>IF(Distances!U95="N.C.",0,ROUNDUP(U56+'Délai intermédiaire'!U95/24,0))</f>
        <v>0</v>
      </c>
      <c r="V99" s="14">
        <f>IF(Distances!V95="N.C.",0,ROUNDUP(V56+'Délai intermédiaire'!V95/24,0))</f>
        <v>0</v>
      </c>
      <c r="W99" s="14">
        <f>IF(Distances!W95="N.C.",0,ROUNDUP(W56+'Délai intermédiaire'!W95/24,0))</f>
        <v>0</v>
      </c>
      <c r="X99" s="14">
        <f>IF(Distances!X95="N.C.",0,ROUNDUP(X56+'Délai intermédiaire'!X95/24,0))</f>
        <v>0</v>
      </c>
      <c r="Y99" s="14">
        <f>IF(Distances!Y95="N.C.",0,ROUNDUP(Y56+'Délai intermédiaire'!Y95/24,0))</f>
        <v>0</v>
      </c>
      <c r="Z99" s="14">
        <f>IF(Distances!Z95="N.C.",0,ROUNDUP(Z56+'Délai intermédiaire'!Z95/24,0))</f>
        <v>0</v>
      </c>
      <c r="AA99" s="14">
        <f>IF(Distances!AA95="N.C.",0,ROUNDUP(AA56+'Délai intermédiaire'!AA95/24,0))</f>
        <v>0</v>
      </c>
      <c r="AB99" s="14">
        <f>IF(Distances!AB95="N.C.",0,ROUNDUP(AB56+'Délai intermédiaire'!AB95/24,0))</f>
        <v>0</v>
      </c>
      <c r="AC99" s="14">
        <f>IF(Distances!AC95="N.C.",0,ROUNDUP(AC56+'Délai intermédiaire'!AC95/24,0))</f>
        <v>0</v>
      </c>
      <c r="AD99" s="14">
        <f>IF(Distances!AD95="N.C.",0,ROUNDUP(AD56+'Délai intermédiaire'!AD95/24,0))</f>
        <v>0</v>
      </c>
      <c r="AE99" s="14">
        <f>IF(Distances!AE95="N.C.",0,ROUNDUP(AE56+'Délai intermédiaire'!AE95/24,0))</f>
        <v>0</v>
      </c>
      <c r="AF99" s="14">
        <f>IF(Distances!AF95="N.C.",0,ROUNDUP(AF56+'Délai intermédiaire'!AF95/24,0))</f>
        <v>0</v>
      </c>
      <c r="AG99" s="14">
        <f>IF(Distances!AG95="N.C.",0,ROUNDUP(AG56+'Délai intermédiaire'!AG95/24,0))</f>
        <v>0</v>
      </c>
      <c r="AH99" s="14">
        <f>IF(Distances!AH95="N.C.",0,ROUNDUP(AH56+'Délai intermédiaire'!AH95/24,0))</f>
        <v>0</v>
      </c>
      <c r="AI99" s="14">
        <f>IF(Distances!AI95="N.C.",0,ROUNDUP(AI56+'Délai intermédiaire'!AI95/24,0))</f>
        <v>0</v>
      </c>
      <c r="AJ99" s="14">
        <f>IF(Distances!AJ95="N.C.",0,ROUNDUP(AJ56+'Délai intermédiaire'!AJ95/24,0))</f>
        <v>0</v>
      </c>
      <c r="AK99" s="14">
        <f>IF(Distances!AK95="N.C.",0,ROUNDUP(AK56+'Délai intermédiaire'!AK95/24,0))</f>
        <v>0</v>
      </c>
      <c r="AL99" s="14">
        <f>IF(Distances!AL95="N.C.",0,ROUNDUP(AL56+'Délai intermédiaire'!AL95/24,0))</f>
        <v>0</v>
      </c>
      <c r="AM99" s="14">
        <f>IF(Distances!AM95="N.C.",0,ROUNDUP(AM56+'Délai intermédiaire'!AM95/24,0))</f>
        <v>0</v>
      </c>
      <c r="AN99" s="14">
        <f>IF(Distances!AN95="N.C.",0,ROUNDUP(AN56+'Délai intermédiaire'!AN95/24,0))</f>
        <v>0</v>
      </c>
      <c r="AO99" s="13">
        <f>IF(Distances!AO95="N.C.",0,ROUNDUP(AO56+'Délai intermédiaire'!AO95/24,0))</f>
        <v>5</v>
      </c>
      <c r="AP99" s="13">
        <f>IF(Distances!AP95="N.C.",0,ROUNDUP(AP56+'Délai intermédiaire'!AP95/24,0))</f>
        <v>6</v>
      </c>
      <c r="AQ99" s="12">
        <f>IF(Distances!AQ95="N.C.",0,ROUNDUP(AQ56+'Délai intermédiaire'!AQ95/24,0))</f>
        <v>2</v>
      </c>
      <c r="AR99" s="14">
        <f>IF(Distances!AR95="N.C.",0,ROUNDUP(AR56+'Délai intermédiaire'!AR95/24,0))</f>
        <v>0</v>
      </c>
      <c r="AS99" s="14">
        <f>IF(Distances!AS95="N.C.",0,ROUNDUP(AS56+'Délai intermédiaire'!AS95/24,0))</f>
        <v>0</v>
      </c>
      <c r="AT99" s="14">
        <f>IF(Distances!AT95="N.C.",0,ROUNDUP(AT56+'Délai intermédiaire'!AT95/24,0))</f>
        <v>0</v>
      </c>
      <c r="AU99" s="14">
        <f>IF(Distances!AU95="N.C.",0,ROUNDUP(AU56+'Délai intermédiaire'!AU95/24,0))</f>
        <v>0</v>
      </c>
      <c r="AV99" s="14">
        <f>IF(Distances!AV95="N.C.",0,ROUNDUP(AV56+'Délai intermédiaire'!AV95/24,0))</f>
        <v>0</v>
      </c>
      <c r="AW99" s="14">
        <f>IF(Distances!AW95="N.C.",0,ROUNDUP(AW56+'Délai intermédiaire'!AW95/24,0))</f>
        <v>0</v>
      </c>
      <c r="AX99" s="14">
        <f>IF(Distances!AX95="N.C.",0,ROUNDUP(AX56+'Délai intermédiaire'!AX95/24,0))</f>
        <v>0</v>
      </c>
      <c r="AY99" s="14">
        <f>IF(Distances!AY95="N.C.",0,ROUNDUP(AY56+'Délai intermédiaire'!AY95/24,0))</f>
        <v>0</v>
      </c>
      <c r="AZ99" s="14">
        <f>IF(Distances!AZ95="N.C.",0,ROUNDUP(AZ56+'Délai intermédiaire'!AZ95/24,0))</f>
        <v>0</v>
      </c>
      <c r="BA99" s="14">
        <f>IF(Distances!BA95="N.C.",0,ROUNDUP(BA56+'Délai intermédiaire'!BA95/24,0))</f>
        <v>0</v>
      </c>
      <c r="BB99" s="14">
        <f>IF(Distances!BB95="N.C.",0,ROUNDUP(BB56+'Délai intermédiaire'!BB95/24,0))</f>
        <v>0</v>
      </c>
      <c r="BC99" s="14">
        <f>IF(Distances!BC95="N.C.",0,ROUNDUP(BC56+'Délai intermédiaire'!BC95/24,0))</f>
        <v>0</v>
      </c>
      <c r="BD99" s="14">
        <f>IF(Distances!BD95="N.C.",0,ROUNDUP(BD56+'Délai intermédiaire'!BD95/24,0))</f>
        <v>0</v>
      </c>
      <c r="BE99" s="14">
        <f>IF(Distances!BE95="N.C.",0,ROUNDUP(BE56+'Délai intermédiaire'!BE95/24,0))</f>
        <v>0</v>
      </c>
      <c r="BF99" s="14">
        <f>IF(Distances!BF95="N.C.",0,ROUNDUP(BF56+'Délai intermédiaire'!BF95/24,0))</f>
        <v>0</v>
      </c>
      <c r="BG99" s="14">
        <f>IF(Distances!BG95="N.C.",0,ROUNDUP(BG56+'Délai intermédiaire'!BG95/24,0))</f>
        <v>0</v>
      </c>
      <c r="BH99" s="14">
        <f>IF(Distances!BH95="N.C.",0,ROUNDUP(BH56+'Délai intermédiaire'!BH95/24,0))</f>
        <v>0</v>
      </c>
      <c r="BI99" s="14">
        <f>IF(Distances!BI95="N.C.",0,ROUNDUP(BI56+'Délai intermédiaire'!BI95/24,0))</f>
        <v>0</v>
      </c>
      <c r="BJ99" s="15">
        <f>IF(Distances!BJ95="N.C.",0,ROUNDUP(BJ56+'Délai intermédiaire'!BJ95/24,0))</f>
        <v>0</v>
      </c>
    </row>
    <row r="100" spans="1:62" x14ac:dyDescent="0.3">
      <c r="A100" s="10" t="s">
        <v>43</v>
      </c>
      <c r="B100" s="16">
        <f>IF(Distances!B96="N.C.",0,ROUNDUP(B56+'Délai intermédiaire'!B96/24,0))</f>
        <v>0</v>
      </c>
      <c r="C100" s="14">
        <f>IF(Distances!C96="N.C.",0,ROUNDUP(C56+'Délai intermédiaire'!C96/24,0))</f>
        <v>0</v>
      </c>
      <c r="D100" s="14">
        <f>IF(Distances!D96="N.C.",0,ROUNDUP(D56+'Délai intermédiaire'!D96/24,0))</f>
        <v>0</v>
      </c>
      <c r="E100" s="14">
        <f>IF(Distances!E96="N.C.",0,ROUNDUP(E56+'Délai intermédiaire'!E96/24,0))</f>
        <v>0</v>
      </c>
      <c r="F100" s="14">
        <f>IF(Distances!F96="N.C.",0,ROUNDUP(F56+'Délai intermédiaire'!F96/24,0))</f>
        <v>0</v>
      </c>
      <c r="G100" s="14">
        <f>IF(Distances!G96="N.C.",0,ROUNDUP(G56+'Délai intermédiaire'!G96/24,0))</f>
        <v>0</v>
      </c>
      <c r="H100" s="14">
        <f>IF(Distances!H96="N.C.",0,ROUNDUP(H56+'Délai intermédiaire'!H96/24,0))</f>
        <v>0</v>
      </c>
      <c r="I100" s="14">
        <f>IF(Distances!I96="N.C.",0,ROUNDUP(I56+'Délai intermédiaire'!I96/24,0))</f>
        <v>0</v>
      </c>
      <c r="J100" s="14">
        <f>IF(Distances!J96="N.C.",0,ROUNDUP(J56+'Délai intermédiaire'!J96/24,0))</f>
        <v>0</v>
      </c>
      <c r="K100" s="14">
        <f>IF(Distances!K96="N.C.",0,ROUNDUP(K56+'Délai intermédiaire'!K96/24,0))</f>
        <v>0</v>
      </c>
      <c r="L100" s="14">
        <f>IF(Distances!L96="N.C.",0,ROUNDUP(L56+'Délai intermédiaire'!L96/24,0))</f>
        <v>0</v>
      </c>
      <c r="M100" s="14">
        <f>IF(Distances!M96="N.C.",0,ROUNDUP(M56+'Délai intermédiaire'!M96/24,0))</f>
        <v>0</v>
      </c>
      <c r="N100" s="14">
        <f>IF(Distances!N96="N.C.",0,ROUNDUP(N56+'Délai intermédiaire'!N96/24,0))</f>
        <v>0</v>
      </c>
      <c r="O100" s="14">
        <f>IF(Distances!O96="N.C.",0,ROUNDUP(O56+'Délai intermédiaire'!O96/24,0))</f>
        <v>0</v>
      </c>
      <c r="P100" s="14">
        <f>IF(Distances!P96="N.C.",0,ROUNDUP(P56+'Délai intermédiaire'!P96/24,0))</f>
        <v>0</v>
      </c>
      <c r="Q100" s="14">
        <f>IF(Distances!Q96="N.C.",0,ROUNDUP(Q56+'Délai intermédiaire'!Q96/24,0))</f>
        <v>0</v>
      </c>
      <c r="R100" s="14">
        <f>IF(Distances!R96="N.C.",0,ROUNDUP(R56+'Délai intermédiaire'!R96/24,0))</f>
        <v>0</v>
      </c>
      <c r="S100" s="14">
        <f>IF(Distances!S96="N.C.",0,ROUNDUP(S56+'Délai intermédiaire'!S96/24,0))</f>
        <v>0</v>
      </c>
      <c r="T100" s="14">
        <f>IF(Distances!T96="N.C.",0,ROUNDUP(T56+'Délai intermédiaire'!T96/24,0))</f>
        <v>0</v>
      </c>
      <c r="U100" s="14">
        <f>IF(Distances!U96="N.C.",0,ROUNDUP(U56+'Délai intermédiaire'!U96/24,0))</f>
        <v>0</v>
      </c>
      <c r="V100" s="14">
        <f>IF(Distances!V96="N.C.",0,ROUNDUP(V56+'Délai intermédiaire'!V96/24,0))</f>
        <v>0</v>
      </c>
      <c r="W100" s="14">
        <f>IF(Distances!W96="N.C.",0,ROUNDUP(W56+'Délai intermédiaire'!W96/24,0))</f>
        <v>0</v>
      </c>
      <c r="X100" s="14">
        <f>IF(Distances!X96="N.C.",0,ROUNDUP(X56+'Délai intermédiaire'!X96/24,0))</f>
        <v>0</v>
      </c>
      <c r="Y100" s="14">
        <f>IF(Distances!Y96="N.C.",0,ROUNDUP(Y56+'Délai intermédiaire'!Y96/24,0))</f>
        <v>0</v>
      </c>
      <c r="Z100" s="14">
        <f>IF(Distances!Z96="N.C.",0,ROUNDUP(Z56+'Délai intermédiaire'!Z96/24,0))</f>
        <v>0</v>
      </c>
      <c r="AA100" s="14">
        <f>IF(Distances!AA96="N.C.",0,ROUNDUP(AA56+'Délai intermédiaire'!AA96/24,0))</f>
        <v>0</v>
      </c>
      <c r="AB100" s="14">
        <f>IF(Distances!AB96="N.C.",0,ROUNDUP(AB56+'Délai intermédiaire'!AB96/24,0))</f>
        <v>0</v>
      </c>
      <c r="AC100" s="14">
        <f>IF(Distances!AC96="N.C.",0,ROUNDUP(AC56+'Délai intermédiaire'!AC96/24,0))</f>
        <v>0</v>
      </c>
      <c r="AD100" s="14">
        <f>IF(Distances!AD96="N.C.",0,ROUNDUP(AD56+'Délai intermédiaire'!AD96/24,0))</f>
        <v>0</v>
      </c>
      <c r="AE100" s="14">
        <f>IF(Distances!AE96="N.C.",0,ROUNDUP(AE56+'Délai intermédiaire'!AE96/24,0))</f>
        <v>0</v>
      </c>
      <c r="AF100" s="14">
        <f>IF(Distances!AF96="N.C.",0,ROUNDUP(AF56+'Délai intermédiaire'!AF96/24,0))</f>
        <v>0</v>
      </c>
      <c r="AG100" s="14">
        <f>IF(Distances!AG96="N.C.",0,ROUNDUP(AG56+'Délai intermédiaire'!AG96/24,0))</f>
        <v>0</v>
      </c>
      <c r="AH100" s="13">
        <f>IF(Distances!AH96="N.C.",0,ROUNDUP(AH56+'Délai intermédiaire'!AH96/24,0))</f>
        <v>0</v>
      </c>
      <c r="AI100" s="13">
        <f>IF(Distances!AI96="N.C.",0,ROUNDUP(AI56+'Délai intermédiaire'!AI96/24,0))</f>
        <v>0</v>
      </c>
      <c r="AJ100" s="13">
        <f>IF(Distances!AJ96="N.C.",0,ROUNDUP(AJ56+'Délai intermédiaire'!AJ96/24,0))</f>
        <v>0</v>
      </c>
      <c r="AK100" s="13">
        <f>IF(Distances!AK96="N.C.",0,ROUNDUP(AK56+'Délai intermédiaire'!AK96/24,0))</f>
        <v>0</v>
      </c>
      <c r="AL100" s="13">
        <f>IF(Distances!AL96="N.C.",0,ROUNDUP(AL56+'Délai intermédiaire'!AL96/24,0))</f>
        <v>0</v>
      </c>
      <c r="AM100" s="13">
        <f>IF(Distances!AM96="N.C.",0,ROUNDUP(AM56+'Délai intermédiaire'!AM96/24,0))</f>
        <v>0</v>
      </c>
      <c r="AN100" s="13">
        <f>IF(Distances!AN96="N.C.",0,ROUNDUP(AN56+'Délai intermédiaire'!AN96/24,0))</f>
        <v>0</v>
      </c>
      <c r="AO100" s="14">
        <f>IF(Distances!AO96="N.C.",0,ROUNDUP(AO56+'Délai intermédiaire'!AO96/24,0))</f>
        <v>0</v>
      </c>
      <c r="AP100" s="14">
        <f>IF(Distances!AP96="N.C.",0,ROUNDUP(AP56+'Délai intermédiaire'!AP96/24,0))</f>
        <v>0</v>
      </c>
      <c r="AQ100" s="14">
        <f>IF(Distances!AQ96="N.C.",0,ROUNDUP(AQ56+'Délai intermédiaire'!AQ96/24,0))</f>
        <v>0</v>
      </c>
      <c r="AR100" s="12">
        <f>IF(Distances!AR96="N.C.",0,ROUNDUP(AR56+'Délai intermédiaire'!AR96/24,0))</f>
        <v>2</v>
      </c>
      <c r="AS100" s="13">
        <f>IF(Distances!AS96="N.C.",0,ROUNDUP(AS56+'Délai intermédiaire'!AS96/24,0))</f>
        <v>0</v>
      </c>
      <c r="AT100" s="13">
        <f>IF(Distances!AT96="N.C.",0,ROUNDUP(AT56+'Délai intermédiaire'!AT96/24,0))</f>
        <v>0</v>
      </c>
      <c r="AU100" s="13">
        <f>IF(Distances!AU96="N.C.",0,ROUNDUP(AU56+'Délai intermédiaire'!AU96/24,0))</f>
        <v>0</v>
      </c>
      <c r="AV100" s="13">
        <f>IF(Distances!AV96="N.C.",0,ROUNDUP(AV56+'Délai intermédiaire'!AV96/24,0))</f>
        <v>0</v>
      </c>
      <c r="AW100" s="13">
        <f>IF(Distances!AW96="N.C.",0,ROUNDUP(AW56+'Délai intermédiaire'!AW96/24,0))</f>
        <v>0</v>
      </c>
      <c r="AX100" s="13">
        <f>IF(Distances!AX96="N.C.",0,ROUNDUP(AX56+'Délai intermédiaire'!AX96/24,0))</f>
        <v>0</v>
      </c>
      <c r="AY100" s="14">
        <f>IF(Distances!AY96="N.C.",0,ROUNDUP(AY56+'Délai intermédiaire'!AY96/24,0))</f>
        <v>0</v>
      </c>
      <c r="AZ100" s="14">
        <f>IF(Distances!AZ96="N.C.",0,ROUNDUP(AZ56+'Délai intermédiaire'!AZ96/24,0))</f>
        <v>0</v>
      </c>
      <c r="BA100" s="13">
        <f>IF(Distances!BA96="N.C.",0,ROUNDUP(BA56+'Délai intermédiaire'!BA96/24,0))</f>
        <v>0</v>
      </c>
      <c r="BB100" s="14">
        <f>IF(Distances!BB96="N.C.",0,ROUNDUP(BB56+'Délai intermédiaire'!BB96/24,0))</f>
        <v>0</v>
      </c>
      <c r="BC100" s="13">
        <f>IF(Distances!BC96="N.C.",0,ROUNDUP(BC56+'Délai intermédiaire'!BC96/24,0))</f>
        <v>0</v>
      </c>
      <c r="BD100" s="13">
        <f>IF(Distances!BD96="N.C.",0,ROUNDUP(BD56+'Délai intermédiaire'!BD96/24,0))</f>
        <v>0</v>
      </c>
      <c r="BE100" s="13">
        <f>IF(Distances!BE96="N.C.",0,ROUNDUP(BE56+'Délai intermédiaire'!BE96/24,0))</f>
        <v>0</v>
      </c>
      <c r="BF100" s="14">
        <f>IF(Distances!BF96="N.C.",0,ROUNDUP(BF56+'Délai intermédiaire'!BF96/24,0))</f>
        <v>0</v>
      </c>
      <c r="BG100" s="14">
        <f>IF(Distances!BG96="N.C.",0,ROUNDUP(BG56+'Délai intermédiaire'!BG96/24,0))</f>
        <v>0</v>
      </c>
      <c r="BH100" s="14">
        <f>IF(Distances!BH96="N.C.",0,ROUNDUP(BH56+'Délai intermédiaire'!BH96/24,0))</f>
        <v>0</v>
      </c>
      <c r="BI100" s="14">
        <f>IF(Distances!BI96="N.C.",0,ROUNDUP(BI56+'Délai intermédiaire'!BI96/24,0))</f>
        <v>0</v>
      </c>
      <c r="BJ100" s="15">
        <f>IF(Distances!BJ96="N.C.",0,ROUNDUP(BJ56+'Délai intermédiaire'!BJ96/24,0))</f>
        <v>0</v>
      </c>
    </row>
    <row r="101" spans="1:62" x14ac:dyDescent="0.3">
      <c r="A101" s="10" t="s">
        <v>44</v>
      </c>
      <c r="B101" s="16">
        <f>IF(Distances!B97="N.C.",0,ROUNDUP(B56+'Délai intermédiaire'!B97/24,0))</f>
        <v>0</v>
      </c>
      <c r="C101" s="14">
        <f>IF(Distances!C97="N.C.",0,ROUNDUP(C56+'Délai intermédiaire'!C97/24,0))</f>
        <v>0</v>
      </c>
      <c r="D101" s="14">
        <f>IF(Distances!D97="N.C.",0,ROUNDUP(D56+'Délai intermédiaire'!D97/24,0))</f>
        <v>0</v>
      </c>
      <c r="E101" s="14">
        <f>IF(Distances!E97="N.C.",0,ROUNDUP(E56+'Délai intermédiaire'!E97/24,0))</f>
        <v>0</v>
      </c>
      <c r="F101" s="14">
        <f>IF(Distances!F97="N.C.",0,ROUNDUP(F56+'Délai intermédiaire'!F97/24,0))</f>
        <v>0</v>
      </c>
      <c r="G101" s="14">
        <f>IF(Distances!G97="N.C.",0,ROUNDUP(G56+'Délai intermédiaire'!G97/24,0))</f>
        <v>0</v>
      </c>
      <c r="H101" s="14">
        <f>IF(Distances!H97="N.C.",0,ROUNDUP(H56+'Délai intermédiaire'!H97/24,0))</f>
        <v>0</v>
      </c>
      <c r="I101" s="14">
        <f>IF(Distances!I97="N.C.",0,ROUNDUP(I56+'Délai intermédiaire'!I97/24,0))</f>
        <v>0</v>
      </c>
      <c r="J101" s="14">
        <f>IF(Distances!J97="N.C.",0,ROUNDUP(J56+'Délai intermédiaire'!J97/24,0))</f>
        <v>0</v>
      </c>
      <c r="K101" s="14">
        <f>IF(Distances!K97="N.C.",0,ROUNDUP(K56+'Délai intermédiaire'!K97/24,0))</f>
        <v>0</v>
      </c>
      <c r="L101" s="14">
        <f>IF(Distances!L97="N.C.",0,ROUNDUP(L56+'Délai intermédiaire'!L97/24,0))</f>
        <v>0</v>
      </c>
      <c r="M101" s="14">
        <f>IF(Distances!M97="N.C.",0,ROUNDUP(M56+'Délai intermédiaire'!M97/24,0))</f>
        <v>0</v>
      </c>
      <c r="N101" s="14">
        <f>IF(Distances!N97="N.C.",0,ROUNDUP(N56+'Délai intermédiaire'!N97/24,0))</f>
        <v>0</v>
      </c>
      <c r="O101" s="14">
        <f>IF(Distances!O97="N.C.",0,ROUNDUP(O56+'Délai intermédiaire'!O97/24,0))</f>
        <v>0</v>
      </c>
      <c r="P101" s="14">
        <f>IF(Distances!P97="N.C.",0,ROUNDUP(P56+'Délai intermédiaire'!P97/24,0))</f>
        <v>0</v>
      </c>
      <c r="Q101" s="14">
        <f>IF(Distances!Q97="N.C.",0,ROUNDUP(Q56+'Délai intermédiaire'!Q97/24,0))</f>
        <v>0</v>
      </c>
      <c r="R101" s="14">
        <f>IF(Distances!R97="N.C.",0,ROUNDUP(R56+'Délai intermédiaire'!R97/24,0))</f>
        <v>0</v>
      </c>
      <c r="S101" s="14">
        <f>IF(Distances!S97="N.C.",0,ROUNDUP(S56+'Délai intermédiaire'!S97/24,0))</f>
        <v>0</v>
      </c>
      <c r="T101" s="14">
        <f>IF(Distances!T97="N.C.",0,ROUNDUP(T56+'Délai intermédiaire'!T97/24,0))</f>
        <v>0</v>
      </c>
      <c r="U101" s="14">
        <f>IF(Distances!U97="N.C.",0,ROUNDUP(U56+'Délai intermédiaire'!U97/24,0))</f>
        <v>0</v>
      </c>
      <c r="V101" s="14">
        <f>IF(Distances!V97="N.C.",0,ROUNDUP(V56+'Délai intermédiaire'!V97/24,0))</f>
        <v>0</v>
      </c>
      <c r="W101" s="14">
        <f>IF(Distances!W97="N.C.",0,ROUNDUP(W56+'Délai intermédiaire'!W97/24,0))</f>
        <v>0</v>
      </c>
      <c r="X101" s="14">
        <f>IF(Distances!X97="N.C.",0,ROUNDUP(X56+'Délai intermédiaire'!X97/24,0))</f>
        <v>0</v>
      </c>
      <c r="Y101" s="14">
        <f>IF(Distances!Y97="N.C.",0,ROUNDUP(Y56+'Délai intermédiaire'!Y97/24,0))</f>
        <v>0</v>
      </c>
      <c r="Z101" s="14">
        <f>IF(Distances!Z97="N.C.",0,ROUNDUP(Z56+'Délai intermédiaire'!Z97/24,0))</f>
        <v>0</v>
      </c>
      <c r="AA101" s="14">
        <f>IF(Distances!AA97="N.C.",0,ROUNDUP(AA56+'Délai intermédiaire'!AA97/24,0))</f>
        <v>0</v>
      </c>
      <c r="AB101" s="14">
        <f>IF(Distances!AB97="N.C.",0,ROUNDUP(AB56+'Délai intermédiaire'!AB97/24,0))</f>
        <v>0</v>
      </c>
      <c r="AC101" s="14">
        <f>IF(Distances!AC97="N.C.",0,ROUNDUP(AC56+'Délai intermédiaire'!AC97/24,0))</f>
        <v>0</v>
      </c>
      <c r="AD101" s="14">
        <f>IF(Distances!AD97="N.C.",0,ROUNDUP(AD56+'Délai intermédiaire'!AD97/24,0))</f>
        <v>0</v>
      </c>
      <c r="AE101" s="14">
        <f>IF(Distances!AE97="N.C.",0,ROUNDUP(AE56+'Délai intermédiaire'!AE97/24,0))</f>
        <v>0</v>
      </c>
      <c r="AF101" s="14">
        <f>IF(Distances!AF97="N.C.",0,ROUNDUP(AF56+'Délai intermédiaire'!AF97/24,0))</f>
        <v>0</v>
      </c>
      <c r="AG101" s="14">
        <f>IF(Distances!AG97="N.C.",0,ROUNDUP(AG56+'Délai intermédiaire'!AG97/24,0))</f>
        <v>0</v>
      </c>
      <c r="AH101" s="13">
        <f>IF(Distances!AH97="N.C.",0,ROUNDUP(AH56+'Délai intermédiaire'!AH97/24,0))</f>
        <v>0</v>
      </c>
      <c r="AI101" s="13">
        <f>IF(Distances!AI97="N.C.",0,ROUNDUP(AI56+'Délai intermédiaire'!AI97/24,0))</f>
        <v>0</v>
      </c>
      <c r="AJ101" s="13">
        <f>IF(Distances!AJ97="N.C.",0,ROUNDUP(AJ56+'Délai intermédiaire'!AJ97/24,0))</f>
        <v>0</v>
      </c>
      <c r="AK101" s="13">
        <f>IF(Distances!AK97="N.C.",0,ROUNDUP(AK56+'Délai intermédiaire'!AK97/24,0))</f>
        <v>0</v>
      </c>
      <c r="AL101" s="13">
        <f>IF(Distances!AL97="N.C.",0,ROUNDUP(AL56+'Délai intermédiaire'!AL97/24,0))</f>
        <v>0</v>
      </c>
      <c r="AM101" s="13">
        <f>IF(Distances!AM97="N.C.",0,ROUNDUP(AM56+'Délai intermédiaire'!AM97/24,0))</f>
        <v>0</v>
      </c>
      <c r="AN101" s="13">
        <f>IF(Distances!AN97="N.C.",0,ROUNDUP(AN56+'Délai intermédiaire'!AN97/24,0))</f>
        <v>0</v>
      </c>
      <c r="AO101" s="14">
        <f>IF(Distances!AO97="N.C.",0,ROUNDUP(AO56+'Délai intermédiaire'!AO97/24,0))</f>
        <v>0</v>
      </c>
      <c r="AP101" s="14">
        <f>IF(Distances!AP97="N.C.",0,ROUNDUP(AP56+'Délai intermédiaire'!AP97/24,0))</f>
        <v>0</v>
      </c>
      <c r="AQ101" s="14">
        <f>IF(Distances!AQ97="N.C.",0,ROUNDUP(AQ56+'Délai intermédiaire'!AQ97/24,0))</f>
        <v>0</v>
      </c>
      <c r="AR101" s="13">
        <f>IF(Distances!AR97="N.C.",0,ROUNDUP(AR56+'Délai intermédiaire'!AR97/24,0))</f>
        <v>0</v>
      </c>
      <c r="AS101" s="12">
        <f>IF(Distances!AS97="N.C.",0,ROUNDUP(AS56+'Délai intermédiaire'!AS97/24,0))</f>
        <v>2</v>
      </c>
      <c r="AT101" s="13">
        <f>IF(Distances!AT97="N.C.",0,ROUNDUP(AT56+'Délai intermédiaire'!AT97/24,0))</f>
        <v>0</v>
      </c>
      <c r="AU101" s="13">
        <f>IF(Distances!AU97="N.C.",0,ROUNDUP(AU56+'Délai intermédiaire'!AU97/24,0))</f>
        <v>0</v>
      </c>
      <c r="AV101" s="13">
        <f>IF(Distances!AV97="N.C.",0,ROUNDUP(AV56+'Délai intermédiaire'!AV97/24,0))</f>
        <v>0</v>
      </c>
      <c r="AW101" s="13">
        <f>IF(Distances!AW97="N.C.",0,ROUNDUP(AW56+'Délai intermédiaire'!AW97/24,0))</f>
        <v>0</v>
      </c>
      <c r="AX101" s="13">
        <f>IF(Distances!AX97="N.C.",0,ROUNDUP(AX56+'Délai intermédiaire'!AX97/24,0))</f>
        <v>0</v>
      </c>
      <c r="AY101" s="12">
        <f>IF(Distances!AY97="N.C.",0,ROUNDUP(AY56+'Délai intermédiaire'!AY97/24,0))</f>
        <v>0</v>
      </c>
      <c r="AZ101" s="12">
        <f>IF(Distances!AZ97="N.C.",0,ROUNDUP(AZ56+'Délai intermédiaire'!AZ97/24,0))</f>
        <v>0</v>
      </c>
      <c r="BA101" s="13">
        <f>IF(Distances!BA97="N.C.",0,ROUNDUP(BA56+'Délai intermédiaire'!BA97/24,0))</f>
        <v>0</v>
      </c>
      <c r="BB101" s="14">
        <f>IF(Distances!BB97="N.C.",0,ROUNDUP(BB56+'Délai intermédiaire'!BB97/24,0))</f>
        <v>0</v>
      </c>
      <c r="BC101" s="13">
        <f>IF(Distances!BC97="N.C.",0,ROUNDUP(BC56+'Délai intermédiaire'!BC97/24,0))</f>
        <v>0</v>
      </c>
      <c r="BD101" s="13">
        <f>IF(Distances!BD97="N.C.",0,ROUNDUP(BD56+'Délai intermédiaire'!BD97/24,0))</f>
        <v>0</v>
      </c>
      <c r="BE101" s="13">
        <f>IF(Distances!BE97="N.C.",0,ROUNDUP(BE56+'Délai intermédiaire'!BE97/24,0))</f>
        <v>0</v>
      </c>
      <c r="BF101" s="14">
        <f>IF(Distances!BF97="N.C.",0,ROUNDUP(BF56+'Délai intermédiaire'!BF97/24,0))</f>
        <v>0</v>
      </c>
      <c r="BG101" s="14">
        <f>IF(Distances!BG97="N.C.",0,ROUNDUP(BG56+'Délai intermédiaire'!BG97/24,0))</f>
        <v>0</v>
      </c>
      <c r="BH101" s="14">
        <f>IF(Distances!BH97="N.C.",0,ROUNDUP(BH56+'Délai intermédiaire'!BH97/24,0))</f>
        <v>0</v>
      </c>
      <c r="BI101" s="14">
        <f>IF(Distances!BI97="N.C.",0,ROUNDUP(BI56+'Délai intermédiaire'!BI97/24,0))</f>
        <v>0</v>
      </c>
      <c r="BJ101" s="15">
        <f>IF(Distances!BJ97="N.C.",0,ROUNDUP(BJ56+'Délai intermédiaire'!BJ97/24,0))</f>
        <v>0</v>
      </c>
    </row>
    <row r="102" spans="1:62" x14ac:dyDescent="0.3">
      <c r="A102" s="20" t="s">
        <v>45</v>
      </c>
      <c r="B102" s="21">
        <f>IF(Distances!B98="N.C.",0,ROUNDUP(B56+'Délai intermédiaire'!B98/24,0))</f>
        <v>0</v>
      </c>
      <c r="C102" s="22">
        <f>IF(Distances!C98="N.C.",0,ROUNDUP(C56+'Délai intermédiaire'!C98/24,0))</f>
        <v>0</v>
      </c>
      <c r="D102" s="22">
        <f>IF(Distances!D98="N.C.",0,ROUNDUP(D56+'Délai intermédiaire'!D98/24,0))</f>
        <v>0</v>
      </c>
      <c r="E102" s="22">
        <f>IF(Distances!E98="N.C.",0,ROUNDUP(E56+'Délai intermédiaire'!E98/24,0))</f>
        <v>0</v>
      </c>
      <c r="F102" s="22">
        <f>IF(Distances!F98="N.C.",0,ROUNDUP(F56+'Délai intermédiaire'!F98/24,0))</f>
        <v>0</v>
      </c>
      <c r="G102" s="22">
        <f>IF(Distances!G98="N.C.",0,ROUNDUP(G56+'Délai intermédiaire'!G98/24,0))</f>
        <v>0</v>
      </c>
      <c r="H102" s="22">
        <f>IF(Distances!H98="N.C.",0,ROUNDUP(H56+'Délai intermédiaire'!H98/24,0))</f>
        <v>0</v>
      </c>
      <c r="I102" s="22">
        <f>IF(Distances!I98="N.C.",0,ROUNDUP(I56+'Délai intermédiaire'!I98/24,0))</f>
        <v>0</v>
      </c>
      <c r="J102" s="22">
        <f>IF(Distances!J98="N.C.",0,ROUNDUP(J56+'Délai intermédiaire'!J98/24,0))</f>
        <v>0</v>
      </c>
      <c r="K102" s="22">
        <f>IF(Distances!K98="N.C.",0,ROUNDUP(K56+'Délai intermédiaire'!K98/24,0))</f>
        <v>0</v>
      </c>
      <c r="L102" s="22">
        <f>IF(Distances!L98="N.C.",0,ROUNDUP(L56+'Délai intermédiaire'!L98/24,0))</f>
        <v>0</v>
      </c>
      <c r="M102" s="22">
        <f>IF(Distances!M98="N.C.",0,ROUNDUP(M56+'Délai intermédiaire'!M98/24,0))</f>
        <v>0</v>
      </c>
      <c r="N102" s="22">
        <f>IF(Distances!N98="N.C.",0,ROUNDUP(N56+'Délai intermédiaire'!N98/24,0))</f>
        <v>0</v>
      </c>
      <c r="O102" s="22">
        <f>IF(Distances!O98="N.C.",0,ROUNDUP(O56+'Délai intermédiaire'!O98/24,0))</f>
        <v>0</v>
      </c>
      <c r="P102" s="22">
        <f>IF(Distances!P98="N.C.",0,ROUNDUP(P56+'Délai intermédiaire'!P98/24,0))</f>
        <v>0</v>
      </c>
      <c r="Q102" s="22">
        <f>IF(Distances!Q98="N.C.",0,ROUNDUP(Q56+'Délai intermédiaire'!Q98/24,0))</f>
        <v>0</v>
      </c>
      <c r="R102" s="22">
        <f>IF(Distances!R98="N.C.",0,ROUNDUP(R56+'Délai intermédiaire'!R98/24,0))</f>
        <v>0</v>
      </c>
      <c r="S102" s="22">
        <f>IF(Distances!S98="N.C.",0,ROUNDUP(S56+'Délai intermédiaire'!S98/24,0))</f>
        <v>0</v>
      </c>
      <c r="T102" s="22">
        <f>IF(Distances!T98="N.C.",0,ROUNDUP(T56+'Délai intermédiaire'!T98/24,0))</f>
        <v>0</v>
      </c>
      <c r="U102" s="22">
        <f>IF(Distances!U98="N.C.",0,ROUNDUP(U56+'Délai intermédiaire'!U98/24,0))</f>
        <v>0</v>
      </c>
      <c r="V102" s="22">
        <f>IF(Distances!V98="N.C.",0,ROUNDUP(V56+'Délai intermédiaire'!V98/24,0))</f>
        <v>0</v>
      </c>
      <c r="W102" s="22">
        <f>IF(Distances!W98="N.C.",0,ROUNDUP(W56+'Délai intermédiaire'!W98/24,0))</f>
        <v>0</v>
      </c>
      <c r="X102" s="22">
        <f>IF(Distances!X98="N.C.",0,ROUNDUP(X56+'Délai intermédiaire'!X98/24,0))</f>
        <v>0</v>
      </c>
      <c r="Y102" s="22">
        <f>IF(Distances!Y98="N.C.",0,ROUNDUP(Y56+'Délai intermédiaire'!Y98/24,0))</f>
        <v>0</v>
      </c>
      <c r="Z102" s="22">
        <f>IF(Distances!Z98="N.C.",0,ROUNDUP(Z56+'Délai intermédiaire'!Z98/24,0))</f>
        <v>0</v>
      </c>
      <c r="AA102" s="22">
        <f>IF(Distances!AA98="N.C.",0,ROUNDUP(AA56+'Délai intermédiaire'!AA98/24,0))</f>
        <v>0</v>
      </c>
      <c r="AB102" s="22">
        <f>IF(Distances!AB98="N.C.",0,ROUNDUP(AB56+'Délai intermédiaire'!AB98/24,0))</f>
        <v>0</v>
      </c>
      <c r="AC102" s="22">
        <f>IF(Distances!AC98="N.C.",0,ROUNDUP(AC56+'Délai intermédiaire'!AC98/24,0))</f>
        <v>0</v>
      </c>
      <c r="AD102" s="22">
        <f>IF(Distances!AD98="N.C.",0,ROUNDUP(AD56+'Délai intermédiaire'!AD98/24,0))</f>
        <v>0</v>
      </c>
      <c r="AE102" s="22">
        <f>IF(Distances!AE98="N.C.",0,ROUNDUP(AE56+'Délai intermédiaire'!AE98/24,0))</f>
        <v>0</v>
      </c>
      <c r="AF102" s="22">
        <f>IF(Distances!AF98="N.C.",0,ROUNDUP(AF56+'Délai intermédiaire'!AF98/24,0))</f>
        <v>0</v>
      </c>
      <c r="AG102" s="22">
        <f>IF(Distances!AG98="N.C.",0,ROUNDUP(AG56+'Délai intermédiaire'!AG98/24,0))</f>
        <v>0</v>
      </c>
      <c r="AH102" s="23">
        <f>IF(Distances!AH98="N.C.",0,ROUNDUP(AH56+'Délai intermédiaire'!AH98/24,0))</f>
        <v>0</v>
      </c>
      <c r="AI102" s="23">
        <f>IF(Distances!AI98="N.C.",0,ROUNDUP(AI56+'Délai intermédiaire'!AI98/24,0))</f>
        <v>0</v>
      </c>
      <c r="AJ102" s="23">
        <f>IF(Distances!AJ98="N.C.",0,ROUNDUP(AJ56+'Délai intermédiaire'!AJ98/24,0))</f>
        <v>0</v>
      </c>
      <c r="AK102" s="23">
        <f>IF(Distances!AK98="N.C.",0,ROUNDUP(AK56+'Délai intermédiaire'!AK98/24,0))</f>
        <v>0</v>
      </c>
      <c r="AL102" s="23">
        <f>IF(Distances!AL98="N.C.",0,ROUNDUP(AL56+'Délai intermédiaire'!AL98/24,0))</f>
        <v>0</v>
      </c>
      <c r="AM102" s="23">
        <f>IF(Distances!AM98="N.C.",0,ROUNDUP(AM56+'Délai intermédiaire'!AM98/24,0))</f>
        <v>0</v>
      </c>
      <c r="AN102" s="23">
        <f>IF(Distances!AN98="N.C.",0,ROUNDUP(AN56+'Délai intermédiaire'!AN98/24,0))</f>
        <v>0</v>
      </c>
      <c r="AO102" s="22">
        <f>IF(Distances!AO98="N.C.",0,ROUNDUP(AO56+'Délai intermédiaire'!AO98/24,0))</f>
        <v>0</v>
      </c>
      <c r="AP102" s="22">
        <f>IF(Distances!AP98="N.C.",0,ROUNDUP(AP56+'Délai intermédiaire'!AP98/24,0))</f>
        <v>0</v>
      </c>
      <c r="AQ102" s="22">
        <f>IF(Distances!AQ98="N.C.",0,ROUNDUP(AQ56+'Délai intermédiaire'!AQ98/24,0))</f>
        <v>0</v>
      </c>
      <c r="AR102" s="23">
        <f>IF(Distances!AR98="N.C.",0,ROUNDUP(AR56+'Délai intermédiaire'!AR98/24,0))</f>
        <v>0</v>
      </c>
      <c r="AS102" s="23">
        <f>IF(Distances!AS98="N.C.",0,ROUNDUP(AS56+'Délai intermédiaire'!AS98/24,0))</f>
        <v>0</v>
      </c>
      <c r="AT102" s="24">
        <f>IF(Distances!AT98="N.C.",0,ROUNDUP(AT56+'Délai intermédiaire'!AT98/24,0))</f>
        <v>2</v>
      </c>
      <c r="AU102" s="23">
        <f>IF(Distances!AU98="N.C.",0,ROUNDUP(AU56+'Délai intermédiaire'!AU98/24,0))</f>
        <v>0</v>
      </c>
      <c r="AV102" s="23">
        <f>IF(Distances!AV98="N.C.",0,ROUNDUP(AV56+'Délai intermédiaire'!AV98/24,0))</f>
        <v>0</v>
      </c>
      <c r="AW102" s="23">
        <f>IF(Distances!AW98="N.C.",0,ROUNDUP(AW56+'Délai intermédiaire'!AW98/24,0))</f>
        <v>0</v>
      </c>
      <c r="AX102" s="23">
        <f>IF(Distances!AX98="N.C.",0,ROUNDUP(AX56+'Délai intermédiaire'!AX98/24,0))</f>
        <v>0</v>
      </c>
      <c r="AY102" s="22">
        <f>IF(Distances!AY98="N.C.",0,ROUNDUP(AY56+'Délai intermédiaire'!AY98/24,0))</f>
        <v>0</v>
      </c>
      <c r="AZ102" s="22">
        <f>IF(Distances!AZ98="N.C.",0,ROUNDUP(AZ56+'Délai intermédiaire'!AZ98/24,0))</f>
        <v>0</v>
      </c>
      <c r="BA102" s="24">
        <f>IF(Distances!BA98="N.C.",0,ROUNDUP(BA56+'Délai intermédiaire'!BA98/24,0))</f>
        <v>0</v>
      </c>
      <c r="BB102" s="22">
        <f>IF(Distances!BB98="N.C.",0,ROUNDUP(BB56+'Délai intermédiaire'!BB98/24,0))</f>
        <v>0</v>
      </c>
      <c r="BC102" s="23">
        <f>IF(Distances!BC98="N.C.",0,ROUNDUP(BC56+'Délai intermédiaire'!BC98/24,0))</f>
        <v>0</v>
      </c>
      <c r="BD102" s="23">
        <f>IF(Distances!BD98="N.C.",0,ROUNDUP(BD56+'Délai intermédiaire'!BD98/24,0))</f>
        <v>0</v>
      </c>
      <c r="BE102" s="23">
        <f>IF(Distances!BE98="N.C.",0,ROUNDUP(BE56+'Délai intermédiaire'!BE98/24,0))</f>
        <v>0</v>
      </c>
      <c r="BF102" s="22">
        <f>IF(Distances!BF98="N.C.",0,ROUNDUP(BF56+'Délai intermédiaire'!BF98/24,0))</f>
        <v>0</v>
      </c>
      <c r="BG102" s="22">
        <f>IF(Distances!BG98="N.C.",0,ROUNDUP(BG56+'Délai intermédiaire'!BG98/24,0))</f>
        <v>0</v>
      </c>
      <c r="BH102" s="22">
        <f>IF(Distances!BH98="N.C.",0,ROUNDUP(BH56+'Délai intermédiaire'!BH98/24,0))</f>
        <v>0</v>
      </c>
      <c r="BI102" s="22">
        <f>IF(Distances!BI98="N.C.",0,ROUNDUP(BI56+'Délai intermédiaire'!BI98/24,0))</f>
        <v>0</v>
      </c>
      <c r="BJ102" s="25">
        <f>IF(Distances!BJ98="N.C.",0,ROUNDUP(BJ56+'Délai intermédiaire'!BJ98/24,0))</f>
        <v>0</v>
      </c>
    </row>
    <row r="105" spans="1:62" ht="21" x14ac:dyDescent="0.3">
      <c r="A105" s="55" t="s">
        <v>135</v>
      </c>
      <c r="B105" s="56"/>
    </row>
    <row r="107" spans="1:62" x14ac:dyDescent="0.3">
      <c r="A107" s="44" t="s">
        <v>132</v>
      </c>
      <c r="B107" s="45">
        <v>1</v>
      </c>
      <c r="C107" s="46">
        <v>1</v>
      </c>
      <c r="D107" s="46">
        <v>1</v>
      </c>
      <c r="E107" s="46">
        <v>1</v>
      </c>
      <c r="F107" s="46">
        <v>1</v>
      </c>
      <c r="G107" s="46">
        <v>1</v>
      </c>
      <c r="H107" s="46">
        <v>1</v>
      </c>
      <c r="I107" s="46">
        <v>1</v>
      </c>
      <c r="J107" s="46">
        <v>2</v>
      </c>
      <c r="K107" s="46">
        <v>2</v>
      </c>
      <c r="L107" s="46">
        <v>2</v>
      </c>
      <c r="M107" s="46">
        <v>2</v>
      </c>
      <c r="N107" s="46">
        <v>2</v>
      </c>
      <c r="O107" s="46">
        <v>2</v>
      </c>
      <c r="P107" s="46">
        <v>2</v>
      </c>
      <c r="Q107" s="46">
        <v>1</v>
      </c>
      <c r="R107" s="46">
        <v>1</v>
      </c>
      <c r="S107" s="46">
        <v>1</v>
      </c>
      <c r="T107" s="46">
        <v>1</v>
      </c>
      <c r="U107" s="46">
        <v>1</v>
      </c>
      <c r="V107" s="46">
        <v>1</v>
      </c>
      <c r="W107" s="46">
        <v>1</v>
      </c>
      <c r="X107" s="46">
        <v>1</v>
      </c>
      <c r="Y107" s="46">
        <v>1</v>
      </c>
      <c r="Z107" s="46">
        <v>2</v>
      </c>
      <c r="AA107" s="46">
        <v>2</v>
      </c>
      <c r="AB107" s="46">
        <v>1</v>
      </c>
      <c r="AC107" s="46">
        <v>1</v>
      </c>
      <c r="AD107" s="46">
        <v>2</v>
      </c>
      <c r="AE107" s="46">
        <v>2</v>
      </c>
      <c r="AF107" s="46">
        <v>1</v>
      </c>
      <c r="AG107" s="46">
        <v>2</v>
      </c>
      <c r="AH107" s="46">
        <v>2</v>
      </c>
      <c r="AI107" s="46">
        <v>2</v>
      </c>
      <c r="AJ107" s="46">
        <v>2</v>
      </c>
      <c r="AK107" s="46">
        <v>2</v>
      </c>
      <c r="AL107" s="46">
        <v>1</v>
      </c>
      <c r="AM107" s="46">
        <v>1</v>
      </c>
      <c r="AN107" s="46">
        <v>1</v>
      </c>
      <c r="AO107" s="46">
        <v>2</v>
      </c>
      <c r="AP107" s="46">
        <v>2</v>
      </c>
      <c r="AQ107" s="46">
        <v>2</v>
      </c>
      <c r="AR107" s="46">
        <v>2</v>
      </c>
      <c r="AS107" s="46">
        <v>2</v>
      </c>
      <c r="AT107" s="46">
        <v>2</v>
      </c>
      <c r="AU107" s="46">
        <v>2</v>
      </c>
      <c r="AV107" s="46">
        <v>3</v>
      </c>
      <c r="AW107" s="46">
        <v>3</v>
      </c>
      <c r="AX107" s="46">
        <v>3</v>
      </c>
      <c r="AY107" s="46">
        <v>2</v>
      </c>
      <c r="AZ107" s="46">
        <v>2</v>
      </c>
      <c r="BA107" s="46">
        <v>2</v>
      </c>
      <c r="BB107" s="46">
        <v>2</v>
      </c>
      <c r="BC107" s="46">
        <v>2</v>
      </c>
      <c r="BD107" s="46">
        <v>2</v>
      </c>
      <c r="BE107" s="46">
        <v>2</v>
      </c>
      <c r="BF107" s="46">
        <v>2</v>
      </c>
      <c r="BG107" s="46">
        <v>2</v>
      </c>
      <c r="BH107" s="46">
        <v>2</v>
      </c>
      <c r="BI107" s="46">
        <v>2</v>
      </c>
      <c r="BJ107" s="47">
        <v>2</v>
      </c>
    </row>
    <row r="108" spans="1:62" x14ac:dyDescent="0.3">
      <c r="A108" s="1" t="s">
        <v>66</v>
      </c>
      <c r="B108" s="2" t="s">
        <v>1</v>
      </c>
      <c r="C108" s="3" t="s">
        <v>2</v>
      </c>
      <c r="D108" s="3" t="s">
        <v>3</v>
      </c>
      <c r="E108" s="3" t="s">
        <v>4</v>
      </c>
      <c r="F108" s="3" t="s">
        <v>5</v>
      </c>
      <c r="G108" s="3" t="s">
        <v>6</v>
      </c>
      <c r="H108" s="3" t="s">
        <v>7</v>
      </c>
      <c r="I108" s="3" t="s">
        <v>8</v>
      </c>
      <c r="J108" s="3" t="s">
        <v>9</v>
      </c>
      <c r="K108" s="3" t="s">
        <v>10</v>
      </c>
      <c r="L108" s="3" t="s">
        <v>11</v>
      </c>
      <c r="M108" s="3" t="s">
        <v>12</v>
      </c>
      <c r="N108" s="3" t="s">
        <v>13</v>
      </c>
      <c r="O108" s="3" t="s">
        <v>14</v>
      </c>
      <c r="P108" s="3" t="s">
        <v>15</v>
      </c>
      <c r="Q108" s="3" t="s">
        <v>16</v>
      </c>
      <c r="R108" s="3" t="s">
        <v>17</v>
      </c>
      <c r="S108" s="3" t="s">
        <v>18</v>
      </c>
      <c r="T108" s="3" t="s">
        <v>19</v>
      </c>
      <c r="U108" s="3" t="s">
        <v>20</v>
      </c>
      <c r="V108" s="3" t="s">
        <v>21</v>
      </c>
      <c r="W108" s="3" t="s">
        <v>22</v>
      </c>
      <c r="X108" s="3" t="s">
        <v>23</v>
      </c>
      <c r="Y108" s="3" t="s">
        <v>24</v>
      </c>
      <c r="Z108" s="3" t="s">
        <v>25</v>
      </c>
      <c r="AA108" s="3" t="s">
        <v>26</v>
      </c>
      <c r="AB108" s="3" t="s">
        <v>27</v>
      </c>
      <c r="AC108" s="3" t="s">
        <v>28</v>
      </c>
      <c r="AD108" s="3" t="s">
        <v>29</v>
      </c>
      <c r="AE108" s="3" t="s">
        <v>30</v>
      </c>
      <c r="AF108" s="3" t="s">
        <v>31</v>
      </c>
      <c r="AG108" s="3" t="s">
        <v>133</v>
      </c>
      <c r="AH108" s="3" t="s">
        <v>33</v>
      </c>
      <c r="AI108" s="3" t="s">
        <v>34</v>
      </c>
      <c r="AJ108" s="3" t="s">
        <v>35</v>
      </c>
      <c r="AK108" s="3" t="s">
        <v>36</v>
      </c>
      <c r="AL108" s="3" t="s">
        <v>37</v>
      </c>
      <c r="AM108" s="3" t="s">
        <v>38</v>
      </c>
      <c r="AN108" s="3" t="s">
        <v>39</v>
      </c>
      <c r="AO108" s="3" t="s">
        <v>40</v>
      </c>
      <c r="AP108" s="3" t="s">
        <v>41</v>
      </c>
      <c r="AQ108" s="3" t="s">
        <v>42</v>
      </c>
      <c r="AR108" s="3" t="s">
        <v>43</v>
      </c>
      <c r="AS108" s="3" t="s">
        <v>44</v>
      </c>
      <c r="AT108" s="3" t="s">
        <v>45</v>
      </c>
      <c r="AU108" s="3" t="s">
        <v>46</v>
      </c>
      <c r="AV108" s="3" t="s">
        <v>47</v>
      </c>
      <c r="AW108" s="3" t="s">
        <v>48</v>
      </c>
      <c r="AX108" s="3" t="s">
        <v>49</v>
      </c>
      <c r="AY108" s="3" t="s">
        <v>50</v>
      </c>
      <c r="AZ108" s="3" t="s">
        <v>51</v>
      </c>
      <c r="BA108" s="3" t="s">
        <v>52</v>
      </c>
      <c r="BB108" s="3" t="s">
        <v>53</v>
      </c>
      <c r="BC108" s="3" t="s">
        <v>54</v>
      </c>
      <c r="BD108" s="3" t="s">
        <v>55</v>
      </c>
      <c r="BE108" s="3" t="s">
        <v>56</v>
      </c>
      <c r="BF108" s="3" t="s">
        <v>57</v>
      </c>
      <c r="BG108" s="3" t="s">
        <v>58</v>
      </c>
      <c r="BH108" s="3" t="s">
        <v>59</v>
      </c>
      <c r="BI108" s="3" t="s">
        <v>60</v>
      </c>
      <c r="BJ108" s="4" t="s">
        <v>61</v>
      </c>
    </row>
    <row r="109" spans="1:62" x14ac:dyDescent="0.3">
      <c r="A109" s="5" t="s">
        <v>1</v>
      </c>
      <c r="B109" s="6">
        <f>IF(Distances!B155="N.C.",0,ROUNDUP(B107+'Délai intermédiaire'!B155/24,0))</f>
        <v>1</v>
      </c>
      <c r="C109" s="7">
        <f>IF(Distances!C155="N.C.",0,ROUNDUP(C107+'Délai intermédiaire'!C155/24,0))</f>
        <v>2</v>
      </c>
      <c r="D109" s="7">
        <f>IF(Distances!D155="N.C.",0,ROUNDUP(D107+'Délai intermédiaire'!D155/24,0))</f>
        <v>2</v>
      </c>
      <c r="E109" s="7">
        <f>IF(Distances!E155="N.C.",0,ROUNDUP(E107+'Délai intermédiaire'!E155/24,0))</f>
        <v>2</v>
      </c>
      <c r="F109" s="7">
        <f>IF(Distances!F155="N.C.",0,ROUNDUP(F107+'Délai intermédiaire'!F155/24,0))</f>
        <v>2</v>
      </c>
      <c r="G109" s="7">
        <f>IF(Distances!G155="N.C.",0,ROUNDUP(G107+'Délai intermédiaire'!G155/24,0))</f>
        <v>2</v>
      </c>
      <c r="H109" s="7">
        <f>IF(Distances!H155="N.C.",0,ROUNDUP(H107+'Délai intermédiaire'!H155/24,0))</f>
        <v>2</v>
      </c>
      <c r="I109" s="7">
        <f>IF(Distances!I155="N.C.",0,ROUNDUP(I107+'Délai intermédiaire'!I155/24,0))</f>
        <v>2</v>
      </c>
      <c r="J109" s="7">
        <f>IF(Distances!J155="N.C.",0,ROUNDUP(J107+'Délai intermédiaire'!J155/24,0))</f>
        <v>3</v>
      </c>
      <c r="K109" s="7">
        <f>IF(Distances!K155="N.C.",0,ROUNDUP(K107+'Délai intermédiaire'!K155/24,0))</f>
        <v>3</v>
      </c>
      <c r="L109" s="7">
        <f>IF(Distances!L155="N.C.",0,ROUNDUP(L107+'Délai intermédiaire'!L155/24,0))</f>
        <v>3</v>
      </c>
      <c r="M109" s="7">
        <f>IF(Distances!M155="N.C.",0,ROUNDUP(M107+'Délai intermédiaire'!M155/24,0))</f>
        <v>3</v>
      </c>
      <c r="N109" s="7">
        <f>IF(Distances!N155="N.C.",0,ROUNDUP(N107+'Délai intermédiaire'!N155/24,0))</f>
        <v>3</v>
      </c>
      <c r="O109" s="8">
        <f>IF(Distances!O155="N.C.",0,ROUNDUP(O107+'Délai intermédiaire'!O155/24,0))</f>
        <v>3</v>
      </c>
      <c r="P109" s="8">
        <f>IF(Distances!P155="N.C.",0,ROUNDUP(P107+'Délai intermédiaire'!P155/24,0))</f>
        <v>3</v>
      </c>
      <c r="Q109" s="8">
        <f>IF(Distances!Q155="N.C.",0,ROUNDUP(Q107+'Délai intermédiaire'!Q155/24,0))</f>
        <v>2</v>
      </c>
      <c r="R109" s="8">
        <f>IF(Distances!R155="N.C.",0,ROUNDUP(R107+'Délai intermédiaire'!R155/24,0))</f>
        <v>2</v>
      </c>
      <c r="S109" s="8">
        <f>IF(Distances!S155="N.C.",0,ROUNDUP(S107+'Délai intermédiaire'!S155/24,0))</f>
        <v>2</v>
      </c>
      <c r="T109" s="8">
        <f>IF(Distances!T155="N.C.",0,ROUNDUP(T107+'Délai intermédiaire'!T155/24,0))</f>
        <v>2</v>
      </c>
      <c r="U109" s="8">
        <f>IF(Distances!U155="N.C.",0,ROUNDUP(U107+'Délai intermédiaire'!U155/24,0))</f>
        <v>2</v>
      </c>
      <c r="V109" s="8">
        <f>IF(Distances!V155="N.C.",0,ROUNDUP(V107+'Délai intermédiaire'!V155/24,0))</f>
        <v>2</v>
      </c>
      <c r="W109" s="8">
        <f>IF(Distances!W155="N.C.",0,ROUNDUP(W107+'Délai intermédiaire'!W155/24,0))</f>
        <v>2</v>
      </c>
      <c r="X109" s="8">
        <f>IF(Distances!X155="N.C.",0,ROUNDUP(X107+'Délai intermédiaire'!X155/24,0))</f>
        <v>2</v>
      </c>
      <c r="Y109" s="8">
        <f>IF(Distances!Y155="N.C.",0,ROUNDUP(Y107+'Délai intermédiaire'!Y155/24,0))</f>
        <v>2</v>
      </c>
      <c r="Z109" s="8">
        <f>IF(Distances!Z155="N.C.",0,ROUNDUP(Z107+'Délai intermédiaire'!Z155/24,0))</f>
        <v>3</v>
      </c>
      <c r="AA109" s="8">
        <f>IF(Distances!AA155="N.C.",0,ROUNDUP(AA107+'Délai intermédiaire'!AA155/24,0))</f>
        <v>3</v>
      </c>
      <c r="AB109" s="8">
        <f>IF(Distances!AB155="N.C.",0,ROUNDUP(AB107+'Délai intermédiaire'!AB155/24,0))</f>
        <v>2</v>
      </c>
      <c r="AC109" s="8">
        <f>IF(Distances!AC155="N.C.",0,ROUNDUP(AC107+'Délai intermédiaire'!AC155/24,0))</f>
        <v>2</v>
      </c>
      <c r="AD109" s="8">
        <f>IF(Distances!AD155="N.C.",0,ROUNDUP(AD107+'Délai intermédiaire'!AD155/24,0))</f>
        <v>3</v>
      </c>
      <c r="AE109" s="8">
        <f>IF(Distances!AE155="N.C.",0,ROUNDUP(AE107+'Délai intermédiaire'!AE155/24,0))</f>
        <v>3</v>
      </c>
      <c r="AF109" s="8">
        <f>IF(Distances!AF155="N.C.",0,ROUNDUP(AF107+'Délai intermédiaire'!AF155/24,0))</f>
        <v>2</v>
      </c>
      <c r="AG109" s="8">
        <f>IF(Distances!AG155="N.C.",0,ROUNDUP(AG107+'Délai intermédiaire'!AG155/24,0))</f>
        <v>3</v>
      </c>
      <c r="AH109" s="8">
        <f>IF(Distances!AH155="N.C.",0,ROUNDUP(AH107+'Délai intermédiaire'!AH155/24,0))</f>
        <v>3</v>
      </c>
      <c r="AI109" s="8">
        <f>IF(Distances!AI155="N.C.",0,ROUNDUP(AI107+'Délai intermédiaire'!AI155/24,0))</f>
        <v>3</v>
      </c>
      <c r="AJ109" s="8">
        <f>IF(Distances!AJ155="N.C.",0,ROUNDUP(AJ107+'Délai intermédiaire'!AJ155/24,0))</f>
        <v>3</v>
      </c>
      <c r="AK109" s="8">
        <f>IF(Distances!AK155="N.C.",0,ROUNDUP(AK107+'Délai intermédiaire'!AK155/24,0))</f>
        <v>3</v>
      </c>
      <c r="AL109" s="8">
        <f>IF(Distances!AL155="N.C.",0,ROUNDUP(AL107+'Délai intermédiaire'!AL155/24,0))</f>
        <v>2</v>
      </c>
      <c r="AM109" s="8">
        <f>IF(Distances!AM155="N.C.",0,ROUNDUP(AM107+'Délai intermédiaire'!AM155/24,0))</f>
        <v>2</v>
      </c>
      <c r="AN109" s="8">
        <f>IF(Distances!AN155="N.C.",0,ROUNDUP(AN107+'Délai intermédiaire'!AN155/24,0))</f>
        <v>2</v>
      </c>
      <c r="AO109" s="8">
        <f>IF(Distances!AO155="N.C.",0,ROUNDUP(AO107+'Délai intermédiaire'!AO155/24,0))</f>
        <v>3</v>
      </c>
      <c r="AP109" s="8">
        <f>IF(Distances!AP155="N.C.",0,ROUNDUP(AP107+'Délai intermédiaire'!AP155/24,0))</f>
        <v>3</v>
      </c>
      <c r="AQ109" s="8">
        <f>IF(Distances!AQ155="N.C.",0,ROUNDUP(AQ107+'Délai intermédiaire'!AQ155/24,0))</f>
        <v>4</v>
      </c>
      <c r="AR109" s="8">
        <f>IF(Distances!AR155="N.C.",0,ROUNDUP(AR107+'Délai intermédiaire'!AR155/24,0))</f>
        <v>3</v>
      </c>
      <c r="AS109" s="8">
        <f>IF(Distances!AS155="N.C.",0,ROUNDUP(AS107+'Délai intermédiaire'!AS155/24,0))</f>
        <v>3</v>
      </c>
      <c r="AT109" s="8">
        <f>IF(Distances!AT155="N.C.",0,ROUNDUP(AT107+'Délai intermédiaire'!AT155/24,0))</f>
        <v>3</v>
      </c>
      <c r="AU109" s="8">
        <f>IF(Distances!AU155="N.C.",0,ROUNDUP(AU107+'Délai intermédiaire'!AU155/24,0))</f>
        <v>3</v>
      </c>
      <c r="AV109" s="8">
        <f>IF(Distances!AV155="N.C.",0,ROUNDUP(AV107+'Délai intermédiaire'!AV155/24,0))</f>
        <v>4</v>
      </c>
      <c r="AW109" s="8">
        <f>IF(Distances!AW155="N.C.",0,ROUNDUP(AW107+'Délai intermédiaire'!AW155/24,0))</f>
        <v>4</v>
      </c>
      <c r="AX109" s="8">
        <f>IF(Distances!AX155="N.C.",0,ROUNDUP(AX107+'Délai intermédiaire'!AX155/24,0))</f>
        <v>5</v>
      </c>
      <c r="AY109" s="8">
        <f>IF(Distances!AY155="N.C.",0,ROUNDUP(AY107+'Délai intermédiaire'!AY155/24,0))</f>
        <v>3</v>
      </c>
      <c r="AZ109" s="8">
        <f>IF(Distances!AZ155="N.C.",0,ROUNDUP(AZ107+'Délai intermédiaire'!AZ155/24,0))</f>
        <v>3</v>
      </c>
      <c r="BA109" s="8">
        <f>IF(Distances!BA155="N.C.",0,ROUNDUP(BA107+'Délai intermédiaire'!BA155/24,0))</f>
        <v>3</v>
      </c>
      <c r="BB109" s="8">
        <f>IF(Distances!BB155="N.C.",0,ROUNDUP(BB107+'Délai intermédiaire'!BB155/24,0))</f>
        <v>3</v>
      </c>
      <c r="BC109" s="8">
        <f>IF(Distances!BC155="N.C.",0,ROUNDUP(BC107+'Délai intermédiaire'!BC155/24,0))</f>
        <v>3</v>
      </c>
      <c r="BD109" s="8">
        <f>IF(Distances!BD155="N.C.",0,ROUNDUP(BD107+'Délai intermédiaire'!BD155/24,0))</f>
        <v>3</v>
      </c>
      <c r="BE109" s="8">
        <f>IF(Distances!BE155="N.C.",0,ROUNDUP(BE107+'Délai intermédiaire'!BE155/24,0))</f>
        <v>3</v>
      </c>
      <c r="BF109" s="8">
        <f>IF(Distances!BF155="N.C.",0,ROUNDUP(BF107+'Délai intermédiaire'!BF155/24,0))</f>
        <v>3</v>
      </c>
      <c r="BG109" s="8">
        <f>IF(Distances!BG155="N.C.",0,ROUNDUP(BG107+'Délai intermédiaire'!BG155/24,0))</f>
        <v>3</v>
      </c>
      <c r="BH109" s="8">
        <f>IF(Distances!BH155="N.C.",0,ROUNDUP(BH107+'Délai intermédiaire'!BH155/24,0))</f>
        <v>3</v>
      </c>
      <c r="BI109" s="8">
        <f>IF(Distances!BI155="N.C.",0,ROUNDUP(BI107+'Délai intermédiaire'!BI155/24,0))</f>
        <v>3</v>
      </c>
      <c r="BJ109" s="9">
        <f>IF(Distances!BJ155="N.C.",0,ROUNDUP(BJ107+'Délai intermédiaire'!BJ155/24,0))</f>
        <v>3</v>
      </c>
    </row>
    <row r="110" spans="1:62" x14ac:dyDescent="0.3">
      <c r="A110" s="10" t="s">
        <v>2</v>
      </c>
      <c r="B110" s="11">
        <f>IF(Distances!B156="N.C.",0,ROUNDUP(B107+'Délai intermédiaire'!B156/24,0))</f>
        <v>2</v>
      </c>
      <c r="C110" s="12">
        <f>IF(Distances!C156="N.C.",0,ROUNDUP(C107+'Délai intermédiaire'!C156/24,0))</f>
        <v>1</v>
      </c>
      <c r="D110" s="13">
        <f>IF(Distances!D156="N.C.",0,ROUNDUP(D107+'Délai intermédiaire'!D156/24,0))</f>
        <v>2</v>
      </c>
      <c r="E110" s="13">
        <f>IF(Distances!E156="N.C.",0,ROUNDUP(E107+'Délai intermédiaire'!E156/24,0))</f>
        <v>2</v>
      </c>
      <c r="F110" s="13">
        <f>IF(Distances!F156="N.C.",0,ROUNDUP(F107+'Délai intermédiaire'!F156/24,0))</f>
        <v>2</v>
      </c>
      <c r="G110" s="13">
        <f>IF(Distances!G156="N.C.",0,ROUNDUP(G107+'Délai intermédiaire'!G156/24,0))</f>
        <v>2</v>
      </c>
      <c r="H110" s="13">
        <f>IF(Distances!H156="N.C.",0,ROUNDUP(H107+'Délai intermédiaire'!H156/24,0))</f>
        <v>2</v>
      </c>
      <c r="I110" s="13">
        <f>IF(Distances!I156="N.C.",0,ROUNDUP(I107+'Délai intermédiaire'!I156/24,0))</f>
        <v>2</v>
      </c>
      <c r="J110" s="13">
        <f>IF(Distances!J156="N.C.",0,ROUNDUP(J107+'Délai intermédiaire'!J156/24,0))</f>
        <v>3</v>
      </c>
      <c r="K110" s="13">
        <f>IF(Distances!K156="N.C.",0,ROUNDUP(K107+'Délai intermédiaire'!K156/24,0))</f>
        <v>3</v>
      </c>
      <c r="L110" s="13">
        <f>IF(Distances!L156="N.C.",0,ROUNDUP(L107+'Délai intermédiaire'!L156/24,0))</f>
        <v>3</v>
      </c>
      <c r="M110" s="13">
        <f>IF(Distances!M156="N.C.",0,ROUNDUP(M107+'Délai intermédiaire'!M156/24,0))</f>
        <v>3</v>
      </c>
      <c r="N110" s="13">
        <f>IF(Distances!N156="N.C.",0,ROUNDUP(N107+'Délai intermédiaire'!N156/24,0))</f>
        <v>3</v>
      </c>
      <c r="O110" s="14">
        <f>IF(Distances!O156="N.C.",0,ROUNDUP(O107+'Délai intermédiaire'!O156/24,0))</f>
        <v>3</v>
      </c>
      <c r="P110" s="14">
        <f>IF(Distances!P156="N.C.",0,ROUNDUP(P107+'Délai intermédiaire'!P156/24,0))</f>
        <v>3</v>
      </c>
      <c r="Q110" s="14">
        <f>IF(Distances!Q156="N.C.",0,ROUNDUP(Q107+'Délai intermédiaire'!Q156/24,0))</f>
        <v>2</v>
      </c>
      <c r="R110" s="14">
        <f>IF(Distances!R156="N.C.",0,ROUNDUP(R107+'Délai intermédiaire'!R156/24,0))</f>
        <v>2</v>
      </c>
      <c r="S110" s="14">
        <f>IF(Distances!S156="N.C.",0,ROUNDUP(S107+'Délai intermédiaire'!S156/24,0))</f>
        <v>2</v>
      </c>
      <c r="T110" s="14">
        <f>IF(Distances!T156="N.C.",0,ROUNDUP(T107+'Délai intermédiaire'!T156/24,0))</f>
        <v>2</v>
      </c>
      <c r="U110" s="14">
        <f>IF(Distances!U156="N.C.",0,ROUNDUP(U107+'Délai intermédiaire'!U156/24,0))</f>
        <v>2</v>
      </c>
      <c r="V110" s="14">
        <f>IF(Distances!V156="N.C.",0,ROUNDUP(V107+'Délai intermédiaire'!V156/24,0))</f>
        <v>2</v>
      </c>
      <c r="W110" s="14">
        <f>IF(Distances!W156="N.C.",0,ROUNDUP(W107+'Délai intermédiaire'!W156/24,0))</f>
        <v>2</v>
      </c>
      <c r="X110" s="14">
        <f>IF(Distances!X156="N.C.",0,ROUNDUP(X107+'Délai intermédiaire'!X156/24,0))</f>
        <v>2</v>
      </c>
      <c r="Y110" s="14">
        <f>IF(Distances!Y156="N.C.",0,ROUNDUP(Y107+'Délai intermédiaire'!Y156/24,0))</f>
        <v>2</v>
      </c>
      <c r="Z110" s="14">
        <f>IF(Distances!Z156="N.C.",0,ROUNDUP(Z107+'Délai intermédiaire'!Z156/24,0))</f>
        <v>3</v>
      </c>
      <c r="AA110" s="14">
        <f>IF(Distances!AA156="N.C.",0,ROUNDUP(AA107+'Délai intermédiaire'!AA156/24,0))</f>
        <v>3</v>
      </c>
      <c r="AB110" s="14">
        <f>IF(Distances!AB156="N.C.",0,ROUNDUP(AB107+'Délai intermédiaire'!AB156/24,0))</f>
        <v>2</v>
      </c>
      <c r="AC110" s="14">
        <f>IF(Distances!AC156="N.C.",0,ROUNDUP(AC107+'Délai intermédiaire'!AC156/24,0))</f>
        <v>2</v>
      </c>
      <c r="AD110" s="14">
        <f>IF(Distances!AD156="N.C.",0,ROUNDUP(AD107+'Délai intermédiaire'!AD156/24,0))</f>
        <v>3</v>
      </c>
      <c r="AE110" s="14">
        <f>IF(Distances!AE156="N.C.",0,ROUNDUP(AE107+'Délai intermédiaire'!AE156/24,0))</f>
        <v>3</v>
      </c>
      <c r="AF110" s="14">
        <f>IF(Distances!AF156="N.C.",0,ROUNDUP(AF107+'Délai intermédiaire'!AF156/24,0))</f>
        <v>2</v>
      </c>
      <c r="AG110" s="14">
        <f>IF(Distances!AG156="N.C.",0,ROUNDUP(AG107+'Délai intermédiaire'!AG156/24,0))</f>
        <v>3</v>
      </c>
      <c r="AH110" s="14">
        <f>IF(Distances!AH156="N.C.",0,ROUNDUP(AH107+'Délai intermédiaire'!AH156/24,0))</f>
        <v>3</v>
      </c>
      <c r="AI110" s="14">
        <f>IF(Distances!AI156="N.C.",0,ROUNDUP(AI107+'Délai intermédiaire'!AI156/24,0))</f>
        <v>3</v>
      </c>
      <c r="AJ110" s="14">
        <f>IF(Distances!AJ156="N.C.",0,ROUNDUP(AJ107+'Délai intermédiaire'!AJ156/24,0))</f>
        <v>4</v>
      </c>
      <c r="AK110" s="14">
        <f>IF(Distances!AK156="N.C.",0,ROUNDUP(AK107+'Délai intermédiaire'!AK156/24,0))</f>
        <v>3</v>
      </c>
      <c r="AL110" s="14">
        <f>IF(Distances!AL156="N.C.",0,ROUNDUP(AL107+'Délai intermédiaire'!AL156/24,0))</f>
        <v>2</v>
      </c>
      <c r="AM110" s="14">
        <f>IF(Distances!AM156="N.C.",0,ROUNDUP(AM107+'Délai intermédiaire'!AM156/24,0))</f>
        <v>2</v>
      </c>
      <c r="AN110" s="14">
        <f>IF(Distances!AN156="N.C.",0,ROUNDUP(AN107+'Délai intermédiaire'!AN156/24,0))</f>
        <v>2</v>
      </c>
      <c r="AO110" s="14">
        <f>IF(Distances!AO156="N.C.",0,ROUNDUP(AO107+'Délai intermédiaire'!AO156/24,0))</f>
        <v>3</v>
      </c>
      <c r="AP110" s="14">
        <f>IF(Distances!AP156="N.C.",0,ROUNDUP(AP107+'Délai intermédiaire'!AP156/24,0))</f>
        <v>3</v>
      </c>
      <c r="AQ110" s="14">
        <f>IF(Distances!AQ156="N.C.",0,ROUNDUP(AQ107+'Délai intermédiaire'!AQ156/24,0))</f>
        <v>4</v>
      </c>
      <c r="AR110" s="14">
        <f>IF(Distances!AR156="N.C.",0,ROUNDUP(AR107+'Délai intermédiaire'!AR156/24,0))</f>
        <v>3</v>
      </c>
      <c r="AS110" s="14">
        <f>IF(Distances!AS156="N.C.",0,ROUNDUP(AS107+'Délai intermédiaire'!AS156/24,0))</f>
        <v>3</v>
      </c>
      <c r="AT110" s="14">
        <f>IF(Distances!AT156="N.C.",0,ROUNDUP(AT107+'Délai intermédiaire'!AT156/24,0))</f>
        <v>3</v>
      </c>
      <c r="AU110" s="14">
        <f>IF(Distances!AU156="N.C.",0,ROUNDUP(AU107+'Délai intermédiaire'!AU156/24,0))</f>
        <v>3</v>
      </c>
      <c r="AV110" s="14">
        <f>IF(Distances!AV156="N.C.",0,ROUNDUP(AV107+'Délai intermédiaire'!AV156/24,0))</f>
        <v>4</v>
      </c>
      <c r="AW110" s="14">
        <f>IF(Distances!AW156="N.C.",0,ROUNDUP(AW107+'Délai intermédiaire'!AW156/24,0))</f>
        <v>5</v>
      </c>
      <c r="AX110" s="14">
        <f>IF(Distances!AX156="N.C.",0,ROUNDUP(AX107+'Délai intermédiaire'!AX156/24,0))</f>
        <v>5</v>
      </c>
      <c r="AY110" s="14">
        <f>IF(Distances!AY156="N.C.",0,ROUNDUP(AY107+'Délai intermédiaire'!AY156/24,0))</f>
        <v>3</v>
      </c>
      <c r="AZ110" s="14">
        <f>IF(Distances!AZ156="N.C.",0,ROUNDUP(AZ107+'Délai intermédiaire'!AZ156/24,0))</f>
        <v>3</v>
      </c>
      <c r="BA110" s="14">
        <f>IF(Distances!BA156="N.C.",0,ROUNDUP(BA107+'Délai intermédiaire'!BA156/24,0))</f>
        <v>3</v>
      </c>
      <c r="BB110" s="14">
        <f>IF(Distances!BB156="N.C.",0,ROUNDUP(BB107+'Délai intermédiaire'!BB156/24,0))</f>
        <v>3</v>
      </c>
      <c r="BC110" s="14">
        <f>IF(Distances!BC156="N.C.",0,ROUNDUP(BC107+'Délai intermédiaire'!BC156/24,0))</f>
        <v>3</v>
      </c>
      <c r="BD110" s="14">
        <f>IF(Distances!BD156="N.C.",0,ROUNDUP(BD107+'Délai intermédiaire'!BD156/24,0))</f>
        <v>3</v>
      </c>
      <c r="BE110" s="14">
        <f>IF(Distances!BE156="N.C.",0,ROUNDUP(BE107+'Délai intermédiaire'!BE156/24,0))</f>
        <v>3</v>
      </c>
      <c r="BF110" s="14">
        <f>IF(Distances!BF156="N.C.",0,ROUNDUP(BF107+'Délai intermédiaire'!BF156/24,0))</f>
        <v>3</v>
      </c>
      <c r="BG110" s="14">
        <f>IF(Distances!BG156="N.C.",0,ROUNDUP(BG107+'Délai intermédiaire'!BG156/24,0))</f>
        <v>3</v>
      </c>
      <c r="BH110" s="14">
        <f>IF(Distances!BH156="N.C.",0,ROUNDUP(BH107+'Délai intermédiaire'!BH156/24,0))</f>
        <v>3</v>
      </c>
      <c r="BI110" s="14">
        <f>IF(Distances!BI156="N.C.",0,ROUNDUP(BI107+'Délai intermédiaire'!BI156/24,0))</f>
        <v>3</v>
      </c>
      <c r="BJ110" s="15">
        <f>IF(Distances!BJ156="N.C.",0,ROUNDUP(BJ107+'Délai intermédiaire'!BJ156/24,0))</f>
        <v>3</v>
      </c>
    </row>
    <row r="111" spans="1:62" x14ac:dyDescent="0.3">
      <c r="A111" s="10" t="s">
        <v>3</v>
      </c>
      <c r="B111" s="11">
        <f>IF(Distances!B157="N.C.",0,ROUNDUP(B107+'Délai intermédiaire'!B157/24,0))</f>
        <v>2</v>
      </c>
      <c r="C111" s="13">
        <f>IF(Distances!C157="N.C.",0,ROUNDUP(C107+'Délai intermédiaire'!C157/24,0))</f>
        <v>2</v>
      </c>
      <c r="D111" s="12">
        <f>IF(Distances!D157="N.C.",0,ROUNDUP(D107+'Délai intermédiaire'!D157/24,0))</f>
        <v>1</v>
      </c>
      <c r="E111" s="13">
        <f>IF(Distances!E157="N.C.",0,ROUNDUP(E107+'Délai intermédiaire'!E157/24,0))</f>
        <v>2</v>
      </c>
      <c r="F111" s="13">
        <f>IF(Distances!F157="N.C.",0,ROUNDUP(F107+'Délai intermédiaire'!F157/24,0))</f>
        <v>2</v>
      </c>
      <c r="G111" s="13">
        <f>IF(Distances!G157="N.C.",0,ROUNDUP(G107+'Délai intermédiaire'!G157/24,0))</f>
        <v>2</v>
      </c>
      <c r="H111" s="13">
        <f>IF(Distances!H157="N.C.",0,ROUNDUP(H107+'Délai intermédiaire'!H157/24,0))</f>
        <v>2</v>
      </c>
      <c r="I111" s="13">
        <f>IF(Distances!I157="N.C.",0,ROUNDUP(I107+'Délai intermédiaire'!I157/24,0))</f>
        <v>2</v>
      </c>
      <c r="J111" s="13">
        <f>IF(Distances!J157="N.C.",0,ROUNDUP(J107+'Délai intermédiaire'!J157/24,0))</f>
        <v>3</v>
      </c>
      <c r="K111" s="13">
        <f>IF(Distances!K157="N.C.",0,ROUNDUP(K107+'Délai intermédiaire'!K157/24,0))</f>
        <v>3</v>
      </c>
      <c r="L111" s="13">
        <f>IF(Distances!L157="N.C.",0,ROUNDUP(L107+'Délai intermédiaire'!L157/24,0))</f>
        <v>3</v>
      </c>
      <c r="M111" s="13">
        <f>IF(Distances!M157="N.C.",0,ROUNDUP(M107+'Délai intermédiaire'!M157/24,0))</f>
        <v>3</v>
      </c>
      <c r="N111" s="13">
        <f>IF(Distances!N157="N.C.",0,ROUNDUP(N107+'Délai intermédiaire'!N157/24,0))</f>
        <v>3</v>
      </c>
      <c r="O111" s="14">
        <f>IF(Distances!O157="N.C.",0,ROUNDUP(O107+'Délai intermédiaire'!O157/24,0))</f>
        <v>3</v>
      </c>
      <c r="P111" s="14">
        <f>IF(Distances!P157="N.C.",0,ROUNDUP(P107+'Délai intermédiaire'!P157/24,0))</f>
        <v>3</v>
      </c>
      <c r="Q111" s="14">
        <f>IF(Distances!Q157="N.C.",0,ROUNDUP(Q107+'Délai intermédiaire'!Q157/24,0))</f>
        <v>2</v>
      </c>
      <c r="R111" s="14">
        <f>IF(Distances!R157="N.C.",0,ROUNDUP(R107+'Délai intermédiaire'!R157/24,0))</f>
        <v>2</v>
      </c>
      <c r="S111" s="14">
        <f>IF(Distances!S157="N.C.",0,ROUNDUP(S107+'Délai intermédiaire'!S157/24,0))</f>
        <v>2</v>
      </c>
      <c r="T111" s="14">
        <f>IF(Distances!T157="N.C.",0,ROUNDUP(T107+'Délai intermédiaire'!T157/24,0))</f>
        <v>2</v>
      </c>
      <c r="U111" s="14">
        <f>IF(Distances!U157="N.C.",0,ROUNDUP(U107+'Délai intermédiaire'!U157/24,0))</f>
        <v>2</v>
      </c>
      <c r="V111" s="14">
        <f>IF(Distances!V157="N.C.",0,ROUNDUP(V107+'Délai intermédiaire'!V157/24,0))</f>
        <v>2</v>
      </c>
      <c r="W111" s="14">
        <f>IF(Distances!W157="N.C.",0,ROUNDUP(W107+'Délai intermédiaire'!W157/24,0))</f>
        <v>2</v>
      </c>
      <c r="X111" s="14">
        <f>IF(Distances!X157="N.C.",0,ROUNDUP(X107+'Délai intermédiaire'!X157/24,0))</f>
        <v>2</v>
      </c>
      <c r="Y111" s="14">
        <f>IF(Distances!Y157="N.C.",0,ROUNDUP(Y107+'Délai intermédiaire'!Y157/24,0))</f>
        <v>2</v>
      </c>
      <c r="Z111" s="14">
        <f>IF(Distances!Z157="N.C.",0,ROUNDUP(Z107+'Délai intermédiaire'!Z157/24,0))</f>
        <v>3</v>
      </c>
      <c r="AA111" s="14">
        <f>IF(Distances!AA157="N.C.",0,ROUNDUP(AA107+'Délai intermédiaire'!AA157/24,0))</f>
        <v>3</v>
      </c>
      <c r="AB111" s="14">
        <f>IF(Distances!AB157="N.C.",0,ROUNDUP(AB107+'Délai intermédiaire'!AB157/24,0))</f>
        <v>2</v>
      </c>
      <c r="AC111" s="14">
        <f>IF(Distances!AC157="N.C.",0,ROUNDUP(AC107+'Délai intermédiaire'!AC157/24,0))</f>
        <v>2</v>
      </c>
      <c r="AD111" s="14">
        <f>IF(Distances!AD157="N.C.",0,ROUNDUP(AD107+'Délai intermédiaire'!AD157/24,0))</f>
        <v>3</v>
      </c>
      <c r="AE111" s="14">
        <f>IF(Distances!AE157="N.C.",0,ROUNDUP(AE107+'Délai intermédiaire'!AE157/24,0))</f>
        <v>3</v>
      </c>
      <c r="AF111" s="14">
        <f>IF(Distances!AF157="N.C.",0,ROUNDUP(AF107+'Délai intermédiaire'!AF157/24,0))</f>
        <v>2</v>
      </c>
      <c r="AG111" s="14">
        <f>IF(Distances!AG157="N.C.",0,ROUNDUP(AG107+'Délai intermédiaire'!AG157/24,0))</f>
        <v>3</v>
      </c>
      <c r="AH111" s="14">
        <f>IF(Distances!AH157="N.C.",0,ROUNDUP(AH107+'Délai intermédiaire'!AH157/24,0))</f>
        <v>3</v>
      </c>
      <c r="AI111" s="14">
        <f>IF(Distances!AI157="N.C.",0,ROUNDUP(AI107+'Délai intermédiaire'!AI157/24,0))</f>
        <v>3</v>
      </c>
      <c r="AJ111" s="14">
        <f>IF(Distances!AJ157="N.C.",0,ROUNDUP(AJ107+'Délai intermédiaire'!AJ157/24,0))</f>
        <v>3</v>
      </c>
      <c r="AK111" s="14">
        <f>IF(Distances!AK157="N.C.",0,ROUNDUP(AK107+'Délai intermédiaire'!AK157/24,0))</f>
        <v>3</v>
      </c>
      <c r="AL111" s="14">
        <f>IF(Distances!AL157="N.C.",0,ROUNDUP(AL107+'Délai intermédiaire'!AL157/24,0))</f>
        <v>2</v>
      </c>
      <c r="AM111" s="14">
        <f>IF(Distances!AM157="N.C.",0,ROUNDUP(AM107+'Délai intermédiaire'!AM157/24,0))</f>
        <v>2</v>
      </c>
      <c r="AN111" s="14">
        <f>IF(Distances!AN157="N.C.",0,ROUNDUP(AN107+'Délai intermédiaire'!AN157/24,0))</f>
        <v>2</v>
      </c>
      <c r="AO111" s="14">
        <f>IF(Distances!AO157="N.C.",0,ROUNDUP(AO107+'Délai intermédiaire'!AO157/24,0))</f>
        <v>3</v>
      </c>
      <c r="AP111" s="14">
        <f>IF(Distances!AP157="N.C.",0,ROUNDUP(AP107+'Délai intermédiaire'!AP157/24,0))</f>
        <v>3</v>
      </c>
      <c r="AQ111" s="14">
        <f>IF(Distances!AQ157="N.C.",0,ROUNDUP(AQ107+'Délai intermédiaire'!AQ157/24,0))</f>
        <v>4</v>
      </c>
      <c r="AR111" s="14">
        <f>IF(Distances!AR157="N.C.",0,ROUNDUP(AR107+'Délai intermédiaire'!AR157/24,0))</f>
        <v>3</v>
      </c>
      <c r="AS111" s="14">
        <f>IF(Distances!AS157="N.C.",0,ROUNDUP(AS107+'Délai intermédiaire'!AS157/24,0))</f>
        <v>3</v>
      </c>
      <c r="AT111" s="14">
        <f>IF(Distances!AT157="N.C.",0,ROUNDUP(AT107+'Délai intermédiaire'!AT157/24,0))</f>
        <v>3</v>
      </c>
      <c r="AU111" s="14">
        <f>IF(Distances!AU157="N.C.",0,ROUNDUP(AU107+'Délai intermédiaire'!AU157/24,0))</f>
        <v>3</v>
      </c>
      <c r="AV111" s="14">
        <f>IF(Distances!AV157="N.C.",0,ROUNDUP(AV107+'Délai intermédiaire'!AV157/24,0))</f>
        <v>4</v>
      </c>
      <c r="AW111" s="14">
        <f>IF(Distances!AW157="N.C.",0,ROUNDUP(AW107+'Délai intermédiaire'!AW157/24,0))</f>
        <v>4</v>
      </c>
      <c r="AX111" s="14">
        <f>IF(Distances!AX157="N.C.",0,ROUNDUP(AX107+'Délai intermédiaire'!AX157/24,0))</f>
        <v>5</v>
      </c>
      <c r="AY111" s="14">
        <f>IF(Distances!AY157="N.C.",0,ROUNDUP(AY107+'Délai intermédiaire'!AY157/24,0))</f>
        <v>3</v>
      </c>
      <c r="AZ111" s="14">
        <f>IF(Distances!AZ157="N.C.",0,ROUNDUP(AZ107+'Délai intermédiaire'!AZ157/24,0))</f>
        <v>3</v>
      </c>
      <c r="BA111" s="14">
        <f>IF(Distances!BA157="N.C.",0,ROUNDUP(BA107+'Délai intermédiaire'!BA157/24,0))</f>
        <v>3</v>
      </c>
      <c r="BB111" s="14">
        <f>IF(Distances!BB157="N.C.",0,ROUNDUP(BB107+'Délai intermédiaire'!BB157/24,0))</f>
        <v>3</v>
      </c>
      <c r="BC111" s="14">
        <f>IF(Distances!BC157="N.C.",0,ROUNDUP(BC107+'Délai intermédiaire'!BC157/24,0))</f>
        <v>3</v>
      </c>
      <c r="BD111" s="14">
        <f>IF(Distances!BD157="N.C.",0,ROUNDUP(BD107+'Délai intermédiaire'!BD157/24,0))</f>
        <v>3</v>
      </c>
      <c r="BE111" s="14">
        <f>IF(Distances!BE157="N.C.",0,ROUNDUP(BE107+'Délai intermédiaire'!BE157/24,0))</f>
        <v>3</v>
      </c>
      <c r="BF111" s="14">
        <f>IF(Distances!BF157="N.C.",0,ROUNDUP(BF107+'Délai intermédiaire'!BF157/24,0))</f>
        <v>3</v>
      </c>
      <c r="BG111" s="14">
        <f>IF(Distances!BG157="N.C.",0,ROUNDUP(BG107+'Délai intermédiaire'!BG157/24,0))</f>
        <v>3</v>
      </c>
      <c r="BH111" s="14">
        <f>IF(Distances!BH157="N.C.",0,ROUNDUP(BH107+'Délai intermédiaire'!BH157/24,0))</f>
        <v>3</v>
      </c>
      <c r="BI111" s="14">
        <f>IF(Distances!BI157="N.C.",0,ROUNDUP(BI107+'Délai intermédiaire'!BI157/24,0))</f>
        <v>3</v>
      </c>
      <c r="BJ111" s="15">
        <f>IF(Distances!BJ157="N.C.",0,ROUNDUP(BJ107+'Délai intermédiaire'!BJ157/24,0))</f>
        <v>3</v>
      </c>
    </row>
    <row r="112" spans="1:62" x14ac:dyDescent="0.3">
      <c r="A112" s="10" t="s">
        <v>4</v>
      </c>
      <c r="B112" s="11">
        <f>IF(Distances!B158="N.C.",0,ROUNDUP(B107+'Délai intermédiaire'!B158/24,0))</f>
        <v>2</v>
      </c>
      <c r="C112" s="13">
        <f>IF(Distances!C158="N.C.",0,ROUNDUP(C107+'Délai intermédiaire'!C158/24,0))</f>
        <v>2</v>
      </c>
      <c r="D112" s="13">
        <f>IF(Distances!D158="N.C.",0,ROUNDUP(D107+'Délai intermédiaire'!D158/24,0))</f>
        <v>2</v>
      </c>
      <c r="E112" s="12">
        <f>IF(Distances!E158="N.C.",0,ROUNDUP(E107+'Délai intermédiaire'!E158/24,0))</f>
        <v>1</v>
      </c>
      <c r="F112" s="13">
        <f>IF(Distances!F158="N.C.",0,ROUNDUP(F107+'Délai intermédiaire'!F158/24,0))</f>
        <v>2</v>
      </c>
      <c r="G112" s="13">
        <f>IF(Distances!G158="N.C.",0,ROUNDUP(G107+'Délai intermédiaire'!G158/24,0))</f>
        <v>2</v>
      </c>
      <c r="H112" s="13">
        <f>IF(Distances!H158="N.C.",0,ROUNDUP(H107+'Délai intermédiaire'!H158/24,0))</f>
        <v>2</v>
      </c>
      <c r="I112" s="13">
        <f>IF(Distances!I158="N.C.",0,ROUNDUP(I107+'Délai intermédiaire'!I158/24,0))</f>
        <v>2</v>
      </c>
      <c r="J112" s="13">
        <f>IF(Distances!J158="N.C.",0,ROUNDUP(J107+'Délai intermédiaire'!J158/24,0))</f>
        <v>3</v>
      </c>
      <c r="K112" s="13">
        <f>IF(Distances!K158="N.C.",0,ROUNDUP(K107+'Délai intermédiaire'!K158/24,0))</f>
        <v>3</v>
      </c>
      <c r="L112" s="13">
        <f>IF(Distances!L158="N.C.",0,ROUNDUP(L107+'Délai intermédiaire'!L158/24,0))</f>
        <v>3</v>
      </c>
      <c r="M112" s="13">
        <f>IF(Distances!M158="N.C.",0,ROUNDUP(M107+'Délai intermédiaire'!M158/24,0))</f>
        <v>3</v>
      </c>
      <c r="N112" s="13">
        <f>IF(Distances!N158="N.C.",0,ROUNDUP(N107+'Délai intermédiaire'!N158/24,0))</f>
        <v>3</v>
      </c>
      <c r="O112" s="14">
        <f>IF(Distances!O158="N.C.",0,ROUNDUP(O107+'Délai intermédiaire'!O158/24,0))</f>
        <v>3</v>
      </c>
      <c r="P112" s="14">
        <f>IF(Distances!P158="N.C.",0,ROUNDUP(P107+'Délai intermédiaire'!P158/24,0))</f>
        <v>3</v>
      </c>
      <c r="Q112" s="14">
        <f>IF(Distances!Q158="N.C.",0,ROUNDUP(Q107+'Délai intermédiaire'!Q158/24,0))</f>
        <v>2</v>
      </c>
      <c r="R112" s="14">
        <f>IF(Distances!R158="N.C.",0,ROUNDUP(R107+'Délai intermédiaire'!R158/24,0))</f>
        <v>2</v>
      </c>
      <c r="S112" s="14">
        <f>IF(Distances!S158="N.C.",0,ROUNDUP(S107+'Délai intermédiaire'!S158/24,0))</f>
        <v>2</v>
      </c>
      <c r="T112" s="14">
        <f>IF(Distances!T158="N.C.",0,ROUNDUP(T107+'Délai intermédiaire'!T158/24,0))</f>
        <v>2</v>
      </c>
      <c r="U112" s="14">
        <f>IF(Distances!U158="N.C.",0,ROUNDUP(U107+'Délai intermédiaire'!U158/24,0))</f>
        <v>2</v>
      </c>
      <c r="V112" s="14">
        <f>IF(Distances!V158="N.C.",0,ROUNDUP(V107+'Délai intermédiaire'!V158/24,0))</f>
        <v>2</v>
      </c>
      <c r="W112" s="14">
        <f>IF(Distances!W158="N.C.",0,ROUNDUP(W107+'Délai intermédiaire'!W158/24,0))</f>
        <v>2</v>
      </c>
      <c r="X112" s="14">
        <f>IF(Distances!X158="N.C.",0,ROUNDUP(X107+'Délai intermédiaire'!X158/24,0))</f>
        <v>2</v>
      </c>
      <c r="Y112" s="14">
        <f>IF(Distances!Y158="N.C.",0,ROUNDUP(Y107+'Délai intermédiaire'!Y158/24,0))</f>
        <v>2</v>
      </c>
      <c r="Z112" s="14">
        <f>IF(Distances!Z158="N.C.",0,ROUNDUP(Z107+'Délai intermédiaire'!Z158/24,0))</f>
        <v>3</v>
      </c>
      <c r="AA112" s="14">
        <f>IF(Distances!AA158="N.C.",0,ROUNDUP(AA107+'Délai intermédiaire'!AA158/24,0))</f>
        <v>3</v>
      </c>
      <c r="AB112" s="14">
        <f>IF(Distances!AB158="N.C.",0,ROUNDUP(AB107+'Délai intermédiaire'!AB158/24,0))</f>
        <v>2</v>
      </c>
      <c r="AC112" s="14">
        <f>IF(Distances!AC158="N.C.",0,ROUNDUP(AC107+'Délai intermédiaire'!AC158/24,0))</f>
        <v>2</v>
      </c>
      <c r="AD112" s="14">
        <f>IF(Distances!AD158="N.C.",0,ROUNDUP(AD107+'Délai intermédiaire'!AD158/24,0))</f>
        <v>3</v>
      </c>
      <c r="AE112" s="14">
        <f>IF(Distances!AE158="N.C.",0,ROUNDUP(AE107+'Délai intermédiaire'!AE158/24,0))</f>
        <v>3</v>
      </c>
      <c r="AF112" s="14">
        <f>IF(Distances!AF158="N.C.",0,ROUNDUP(AF107+'Délai intermédiaire'!AF158/24,0))</f>
        <v>2</v>
      </c>
      <c r="AG112" s="14">
        <f>IF(Distances!AG158="N.C.",0,ROUNDUP(AG107+'Délai intermédiaire'!AG158/24,0))</f>
        <v>3</v>
      </c>
      <c r="AH112" s="14">
        <f>IF(Distances!AH158="N.C.",0,ROUNDUP(AH107+'Délai intermédiaire'!AH158/24,0))</f>
        <v>3</v>
      </c>
      <c r="AI112" s="14">
        <f>IF(Distances!AI158="N.C.",0,ROUNDUP(AI107+'Délai intermédiaire'!AI158/24,0))</f>
        <v>3</v>
      </c>
      <c r="AJ112" s="14">
        <f>IF(Distances!AJ158="N.C.",0,ROUNDUP(AJ107+'Délai intermédiaire'!AJ158/24,0))</f>
        <v>3</v>
      </c>
      <c r="AK112" s="14">
        <f>IF(Distances!AK158="N.C.",0,ROUNDUP(AK107+'Délai intermédiaire'!AK158/24,0))</f>
        <v>3</v>
      </c>
      <c r="AL112" s="14">
        <f>IF(Distances!AL158="N.C.",0,ROUNDUP(AL107+'Délai intermédiaire'!AL158/24,0))</f>
        <v>2</v>
      </c>
      <c r="AM112" s="14">
        <f>IF(Distances!AM158="N.C.",0,ROUNDUP(AM107+'Délai intermédiaire'!AM158/24,0))</f>
        <v>2</v>
      </c>
      <c r="AN112" s="14">
        <f>IF(Distances!AN158="N.C.",0,ROUNDUP(AN107+'Délai intermédiaire'!AN158/24,0))</f>
        <v>2</v>
      </c>
      <c r="AO112" s="14">
        <f>IF(Distances!AO158="N.C.",0,ROUNDUP(AO107+'Délai intermédiaire'!AO158/24,0))</f>
        <v>3</v>
      </c>
      <c r="AP112" s="14">
        <f>IF(Distances!AP158="N.C.",0,ROUNDUP(AP107+'Délai intermédiaire'!AP158/24,0))</f>
        <v>3</v>
      </c>
      <c r="AQ112" s="14">
        <f>IF(Distances!AQ158="N.C.",0,ROUNDUP(AQ107+'Délai intermédiaire'!AQ158/24,0))</f>
        <v>4</v>
      </c>
      <c r="AR112" s="14">
        <f>IF(Distances!AR158="N.C.",0,ROUNDUP(AR107+'Délai intermédiaire'!AR158/24,0))</f>
        <v>3</v>
      </c>
      <c r="AS112" s="14">
        <f>IF(Distances!AS158="N.C.",0,ROUNDUP(AS107+'Délai intermédiaire'!AS158/24,0))</f>
        <v>3</v>
      </c>
      <c r="AT112" s="14">
        <f>IF(Distances!AT158="N.C.",0,ROUNDUP(AT107+'Délai intermédiaire'!AT158/24,0))</f>
        <v>3</v>
      </c>
      <c r="AU112" s="14">
        <f>IF(Distances!AU158="N.C.",0,ROUNDUP(AU107+'Délai intermédiaire'!AU158/24,0))</f>
        <v>3</v>
      </c>
      <c r="AV112" s="14">
        <f>IF(Distances!AV158="N.C.",0,ROUNDUP(AV107+'Délai intermédiaire'!AV158/24,0))</f>
        <v>4</v>
      </c>
      <c r="AW112" s="14">
        <f>IF(Distances!AW158="N.C.",0,ROUNDUP(AW107+'Délai intermédiaire'!AW158/24,0))</f>
        <v>4</v>
      </c>
      <c r="AX112" s="14">
        <f>IF(Distances!AX158="N.C.",0,ROUNDUP(AX107+'Délai intermédiaire'!AX158/24,0))</f>
        <v>5</v>
      </c>
      <c r="AY112" s="14">
        <f>IF(Distances!AY158="N.C.",0,ROUNDUP(AY107+'Délai intermédiaire'!AY158/24,0))</f>
        <v>3</v>
      </c>
      <c r="AZ112" s="14">
        <f>IF(Distances!AZ158="N.C.",0,ROUNDUP(AZ107+'Délai intermédiaire'!AZ158/24,0))</f>
        <v>3</v>
      </c>
      <c r="BA112" s="14">
        <f>IF(Distances!BA158="N.C.",0,ROUNDUP(BA107+'Délai intermédiaire'!BA158/24,0))</f>
        <v>3</v>
      </c>
      <c r="BB112" s="14">
        <f>IF(Distances!BB158="N.C.",0,ROUNDUP(BB107+'Délai intermédiaire'!BB158/24,0))</f>
        <v>3</v>
      </c>
      <c r="BC112" s="14">
        <f>IF(Distances!BC158="N.C.",0,ROUNDUP(BC107+'Délai intermédiaire'!BC158/24,0))</f>
        <v>3</v>
      </c>
      <c r="BD112" s="14">
        <f>IF(Distances!BD158="N.C.",0,ROUNDUP(BD107+'Délai intermédiaire'!BD158/24,0))</f>
        <v>3</v>
      </c>
      <c r="BE112" s="14">
        <f>IF(Distances!BE158="N.C.",0,ROUNDUP(BE107+'Délai intermédiaire'!BE158/24,0))</f>
        <v>3</v>
      </c>
      <c r="BF112" s="14">
        <f>IF(Distances!BF158="N.C.",0,ROUNDUP(BF107+'Délai intermédiaire'!BF158/24,0))</f>
        <v>3</v>
      </c>
      <c r="BG112" s="14">
        <f>IF(Distances!BG158="N.C.",0,ROUNDUP(BG107+'Délai intermédiaire'!BG158/24,0))</f>
        <v>3</v>
      </c>
      <c r="BH112" s="14">
        <f>IF(Distances!BH158="N.C.",0,ROUNDUP(BH107+'Délai intermédiaire'!BH158/24,0))</f>
        <v>3</v>
      </c>
      <c r="BI112" s="14">
        <f>IF(Distances!BI158="N.C.",0,ROUNDUP(BI107+'Délai intermédiaire'!BI158/24,0))</f>
        <v>3</v>
      </c>
      <c r="BJ112" s="15">
        <f>IF(Distances!BJ158="N.C.",0,ROUNDUP(BJ107+'Délai intermédiaire'!BJ158/24,0))</f>
        <v>3</v>
      </c>
    </row>
    <row r="113" spans="1:62" x14ac:dyDescent="0.3">
      <c r="A113" s="10" t="s">
        <v>5</v>
      </c>
      <c r="B113" s="11">
        <f>IF(Distances!B159="N.C.",0,ROUNDUP(B107+'Délai intermédiaire'!B159/24,0))</f>
        <v>2</v>
      </c>
      <c r="C113" s="13">
        <f>IF(Distances!C159="N.C.",0,ROUNDUP(C107+'Délai intermédiaire'!C159/24,0))</f>
        <v>2</v>
      </c>
      <c r="D113" s="13">
        <f>IF(Distances!D159="N.C.",0,ROUNDUP(D107+'Délai intermédiaire'!D159/24,0))</f>
        <v>2</v>
      </c>
      <c r="E113" s="13">
        <f>IF(Distances!E159="N.C.",0,ROUNDUP(E107+'Délai intermédiaire'!E159/24,0))</f>
        <v>2</v>
      </c>
      <c r="F113" s="12">
        <f>IF(Distances!F159="N.C.",0,ROUNDUP(F107+'Délai intermédiaire'!F159/24,0))</f>
        <v>1</v>
      </c>
      <c r="G113" s="13">
        <f>IF(Distances!G159="N.C.",0,ROUNDUP(G107+'Délai intermédiaire'!G159/24,0))</f>
        <v>2</v>
      </c>
      <c r="H113" s="13">
        <f>IF(Distances!H159="N.C.",0,ROUNDUP(H107+'Délai intermédiaire'!H159/24,0))</f>
        <v>2</v>
      </c>
      <c r="I113" s="13">
        <f>IF(Distances!I159="N.C.",0,ROUNDUP(I107+'Délai intermédiaire'!I159/24,0))</f>
        <v>2</v>
      </c>
      <c r="J113" s="13">
        <f>IF(Distances!J159="N.C.",0,ROUNDUP(J107+'Délai intermédiaire'!J159/24,0))</f>
        <v>3</v>
      </c>
      <c r="K113" s="13">
        <f>IF(Distances!K159="N.C.",0,ROUNDUP(K107+'Délai intermédiaire'!K159/24,0))</f>
        <v>3</v>
      </c>
      <c r="L113" s="13">
        <f>IF(Distances!L159="N.C.",0,ROUNDUP(L107+'Délai intermédiaire'!L159/24,0))</f>
        <v>3</v>
      </c>
      <c r="M113" s="13">
        <f>IF(Distances!M159="N.C.",0,ROUNDUP(M107+'Délai intermédiaire'!M159/24,0))</f>
        <v>3</v>
      </c>
      <c r="N113" s="13">
        <f>IF(Distances!N159="N.C.",0,ROUNDUP(N107+'Délai intermédiaire'!N159/24,0))</f>
        <v>3</v>
      </c>
      <c r="O113" s="14">
        <f>IF(Distances!O159="N.C.",0,ROUNDUP(O107+'Délai intermédiaire'!O159/24,0))</f>
        <v>3</v>
      </c>
      <c r="P113" s="14">
        <f>IF(Distances!P159="N.C.",0,ROUNDUP(P107+'Délai intermédiaire'!P159/24,0))</f>
        <v>3</v>
      </c>
      <c r="Q113" s="14">
        <f>IF(Distances!Q159="N.C.",0,ROUNDUP(Q107+'Délai intermédiaire'!Q159/24,0))</f>
        <v>2</v>
      </c>
      <c r="R113" s="14">
        <f>IF(Distances!R159="N.C.",0,ROUNDUP(R107+'Délai intermédiaire'!R159/24,0))</f>
        <v>2</v>
      </c>
      <c r="S113" s="14">
        <f>IF(Distances!S159="N.C.",0,ROUNDUP(S107+'Délai intermédiaire'!S159/24,0))</f>
        <v>2</v>
      </c>
      <c r="T113" s="14">
        <f>IF(Distances!T159="N.C.",0,ROUNDUP(T107+'Délai intermédiaire'!T159/24,0))</f>
        <v>2</v>
      </c>
      <c r="U113" s="14">
        <f>IF(Distances!U159="N.C.",0,ROUNDUP(U107+'Délai intermédiaire'!U159/24,0))</f>
        <v>2</v>
      </c>
      <c r="V113" s="14">
        <f>IF(Distances!V159="N.C.",0,ROUNDUP(V107+'Délai intermédiaire'!V159/24,0))</f>
        <v>2</v>
      </c>
      <c r="W113" s="14">
        <f>IF(Distances!W159="N.C.",0,ROUNDUP(W107+'Délai intermédiaire'!W159/24,0))</f>
        <v>2</v>
      </c>
      <c r="X113" s="14">
        <f>IF(Distances!X159="N.C.",0,ROUNDUP(X107+'Délai intermédiaire'!X159/24,0))</f>
        <v>2</v>
      </c>
      <c r="Y113" s="14">
        <f>IF(Distances!Y159="N.C.",0,ROUNDUP(Y107+'Délai intermédiaire'!Y159/24,0))</f>
        <v>2</v>
      </c>
      <c r="Z113" s="14">
        <f>IF(Distances!Z159="N.C.",0,ROUNDUP(Z107+'Délai intermédiaire'!Z159/24,0))</f>
        <v>3</v>
      </c>
      <c r="AA113" s="14">
        <f>IF(Distances!AA159="N.C.",0,ROUNDUP(AA107+'Délai intermédiaire'!AA159/24,0))</f>
        <v>3</v>
      </c>
      <c r="AB113" s="14">
        <f>IF(Distances!AB159="N.C.",0,ROUNDUP(AB107+'Délai intermédiaire'!AB159/24,0))</f>
        <v>2</v>
      </c>
      <c r="AC113" s="14">
        <f>IF(Distances!AC159="N.C.",0,ROUNDUP(AC107+'Délai intermédiaire'!AC159/24,0))</f>
        <v>2</v>
      </c>
      <c r="AD113" s="14">
        <f>IF(Distances!AD159="N.C.",0,ROUNDUP(AD107+'Délai intermédiaire'!AD159/24,0))</f>
        <v>3</v>
      </c>
      <c r="AE113" s="14">
        <f>IF(Distances!AE159="N.C.",0,ROUNDUP(AE107+'Délai intermédiaire'!AE159/24,0))</f>
        <v>3</v>
      </c>
      <c r="AF113" s="14">
        <f>IF(Distances!AF159="N.C.",0,ROUNDUP(AF107+'Délai intermédiaire'!AF159/24,0))</f>
        <v>2</v>
      </c>
      <c r="AG113" s="14">
        <f>IF(Distances!AG159="N.C.",0,ROUNDUP(AG107+'Délai intermédiaire'!AG159/24,0))</f>
        <v>3</v>
      </c>
      <c r="AH113" s="14">
        <f>IF(Distances!AH159="N.C.",0,ROUNDUP(AH107+'Délai intermédiaire'!AH159/24,0))</f>
        <v>3</v>
      </c>
      <c r="AI113" s="14">
        <f>IF(Distances!AI159="N.C.",0,ROUNDUP(AI107+'Délai intermédiaire'!AI159/24,0))</f>
        <v>3</v>
      </c>
      <c r="AJ113" s="14">
        <f>IF(Distances!AJ159="N.C.",0,ROUNDUP(AJ107+'Délai intermédiaire'!AJ159/24,0))</f>
        <v>3</v>
      </c>
      <c r="AK113" s="14">
        <f>IF(Distances!AK159="N.C.",0,ROUNDUP(AK107+'Délai intermédiaire'!AK159/24,0))</f>
        <v>3</v>
      </c>
      <c r="AL113" s="14">
        <f>IF(Distances!AL159="N.C.",0,ROUNDUP(AL107+'Délai intermédiaire'!AL159/24,0))</f>
        <v>2</v>
      </c>
      <c r="AM113" s="14">
        <f>IF(Distances!AM159="N.C.",0,ROUNDUP(AM107+'Délai intermédiaire'!AM159/24,0))</f>
        <v>2</v>
      </c>
      <c r="AN113" s="14">
        <f>IF(Distances!AN159="N.C.",0,ROUNDUP(AN107+'Délai intermédiaire'!AN159/24,0))</f>
        <v>2</v>
      </c>
      <c r="AO113" s="14">
        <f>IF(Distances!AO159="N.C.",0,ROUNDUP(AO107+'Délai intermédiaire'!AO159/24,0))</f>
        <v>3</v>
      </c>
      <c r="AP113" s="14">
        <f>IF(Distances!AP159="N.C.",0,ROUNDUP(AP107+'Délai intermédiaire'!AP159/24,0))</f>
        <v>3</v>
      </c>
      <c r="AQ113" s="14">
        <f>IF(Distances!AQ159="N.C.",0,ROUNDUP(AQ107+'Délai intermédiaire'!AQ159/24,0))</f>
        <v>3</v>
      </c>
      <c r="AR113" s="14">
        <f>IF(Distances!AR159="N.C.",0,ROUNDUP(AR107+'Délai intermédiaire'!AR159/24,0))</f>
        <v>3</v>
      </c>
      <c r="AS113" s="14">
        <f>IF(Distances!AS159="N.C.",0,ROUNDUP(AS107+'Délai intermédiaire'!AS159/24,0))</f>
        <v>3</v>
      </c>
      <c r="AT113" s="14">
        <f>IF(Distances!AT159="N.C.",0,ROUNDUP(AT107+'Délai intermédiaire'!AT159/24,0))</f>
        <v>3</v>
      </c>
      <c r="AU113" s="14">
        <f>IF(Distances!AU159="N.C.",0,ROUNDUP(AU107+'Délai intermédiaire'!AU159/24,0))</f>
        <v>3</v>
      </c>
      <c r="AV113" s="14">
        <f>IF(Distances!AV159="N.C.",0,ROUNDUP(AV107+'Délai intermédiaire'!AV159/24,0))</f>
        <v>4</v>
      </c>
      <c r="AW113" s="14">
        <f>IF(Distances!AW159="N.C.",0,ROUNDUP(AW107+'Délai intermédiaire'!AW159/24,0))</f>
        <v>4</v>
      </c>
      <c r="AX113" s="14">
        <f>IF(Distances!AX159="N.C.",0,ROUNDUP(AX107+'Délai intermédiaire'!AX159/24,0))</f>
        <v>4</v>
      </c>
      <c r="AY113" s="14">
        <f>IF(Distances!AY159="N.C.",0,ROUNDUP(AY107+'Délai intermédiaire'!AY159/24,0))</f>
        <v>3</v>
      </c>
      <c r="AZ113" s="14">
        <f>IF(Distances!AZ159="N.C.",0,ROUNDUP(AZ107+'Délai intermédiaire'!AZ159/24,0))</f>
        <v>3</v>
      </c>
      <c r="BA113" s="14">
        <f>IF(Distances!BA159="N.C.",0,ROUNDUP(BA107+'Délai intermédiaire'!BA159/24,0))</f>
        <v>3</v>
      </c>
      <c r="BB113" s="14">
        <f>IF(Distances!BB159="N.C.",0,ROUNDUP(BB107+'Délai intermédiaire'!BB159/24,0))</f>
        <v>3</v>
      </c>
      <c r="BC113" s="14">
        <f>IF(Distances!BC159="N.C.",0,ROUNDUP(BC107+'Délai intermédiaire'!BC159/24,0))</f>
        <v>3</v>
      </c>
      <c r="BD113" s="14">
        <f>IF(Distances!BD159="N.C.",0,ROUNDUP(BD107+'Délai intermédiaire'!BD159/24,0))</f>
        <v>3</v>
      </c>
      <c r="BE113" s="14">
        <f>IF(Distances!BE159="N.C.",0,ROUNDUP(BE107+'Délai intermédiaire'!BE159/24,0))</f>
        <v>3</v>
      </c>
      <c r="BF113" s="14">
        <f>IF(Distances!BF159="N.C.",0,ROUNDUP(BF107+'Délai intermédiaire'!BF159/24,0))</f>
        <v>3</v>
      </c>
      <c r="BG113" s="14">
        <f>IF(Distances!BG159="N.C.",0,ROUNDUP(BG107+'Délai intermédiaire'!BG159/24,0))</f>
        <v>3</v>
      </c>
      <c r="BH113" s="14">
        <f>IF(Distances!BH159="N.C.",0,ROUNDUP(BH107+'Délai intermédiaire'!BH159/24,0))</f>
        <v>3</v>
      </c>
      <c r="BI113" s="14">
        <f>IF(Distances!BI159="N.C.",0,ROUNDUP(BI107+'Délai intermédiaire'!BI159/24,0))</f>
        <v>3</v>
      </c>
      <c r="BJ113" s="15">
        <f>IF(Distances!BJ159="N.C.",0,ROUNDUP(BJ107+'Délai intermédiaire'!BJ159/24,0))</f>
        <v>3</v>
      </c>
    </row>
    <row r="114" spans="1:62" x14ac:dyDescent="0.3">
      <c r="A114" s="10" t="s">
        <v>6</v>
      </c>
      <c r="B114" s="11">
        <f>IF(Distances!B160="N.C.",0,ROUNDUP(B107+'Délai intermédiaire'!B160/24,0))</f>
        <v>2</v>
      </c>
      <c r="C114" s="13">
        <f>IF(Distances!C160="N.C.",0,ROUNDUP(C107+'Délai intermédiaire'!C160/24,0))</f>
        <v>2</v>
      </c>
      <c r="D114" s="13">
        <f>IF(Distances!D160="N.C.",0,ROUNDUP(D107+'Délai intermédiaire'!D160/24,0))</f>
        <v>2</v>
      </c>
      <c r="E114" s="13">
        <f>IF(Distances!E160="N.C.",0,ROUNDUP(E107+'Délai intermédiaire'!E160/24,0))</f>
        <v>2</v>
      </c>
      <c r="F114" s="13">
        <f>IF(Distances!F160="N.C.",0,ROUNDUP(F107+'Délai intermédiaire'!F160/24,0))</f>
        <v>2</v>
      </c>
      <c r="G114" s="12">
        <f>IF(Distances!G160="N.C.",0,ROUNDUP(G107+'Délai intermédiaire'!G160/24,0))</f>
        <v>1</v>
      </c>
      <c r="H114" s="13">
        <f>IF(Distances!H160="N.C.",0,ROUNDUP(H107+'Délai intermédiaire'!H160/24,0))</f>
        <v>2</v>
      </c>
      <c r="I114" s="13">
        <f>IF(Distances!I160="N.C.",0,ROUNDUP(I107+'Délai intermédiaire'!I160/24,0))</f>
        <v>2</v>
      </c>
      <c r="J114" s="13">
        <f>IF(Distances!J160="N.C.",0,ROUNDUP(J107+'Délai intermédiaire'!J160/24,0))</f>
        <v>3</v>
      </c>
      <c r="K114" s="13">
        <f>IF(Distances!K160="N.C.",0,ROUNDUP(K107+'Délai intermédiaire'!K160/24,0))</f>
        <v>3</v>
      </c>
      <c r="L114" s="13">
        <f>IF(Distances!L160="N.C.",0,ROUNDUP(L107+'Délai intermédiaire'!L160/24,0))</f>
        <v>3</v>
      </c>
      <c r="M114" s="13">
        <f>IF(Distances!M160="N.C.",0,ROUNDUP(M107+'Délai intermédiaire'!M160/24,0))</f>
        <v>3</v>
      </c>
      <c r="N114" s="13">
        <f>IF(Distances!N160="N.C.",0,ROUNDUP(N107+'Délai intermédiaire'!N160/24,0))</f>
        <v>3</v>
      </c>
      <c r="O114" s="14">
        <f>IF(Distances!O160="N.C.",0,ROUNDUP(O107+'Délai intermédiaire'!O160/24,0))</f>
        <v>3</v>
      </c>
      <c r="P114" s="14">
        <f>IF(Distances!P160="N.C.",0,ROUNDUP(P107+'Délai intermédiaire'!P160/24,0))</f>
        <v>3</v>
      </c>
      <c r="Q114" s="14">
        <f>IF(Distances!Q160="N.C.",0,ROUNDUP(Q107+'Délai intermédiaire'!Q160/24,0))</f>
        <v>2</v>
      </c>
      <c r="R114" s="14">
        <f>IF(Distances!R160="N.C.",0,ROUNDUP(R107+'Délai intermédiaire'!R160/24,0))</f>
        <v>2</v>
      </c>
      <c r="S114" s="14">
        <f>IF(Distances!S160="N.C.",0,ROUNDUP(S107+'Délai intermédiaire'!S160/24,0))</f>
        <v>2</v>
      </c>
      <c r="T114" s="14">
        <f>IF(Distances!T160="N.C.",0,ROUNDUP(T107+'Délai intermédiaire'!T160/24,0))</f>
        <v>2</v>
      </c>
      <c r="U114" s="14">
        <f>IF(Distances!U160="N.C.",0,ROUNDUP(U107+'Délai intermédiaire'!U160/24,0))</f>
        <v>2</v>
      </c>
      <c r="V114" s="14">
        <f>IF(Distances!V160="N.C.",0,ROUNDUP(V107+'Délai intermédiaire'!V160/24,0))</f>
        <v>2</v>
      </c>
      <c r="W114" s="14">
        <f>IF(Distances!W160="N.C.",0,ROUNDUP(W107+'Délai intermédiaire'!W160/24,0))</f>
        <v>2</v>
      </c>
      <c r="X114" s="14">
        <f>IF(Distances!X160="N.C.",0,ROUNDUP(X107+'Délai intermédiaire'!X160/24,0))</f>
        <v>2</v>
      </c>
      <c r="Y114" s="14">
        <f>IF(Distances!Y160="N.C.",0,ROUNDUP(Y107+'Délai intermédiaire'!Y160/24,0))</f>
        <v>2</v>
      </c>
      <c r="Z114" s="14">
        <f>IF(Distances!Z160="N.C.",0,ROUNDUP(Z107+'Délai intermédiaire'!Z160/24,0))</f>
        <v>3</v>
      </c>
      <c r="AA114" s="14">
        <f>IF(Distances!AA160="N.C.",0,ROUNDUP(AA107+'Délai intermédiaire'!AA160/24,0))</f>
        <v>3</v>
      </c>
      <c r="AB114" s="14">
        <f>IF(Distances!AB160="N.C.",0,ROUNDUP(AB107+'Délai intermédiaire'!AB160/24,0))</f>
        <v>2</v>
      </c>
      <c r="AC114" s="14">
        <f>IF(Distances!AC160="N.C.",0,ROUNDUP(AC107+'Délai intermédiaire'!AC160/24,0))</f>
        <v>2</v>
      </c>
      <c r="AD114" s="14">
        <f>IF(Distances!AD160="N.C.",0,ROUNDUP(AD107+'Délai intermédiaire'!AD160/24,0))</f>
        <v>3</v>
      </c>
      <c r="AE114" s="14">
        <f>IF(Distances!AE160="N.C.",0,ROUNDUP(AE107+'Délai intermédiaire'!AE160/24,0))</f>
        <v>3</v>
      </c>
      <c r="AF114" s="14">
        <f>IF(Distances!AF160="N.C.",0,ROUNDUP(AF107+'Délai intermédiaire'!AF160/24,0))</f>
        <v>2</v>
      </c>
      <c r="AG114" s="14">
        <f>IF(Distances!AG160="N.C.",0,ROUNDUP(AG107+'Délai intermédiaire'!AG160/24,0))</f>
        <v>3</v>
      </c>
      <c r="AH114" s="14">
        <f>IF(Distances!AH160="N.C.",0,ROUNDUP(AH107+'Délai intermédiaire'!AH160/24,0))</f>
        <v>3</v>
      </c>
      <c r="AI114" s="14">
        <f>IF(Distances!AI160="N.C.",0,ROUNDUP(AI107+'Délai intermédiaire'!AI160/24,0))</f>
        <v>3</v>
      </c>
      <c r="AJ114" s="14">
        <f>IF(Distances!AJ160="N.C.",0,ROUNDUP(AJ107+'Délai intermédiaire'!AJ160/24,0))</f>
        <v>3</v>
      </c>
      <c r="AK114" s="14">
        <f>IF(Distances!AK160="N.C.",0,ROUNDUP(AK107+'Délai intermédiaire'!AK160/24,0))</f>
        <v>3</v>
      </c>
      <c r="AL114" s="14">
        <f>IF(Distances!AL160="N.C.",0,ROUNDUP(AL107+'Délai intermédiaire'!AL160/24,0))</f>
        <v>2</v>
      </c>
      <c r="AM114" s="14">
        <f>IF(Distances!AM160="N.C.",0,ROUNDUP(AM107+'Délai intermédiaire'!AM160/24,0))</f>
        <v>2</v>
      </c>
      <c r="AN114" s="14">
        <f>IF(Distances!AN160="N.C.",0,ROUNDUP(AN107+'Délai intermédiaire'!AN160/24,0))</f>
        <v>2</v>
      </c>
      <c r="AO114" s="14">
        <f>IF(Distances!AO160="N.C.",0,ROUNDUP(AO107+'Délai intermédiaire'!AO160/24,0))</f>
        <v>3</v>
      </c>
      <c r="AP114" s="14">
        <f>IF(Distances!AP160="N.C.",0,ROUNDUP(AP107+'Délai intermédiaire'!AP160/24,0))</f>
        <v>3</v>
      </c>
      <c r="AQ114" s="14">
        <f>IF(Distances!AQ160="N.C.",0,ROUNDUP(AQ107+'Délai intermédiaire'!AQ160/24,0))</f>
        <v>3</v>
      </c>
      <c r="AR114" s="14">
        <f>IF(Distances!AR160="N.C.",0,ROUNDUP(AR107+'Délai intermédiaire'!AR160/24,0))</f>
        <v>3</v>
      </c>
      <c r="AS114" s="14">
        <f>IF(Distances!AS160="N.C.",0,ROUNDUP(AS107+'Délai intermédiaire'!AS160/24,0))</f>
        <v>3</v>
      </c>
      <c r="AT114" s="14">
        <f>IF(Distances!AT160="N.C.",0,ROUNDUP(AT107+'Délai intermédiaire'!AT160/24,0))</f>
        <v>3</v>
      </c>
      <c r="AU114" s="14">
        <f>IF(Distances!AU160="N.C.",0,ROUNDUP(AU107+'Délai intermédiaire'!AU160/24,0))</f>
        <v>3</v>
      </c>
      <c r="AV114" s="14">
        <f>IF(Distances!AV160="N.C.",0,ROUNDUP(AV107+'Délai intermédiaire'!AV160/24,0))</f>
        <v>4</v>
      </c>
      <c r="AW114" s="14">
        <f>IF(Distances!AW160="N.C.",0,ROUNDUP(AW107+'Délai intermédiaire'!AW160/24,0))</f>
        <v>4</v>
      </c>
      <c r="AX114" s="14">
        <f>IF(Distances!AX160="N.C.",0,ROUNDUP(AX107+'Délai intermédiaire'!AX160/24,0))</f>
        <v>4</v>
      </c>
      <c r="AY114" s="14">
        <f>IF(Distances!AY160="N.C.",0,ROUNDUP(AY107+'Délai intermédiaire'!AY160/24,0))</f>
        <v>3</v>
      </c>
      <c r="AZ114" s="14">
        <f>IF(Distances!AZ160="N.C.",0,ROUNDUP(AZ107+'Délai intermédiaire'!AZ160/24,0))</f>
        <v>3</v>
      </c>
      <c r="BA114" s="14">
        <f>IF(Distances!BA160="N.C.",0,ROUNDUP(BA107+'Délai intermédiaire'!BA160/24,0))</f>
        <v>3</v>
      </c>
      <c r="BB114" s="14">
        <f>IF(Distances!BB160="N.C.",0,ROUNDUP(BB107+'Délai intermédiaire'!BB160/24,0))</f>
        <v>3</v>
      </c>
      <c r="BC114" s="14">
        <f>IF(Distances!BC160="N.C.",0,ROUNDUP(BC107+'Délai intermédiaire'!BC160/24,0))</f>
        <v>3</v>
      </c>
      <c r="BD114" s="14">
        <f>IF(Distances!BD160="N.C.",0,ROUNDUP(BD107+'Délai intermédiaire'!BD160/24,0))</f>
        <v>3</v>
      </c>
      <c r="BE114" s="14">
        <f>IF(Distances!BE160="N.C.",0,ROUNDUP(BE107+'Délai intermédiaire'!BE160/24,0))</f>
        <v>3</v>
      </c>
      <c r="BF114" s="14">
        <f>IF(Distances!BF160="N.C.",0,ROUNDUP(BF107+'Délai intermédiaire'!BF160/24,0))</f>
        <v>3</v>
      </c>
      <c r="BG114" s="14">
        <f>IF(Distances!BG160="N.C.",0,ROUNDUP(BG107+'Délai intermédiaire'!BG160/24,0))</f>
        <v>3</v>
      </c>
      <c r="BH114" s="14">
        <f>IF(Distances!BH160="N.C.",0,ROUNDUP(BH107+'Délai intermédiaire'!BH160/24,0))</f>
        <v>3</v>
      </c>
      <c r="BI114" s="14">
        <f>IF(Distances!BI160="N.C.",0,ROUNDUP(BI107+'Délai intermédiaire'!BI160/24,0))</f>
        <v>3</v>
      </c>
      <c r="BJ114" s="15">
        <f>IF(Distances!BJ160="N.C.",0,ROUNDUP(BJ107+'Délai intermédiaire'!BJ160/24,0))</f>
        <v>3</v>
      </c>
    </row>
    <row r="115" spans="1:62" x14ac:dyDescent="0.3">
      <c r="A115" s="10" t="s">
        <v>63</v>
      </c>
      <c r="B115" s="11">
        <f>IF(Distances!B161="N.C.",0,ROUNDUP(B107+'Délai intermédiaire'!B161/24,0))</f>
        <v>2</v>
      </c>
      <c r="C115" s="13">
        <f>IF(Distances!C161="N.C.",0,ROUNDUP(C107+'Délai intermédiaire'!C161/24,0))</f>
        <v>2</v>
      </c>
      <c r="D115" s="13">
        <f>IF(Distances!D161="N.C.",0,ROUNDUP(D107+'Délai intermédiaire'!D161/24,0))</f>
        <v>2</v>
      </c>
      <c r="E115" s="13">
        <f>IF(Distances!E161="N.C.",0,ROUNDUP(E107+'Délai intermédiaire'!E161/24,0))</f>
        <v>2</v>
      </c>
      <c r="F115" s="13">
        <f>IF(Distances!F161="N.C.",0,ROUNDUP(F107+'Délai intermédiaire'!F161/24,0))</f>
        <v>2</v>
      </c>
      <c r="G115" s="13">
        <f>IF(Distances!G161="N.C.",0,ROUNDUP(G107+'Délai intermédiaire'!G161/24,0))</f>
        <v>2</v>
      </c>
      <c r="H115" s="12">
        <f>IF(Distances!H161="N.C.",0,ROUNDUP(H107+'Délai intermédiaire'!H161/24,0))</f>
        <v>1</v>
      </c>
      <c r="I115" s="13">
        <f>IF(Distances!I161="N.C.",0,ROUNDUP(I107+'Délai intermédiaire'!I161/24,0))</f>
        <v>2</v>
      </c>
      <c r="J115" s="13">
        <f>IF(Distances!J161="N.C.",0,ROUNDUP(J107+'Délai intermédiaire'!J161/24,0))</f>
        <v>3</v>
      </c>
      <c r="K115" s="13">
        <f>IF(Distances!K161="N.C.",0,ROUNDUP(K107+'Délai intermédiaire'!K161/24,0))</f>
        <v>3</v>
      </c>
      <c r="L115" s="13">
        <f>IF(Distances!L161="N.C.",0,ROUNDUP(L107+'Délai intermédiaire'!L161/24,0))</f>
        <v>3</v>
      </c>
      <c r="M115" s="13">
        <f>IF(Distances!M161="N.C.",0,ROUNDUP(M107+'Délai intermédiaire'!M161/24,0))</f>
        <v>3</v>
      </c>
      <c r="N115" s="13">
        <f>IF(Distances!N161="N.C.",0,ROUNDUP(N107+'Délai intermédiaire'!N161/24,0))</f>
        <v>3</v>
      </c>
      <c r="O115" s="14">
        <f>IF(Distances!O161="N.C.",0,ROUNDUP(O107+'Délai intermédiaire'!O161/24,0))</f>
        <v>3</v>
      </c>
      <c r="P115" s="14">
        <f>IF(Distances!P161="N.C.",0,ROUNDUP(P107+'Délai intermédiaire'!P161/24,0))</f>
        <v>3</v>
      </c>
      <c r="Q115" s="14">
        <f>IF(Distances!Q161="N.C.",0,ROUNDUP(Q107+'Délai intermédiaire'!Q161/24,0))</f>
        <v>2</v>
      </c>
      <c r="R115" s="14">
        <f>IF(Distances!R161="N.C.",0,ROUNDUP(R107+'Délai intermédiaire'!R161/24,0))</f>
        <v>2</v>
      </c>
      <c r="S115" s="14">
        <f>IF(Distances!S161="N.C.",0,ROUNDUP(S107+'Délai intermédiaire'!S161/24,0))</f>
        <v>2</v>
      </c>
      <c r="T115" s="14">
        <f>IF(Distances!T161="N.C.",0,ROUNDUP(T107+'Délai intermédiaire'!T161/24,0))</f>
        <v>2</v>
      </c>
      <c r="U115" s="14">
        <f>IF(Distances!U161="N.C.",0,ROUNDUP(U107+'Délai intermédiaire'!U161/24,0))</f>
        <v>2</v>
      </c>
      <c r="V115" s="14">
        <f>IF(Distances!V161="N.C.",0,ROUNDUP(V107+'Délai intermédiaire'!V161/24,0))</f>
        <v>2</v>
      </c>
      <c r="W115" s="14">
        <f>IF(Distances!W161="N.C.",0,ROUNDUP(W107+'Délai intermédiaire'!W161/24,0))</f>
        <v>2</v>
      </c>
      <c r="X115" s="14">
        <f>IF(Distances!X161="N.C.",0,ROUNDUP(X107+'Délai intermédiaire'!X161/24,0))</f>
        <v>2</v>
      </c>
      <c r="Y115" s="14">
        <f>IF(Distances!Y161="N.C.",0,ROUNDUP(Y107+'Délai intermédiaire'!Y161/24,0))</f>
        <v>2</v>
      </c>
      <c r="Z115" s="14">
        <f>IF(Distances!Z161="N.C.",0,ROUNDUP(Z107+'Délai intermédiaire'!Z161/24,0))</f>
        <v>3</v>
      </c>
      <c r="AA115" s="14">
        <f>IF(Distances!AA161="N.C.",0,ROUNDUP(AA107+'Délai intermédiaire'!AA161/24,0))</f>
        <v>3</v>
      </c>
      <c r="AB115" s="14">
        <f>IF(Distances!AB161="N.C.",0,ROUNDUP(AB107+'Délai intermédiaire'!AB161/24,0))</f>
        <v>2</v>
      </c>
      <c r="AC115" s="14">
        <f>IF(Distances!AC161="N.C.",0,ROUNDUP(AC107+'Délai intermédiaire'!AC161/24,0))</f>
        <v>2</v>
      </c>
      <c r="AD115" s="14">
        <f>IF(Distances!AD161="N.C.",0,ROUNDUP(AD107+'Délai intermédiaire'!AD161/24,0))</f>
        <v>3</v>
      </c>
      <c r="AE115" s="14">
        <f>IF(Distances!AE161="N.C.",0,ROUNDUP(AE107+'Délai intermédiaire'!AE161/24,0))</f>
        <v>3</v>
      </c>
      <c r="AF115" s="14">
        <f>IF(Distances!AF161="N.C.",0,ROUNDUP(AF107+'Délai intermédiaire'!AF161/24,0))</f>
        <v>2</v>
      </c>
      <c r="AG115" s="14">
        <f>IF(Distances!AG161="N.C.",0,ROUNDUP(AG107+'Délai intermédiaire'!AG161/24,0))</f>
        <v>3</v>
      </c>
      <c r="AH115" s="14">
        <f>IF(Distances!AH161="N.C.",0,ROUNDUP(AH107+'Délai intermédiaire'!AH161/24,0))</f>
        <v>3</v>
      </c>
      <c r="AI115" s="14">
        <f>IF(Distances!AI161="N.C.",0,ROUNDUP(AI107+'Délai intermédiaire'!AI161/24,0))</f>
        <v>3</v>
      </c>
      <c r="AJ115" s="14">
        <f>IF(Distances!AJ161="N.C.",0,ROUNDUP(AJ107+'Délai intermédiaire'!AJ161/24,0))</f>
        <v>3</v>
      </c>
      <c r="AK115" s="14">
        <f>IF(Distances!AK161="N.C.",0,ROUNDUP(AK107+'Délai intermédiaire'!AK161/24,0))</f>
        <v>3</v>
      </c>
      <c r="AL115" s="14">
        <f>IF(Distances!AL161="N.C.",0,ROUNDUP(AL107+'Délai intermédiaire'!AL161/24,0))</f>
        <v>2</v>
      </c>
      <c r="AM115" s="14">
        <f>IF(Distances!AM161="N.C.",0,ROUNDUP(AM107+'Délai intermédiaire'!AM161/24,0))</f>
        <v>2</v>
      </c>
      <c r="AN115" s="14">
        <f>IF(Distances!AN161="N.C.",0,ROUNDUP(AN107+'Délai intermédiaire'!AN161/24,0))</f>
        <v>2</v>
      </c>
      <c r="AO115" s="14">
        <f>IF(Distances!AO161="N.C.",0,ROUNDUP(AO107+'Délai intermédiaire'!AO161/24,0))</f>
        <v>3</v>
      </c>
      <c r="AP115" s="14">
        <f>IF(Distances!AP161="N.C.",0,ROUNDUP(AP107+'Délai intermédiaire'!AP161/24,0))</f>
        <v>3</v>
      </c>
      <c r="AQ115" s="14">
        <f>IF(Distances!AQ161="N.C.",0,ROUNDUP(AQ107+'Délai intermédiaire'!AQ161/24,0))</f>
        <v>3</v>
      </c>
      <c r="AR115" s="14">
        <f>IF(Distances!AR161="N.C.",0,ROUNDUP(AR107+'Délai intermédiaire'!AR161/24,0))</f>
        <v>3</v>
      </c>
      <c r="AS115" s="14">
        <f>IF(Distances!AS161="N.C.",0,ROUNDUP(AS107+'Délai intermédiaire'!AS161/24,0))</f>
        <v>3</v>
      </c>
      <c r="AT115" s="14">
        <f>IF(Distances!AT161="N.C.",0,ROUNDUP(AT107+'Délai intermédiaire'!AT161/24,0))</f>
        <v>3</v>
      </c>
      <c r="AU115" s="14">
        <f>IF(Distances!AU161="N.C.",0,ROUNDUP(AU107+'Délai intermédiaire'!AU161/24,0))</f>
        <v>3</v>
      </c>
      <c r="AV115" s="14">
        <f>IF(Distances!AV161="N.C.",0,ROUNDUP(AV107+'Délai intermédiaire'!AV161/24,0))</f>
        <v>4</v>
      </c>
      <c r="AW115" s="14">
        <f>IF(Distances!AW161="N.C.",0,ROUNDUP(AW107+'Délai intermédiaire'!AW161/24,0))</f>
        <v>4</v>
      </c>
      <c r="AX115" s="14">
        <f>IF(Distances!AX161="N.C.",0,ROUNDUP(AX107+'Délai intermédiaire'!AX161/24,0))</f>
        <v>4</v>
      </c>
      <c r="AY115" s="14">
        <f>IF(Distances!AY161="N.C.",0,ROUNDUP(AY107+'Délai intermédiaire'!AY161/24,0))</f>
        <v>3</v>
      </c>
      <c r="AZ115" s="14">
        <f>IF(Distances!AZ161="N.C.",0,ROUNDUP(AZ107+'Délai intermédiaire'!AZ161/24,0))</f>
        <v>3</v>
      </c>
      <c r="BA115" s="14">
        <f>IF(Distances!BA161="N.C.",0,ROUNDUP(BA107+'Délai intermédiaire'!BA161/24,0))</f>
        <v>3</v>
      </c>
      <c r="BB115" s="14">
        <f>IF(Distances!BB161="N.C.",0,ROUNDUP(BB107+'Délai intermédiaire'!BB161/24,0))</f>
        <v>3</v>
      </c>
      <c r="BC115" s="14">
        <f>IF(Distances!BC161="N.C.",0,ROUNDUP(BC107+'Délai intermédiaire'!BC161/24,0))</f>
        <v>3</v>
      </c>
      <c r="BD115" s="14">
        <f>IF(Distances!BD161="N.C.",0,ROUNDUP(BD107+'Délai intermédiaire'!BD161/24,0))</f>
        <v>3</v>
      </c>
      <c r="BE115" s="14">
        <f>IF(Distances!BE161="N.C.",0,ROUNDUP(BE107+'Délai intermédiaire'!BE161/24,0))</f>
        <v>3</v>
      </c>
      <c r="BF115" s="14">
        <f>IF(Distances!BF161="N.C.",0,ROUNDUP(BF107+'Délai intermédiaire'!BF161/24,0))</f>
        <v>3</v>
      </c>
      <c r="BG115" s="14">
        <f>IF(Distances!BG161="N.C.",0,ROUNDUP(BG107+'Délai intermédiaire'!BG161/24,0))</f>
        <v>3</v>
      </c>
      <c r="BH115" s="14">
        <f>IF(Distances!BH161="N.C.",0,ROUNDUP(BH107+'Délai intermédiaire'!BH161/24,0))</f>
        <v>3</v>
      </c>
      <c r="BI115" s="14">
        <f>IF(Distances!BI161="N.C.",0,ROUNDUP(BI107+'Délai intermédiaire'!BI161/24,0))</f>
        <v>3</v>
      </c>
      <c r="BJ115" s="15">
        <f>IF(Distances!BJ161="N.C.",0,ROUNDUP(BJ107+'Délai intermédiaire'!BJ161/24,0))</f>
        <v>3</v>
      </c>
    </row>
    <row r="116" spans="1:62" x14ac:dyDescent="0.3">
      <c r="A116" s="10" t="s">
        <v>8</v>
      </c>
      <c r="B116" s="11">
        <f>IF(Distances!B162="N.C.",0,ROUNDUP(B107+'Délai intermédiaire'!B162/24,0))</f>
        <v>2</v>
      </c>
      <c r="C116" s="13">
        <f>IF(Distances!C162="N.C.",0,ROUNDUP(C107+'Délai intermédiaire'!C162/24,0))</f>
        <v>2</v>
      </c>
      <c r="D116" s="13">
        <f>IF(Distances!D162="N.C.",0,ROUNDUP(D107+'Délai intermédiaire'!D162/24,0))</f>
        <v>2</v>
      </c>
      <c r="E116" s="13">
        <f>IF(Distances!E162="N.C.",0,ROUNDUP(E107+'Délai intermédiaire'!E162/24,0))</f>
        <v>2</v>
      </c>
      <c r="F116" s="13">
        <f>IF(Distances!F162="N.C.",0,ROUNDUP(F107+'Délai intermédiaire'!F162/24,0))</f>
        <v>2</v>
      </c>
      <c r="G116" s="13">
        <f>IF(Distances!G162="N.C.",0,ROUNDUP(G107+'Délai intermédiaire'!G162/24,0))</f>
        <v>2</v>
      </c>
      <c r="H116" s="13">
        <f>IF(Distances!H162="N.C.",0,ROUNDUP(H107+'Délai intermédiaire'!H162/24,0))</f>
        <v>2</v>
      </c>
      <c r="I116" s="12">
        <f>IF(Distances!I162="N.C.",0,ROUNDUP(I107+'Délai intermédiaire'!I162/24,0))</f>
        <v>1</v>
      </c>
      <c r="J116" s="13">
        <f>IF(Distances!J162="N.C.",0,ROUNDUP(J107+'Délai intermédiaire'!J162/24,0))</f>
        <v>3</v>
      </c>
      <c r="K116" s="13">
        <f>IF(Distances!K162="N.C.",0,ROUNDUP(K107+'Délai intermédiaire'!K162/24,0))</f>
        <v>3</v>
      </c>
      <c r="L116" s="13">
        <f>IF(Distances!L162="N.C.",0,ROUNDUP(L107+'Délai intermédiaire'!L162/24,0))</f>
        <v>3</v>
      </c>
      <c r="M116" s="13">
        <f>IF(Distances!M162="N.C.",0,ROUNDUP(M107+'Délai intermédiaire'!M162/24,0))</f>
        <v>3</v>
      </c>
      <c r="N116" s="13">
        <f>IF(Distances!N162="N.C.",0,ROUNDUP(N107+'Délai intermédiaire'!N162/24,0))</f>
        <v>3</v>
      </c>
      <c r="O116" s="14">
        <f>IF(Distances!O162="N.C.",0,ROUNDUP(O107+'Délai intermédiaire'!O162/24,0))</f>
        <v>3</v>
      </c>
      <c r="P116" s="14">
        <f>IF(Distances!P162="N.C.",0,ROUNDUP(P107+'Délai intermédiaire'!P162/24,0))</f>
        <v>3</v>
      </c>
      <c r="Q116" s="14">
        <f>IF(Distances!Q162="N.C.",0,ROUNDUP(Q107+'Délai intermédiaire'!Q162/24,0))</f>
        <v>2</v>
      </c>
      <c r="R116" s="14">
        <f>IF(Distances!R162="N.C.",0,ROUNDUP(R107+'Délai intermédiaire'!R162/24,0))</f>
        <v>2</v>
      </c>
      <c r="S116" s="14">
        <f>IF(Distances!S162="N.C.",0,ROUNDUP(S107+'Délai intermédiaire'!S162/24,0))</f>
        <v>2</v>
      </c>
      <c r="T116" s="14">
        <f>IF(Distances!T162="N.C.",0,ROUNDUP(T107+'Délai intermédiaire'!T162/24,0))</f>
        <v>2</v>
      </c>
      <c r="U116" s="14">
        <f>IF(Distances!U162="N.C.",0,ROUNDUP(U107+'Délai intermédiaire'!U162/24,0))</f>
        <v>2</v>
      </c>
      <c r="V116" s="14">
        <f>IF(Distances!V162="N.C.",0,ROUNDUP(V107+'Délai intermédiaire'!V162/24,0))</f>
        <v>2</v>
      </c>
      <c r="W116" s="14">
        <f>IF(Distances!W162="N.C.",0,ROUNDUP(W107+'Délai intermédiaire'!W162/24,0))</f>
        <v>2</v>
      </c>
      <c r="X116" s="14">
        <f>IF(Distances!X162="N.C.",0,ROUNDUP(X107+'Délai intermédiaire'!X162/24,0))</f>
        <v>2</v>
      </c>
      <c r="Y116" s="14">
        <f>IF(Distances!Y162="N.C.",0,ROUNDUP(Y107+'Délai intermédiaire'!Y162/24,0))</f>
        <v>2</v>
      </c>
      <c r="Z116" s="14">
        <f>IF(Distances!Z162="N.C.",0,ROUNDUP(Z107+'Délai intermédiaire'!Z162/24,0))</f>
        <v>3</v>
      </c>
      <c r="AA116" s="14">
        <f>IF(Distances!AA162="N.C.",0,ROUNDUP(AA107+'Délai intermédiaire'!AA162/24,0))</f>
        <v>3</v>
      </c>
      <c r="AB116" s="14">
        <f>IF(Distances!AB162="N.C.",0,ROUNDUP(AB107+'Délai intermédiaire'!AB162/24,0))</f>
        <v>2</v>
      </c>
      <c r="AC116" s="14">
        <f>IF(Distances!AC162="N.C.",0,ROUNDUP(AC107+'Délai intermédiaire'!AC162/24,0))</f>
        <v>2</v>
      </c>
      <c r="AD116" s="14">
        <f>IF(Distances!AD162="N.C.",0,ROUNDUP(AD107+'Délai intermédiaire'!AD162/24,0))</f>
        <v>3</v>
      </c>
      <c r="AE116" s="14">
        <f>IF(Distances!AE162="N.C.",0,ROUNDUP(AE107+'Délai intermédiaire'!AE162/24,0))</f>
        <v>3</v>
      </c>
      <c r="AF116" s="14">
        <f>IF(Distances!AF162="N.C.",0,ROUNDUP(AF107+'Délai intermédiaire'!AF162/24,0))</f>
        <v>2</v>
      </c>
      <c r="AG116" s="14">
        <f>IF(Distances!AG162="N.C.",0,ROUNDUP(AG107+'Délai intermédiaire'!AG162/24,0))</f>
        <v>3</v>
      </c>
      <c r="AH116" s="14">
        <f>IF(Distances!AH162="N.C.",0,ROUNDUP(AH107+'Délai intermédiaire'!AH162/24,0))</f>
        <v>3</v>
      </c>
      <c r="AI116" s="14">
        <f>IF(Distances!AI162="N.C.",0,ROUNDUP(AI107+'Délai intermédiaire'!AI162/24,0))</f>
        <v>3</v>
      </c>
      <c r="AJ116" s="14">
        <f>IF(Distances!AJ162="N.C.",0,ROUNDUP(AJ107+'Délai intermédiaire'!AJ162/24,0))</f>
        <v>3</v>
      </c>
      <c r="AK116" s="14">
        <f>IF(Distances!AK162="N.C.",0,ROUNDUP(AK107+'Délai intermédiaire'!AK162/24,0))</f>
        <v>3</v>
      </c>
      <c r="AL116" s="14">
        <f>IF(Distances!AL162="N.C.",0,ROUNDUP(AL107+'Délai intermédiaire'!AL162/24,0))</f>
        <v>2</v>
      </c>
      <c r="AM116" s="14">
        <f>IF(Distances!AM162="N.C.",0,ROUNDUP(AM107+'Délai intermédiaire'!AM162/24,0))</f>
        <v>2</v>
      </c>
      <c r="AN116" s="14">
        <f>IF(Distances!AN162="N.C.",0,ROUNDUP(AN107+'Délai intermédiaire'!AN162/24,0))</f>
        <v>2</v>
      </c>
      <c r="AO116" s="14">
        <f>IF(Distances!AO162="N.C.",0,ROUNDUP(AO107+'Délai intermédiaire'!AO162/24,0))</f>
        <v>3</v>
      </c>
      <c r="AP116" s="14">
        <f>IF(Distances!AP162="N.C.",0,ROUNDUP(AP107+'Délai intermédiaire'!AP162/24,0))</f>
        <v>3</v>
      </c>
      <c r="AQ116" s="14">
        <f>IF(Distances!AQ162="N.C.",0,ROUNDUP(AQ107+'Délai intermédiaire'!AQ162/24,0))</f>
        <v>3</v>
      </c>
      <c r="AR116" s="14">
        <f>IF(Distances!AR162="N.C.",0,ROUNDUP(AR107+'Délai intermédiaire'!AR162/24,0))</f>
        <v>3</v>
      </c>
      <c r="AS116" s="14">
        <f>IF(Distances!AS162="N.C.",0,ROUNDUP(AS107+'Délai intermédiaire'!AS162/24,0))</f>
        <v>3</v>
      </c>
      <c r="AT116" s="14">
        <f>IF(Distances!AT162="N.C.",0,ROUNDUP(AT107+'Délai intermédiaire'!AT162/24,0))</f>
        <v>3</v>
      </c>
      <c r="AU116" s="14">
        <f>IF(Distances!AU162="N.C.",0,ROUNDUP(AU107+'Délai intermédiaire'!AU162/24,0))</f>
        <v>3</v>
      </c>
      <c r="AV116" s="14">
        <f>IF(Distances!AV162="N.C.",0,ROUNDUP(AV107+'Délai intermédiaire'!AV162/24,0))</f>
        <v>4</v>
      </c>
      <c r="AW116" s="14">
        <f>IF(Distances!AW162="N.C.",0,ROUNDUP(AW107+'Délai intermédiaire'!AW162/24,0))</f>
        <v>4</v>
      </c>
      <c r="AX116" s="14">
        <f>IF(Distances!AX162="N.C.",0,ROUNDUP(AX107+'Délai intermédiaire'!AX162/24,0))</f>
        <v>4</v>
      </c>
      <c r="AY116" s="14">
        <f>IF(Distances!AY162="N.C.",0,ROUNDUP(AY107+'Délai intermédiaire'!AY162/24,0))</f>
        <v>3</v>
      </c>
      <c r="AZ116" s="14">
        <f>IF(Distances!AZ162="N.C.",0,ROUNDUP(AZ107+'Délai intermédiaire'!AZ162/24,0))</f>
        <v>3</v>
      </c>
      <c r="BA116" s="14">
        <f>IF(Distances!BA162="N.C.",0,ROUNDUP(BA107+'Délai intermédiaire'!BA162/24,0))</f>
        <v>3</v>
      </c>
      <c r="BB116" s="14">
        <f>IF(Distances!BB162="N.C.",0,ROUNDUP(BB107+'Délai intermédiaire'!BB162/24,0))</f>
        <v>3</v>
      </c>
      <c r="BC116" s="14">
        <f>IF(Distances!BC162="N.C.",0,ROUNDUP(BC107+'Délai intermédiaire'!BC162/24,0))</f>
        <v>3</v>
      </c>
      <c r="BD116" s="14">
        <f>IF(Distances!BD162="N.C.",0,ROUNDUP(BD107+'Délai intermédiaire'!BD162/24,0))</f>
        <v>3</v>
      </c>
      <c r="BE116" s="14">
        <f>IF(Distances!BE162="N.C.",0,ROUNDUP(BE107+'Délai intermédiaire'!BE162/24,0))</f>
        <v>3</v>
      </c>
      <c r="BF116" s="14">
        <f>IF(Distances!BF162="N.C.",0,ROUNDUP(BF107+'Délai intermédiaire'!BF162/24,0))</f>
        <v>3</v>
      </c>
      <c r="BG116" s="14">
        <f>IF(Distances!BG162="N.C.",0,ROUNDUP(BG107+'Délai intermédiaire'!BG162/24,0))</f>
        <v>3</v>
      </c>
      <c r="BH116" s="14">
        <f>IF(Distances!BH162="N.C.",0,ROUNDUP(BH107+'Délai intermédiaire'!BH162/24,0))</f>
        <v>3</v>
      </c>
      <c r="BI116" s="14">
        <f>IF(Distances!BI162="N.C.",0,ROUNDUP(BI107+'Délai intermédiaire'!BI162/24,0))</f>
        <v>3</v>
      </c>
      <c r="BJ116" s="15">
        <f>IF(Distances!BJ162="N.C.",0,ROUNDUP(BJ107+'Délai intermédiaire'!BJ162/24,0))</f>
        <v>3</v>
      </c>
    </row>
    <row r="117" spans="1:62" x14ac:dyDescent="0.3">
      <c r="A117" s="10" t="s">
        <v>64</v>
      </c>
      <c r="B117" s="11">
        <f>IF(Distances!B163="N.C.",0,ROUNDUP(B107+'Délai intermédiaire'!B163/24,0))</f>
        <v>2</v>
      </c>
      <c r="C117" s="13">
        <f>IF(Distances!C163="N.C.",0,ROUNDUP(C107+'Délai intermédiaire'!C163/24,0))</f>
        <v>2</v>
      </c>
      <c r="D117" s="13">
        <f>IF(Distances!D163="N.C.",0,ROUNDUP(D107+'Délai intermédiaire'!D163/24,0))</f>
        <v>2</v>
      </c>
      <c r="E117" s="13">
        <f>IF(Distances!E163="N.C.",0,ROUNDUP(E107+'Délai intermédiaire'!E163/24,0))</f>
        <v>2</v>
      </c>
      <c r="F117" s="13">
        <f>IF(Distances!F163="N.C.",0,ROUNDUP(F107+'Délai intermédiaire'!F163/24,0))</f>
        <v>2</v>
      </c>
      <c r="G117" s="13">
        <f>IF(Distances!G163="N.C.",0,ROUNDUP(G107+'Délai intermédiaire'!G163/24,0))</f>
        <v>2</v>
      </c>
      <c r="H117" s="13">
        <f>IF(Distances!H163="N.C.",0,ROUNDUP(H107+'Délai intermédiaire'!H163/24,0))</f>
        <v>2</v>
      </c>
      <c r="I117" s="13">
        <f>IF(Distances!I163="N.C.",0,ROUNDUP(I107+'Délai intermédiaire'!I163/24,0))</f>
        <v>2</v>
      </c>
      <c r="J117" s="12">
        <f>IF(Distances!J163="N.C.",0,ROUNDUP(J107+'Délai intermédiaire'!J163/24,0))</f>
        <v>2</v>
      </c>
      <c r="K117" s="13">
        <f>IF(Distances!K163="N.C.",0,ROUNDUP(K107+'Délai intermédiaire'!K163/24,0))</f>
        <v>3</v>
      </c>
      <c r="L117" s="13">
        <f>IF(Distances!L163="N.C.",0,ROUNDUP(L107+'Délai intermédiaire'!L163/24,0))</f>
        <v>3</v>
      </c>
      <c r="M117" s="13">
        <f>IF(Distances!M163="N.C.",0,ROUNDUP(M107+'Délai intermédiaire'!M163/24,0))</f>
        <v>3</v>
      </c>
      <c r="N117" s="13">
        <f>IF(Distances!N163="N.C.",0,ROUNDUP(N107+'Délai intermédiaire'!N163/24,0))</f>
        <v>3</v>
      </c>
      <c r="O117" s="14">
        <f>IF(Distances!O163="N.C.",0,ROUNDUP(O107+'Délai intermédiaire'!O163/24,0))</f>
        <v>3</v>
      </c>
      <c r="P117" s="14">
        <f>IF(Distances!P163="N.C.",0,ROUNDUP(P107+'Délai intermédiaire'!P163/24,0))</f>
        <v>3</v>
      </c>
      <c r="Q117" s="14">
        <f>IF(Distances!Q163="N.C.",0,ROUNDUP(Q107+'Délai intermédiaire'!Q163/24,0))</f>
        <v>2</v>
      </c>
      <c r="R117" s="14">
        <f>IF(Distances!R163="N.C.",0,ROUNDUP(R107+'Délai intermédiaire'!R163/24,0))</f>
        <v>2</v>
      </c>
      <c r="S117" s="14">
        <f>IF(Distances!S163="N.C.",0,ROUNDUP(S107+'Délai intermédiaire'!S163/24,0))</f>
        <v>2</v>
      </c>
      <c r="T117" s="14">
        <f>IF(Distances!T163="N.C.",0,ROUNDUP(T107+'Délai intermédiaire'!T163/24,0))</f>
        <v>2</v>
      </c>
      <c r="U117" s="14">
        <f>IF(Distances!U163="N.C.",0,ROUNDUP(U107+'Délai intermédiaire'!U163/24,0))</f>
        <v>2</v>
      </c>
      <c r="V117" s="14">
        <f>IF(Distances!V163="N.C.",0,ROUNDUP(V107+'Délai intermédiaire'!V163/24,0))</f>
        <v>2</v>
      </c>
      <c r="W117" s="14">
        <f>IF(Distances!W163="N.C.",0,ROUNDUP(W107+'Délai intermédiaire'!W163/24,0))</f>
        <v>2</v>
      </c>
      <c r="X117" s="14">
        <f>IF(Distances!X163="N.C.",0,ROUNDUP(X107+'Délai intermédiaire'!X163/24,0))</f>
        <v>2</v>
      </c>
      <c r="Y117" s="14">
        <f>IF(Distances!Y163="N.C.",0,ROUNDUP(Y107+'Délai intermédiaire'!Y163/24,0))</f>
        <v>2</v>
      </c>
      <c r="Z117" s="14">
        <f>IF(Distances!Z163="N.C.",0,ROUNDUP(Z107+'Délai intermédiaire'!Z163/24,0))</f>
        <v>3</v>
      </c>
      <c r="AA117" s="14">
        <f>IF(Distances!AA163="N.C.",0,ROUNDUP(AA107+'Délai intermédiaire'!AA163/24,0))</f>
        <v>3</v>
      </c>
      <c r="AB117" s="14">
        <f>IF(Distances!AB163="N.C.",0,ROUNDUP(AB107+'Délai intermédiaire'!AB163/24,0))</f>
        <v>2</v>
      </c>
      <c r="AC117" s="14">
        <f>IF(Distances!AC163="N.C.",0,ROUNDUP(AC107+'Délai intermédiaire'!AC163/24,0))</f>
        <v>2</v>
      </c>
      <c r="AD117" s="14">
        <f>IF(Distances!AD163="N.C.",0,ROUNDUP(AD107+'Délai intermédiaire'!AD163/24,0))</f>
        <v>3</v>
      </c>
      <c r="AE117" s="14">
        <f>IF(Distances!AE163="N.C.",0,ROUNDUP(AE107+'Délai intermédiaire'!AE163/24,0))</f>
        <v>3</v>
      </c>
      <c r="AF117" s="14">
        <f>IF(Distances!AF163="N.C.",0,ROUNDUP(AF107+'Délai intermédiaire'!AF163/24,0))</f>
        <v>2</v>
      </c>
      <c r="AG117" s="14">
        <f>IF(Distances!AG163="N.C.",0,ROUNDUP(AG107+'Délai intermédiaire'!AG163/24,0))</f>
        <v>3</v>
      </c>
      <c r="AH117" s="14">
        <f>IF(Distances!AH163="N.C.",0,ROUNDUP(AH107+'Délai intermédiaire'!AH163/24,0))</f>
        <v>3</v>
      </c>
      <c r="AI117" s="14">
        <f>IF(Distances!AI163="N.C.",0,ROUNDUP(AI107+'Délai intermédiaire'!AI163/24,0))</f>
        <v>3</v>
      </c>
      <c r="AJ117" s="14">
        <f>IF(Distances!AJ163="N.C.",0,ROUNDUP(AJ107+'Délai intermédiaire'!AJ163/24,0))</f>
        <v>3</v>
      </c>
      <c r="AK117" s="14">
        <f>IF(Distances!AK163="N.C.",0,ROUNDUP(AK107+'Délai intermédiaire'!AK163/24,0))</f>
        <v>3</v>
      </c>
      <c r="AL117" s="14">
        <f>IF(Distances!AL163="N.C.",0,ROUNDUP(AL107+'Délai intermédiaire'!AL163/24,0))</f>
        <v>2</v>
      </c>
      <c r="AM117" s="14">
        <f>IF(Distances!AM163="N.C.",0,ROUNDUP(AM107+'Délai intermédiaire'!AM163/24,0))</f>
        <v>2</v>
      </c>
      <c r="AN117" s="14">
        <f>IF(Distances!AN163="N.C.",0,ROUNDUP(AN107+'Délai intermédiaire'!AN163/24,0))</f>
        <v>2</v>
      </c>
      <c r="AO117" s="14">
        <f>IF(Distances!AO163="N.C.",0,ROUNDUP(AO107+'Délai intermédiaire'!AO163/24,0))</f>
        <v>3</v>
      </c>
      <c r="AP117" s="14">
        <f>IF(Distances!AP163="N.C.",0,ROUNDUP(AP107+'Délai intermédiaire'!AP163/24,0))</f>
        <v>3</v>
      </c>
      <c r="AQ117" s="14">
        <f>IF(Distances!AQ163="N.C.",0,ROUNDUP(AQ107+'Délai intermédiaire'!AQ163/24,0))</f>
        <v>3</v>
      </c>
      <c r="AR117" s="14">
        <f>IF(Distances!AR163="N.C.",0,ROUNDUP(AR107+'Délai intermédiaire'!AR163/24,0))</f>
        <v>3</v>
      </c>
      <c r="AS117" s="14">
        <f>IF(Distances!AS163="N.C.",0,ROUNDUP(AS107+'Délai intermédiaire'!AS163/24,0))</f>
        <v>3</v>
      </c>
      <c r="AT117" s="14">
        <f>IF(Distances!AT163="N.C.",0,ROUNDUP(AT107+'Délai intermédiaire'!AT163/24,0))</f>
        <v>3</v>
      </c>
      <c r="AU117" s="14">
        <f>IF(Distances!AU163="N.C.",0,ROUNDUP(AU107+'Délai intermédiaire'!AU163/24,0))</f>
        <v>3</v>
      </c>
      <c r="AV117" s="14">
        <f>IF(Distances!AV163="N.C.",0,ROUNDUP(AV107+'Délai intermédiaire'!AV163/24,0))</f>
        <v>4</v>
      </c>
      <c r="AW117" s="14">
        <f>IF(Distances!AW163="N.C.",0,ROUNDUP(AW107+'Délai intermédiaire'!AW163/24,0))</f>
        <v>4</v>
      </c>
      <c r="AX117" s="14">
        <f>IF(Distances!AX163="N.C.",0,ROUNDUP(AX107+'Délai intermédiaire'!AX163/24,0))</f>
        <v>4</v>
      </c>
      <c r="AY117" s="14">
        <f>IF(Distances!AY163="N.C.",0,ROUNDUP(AY107+'Délai intermédiaire'!AY163/24,0))</f>
        <v>3</v>
      </c>
      <c r="AZ117" s="14">
        <f>IF(Distances!AZ163="N.C.",0,ROUNDUP(AZ107+'Délai intermédiaire'!AZ163/24,0))</f>
        <v>3</v>
      </c>
      <c r="BA117" s="14">
        <f>IF(Distances!BA163="N.C.",0,ROUNDUP(BA107+'Délai intermédiaire'!BA163/24,0))</f>
        <v>3</v>
      </c>
      <c r="BB117" s="14">
        <f>IF(Distances!BB163="N.C.",0,ROUNDUP(BB107+'Délai intermédiaire'!BB163/24,0))</f>
        <v>3</v>
      </c>
      <c r="BC117" s="14">
        <f>IF(Distances!BC163="N.C.",0,ROUNDUP(BC107+'Délai intermédiaire'!BC163/24,0))</f>
        <v>3</v>
      </c>
      <c r="BD117" s="14">
        <f>IF(Distances!BD163="N.C.",0,ROUNDUP(BD107+'Délai intermédiaire'!BD163/24,0))</f>
        <v>3</v>
      </c>
      <c r="BE117" s="14">
        <f>IF(Distances!BE163="N.C.",0,ROUNDUP(BE107+'Délai intermédiaire'!BE163/24,0))</f>
        <v>3</v>
      </c>
      <c r="BF117" s="14">
        <f>IF(Distances!BF163="N.C.",0,ROUNDUP(BF107+'Délai intermédiaire'!BF163/24,0))</f>
        <v>3</v>
      </c>
      <c r="BG117" s="14">
        <f>IF(Distances!BG163="N.C.",0,ROUNDUP(BG107+'Délai intermédiaire'!BG163/24,0))</f>
        <v>3</v>
      </c>
      <c r="BH117" s="14">
        <f>IF(Distances!BH163="N.C.",0,ROUNDUP(BH107+'Délai intermédiaire'!BH163/24,0))</f>
        <v>3</v>
      </c>
      <c r="BI117" s="14">
        <f>IF(Distances!BI163="N.C.",0,ROUNDUP(BI107+'Délai intermédiaire'!BI163/24,0))</f>
        <v>3</v>
      </c>
      <c r="BJ117" s="15">
        <f>IF(Distances!BJ163="N.C.",0,ROUNDUP(BJ107+'Délai intermédiaire'!BJ163/24,0))</f>
        <v>3</v>
      </c>
    </row>
    <row r="118" spans="1:62" x14ac:dyDescent="0.3">
      <c r="A118" s="10" t="s">
        <v>10</v>
      </c>
      <c r="B118" s="11">
        <f>IF(Distances!B164="N.C.",0,ROUNDUP(B107+'Délai intermédiaire'!B164/24,0))</f>
        <v>2</v>
      </c>
      <c r="C118" s="13">
        <f>IF(Distances!C164="N.C.",0,ROUNDUP(C107+'Délai intermédiaire'!C164/24,0))</f>
        <v>2</v>
      </c>
      <c r="D118" s="13">
        <f>IF(Distances!D164="N.C.",0,ROUNDUP(D107+'Délai intermédiaire'!D164/24,0))</f>
        <v>2</v>
      </c>
      <c r="E118" s="13">
        <f>IF(Distances!E164="N.C.",0,ROUNDUP(E107+'Délai intermédiaire'!E164/24,0))</f>
        <v>2</v>
      </c>
      <c r="F118" s="13">
        <f>IF(Distances!F164="N.C.",0,ROUNDUP(F107+'Délai intermédiaire'!F164/24,0))</f>
        <v>2</v>
      </c>
      <c r="G118" s="13">
        <f>IF(Distances!G164="N.C.",0,ROUNDUP(G107+'Délai intermédiaire'!G164/24,0))</f>
        <v>2</v>
      </c>
      <c r="H118" s="13">
        <f>IF(Distances!H164="N.C.",0,ROUNDUP(H107+'Délai intermédiaire'!H164/24,0))</f>
        <v>2</v>
      </c>
      <c r="I118" s="13">
        <f>IF(Distances!I164="N.C.",0,ROUNDUP(I107+'Délai intermédiaire'!I164/24,0))</f>
        <v>2</v>
      </c>
      <c r="J118" s="13">
        <f>IF(Distances!J164="N.C.",0,ROUNDUP(J107+'Délai intermédiaire'!J164/24,0))</f>
        <v>3</v>
      </c>
      <c r="K118" s="12">
        <f>IF(Distances!K164="N.C.",0,ROUNDUP(K107+'Délai intermédiaire'!K164/24,0))</f>
        <v>2</v>
      </c>
      <c r="L118" s="13">
        <f>IF(Distances!L164="N.C.",0,ROUNDUP(L107+'Délai intermédiaire'!L164/24,0))</f>
        <v>3</v>
      </c>
      <c r="M118" s="13">
        <f>IF(Distances!M164="N.C.",0,ROUNDUP(M107+'Délai intermédiaire'!M164/24,0))</f>
        <v>3</v>
      </c>
      <c r="N118" s="13">
        <f>IF(Distances!N164="N.C.",0,ROUNDUP(N107+'Délai intermédiaire'!N164/24,0))</f>
        <v>3</v>
      </c>
      <c r="O118" s="14">
        <f>IF(Distances!O164="N.C.",0,ROUNDUP(O107+'Délai intermédiaire'!O164/24,0))</f>
        <v>3</v>
      </c>
      <c r="P118" s="14">
        <f>IF(Distances!P164="N.C.",0,ROUNDUP(P107+'Délai intermédiaire'!P164/24,0))</f>
        <v>3</v>
      </c>
      <c r="Q118" s="14">
        <f>IF(Distances!Q164="N.C.",0,ROUNDUP(Q107+'Délai intermédiaire'!Q164/24,0))</f>
        <v>2</v>
      </c>
      <c r="R118" s="14">
        <f>IF(Distances!R164="N.C.",0,ROUNDUP(R107+'Délai intermédiaire'!R164/24,0))</f>
        <v>2</v>
      </c>
      <c r="S118" s="14">
        <f>IF(Distances!S164="N.C.",0,ROUNDUP(S107+'Délai intermédiaire'!S164/24,0))</f>
        <v>2</v>
      </c>
      <c r="T118" s="14">
        <f>IF(Distances!T164="N.C.",0,ROUNDUP(T107+'Délai intermédiaire'!T164/24,0))</f>
        <v>2</v>
      </c>
      <c r="U118" s="14">
        <f>IF(Distances!U164="N.C.",0,ROUNDUP(U107+'Délai intermédiaire'!U164/24,0))</f>
        <v>2</v>
      </c>
      <c r="V118" s="14">
        <f>IF(Distances!V164="N.C.",0,ROUNDUP(V107+'Délai intermédiaire'!V164/24,0))</f>
        <v>2</v>
      </c>
      <c r="W118" s="14">
        <f>IF(Distances!W164="N.C.",0,ROUNDUP(W107+'Délai intermédiaire'!W164/24,0))</f>
        <v>2</v>
      </c>
      <c r="X118" s="14">
        <f>IF(Distances!X164="N.C.",0,ROUNDUP(X107+'Délai intermédiaire'!X164/24,0))</f>
        <v>2</v>
      </c>
      <c r="Y118" s="14">
        <f>IF(Distances!Y164="N.C.",0,ROUNDUP(Y107+'Délai intermédiaire'!Y164/24,0))</f>
        <v>2</v>
      </c>
      <c r="Z118" s="14">
        <f>IF(Distances!Z164="N.C.",0,ROUNDUP(Z107+'Délai intermédiaire'!Z164/24,0))</f>
        <v>3</v>
      </c>
      <c r="AA118" s="14">
        <f>IF(Distances!AA164="N.C.",0,ROUNDUP(AA107+'Délai intermédiaire'!AA164/24,0))</f>
        <v>3</v>
      </c>
      <c r="AB118" s="14">
        <f>IF(Distances!AB164="N.C.",0,ROUNDUP(AB107+'Délai intermédiaire'!AB164/24,0))</f>
        <v>2</v>
      </c>
      <c r="AC118" s="14">
        <f>IF(Distances!AC164="N.C.",0,ROUNDUP(AC107+'Délai intermédiaire'!AC164/24,0))</f>
        <v>2</v>
      </c>
      <c r="AD118" s="14">
        <f>IF(Distances!AD164="N.C.",0,ROUNDUP(AD107+'Délai intermédiaire'!AD164/24,0))</f>
        <v>3</v>
      </c>
      <c r="AE118" s="14">
        <f>IF(Distances!AE164="N.C.",0,ROUNDUP(AE107+'Délai intermédiaire'!AE164/24,0))</f>
        <v>3</v>
      </c>
      <c r="AF118" s="14">
        <f>IF(Distances!AF164="N.C.",0,ROUNDUP(AF107+'Délai intermédiaire'!AF164/24,0))</f>
        <v>2</v>
      </c>
      <c r="AG118" s="14">
        <f>IF(Distances!AG164="N.C.",0,ROUNDUP(AG107+'Délai intermédiaire'!AG164/24,0))</f>
        <v>3</v>
      </c>
      <c r="AH118" s="14">
        <f>IF(Distances!AH164="N.C.",0,ROUNDUP(AH107+'Délai intermédiaire'!AH164/24,0))</f>
        <v>3</v>
      </c>
      <c r="AI118" s="14">
        <f>IF(Distances!AI164="N.C.",0,ROUNDUP(AI107+'Délai intermédiaire'!AI164/24,0))</f>
        <v>3</v>
      </c>
      <c r="AJ118" s="14">
        <f>IF(Distances!AJ164="N.C.",0,ROUNDUP(AJ107+'Délai intermédiaire'!AJ164/24,0))</f>
        <v>3</v>
      </c>
      <c r="AK118" s="14">
        <f>IF(Distances!AK164="N.C.",0,ROUNDUP(AK107+'Délai intermédiaire'!AK164/24,0))</f>
        <v>3</v>
      </c>
      <c r="AL118" s="14">
        <f>IF(Distances!AL164="N.C.",0,ROUNDUP(AL107+'Délai intermédiaire'!AL164/24,0))</f>
        <v>2</v>
      </c>
      <c r="AM118" s="14">
        <f>IF(Distances!AM164="N.C.",0,ROUNDUP(AM107+'Délai intermédiaire'!AM164/24,0))</f>
        <v>2</v>
      </c>
      <c r="AN118" s="14">
        <f>IF(Distances!AN164="N.C.",0,ROUNDUP(AN107+'Délai intermédiaire'!AN164/24,0))</f>
        <v>2</v>
      </c>
      <c r="AO118" s="14">
        <f>IF(Distances!AO164="N.C.",0,ROUNDUP(AO107+'Délai intermédiaire'!AO164/24,0))</f>
        <v>3</v>
      </c>
      <c r="AP118" s="14">
        <f>IF(Distances!AP164="N.C.",0,ROUNDUP(AP107+'Délai intermédiaire'!AP164/24,0))</f>
        <v>3</v>
      </c>
      <c r="AQ118" s="14">
        <f>IF(Distances!AQ164="N.C.",0,ROUNDUP(AQ107+'Délai intermédiaire'!AQ164/24,0))</f>
        <v>3</v>
      </c>
      <c r="AR118" s="14">
        <f>IF(Distances!AR164="N.C.",0,ROUNDUP(AR107+'Délai intermédiaire'!AR164/24,0))</f>
        <v>3</v>
      </c>
      <c r="AS118" s="14">
        <f>IF(Distances!AS164="N.C.",0,ROUNDUP(AS107+'Délai intermédiaire'!AS164/24,0))</f>
        <v>3</v>
      </c>
      <c r="AT118" s="14">
        <f>IF(Distances!AT164="N.C.",0,ROUNDUP(AT107+'Délai intermédiaire'!AT164/24,0))</f>
        <v>3</v>
      </c>
      <c r="AU118" s="14">
        <f>IF(Distances!AU164="N.C.",0,ROUNDUP(AU107+'Délai intermédiaire'!AU164/24,0))</f>
        <v>3</v>
      </c>
      <c r="AV118" s="14">
        <f>IF(Distances!AV164="N.C.",0,ROUNDUP(AV107+'Délai intermédiaire'!AV164/24,0))</f>
        <v>4</v>
      </c>
      <c r="AW118" s="14">
        <f>IF(Distances!AW164="N.C.",0,ROUNDUP(AW107+'Délai intermédiaire'!AW164/24,0))</f>
        <v>4</v>
      </c>
      <c r="AX118" s="14">
        <f>IF(Distances!AX164="N.C.",0,ROUNDUP(AX107+'Délai intermédiaire'!AX164/24,0))</f>
        <v>4</v>
      </c>
      <c r="AY118" s="14">
        <f>IF(Distances!AY164="N.C.",0,ROUNDUP(AY107+'Délai intermédiaire'!AY164/24,0))</f>
        <v>3</v>
      </c>
      <c r="AZ118" s="14">
        <f>IF(Distances!AZ164="N.C.",0,ROUNDUP(AZ107+'Délai intermédiaire'!AZ164/24,0))</f>
        <v>3</v>
      </c>
      <c r="BA118" s="14">
        <f>IF(Distances!BA164="N.C.",0,ROUNDUP(BA107+'Délai intermédiaire'!BA164/24,0))</f>
        <v>3</v>
      </c>
      <c r="BB118" s="14">
        <f>IF(Distances!BB164="N.C.",0,ROUNDUP(BB107+'Délai intermédiaire'!BB164/24,0))</f>
        <v>3</v>
      </c>
      <c r="BC118" s="14">
        <f>IF(Distances!BC164="N.C.",0,ROUNDUP(BC107+'Délai intermédiaire'!BC164/24,0))</f>
        <v>3</v>
      </c>
      <c r="BD118" s="14">
        <f>IF(Distances!BD164="N.C.",0,ROUNDUP(BD107+'Délai intermédiaire'!BD164/24,0))</f>
        <v>3</v>
      </c>
      <c r="BE118" s="14">
        <f>IF(Distances!BE164="N.C.",0,ROUNDUP(BE107+'Délai intermédiaire'!BE164/24,0))</f>
        <v>3</v>
      </c>
      <c r="BF118" s="14">
        <f>IF(Distances!BF164="N.C.",0,ROUNDUP(BF107+'Délai intermédiaire'!BF164/24,0))</f>
        <v>3</v>
      </c>
      <c r="BG118" s="14">
        <f>IF(Distances!BG164="N.C.",0,ROUNDUP(BG107+'Délai intermédiaire'!BG164/24,0))</f>
        <v>3</v>
      </c>
      <c r="BH118" s="14">
        <f>IF(Distances!BH164="N.C.",0,ROUNDUP(BH107+'Délai intermédiaire'!BH164/24,0))</f>
        <v>3</v>
      </c>
      <c r="BI118" s="14">
        <f>IF(Distances!BI164="N.C.",0,ROUNDUP(BI107+'Délai intermédiaire'!BI164/24,0))</f>
        <v>3</v>
      </c>
      <c r="BJ118" s="15">
        <f>IF(Distances!BJ164="N.C.",0,ROUNDUP(BJ107+'Délai intermédiaire'!BJ164/24,0))</f>
        <v>3</v>
      </c>
    </row>
    <row r="119" spans="1:62" x14ac:dyDescent="0.3">
      <c r="A119" s="10" t="s">
        <v>11</v>
      </c>
      <c r="B119" s="11">
        <f>IF(Distances!B165="N.C.",0,ROUNDUP(B107+'Délai intermédiaire'!B165/24,0))</f>
        <v>2</v>
      </c>
      <c r="C119" s="13">
        <f>IF(Distances!C165="N.C.",0,ROUNDUP(C107+'Délai intermédiaire'!C165/24,0))</f>
        <v>2</v>
      </c>
      <c r="D119" s="13">
        <f>IF(Distances!D165="N.C.",0,ROUNDUP(D107+'Délai intermédiaire'!D165/24,0))</f>
        <v>2</v>
      </c>
      <c r="E119" s="13">
        <f>IF(Distances!E165="N.C.",0,ROUNDUP(E107+'Délai intermédiaire'!E165/24,0))</f>
        <v>2</v>
      </c>
      <c r="F119" s="13">
        <f>IF(Distances!F165="N.C.",0,ROUNDUP(F107+'Délai intermédiaire'!F165/24,0))</f>
        <v>2</v>
      </c>
      <c r="G119" s="13">
        <f>IF(Distances!G165="N.C.",0,ROUNDUP(G107+'Délai intermédiaire'!G165/24,0))</f>
        <v>2</v>
      </c>
      <c r="H119" s="13">
        <f>IF(Distances!H165="N.C.",0,ROUNDUP(H107+'Délai intermédiaire'!H165/24,0))</f>
        <v>2</v>
      </c>
      <c r="I119" s="13">
        <f>IF(Distances!I165="N.C.",0,ROUNDUP(I107+'Délai intermédiaire'!I165/24,0))</f>
        <v>2</v>
      </c>
      <c r="J119" s="13">
        <f>IF(Distances!J165="N.C.",0,ROUNDUP(J107+'Délai intermédiaire'!J165/24,0))</f>
        <v>3</v>
      </c>
      <c r="K119" s="13">
        <f>IF(Distances!K165="N.C.",0,ROUNDUP(K107+'Délai intermédiaire'!K165/24,0))</f>
        <v>3</v>
      </c>
      <c r="L119" s="12">
        <f>IF(Distances!L165="N.C.",0,ROUNDUP(L107+'Délai intermédiaire'!L165/24,0))</f>
        <v>2</v>
      </c>
      <c r="M119" s="13">
        <f>IF(Distances!M165="N.C.",0,ROUNDUP(M107+'Délai intermédiaire'!M165/24,0))</f>
        <v>3</v>
      </c>
      <c r="N119" s="13">
        <f>IF(Distances!N165="N.C.",0,ROUNDUP(N107+'Délai intermédiaire'!N165/24,0))</f>
        <v>3</v>
      </c>
      <c r="O119" s="14">
        <f>IF(Distances!O165="N.C.",0,ROUNDUP(O107+'Délai intermédiaire'!O165/24,0))</f>
        <v>3</v>
      </c>
      <c r="P119" s="14">
        <f>IF(Distances!P165="N.C.",0,ROUNDUP(P107+'Délai intermédiaire'!P165/24,0))</f>
        <v>3</v>
      </c>
      <c r="Q119" s="14">
        <f>IF(Distances!Q165="N.C.",0,ROUNDUP(Q107+'Délai intermédiaire'!Q165/24,0))</f>
        <v>2</v>
      </c>
      <c r="R119" s="14">
        <f>IF(Distances!R165="N.C.",0,ROUNDUP(R107+'Délai intermédiaire'!R165/24,0))</f>
        <v>2</v>
      </c>
      <c r="S119" s="14">
        <f>IF(Distances!S165="N.C.",0,ROUNDUP(S107+'Délai intermédiaire'!S165/24,0))</f>
        <v>2</v>
      </c>
      <c r="T119" s="14">
        <f>IF(Distances!T165="N.C.",0,ROUNDUP(T107+'Délai intermédiaire'!T165/24,0))</f>
        <v>2</v>
      </c>
      <c r="U119" s="14">
        <f>IF(Distances!U165="N.C.",0,ROUNDUP(U107+'Délai intermédiaire'!U165/24,0))</f>
        <v>2</v>
      </c>
      <c r="V119" s="14">
        <f>IF(Distances!V165="N.C.",0,ROUNDUP(V107+'Délai intermédiaire'!V165/24,0))</f>
        <v>2</v>
      </c>
      <c r="W119" s="14">
        <f>IF(Distances!W165="N.C.",0,ROUNDUP(W107+'Délai intermédiaire'!W165/24,0))</f>
        <v>2</v>
      </c>
      <c r="X119" s="14">
        <f>IF(Distances!X165="N.C.",0,ROUNDUP(X107+'Délai intermédiaire'!X165/24,0))</f>
        <v>2</v>
      </c>
      <c r="Y119" s="14">
        <f>IF(Distances!Y165="N.C.",0,ROUNDUP(Y107+'Délai intermédiaire'!Y165/24,0))</f>
        <v>2</v>
      </c>
      <c r="Z119" s="14">
        <f>IF(Distances!Z165="N.C.",0,ROUNDUP(Z107+'Délai intermédiaire'!Z165/24,0))</f>
        <v>3</v>
      </c>
      <c r="AA119" s="14">
        <f>IF(Distances!AA165="N.C.",0,ROUNDUP(AA107+'Délai intermédiaire'!AA165/24,0))</f>
        <v>3</v>
      </c>
      <c r="AB119" s="14">
        <f>IF(Distances!AB165="N.C.",0,ROUNDUP(AB107+'Délai intermédiaire'!AB165/24,0))</f>
        <v>2</v>
      </c>
      <c r="AC119" s="14">
        <f>IF(Distances!AC165="N.C.",0,ROUNDUP(AC107+'Délai intermédiaire'!AC165/24,0))</f>
        <v>2</v>
      </c>
      <c r="AD119" s="14">
        <f>IF(Distances!AD165="N.C.",0,ROUNDUP(AD107+'Délai intermédiaire'!AD165/24,0))</f>
        <v>3</v>
      </c>
      <c r="AE119" s="14">
        <f>IF(Distances!AE165="N.C.",0,ROUNDUP(AE107+'Délai intermédiaire'!AE165/24,0))</f>
        <v>3</v>
      </c>
      <c r="AF119" s="14">
        <f>IF(Distances!AF165="N.C.",0,ROUNDUP(AF107+'Délai intermédiaire'!AF165/24,0))</f>
        <v>2</v>
      </c>
      <c r="AG119" s="14">
        <f>IF(Distances!AG165="N.C.",0,ROUNDUP(AG107+'Délai intermédiaire'!AG165/24,0))</f>
        <v>3</v>
      </c>
      <c r="AH119" s="14">
        <f>IF(Distances!AH165="N.C.",0,ROUNDUP(AH107+'Délai intermédiaire'!AH165/24,0))</f>
        <v>3</v>
      </c>
      <c r="AI119" s="14">
        <f>IF(Distances!AI165="N.C.",0,ROUNDUP(AI107+'Délai intermédiaire'!AI165/24,0))</f>
        <v>3</v>
      </c>
      <c r="AJ119" s="14">
        <f>IF(Distances!AJ165="N.C.",0,ROUNDUP(AJ107+'Délai intermédiaire'!AJ165/24,0))</f>
        <v>3</v>
      </c>
      <c r="AK119" s="14">
        <f>IF(Distances!AK165="N.C.",0,ROUNDUP(AK107+'Délai intermédiaire'!AK165/24,0))</f>
        <v>3</v>
      </c>
      <c r="AL119" s="14">
        <f>IF(Distances!AL165="N.C.",0,ROUNDUP(AL107+'Délai intermédiaire'!AL165/24,0))</f>
        <v>2</v>
      </c>
      <c r="AM119" s="14">
        <f>IF(Distances!AM165="N.C.",0,ROUNDUP(AM107+'Délai intermédiaire'!AM165/24,0))</f>
        <v>2</v>
      </c>
      <c r="AN119" s="14">
        <f>IF(Distances!AN165="N.C.",0,ROUNDUP(AN107+'Délai intermédiaire'!AN165/24,0))</f>
        <v>2</v>
      </c>
      <c r="AO119" s="14">
        <f>IF(Distances!AO165="N.C.",0,ROUNDUP(AO107+'Délai intermédiaire'!AO165/24,0))</f>
        <v>3</v>
      </c>
      <c r="AP119" s="14">
        <f>IF(Distances!AP165="N.C.",0,ROUNDUP(AP107+'Délai intermédiaire'!AP165/24,0))</f>
        <v>3</v>
      </c>
      <c r="AQ119" s="14">
        <f>IF(Distances!AQ165="N.C.",0,ROUNDUP(AQ107+'Délai intermédiaire'!AQ165/24,0))</f>
        <v>3</v>
      </c>
      <c r="AR119" s="14">
        <f>IF(Distances!AR165="N.C.",0,ROUNDUP(AR107+'Délai intermédiaire'!AR165/24,0))</f>
        <v>3</v>
      </c>
      <c r="AS119" s="14">
        <f>IF(Distances!AS165="N.C.",0,ROUNDUP(AS107+'Délai intermédiaire'!AS165/24,0))</f>
        <v>3</v>
      </c>
      <c r="AT119" s="14">
        <f>IF(Distances!AT165="N.C.",0,ROUNDUP(AT107+'Délai intermédiaire'!AT165/24,0))</f>
        <v>3</v>
      </c>
      <c r="AU119" s="14">
        <f>IF(Distances!AU165="N.C.",0,ROUNDUP(AU107+'Délai intermédiaire'!AU165/24,0))</f>
        <v>3</v>
      </c>
      <c r="AV119" s="14">
        <f>IF(Distances!AV165="N.C.",0,ROUNDUP(AV107+'Délai intermédiaire'!AV165/24,0))</f>
        <v>4</v>
      </c>
      <c r="AW119" s="14">
        <f>IF(Distances!AW165="N.C.",0,ROUNDUP(AW107+'Délai intermédiaire'!AW165/24,0))</f>
        <v>4</v>
      </c>
      <c r="AX119" s="14">
        <f>IF(Distances!AX165="N.C.",0,ROUNDUP(AX107+'Délai intermédiaire'!AX165/24,0))</f>
        <v>4</v>
      </c>
      <c r="AY119" s="14">
        <f>IF(Distances!AY165="N.C.",0,ROUNDUP(AY107+'Délai intermédiaire'!AY165/24,0))</f>
        <v>3</v>
      </c>
      <c r="AZ119" s="14">
        <f>IF(Distances!AZ165="N.C.",0,ROUNDUP(AZ107+'Délai intermédiaire'!AZ165/24,0))</f>
        <v>3</v>
      </c>
      <c r="BA119" s="14">
        <f>IF(Distances!BA165="N.C.",0,ROUNDUP(BA107+'Délai intermédiaire'!BA165/24,0))</f>
        <v>3</v>
      </c>
      <c r="BB119" s="14">
        <f>IF(Distances!BB165="N.C.",0,ROUNDUP(BB107+'Délai intermédiaire'!BB165/24,0))</f>
        <v>3</v>
      </c>
      <c r="BC119" s="14">
        <f>IF(Distances!BC165="N.C.",0,ROUNDUP(BC107+'Délai intermédiaire'!BC165/24,0))</f>
        <v>3</v>
      </c>
      <c r="BD119" s="14">
        <f>IF(Distances!BD165="N.C.",0,ROUNDUP(BD107+'Délai intermédiaire'!BD165/24,0))</f>
        <v>3</v>
      </c>
      <c r="BE119" s="14">
        <f>IF(Distances!BE165="N.C.",0,ROUNDUP(BE107+'Délai intermédiaire'!BE165/24,0))</f>
        <v>3</v>
      </c>
      <c r="BF119" s="14">
        <f>IF(Distances!BF165="N.C.",0,ROUNDUP(BF107+'Délai intermédiaire'!BF165/24,0))</f>
        <v>3</v>
      </c>
      <c r="BG119" s="14">
        <f>IF(Distances!BG165="N.C.",0,ROUNDUP(BG107+'Délai intermédiaire'!BG165/24,0))</f>
        <v>3</v>
      </c>
      <c r="BH119" s="14">
        <f>IF(Distances!BH165="N.C.",0,ROUNDUP(BH107+'Délai intermédiaire'!BH165/24,0))</f>
        <v>3</v>
      </c>
      <c r="BI119" s="14">
        <f>IF(Distances!BI165="N.C.",0,ROUNDUP(BI107+'Délai intermédiaire'!BI165/24,0))</f>
        <v>3</v>
      </c>
      <c r="BJ119" s="15">
        <f>IF(Distances!BJ165="N.C.",0,ROUNDUP(BJ107+'Délai intermédiaire'!BJ165/24,0))</f>
        <v>3</v>
      </c>
    </row>
    <row r="120" spans="1:62" x14ac:dyDescent="0.3">
      <c r="A120" s="10" t="s">
        <v>12</v>
      </c>
      <c r="B120" s="11">
        <f>IF(Distances!B166="N.C.",0,ROUNDUP(B107+'Délai intermédiaire'!B166/24,0))</f>
        <v>2</v>
      </c>
      <c r="C120" s="13">
        <f>IF(Distances!C166="N.C.",0,ROUNDUP(C107+'Délai intermédiaire'!C166/24,0))</f>
        <v>2</v>
      </c>
      <c r="D120" s="13">
        <f>IF(Distances!D166="N.C.",0,ROUNDUP(D107+'Délai intermédiaire'!D166/24,0))</f>
        <v>2</v>
      </c>
      <c r="E120" s="13">
        <f>IF(Distances!E166="N.C.",0,ROUNDUP(E107+'Délai intermédiaire'!E166/24,0))</f>
        <v>2</v>
      </c>
      <c r="F120" s="13">
        <f>IF(Distances!F166="N.C.",0,ROUNDUP(F107+'Délai intermédiaire'!F166/24,0))</f>
        <v>2</v>
      </c>
      <c r="G120" s="13">
        <f>IF(Distances!G166="N.C.",0,ROUNDUP(G107+'Délai intermédiaire'!G166/24,0))</f>
        <v>2</v>
      </c>
      <c r="H120" s="13">
        <f>IF(Distances!H166="N.C.",0,ROUNDUP(H107+'Délai intermédiaire'!H166/24,0))</f>
        <v>2</v>
      </c>
      <c r="I120" s="13">
        <f>IF(Distances!I166="N.C.",0,ROUNDUP(I107+'Délai intermédiaire'!I166/24,0))</f>
        <v>2</v>
      </c>
      <c r="J120" s="13">
        <f>IF(Distances!J166="N.C.",0,ROUNDUP(J107+'Délai intermédiaire'!J166/24,0))</f>
        <v>3</v>
      </c>
      <c r="K120" s="13">
        <f>IF(Distances!K166="N.C.",0,ROUNDUP(K107+'Délai intermédiaire'!K166/24,0))</f>
        <v>3</v>
      </c>
      <c r="L120" s="13">
        <f>IF(Distances!L166="N.C.",0,ROUNDUP(L107+'Délai intermédiaire'!L166/24,0))</f>
        <v>3</v>
      </c>
      <c r="M120" s="12">
        <f>IF(Distances!M166="N.C.",0,ROUNDUP(M107+'Délai intermédiaire'!M166/24,0))</f>
        <v>2</v>
      </c>
      <c r="N120" s="13">
        <f>IF(Distances!N166="N.C.",0,ROUNDUP(N107+'Délai intermédiaire'!N166/24,0))</f>
        <v>3</v>
      </c>
      <c r="O120" s="14">
        <f>IF(Distances!O166="N.C.",0,ROUNDUP(O107+'Délai intermédiaire'!O166/24,0))</f>
        <v>3</v>
      </c>
      <c r="P120" s="14">
        <f>IF(Distances!P166="N.C.",0,ROUNDUP(P107+'Délai intermédiaire'!P166/24,0))</f>
        <v>3</v>
      </c>
      <c r="Q120" s="14">
        <f>IF(Distances!Q166="N.C.",0,ROUNDUP(Q107+'Délai intermédiaire'!Q166/24,0))</f>
        <v>2</v>
      </c>
      <c r="R120" s="14">
        <f>IF(Distances!R166="N.C.",0,ROUNDUP(R107+'Délai intermédiaire'!R166/24,0))</f>
        <v>2</v>
      </c>
      <c r="S120" s="14">
        <f>IF(Distances!S166="N.C.",0,ROUNDUP(S107+'Délai intermédiaire'!S166/24,0))</f>
        <v>2</v>
      </c>
      <c r="T120" s="14">
        <f>IF(Distances!T166="N.C.",0,ROUNDUP(T107+'Délai intermédiaire'!T166/24,0))</f>
        <v>2</v>
      </c>
      <c r="U120" s="14">
        <f>IF(Distances!U166="N.C.",0,ROUNDUP(U107+'Délai intermédiaire'!U166/24,0))</f>
        <v>2</v>
      </c>
      <c r="V120" s="14">
        <f>IF(Distances!V166="N.C.",0,ROUNDUP(V107+'Délai intermédiaire'!V166/24,0))</f>
        <v>2</v>
      </c>
      <c r="W120" s="14">
        <f>IF(Distances!W166="N.C.",0,ROUNDUP(W107+'Délai intermédiaire'!W166/24,0))</f>
        <v>2</v>
      </c>
      <c r="X120" s="14">
        <f>IF(Distances!X166="N.C.",0,ROUNDUP(X107+'Délai intermédiaire'!X166/24,0))</f>
        <v>2</v>
      </c>
      <c r="Y120" s="14">
        <f>IF(Distances!Y166="N.C.",0,ROUNDUP(Y107+'Délai intermédiaire'!Y166/24,0))</f>
        <v>2</v>
      </c>
      <c r="Z120" s="14">
        <f>IF(Distances!Z166="N.C.",0,ROUNDUP(Z107+'Délai intermédiaire'!Z166/24,0))</f>
        <v>3</v>
      </c>
      <c r="AA120" s="14">
        <f>IF(Distances!AA166="N.C.",0,ROUNDUP(AA107+'Délai intermédiaire'!AA166/24,0))</f>
        <v>3</v>
      </c>
      <c r="AB120" s="14">
        <f>IF(Distances!AB166="N.C.",0,ROUNDUP(AB107+'Délai intermédiaire'!AB166/24,0))</f>
        <v>2</v>
      </c>
      <c r="AC120" s="14">
        <f>IF(Distances!AC166="N.C.",0,ROUNDUP(AC107+'Délai intermédiaire'!AC166/24,0))</f>
        <v>2</v>
      </c>
      <c r="AD120" s="14">
        <f>IF(Distances!AD166="N.C.",0,ROUNDUP(AD107+'Délai intermédiaire'!AD166/24,0))</f>
        <v>3</v>
      </c>
      <c r="AE120" s="14">
        <f>IF(Distances!AE166="N.C.",0,ROUNDUP(AE107+'Délai intermédiaire'!AE166/24,0))</f>
        <v>3</v>
      </c>
      <c r="AF120" s="14">
        <f>IF(Distances!AF166="N.C.",0,ROUNDUP(AF107+'Délai intermédiaire'!AF166/24,0))</f>
        <v>2</v>
      </c>
      <c r="AG120" s="14">
        <f>IF(Distances!AG166="N.C.",0,ROUNDUP(AG107+'Délai intermédiaire'!AG166/24,0))</f>
        <v>3</v>
      </c>
      <c r="AH120" s="14">
        <f>IF(Distances!AH166="N.C.",0,ROUNDUP(AH107+'Délai intermédiaire'!AH166/24,0))</f>
        <v>3</v>
      </c>
      <c r="AI120" s="14">
        <f>IF(Distances!AI166="N.C.",0,ROUNDUP(AI107+'Délai intermédiaire'!AI166/24,0))</f>
        <v>3</v>
      </c>
      <c r="AJ120" s="14">
        <f>IF(Distances!AJ166="N.C.",0,ROUNDUP(AJ107+'Délai intermédiaire'!AJ166/24,0))</f>
        <v>3</v>
      </c>
      <c r="AK120" s="14">
        <f>IF(Distances!AK166="N.C.",0,ROUNDUP(AK107+'Délai intermédiaire'!AK166/24,0))</f>
        <v>3</v>
      </c>
      <c r="AL120" s="14">
        <f>IF(Distances!AL166="N.C.",0,ROUNDUP(AL107+'Délai intermédiaire'!AL166/24,0))</f>
        <v>2</v>
      </c>
      <c r="AM120" s="14">
        <f>IF(Distances!AM166="N.C.",0,ROUNDUP(AM107+'Délai intermédiaire'!AM166/24,0))</f>
        <v>2</v>
      </c>
      <c r="AN120" s="14">
        <f>IF(Distances!AN166="N.C.",0,ROUNDUP(AN107+'Délai intermédiaire'!AN166/24,0))</f>
        <v>2</v>
      </c>
      <c r="AO120" s="14">
        <f>IF(Distances!AO166="N.C.",0,ROUNDUP(AO107+'Délai intermédiaire'!AO166/24,0))</f>
        <v>3</v>
      </c>
      <c r="AP120" s="14">
        <f>IF(Distances!AP166="N.C.",0,ROUNDUP(AP107+'Délai intermédiaire'!AP166/24,0))</f>
        <v>3</v>
      </c>
      <c r="AQ120" s="14">
        <f>IF(Distances!AQ166="N.C.",0,ROUNDUP(AQ107+'Délai intermédiaire'!AQ166/24,0))</f>
        <v>3</v>
      </c>
      <c r="AR120" s="14">
        <f>IF(Distances!AR166="N.C.",0,ROUNDUP(AR107+'Délai intermédiaire'!AR166/24,0))</f>
        <v>3</v>
      </c>
      <c r="AS120" s="14">
        <f>IF(Distances!AS166="N.C.",0,ROUNDUP(AS107+'Délai intermédiaire'!AS166/24,0))</f>
        <v>3</v>
      </c>
      <c r="AT120" s="14">
        <f>IF(Distances!AT166="N.C.",0,ROUNDUP(AT107+'Délai intermédiaire'!AT166/24,0))</f>
        <v>3</v>
      </c>
      <c r="AU120" s="14">
        <f>IF(Distances!AU166="N.C.",0,ROUNDUP(AU107+'Délai intermédiaire'!AU166/24,0))</f>
        <v>3</v>
      </c>
      <c r="AV120" s="14">
        <f>IF(Distances!AV166="N.C.",0,ROUNDUP(AV107+'Délai intermédiaire'!AV166/24,0))</f>
        <v>4</v>
      </c>
      <c r="AW120" s="14">
        <f>IF(Distances!AW166="N.C.",0,ROUNDUP(AW107+'Délai intermédiaire'!AW166/24,0))</f>
        <v>4</v>
      </c>
      <c r="AX120" s="14">
        <f>IF(Distances!AX166="N.C.",0,ROUNDUP(AX107+'Délai intermédiaire'!AX166/24,0))</f>
        <v>4</v>
      </c>
      <c r="AY120" s="14">
        <f>IF(Distances!AY166="N.C.",0,ROUNDUP(AY107+'Délai intermédiaire'!AY166/24,0))</f>
        <v>3</v>
      </c>
      <c r="AZ120" s="14">
        <f>IF(Distances!AZ166="N.C.",0,ROUNDUP(AZ107+'Délai intermédiaire'!AZ166/24,0))</f>
        <v>3</v>
      </c>
      <c r="BA120" s="14">
        <f>IF(Distances!BA166="N.C.",0,ROUNDUP(BA107+'Délai intermédiaire'!BA166/24,0))</f>
        <v>3</v>
      </c>
      <c r="BB120" s="14">
        <f>IF(Distances!BB166="N.C.",0,ROUNDUP(BB107+'Délai intermédiaire'!BB166/24,0))</f>
        <v>3</v>
      </c>
      <c r="BC120" s="14">
        <f>IF(Distances!BC166="N.C.",0,ROUNDUP(BC107+'Délai intermédiaire'!BC166/24,0))</f>
        <v>3</v>
      </c>
      <c r="BD120" s="14">
        <f>IF(Distances!BD166="N.C.",0,ROUNDUP(BD107+'Délai intermédiaire'!BD166/24,0))</f>
        <v>3</v>
      </c>
      <c r="BE120" s="14">
        <f>IF(Distances!BE166="N.C.",0,ROUNDUP(BE107+'Délai intermédiaire'!BE166/24,0))</f>
        <v>3</v>
      </c>
      <c r="BF120" s="14">
        <f>IF(Distances!BF166="N.C.",0,ROUNDUP(BF107+'Délai intermédiaire'!BF166/24,0))</f>
        <v>3</v>
      </c>
      <c r="BG120" s="14">
        <f>IF(Distances!BG166="N.C.",0,ROUNDUP(BG107+'Délai intermédiaire'!BG166/24,0))</f>
        <v>3</v>
      </c>
      <c r="BH120" s="14">
        <f>IF(Distances!BH166="N.C.",0,ROUNDUP(BH107+'Délai intermédiaire'!BH166/24,0))</f>
        <v>3</v>
      </c>
      <c r="BI120" s="14">
        <f>IF(Distances!BI166="N.C.",0,ROUNDUP(BI107+'Délai intermédiaire'!BI166/24,0))</f>
        <v>3</v>
      </c>
      <c r="BJ120" s="15">
        <f>IF(Distances!BJ166="N.C.",0,ROUNDUP(BJ107+'Délai intermédiaire'!BJ166/24,0))</f>
        <v>3</v>
      </c>
    </row>
    <row r="121" spans="1:62" x14ac:dyDescent="0.3">
      <c r="A121" s="10" t="s">
        <v>13</v>
      </c>
      <c r="B121" s="11">
        <f>IF(Distances!B167="N.C.",0,ROUNDUP(B107+'Délai intermédiaire'!B167/24,0))</f>
        <v>2</v>
      </c>
      <c r="C121" s="13">
        <f>IF(Distances!C167="N.C.",0,ROUNDUP(C107+'Délai intermédiaire'!C167/24,0))</f>
        <v>2</v>
      </c>
      <c r="D121" s="13">
        <f>IF(Distances!D167="N.C.",0,ROUNDUP(D107+'Délai intermédiaire'!D167/24,0))</f>
        <v>2</v>
      </c>
      <c r="E121" s="13">
        <f>IF(Distances!E167="N.C.",0,ROUNDUP(E107+'Délai intermédiaire'!E167/24,0))</f>
        <v>2</v>
      </c>
      <c r="F121" s="13">
        <f>IF(Distances!F167="N.C.",0,ROUNDUP(F107+'Délai intermédiaire'!F167/24,0))</f>
        <v>2</v>
      </c>
      <c r="G121" s="13">
        <f>IF(Distances!G167="N.C.",0,ROUNDUP(G107+'Délai intermédiaire'!G167/24,0))</f>
        <v>2</v>
      </c>
      <c r="H121" s="13">
        <f>IF(Distances!H167="N.C.",0,ROUNDUP(H107+'Délai intermédiaire'!H167/24,0))</f>
        <v>2</v>
      </c>
      <c r="I121" s="13">
        <f>IF(Distances!I167="N.C.",0,ROUNDUP(I107+'Délai intermédiaire'!I167/24,0))</f>
        <v>2</v>
      </c>
      <c r="J121" s="13">
        <f>IF(Distances!J167="N.C.",0,ROUNDUP(J107+'Délai intermédiaire'!J167/24,0))</f>
        <v>3</v>
      </c>
      <c r="K121" s="13">
        <f>IF(Distances!K167="N.C.",0,ROUNDUP(K107+'Délai intermédiaire'!K167/24,0))</f>
        <v>3</v>
      </c>
      <c r="L121" s="13">
        <f>IF(Distances!L167="N.C.",0,ROUNDUP(L107+'Délai intermédiaire'!L167/24,0))</f>
        <v>3</v>
      </c>
      <c r="M121" s="13">
        <f>IF(Distances!M167="N.C.",0,ROUNDUP(M107+'Délai intermédiaire'!M167/24,0))</f>
        <v>3</v>
      </c>
      <c r="N121" s="12">
        <f>IF(Distances!N167="N.C.",0,ROUNDUP(N107+'Délai intermédiaire'!N167/24,0))</f>
        <v>2</v>
      </c>
      <c r="O121" s="14">
        <f>IF(Distances!O167="N.C.",0,ROUNDUP(O107+'Délai intermédiaire'!O167/24,0))</f>
        <v>3</v>
      </c>
      <c r="P121" s="14">
        <f>IF(Distances!P167="N.C.",0,ROUNDUP(P107+'Délai intermédiaire'!P167/24,0))</f>
        <v>3</v>
      </c>
      <c r="Q121" s="14">
        <f>IF(Distances!Q167="N.C.",0,ROUNDUP(Q107+'Délai intermédiaire'!Q167/24,0))</f>
        <v>2</v>
      </c>
      <c r="R121" s="14">
        <f>IF(Distances!R167="N.C.",0,ROUNDUP(R107+'Délai intermédiaire'!R167/24,0))</f>
        <v>2</v>
      </c>
      <c r="S121" s="14">
        <f>IF(Distances!S167="N.C.",0,ROUNDUP(S107+'Délai intermédiaire'!S167/24,0))</f>
        <v>2</v>
      </c>
      <c r="T121" s="14">
        <f>IF(Distances!T167="N.C.",0,ROUNDUP(T107+'Délai intermédiaire'!T167/24,0))</f>
        <v>2</v>
      </c>
      <c r="U121" s="14">
        <f>IF(Distances!U167="N.C.",0,ROUNDUP(U107+'Délai intermédiaire'!U167/24,0))</f>
        <v>2</v>
      </c>
      <c r="V121" s="14">
        <f>IF(Distances!V167="N.C.",0,ROUNDUP(V107+'Délai intermédiaire'!V167/24,0))</f>
        <v>2</v>
      </c>
      <c r="W121" s="14">
        <f>IF(Distances!W167="N.C.",0,ROUNDUP(W107+'Délai intermédiaire'!W167/24,0))</f>
        <v>2</v>
      </c>
      <c r="X121" s="14">
        <f>IF(Distances!X167="N.C.",0,ROUNDUP(X107+'Délai intermédiaire'!X167/24,0))</f>
        <v>2</v>
      </c>
      <c r="Y121" s="14">
        <f>IF(Distances!Y167="N.C.",0,ROUNDUP(Y107+'Délai intermédiaire'!Y167/24,0))</f>
        <v>2</v>
      </c>
      <c r="Z121" s="14">
        <f>IF(Distances!Z167="N.C.",0,ROUNDUP(Z107+'Délai intermédiaire'!Z167/24,0))</f>
        <v>3</v>
      </c>
      <c r="AA121" s="14">
        <f>IF(Distances!AA167="N.C.",0,ROUNDUP(AA107+'Délai intermédiaire'!AA167/24,0))</f>
        <v>3</v>
      </c>
      <c r="AB121" s="14">
        <f>IF(Distances!AB167="N.C.",0,ROUNDUP(AB107+'Délai intermédiaire'!AB167/24,0))</f>
        <v>2</v>
      </c>
      <c r="AC121" s="14">
        <f>IF(Distances!AC167="N.C.",0,ROUNDUP(AC107+'Délai intermédiaire'!AC167/24,0))</f>
        <v>2</v>
      </c>
      <c r="AD121" s="14">
        <f>IF(Distances!AD167="N.C.",0,ROUNDUP(AD107+'Délai intermédiaire'!AD167/24,0))</f>
        <v>3</v>
      </c>
      <c r="AE121" s="14">
        <f>IF(Distances!AE167="N.C.",0,ROUNDUP(AE107+'Délai intermédiaire'!AE167/24,0))</f>
        <v>3</v>
      </c>
      <c r="AF121" s="14">
        <f>IF(Distances!AF167="N.C.",0,ROUNDUP(AF107+'Délai intermédiaire'!AF167/24,0))</f>
        <v>2</v>
      </c>
      <c r="AG121" s="14">
        <f>IF(Distances!AG167="N.C.",0,ROUNDUP(AG107+'Délai intermédiaire'!AG167/24,0))</f>
        <v>3</v>
      </c>
      <c r="AH121" s="14">
        <f>IF(Distances!AH167="N.C.",0,ROUNDUP(AH107+'Délai intermédiaire'!AH167/24,0))</f>
        <v>3</v>
      </c>
      <c r="AI121" s="14">
        <f>IF(Distances!AI167="N.C.",0,ROUNDUP(AI107+'Délai intermédiaire'!AI167/24,0))</f>
        <v>3</v>
      </c>
      <c r="AJ121" s="14">
        <f>IF(Distances!AJ167="N.C.",0,ROUNDUP(AJ107+'Délai intermédiaire'!AJ167/24,0))</f>
        <v>3</v>
      </c>
      <c r="AK121" s="14">
        <f>IF(Distances!AK167="N.C.",0,ROUNDUP(AK107+'Délai intermédiaire'!AK167/24,0))</f>
        <v>3</v>
      </c>
      <c r="AL121" s="14">
        <f>IF(Distances!AL167="N.C.",0,ROUNDUP(AL107+'Délai intermédiaire'!AL167/24,0))</f>
        <v>2</v>
      </c>
      <c r="AM121" s="14">
        <f>IF(Distances!AM167="N.C.",0,ROUNDUP(AM107+'Délai intermédiaire'!AM167/24,0))</f>
        <v>2</v>
      </c>
      <c r="AN121" s="14">
        <f>IF(Distances!AN167="N.C.",0,ROUNDUP(AN107+'Délai intermédiaire'!AN167/24,0))</f>
        <v>2</v>
      </c>
      <c r="AO121" s="14">
        <f>IF(Distances!AO167="N.C.",0,ROUNDUP(AO107+'Délai intermédiaire'!AO167/24,0))</f>
        <v>3</v>
      </c>
      <c r="AP121" s="14">
        <f>IF(Distances!AP167="N.C.",0,ROUNDUP(AP107+'Délai intermédiaire'!AP167/24,0))</f>
        <v>3</v>
      </c>
      <c r="AQ121" s="14">
        <f>IF(Distances!AQ167="N.C.",0,ROUNDUP(AQ107+'Délai intermédiaire'!AQ167/24,0))</f>
        <v>3</v>
      </c>
      <c r="AR121" s="14">
        <f>IF(Distances!AR167="N.C.",0,ROUNDUP(AR107+'Délai intermédiaire'!AR167/24,0))</f>
        <v>3</v>
      </c>
      <c r="AS121" s="14">
        <f>IF(Distances!AS167="N.C.",0,ROUNDUP(AS107+'Délai intermédiaire'!AS167/24,0))</f>
        <v>3</v>
      </c>
      <c r="AT121" s="14">
        <f>IF(Distances!AT167="N.C.",0,ROUNDUP(AT107+'Délai intermédiaire'!AT167/24,0))</f>
        <v>3</v>
      </c>
      <c r="AU121" s="14">
        <f>IF(Distances!AU167="N.C.",0,ROUNDUP(AU107+'Délai intermédiaire'!AU167/24,0))</f>
        <v>3</v>
      </c>
      <c r="AV121" s="14">
        <f>IF(Distances!AV167="N.C.",0,ROUNDUP(AV107+'Délai intermédiaire'!AV167/24,0))</f>
        <v>4</v>
      </c>
      <c r="AW121" s="14">
        <f>IF(Distances!AW167="N.C.",0,ROUNDUP(AW107+'Délai intermédiaire'!AW167/24,0))</f>
        <v>4</v>
      </c>
      <c r="AX121" s="14">
        <f>IF(Distances!AX167="N.C.",0,ROUNDUP(AX107+'Délai intermédiaire'!AX167/24,0))</f>
        <v>4</v>
      </c>
      <c r="AY121" s="14">
        <f>IF(Distances!AY167="N.C.",0,ROUNDUP(AY107+'Délai intermédiaire'!AY167/24,0))</f>
        <v>3</v>
      </c>
      <c r="AZ121" s="14">
        <f>IF(Distances!AZ167="N.C.",0,ROUNDUP(AZ107+'Délai intermédiaire'!AZ167/24,0))</f>
        <v>3</v>
      </c>
      <c r="BA121" s="14">
        <f>IF(Distances!BA167="N.C.",0,ROUNDUP(BA107+'Délai intermédiaire'!BA167/24,0))</f>
        <v>3</v>
      </c>
      <c r="BB121" s="14">
        <f>IF(Distances!BB167="N.C.",0,ROUNDUP(BB107+'Délai intermédiaire'!BB167/24,0))</f>
        <v>3</v>
      </c>
      <c r="BC121" s="14">
        <f>IF(Distances!BC167="N.C.",0,ROUNDUP(BC107+'Délai intermédiaire'!BC167/24,0))</f>
        <v>3</v>
      </c>
      <c r="BD121" s="14">
        <f>IF(Distances!BD167="N.C.",0,ROUNDUP(BD107+'Délai intermédiaire'!BD167/24,0))</f>
        <v>3</v>
      </c>
      <c r="BE121" s="14">
        <f>IF(Distances!BE167="N.C.",0,ROUNDUP(BE107+'Délai intermédiaire'!BE167/24,0))</f>
        <v>3</v>
      </c>
      <c r="BF121" s="14">
        <f>IF(Distances!BF167="N.C.",0,ROUNDUP(BF107+'Délai intermédiaire'!BF167/24,0))</f>
        <v>3</v>
      </c>
      <c r="BG121" s="14">
        <f>IF(Distances!BG167="N.C.",0,ROUNDUP(BG107+'Délai intermédiaire'!BG167/24,0))</f>
        <v>3</v>
      </c>
      <c r="BH121" s="14">
        <f>IF(Distances!BH167="N.C.",0,ROUNDUP(BH107+'Délai intermédiaire'!BH167/24,0))</f>
        <v>3</v>
      </c>
      <c r="BI121" s="14">
        <f>IF(Distances!BI167="N.C.",0,ROUNDUP(BI107+'Délai intermédiaire'!BI167/24,0))</f>
        <v>3</v>
      </c>
      <c r="BJ121" s="15">
        <f>IF(Distances!BJ167="N.C.",0,ROUNDUP(BJ107+'Délai intermédiaire'!BJ167/24,0))</f>
        <v>3</v>
      </c>
    </row>
    <row r="122" spans="1:62" x14ac:dyDescent="0.3">
      <c r="A122" s="10" t="s">
        <v>14</v>
      </c>
      <c r="B122" s="16">
        <f>IF(Distances!B168="N.C.",0,ROUNDUP(B107+'Délai intermédiaire'!B168/24,0))</f>
        <v>2</v>
      </c>
      <c r="C122" s="14">
        <f>IF(Distances!C168="N.C.",0,ROUNDUP(C107+'Délai intermédiaire'!C168/24,0))</f>
        <v>2</v>
      </c>
      <c r="D122" s="14">
        <f>IF(Distances!D168="N.C.",0,ROUNDUP(D107+'Délai intermédiaire'!D168/24,0))</f>
        <v>2</v>
      </c>
      <c r="E122" s="14">
        <f>IF(Distances!E168="N.C.",0,ROUNDUP(E107+'Délai intermédiaire'!E168/24,0))</f>
        <v>2</v>
      </c>
      <c r="F122" s="14">
        <f>IF(Distances!F168="N.C.",0,ROUNDUP(F107+'Délai intermédiaire'!F168/24,0))</f>
        <v>2</v>
      </c>
      <c r="G122" s="14">
        <f>IF(Distances!G168="N.C.",0,ROUNDUP(G107+'Délai intermédiaire'!G168/24,0))</f>
        <v>2</v>
      </c>
      <c r="H122" s="14">
        <f>IF(Distances!H168="N.C.",0,ROUNDUP(H107+'Délai intermédiaire'!H168/24,0))</f>
        <v>2</v>
      </c>
      <c r="I122" s="14">
        <f>IF(Distances!I168="N.C.",0,ROUNDUP(I107+'Délai intermédiaire'!I168/24,0))</f>
        <v>2</v>
      </c>
      <c r="J122" s="14">
        <f>IF(Distances!J168="N.C.",0,ROUNDUP(J107+'Délai intermédiaire'!J168/24,0))</f>
        <v>3</v>
      </c>
      <c r="K122" s="14">
        <f>IF(Distances!K168="N.C.",0,ROUNDUP(K107+'Délai intermédiaire'!K168/24,0))</f>
        <v>3</v>
      </c>
      <c r="L122" s="14">
        <f>IF(Distances!L168="N.C.",0,ROUNDUP(L107+'Délai intermédiaire'!L168/24,0))</f>
        <v>3</v>
      </c>
      <c r="M122" s="14">
        <f>IF(Distances!M168="N.C.",0,ROUNDUP(M107+'Délai intermédiaire'!M168/24,0))</f>
        <v>3</v>
      </c>
      <c r="N122" s="14">
        <f>IF(Distances!N168="N.C.",0,ROUNDUP(N107+'Délai intermédiaire'!N168/24,0))</f>
        <v>3</v>
      </c>
      <c r="O122" s="12">
        <f>IF(Distances!O168="N.C.",0,ROUNDUP(O107+'Délai intermédiaire'!O168/24,0))</f>
        <v>2</v>
      </c>
      <c r="P122" s="13">
        <f>IF(Distances!P168="N.C.",0,ROUNDUP(P107+'Délai intermédiaire'!P168/24,0))</f>
        <v>3</v>
      </c>
      <c r="Q122" s="14">
        <f>IF(Distances!Q168="N.C.",0,ROUNDUP(Q107+'Délai intermédiaire'!Q168/24,0))</f>
        <v>2</v>
      </c>
      <c r="R122" s="14">
        <f>IF(Distances!R168="N.C.",0,ROUNDUP(R107+'Délai intermédiaire'!R168/24,0))</f>
        <v>2</v>
      </c>
      <c r="S122" s="14">
        <f>IF(Distances!S168="N.C.",0,ROUNDUP(S107+'Délai intermédiaire'!S168/24,0))</f>
        <v>2</v>
      </c>
      <c r="T122" s="14">
        <f>IF(Distances!T168="N.C.",0,ROUNDUP(T107+'Délai intermédiaire'!T168/24,0))</f>
        <v>2</v>
      </c>
      <c r="U122" s="14">
        <f>IF(Distances!U168="N.C.",0,ROUNDUP(U107+'Délai intermédiaire'!U168/24,0))</f>
        <v>2</v>
      </c>
      <c r="V122" s="14">
        <f>IF(Distances!V168="N.C.",0,ROUNDUP(V107+'Délai intermédiaire'!V168/24,0))</f>
        <v>2</v>
      </c>
      <c r="W122" s="14">
        <f>IF(Distances!W168="N.C.",0,ROUNDUP(W107+'Délai intermédiaire'!W168/24,0))</f>
        <v>2</v>
      </c>
      <c r="X122" s="14">
        <f>IF(Distances!X168="N.C.",0,ROUNDUP(X107+'Délai intermédiaire'!X168/24,0))</f>
        <v>2</v>
      </c>
      <c r="Y122" s="14">
        <f>IF(Distances!Y168="N.C.",0,ROUNDUP(Y107+'Délai intermédiaire'!Y168/24,0))</f>
        <v>2</v>
      </c>
      <c r="Z122" s="14">
        <f>IF(Distances!Z168="N.C.",0,ROUNDUP(Z107+'Délai intermédiaire'!Z168/24,0))</f>
        <v>3</v>
      </c>
      <c r="AA122" s="14">
        <f>IF(Distances!AA168="N.C.",0,ROUNDUP(AA107+'Délai intermédiaire'!AA168/24,0))</f>
        <v>3</v>
      </c>
      <c r="AB122" s="14">
        <f>IF(Distances!AB168="N.C.",0,ROUNDUP(AB107+'Délai intermédiaire'!AB168/24,0))</f>
        <v>2</v>
      </c>
      <c r="AC122" s="14">
        <f>IF(Distances!AC168="N.C.",0,ROUNDUP(AC107+'Délai intermédiaire'!AC168/24,0))</f>
        <v>2</v>
      </c>
      <c r="AD122" s="14">
        <f>IF(Distances!AD168="N.C.",0,ROUNDUP(AD107+'Délai intermédiaire'!AD168/24,0))</f>
        <v>3</v>
      </c>
      <c r="AE122" s="14">
        <f>IF(Distances!AE168="N.C.",0,ROUNDUP(AE107+'Délai intermédiaire'!AE168/24,0))</f>
        <v>3</v>
      </c>
      <c r="AF122" s="14">
        <f>IF(Distances!AF168="N.C.",0,ROUNDUP(AF107+'Délai intermédiaire'!AF168/24,0))</f>
        <v>2</v>
      </c>
      <c r="AG122" s="14">
        <f>IF(Distances!AG168="N.C.",0,ROUNDUP(AG107+'Délai intermédiaire'!AG168/24,0))</f>
        <v>3</v>
      </c>
      <c r="AH122" s="14">
        <f>IF(Distances!AH168="N.C.",0,ROUNDUP(AH107+'Délai intermédiaire'!AH168/24,0))</f>
        <v>3</v>
      </c>
      <c r="AI122" s="14">
        <f>IF(Distances!AI168="N.C.",0,ROUNDUP(AI107+'Délai intermédiaire'!AI168/24,0))</f>
        <v>3</v>
      </c>
      <c r="AJ122" s="14">
        <f>IF(Distances!AJ168="N.C.",0,ROUNDUP(AJ107+'Délai intermédiaire'!AJ168/24,0))</f>
        <v>3</v>
      </c>
      <c r="AK122" s="14">
        <f>IF(Distances!AK168="N.C.",0,ROUNDUP(AK107+'Délai intermédiaire'!AK168/24,0))</f>
        <v>3</v>
      </c>
      <c r="AL122" s="14">
        <f>IF(Distances!AL168="N.C.",0,ROUNDUP(AL107+'Délai intermédiaire'!AL168/24,0))</f>
        <v>2</v>
      </c>
      <c r="AM122" s="14">
        <f>IF(Distances!AM168="N.C.",0,ROUNDUP(AM107+'Délai intermédiaire'!AM168/24,0))</f>
        <v>2</v>
      </c>
      <c r="AN122" s="14">
        <f>IF(Distances!AN168="N.C.",0,ROUNDUP(AN107+'Délai intermédiaire'!AN168/24,0))</f>
        <v>2</v>
      </c>
      <c r="AO122" s="14">
        <f>IF(Distances!AO168="N.C.",0,ROUNDUP(AO107+'Délai intermédiaire'!AO168/24,0))</f>
        <v>3</v>
      </c>
      <c r="AP122" s="14">
        <f>IF(Distances!AP168="N.C.",0,ROUNDUP(AP107+'Délai intermédiaire'!AP168/24,0))</f>
        <v>3</v>
      </c>
      <c r="AQ122" s="14">
        <f>IF(Distances!AQ168="N.C.",0,ROUNDUP(AQ107+'Délai intermédiaire'!AQ168/24,0))</f>
        <v>3</v>
      </c>
      <c r="AR122" s="14">
        <f>IF(Distances!AR168="N.C.",0,ROUNDUP(AR107+'Délai intermédiaire'!AR168/24,0))</f>
        <v>3</v>
      </c>
      <c r="AS122" s="14">
        <f>IF(Distances!AS168="N.C.",0,ROUNDUP(AS107+'Délai intermédiaire'!AS168/24,0))</f>
        <v>3</v>
      </c>
      <c r="AT122" s="14">
        <f>IF(Distances!AT168="N.C.",0,ROUNDUP(AT107+'Délai intermédiaire'!AT168/24,0))</f>
        <v>3</v>
      </c>
      <c r="AU122" s="14">
        <f>IF(Distances!AU168="N.C.",0,ROUNDUP(AU107+'Délai intermédiaire'!AU168/24,0))</f>
        <v>3</v>
      </c>
      <c r="AV122" s="14">
        <f>IF(Distances!AV168="N.C.",0,ROUNDUP(AV107+'Délai intermédiaire'!AV168/24,0))</f>
        <v>4</v>
      </c>
      <c r="AW122" s="14">
        <f>IF(Distances!AW168="N.C.",0,ROUNDUP(AW107+'Délai intermédiaire'!AW168/24,0))</f>
        <v>4</v>
      </c>
      <c r="AX122" s="14">
        <f>IF(Distances!AX168="N.C.",0,ROUNDUP(AX107+'Délai intermédiaire'!AX168/24,0))</f>
        <v>4</v>
      </c>
      <c r="AY122" s="14">
        <f>IF(Distances!AY168="N.C.",0,ROUNDUP(AY107+'Délai intermédiaire'!AY168/24,0))</f>
        <v>3</v>
      </c>
      <c r="AZ122" s="14">
        <f>IF(Distances!AZ168="N.C.",0,ROUNDUP(AZ107+'Délai intermédiaire'!AZ168/24,0))</f>
        <v>3</v>
      </c>
      <c r="BA122" s="14">
        <f>IF(Distances!BA168="N.C.",0,ROUNDUP(BA107+'Délai intermédiaire'!BA168/24,0))</f>
        <v>3</v>
      </c>
      <c r="BB122" s="14">
        <f>IF(Distances!BB168="N.C.",0,ROUNDUP(BB107+'Délai intermédiaire'!BB168/24,0))</f>
        <v>3</v>
      </c>
      <c r="BC122" s="14">
        <f>IF(Distances!BC168="N.C.",0,ROUNDUP(BC107+'Délai intermédiaire'!BC168/24,0))</f>
        <v>3</v>
      </c>
      <c r="BD122" s="14">
        <f>IF(Distances!BD168="N.C.",0,ROUNDUP(BD107+'Délai intermédiaire'!BD168/24,0))</f>
        <v>3</v>
      </c>
      <c r="BE122" s="14">
        <f>IF(Distances!BE168="N.C.",0,ROUNDUP(BE107+'Délai intermédiaire'!BE168/24,0))</f>
        <v>3</v>
      </c>
      <c r="BF122" s="14">
        <f>IF(Distances!BF168="N.C.",0,ROUNDUP(BF107+'Délai intermédiaire'!BF168/24,0))</f>
        <v>3</v>
      </c>
      <c r="BG122" s="14">
        <f>IF(Distances!BG168="N.C.",0,ROUNDUP(BG107+'Délai intermédiaire'!BG168/24,0))</f>
        <v>3</v>
      </c>
      <c r="BH122" s="12">
        <f>IF(Distances!BH168="N.C.",0,ROUNDUP(BH107+'Délai intermédiaire'!BH168/24,0))</f>
        <v>3</v>
      </c>
      <c r="BI122" s="12">
        <f>IF(Distances!BI168="N.C.",0,ROUNDUP(BI107+'Délai intermédiaire'!BI168/24,0))</f>
        <v>3</v>
      </c>
      <c r="BJ122" s="17">
        <f>IF(Distances!BJ168="N.C.",0,ROUNDUP(BJ107+'Délai intermédiaire'!BJ168/24,0))</f>
        <v>3</v>
      </c>
    </row>
    <row r="123" spans="1:62" x14ac:dyDescent="0.3">
      <c r="A123" s="10" t="s">
        <v>15</v>
      </c>
      <c r="B123" s="16">
        <f>IF(Distances!B169="N.C.",0,ROUNDUP(B107+'Délai intermédiaire'!B169/24,0))</f>
        <v>2</v>
      </c>
      <c r="C123" s="14">
        <f>IF(Distances!C169="N.C.",0,ROUNDUP(C107+'Délai intermédiaire'!C169/24,0))</f>
        <v>2</v>
      </c>
      <c r="D123" s="14">
        <f>IF(Distances!D169="N.C.",0,ROUNDUP(D107+'Délai intermédiaire'!D169/24,0))</f>
        <v>2</v>
      </c>
      <c r="E123" s="14">
        <f>IF(Distances!E169="N.C.",0,ROUNDUP(E107+'Délai intermédiaire'!E169/24,0))</f>
        <v>2</v>
      </c>
      <c r="F123" s="14">
        <f>IF(Distances!F169="N.C.",0,ROUNDUP(F107+'Délai intermédiaire'!F169/24,0))</f>
        <v>2</v>
      </c>
      <c r="G123" s="14">
        <f>IF(Distances!G169="N.C.",0,ROUNDUP(G107+'Délai intermédiaire'!G169/24,0))</f>
        <v>2</v>
      </c>
      <c r="H123" s="14">
        <f>IF(Distances!H169="N.C.",0,ROUNDUP(H107+'Délai intermédiaire'!H169/24,0))</f>
        <v>2</v>
      </c>
      <c r="I123" s="14">
        <f>IF(Distances!I169="N.C.",0,ROUNDUP(I107+'Délai intermédiaire'!I169/24,0))</f>
        <v>2</v>
      </c>
      <c r="J123" s="14">
        <f>IF(Distances!J169="N.C.",0,ROUNDUP(J107+'Délai intermédiaire'!J169/24,0))</f>
        <v>3</v>
      </c>
      <c r="K123" s="14">
        <f>IF(Distances!K169="N.C.",0,ROUNDUP(K107+'Délai intermédiaire'!K169/24,0))</f>
        <v>3</v>
      </c>
      <c r="L123" s="14">
        <f>IF(Distances!L169="N.C.",0,ROUNDUP(L107+'Délai intermédiaire'!L169/24,0))</f>
        <v>3</v>
      </c>
      <c r="M123" s="14">
        <f>IF(Distances!M169="N.C.",0,ROUNDUP(M107+'Délai intermédiaire'!M169/24,0))</f>
        <v>3</v>
      </c>
      <c r="N123" s="14">
        <f>IF(Distances!N169="N.C.",0,ROUNDUP(N107+'Délai intermédiaire'!N169/24,0))</f>
        <v>3</v>
      </c>
      <c r="O123" s="13">
        <f>IF(Distances!O169="N.C.",0,ROUNDUP(O107+'Délai intermédiaire'!O169/24,0))</f>
        <v>3</v>
      </c>
      <c r="P123" s="12">
        <f>IF(Distances!P169="N.C.",0,ROUNDUP(P107+'Délai intermédiaire'!P169/24,0))</f>
        <v>2</v>
      </c>
      <c r="Q123" s="14">
        <f>IF(Distances!Q169="N.C.",0,ROUNDUP(Q107+'Délai intermédiaire'!Q169/24,0))</f>
        <v>2</v>
      </c>
      <c r="R123" s="14">
        <f>IF(Distances!R169="N.C.",0,ROUNDUP(R107+'Délai intermédiaire'!R169/24,0))</f>
        <v>2</v>
      </c>
      <c r="S123" s="14">
        <f>IF(Distances!S169="N.C.",0,ROUNDUP(S107+'Délai intermédiaire'!S169/24,0))</f>
        <v>2</v>
      </c>
      <c r="T123" s="14">
        <f>IF(Distances!T169="N.C.",0,ROUNDUP(T107+'Délai intermédiaire'!T169/24,0))</f>
        <v>2</v>
      </c>
      <c r="U123" s="14">
        <f>IF(Distances!U169="N.C.",0,ROUNDUP(U107+'Délai intermédiaire'!U169/24,0))</f>
        <v>2</v>
      </c>
      <c r="V123" s="14">
        <f>IF(Distances!V169="N.C.",0,ROUNDUP(V107+'Délai intermédiaire'!V169/24,0))</f>
        <v>2</v>
      </c>
      <c r="W123" s="14">
        <f>IF(Distances!W169="N.C.",0,ROUNDUP(W107+'Délai intermédiaire'!W169/24,0))</f>
        <v>2</v>
      </c>
      <c r="X123" s="14">
        <f>IF(Distances!X169="N.C.",0,ROUNDUP(X107+'Délai intermédiaire'!X169/24,0))</f>
        <v>2</v>
      </c>
      <c r="Y123" s="14">
        <f>IF(Distances!Y169="N.C.",0,ROUNDUP(Y107+'Délai intermédiaire'!Y169/24,0))</f>
        <v>2</v>
      </c>
      <c r="Z123" s="14">
        <f>IF(Distances!Z169="N.C.",0,ROUNDUP(Z107+'Délai intermédiaire'!Z169/24,0))</f>
        <v>3</v>
      </c>
      <c r="AA123" s="14">
        <f>IF(Distances!AA169="N.C.",0,ROUNDUP(AA107+'Délai intermédiaire'!AA169/24,0))</f>
        <v>3</v>
      </c>
      <c r="AB123" s="14">
        <f>IF(Distances!AB169="N.C.",0,ROUNDUP(AB107+'Délai intermédiaire'!AB169/24,0))</f>
        <v>2</v>
      </c>
      <c r="AC123" s="14">
        <f>IF(Distances!AC169="N.C.",0,ROUNDUP(AC107+'Délai intermédiaire'!AC169/24,0))</f>
        <v>2</v>
      </c>
      <c r="AD123" s="14">
        <f>IF(Distances!AD169="N.C.",0,ROUNDUP(AD107+'Délai intermédiaire'!AD169/24,0))</f>
        <v>3</v>
      </c>
      <c r="AE123" s="14">
        <f>IF(Distances!AE169="N.C.",0,ROUNDUP(AE107+'Délai intermédiaire'!AE169/24,0))</f>
        <v>3</v>
      </c>
      <c r="AF123" s="14">
        <f>IF(Distances!AF169="N.C.",0,ROUNDUP(AF107+'Délai intermédiaire'!AF169/24,0))</f>
        <v>2</v>
      </c>
      <c r="AG123" s="14">
        <f>IF(Distances!AG169="N.C.",0,ROUNDUP(AG107+'Délai intermédiaire'!AG169/24,0))</f>
        <v>3</v>
      </c>
      <c r="AH123" s="14">
        <f>IF(Distances!AH169="N.C.",0,ROUNDUP(AH107+'Délai intermédiaire'!AH169/24,0))</f>
        <v>3</v>
      </c>
      <c r="AI123" s="14">
        <f>IF(Distances!AI169="N.C.",0,ROUNDUP(AI107+'Délai intermédiaire'!AI169/24,0))</f>
        <v>3</v>
      </c>
      <c r="AJ123" s="14">
        <f>IF(Distances!AJ169="N.C.",0,ROUNDUP(AJ107+'Délai intermédiaire'!AJ169/24,0))</f>
        <v>3</v>
      </c>
      <c r="AK123" s="14">
        <f>IF(Distances!AK169="N.C.",0,ROUNDUP(AK107+'Délai intermédiaire'!AK169/24,0))</f>
        <v>3</v>
      </c>
      <c r="AL123" s="14">
        <f>IF(Distances!AL169="N.C.",0,ROUNDUP(AL107+'Délai intermédiaire'!AL169/24,0))</f>
        <v>2</v>
      </c>
      <c r="AM123" s="14">
        <f>IF(Distances!AM169="N.C.",0,ROUNDUP(AM107+'Délai intermédiaire'!AM169/24,0))</f>
        <v>2</v>
      </c>
      <c r="AN123" s="14">
        <f>IF(Distances!AN169="N.C.",0,ROUNDUP(AN107+'Délai intermédiaire'!AN169/24,0))</f>
        <v>2</v>
      </c>
      <c r="AO123" s="14">
        <f>IF(Distances!AO169="N.C.",0,ROUNDUP(AO107+'Délai intermédiaire'!AO169/24,0))</f>
        <v>3</v>
      </c>
      <c r="AP123" s="14">
        <f>IF(Distances!AP169="N.C.",0,ROUNDUP(AP107+'Délai intermédiaire'!AP169/24,0))</f>
        <v>3</v>
      </c>
      <c r="AQ123" s="14">
        <f>IF(Distances!AQ169="N.C.",0,ROUNDUP(AQ107+'Délai intermédiaire'!AQ169/24,0))</f>
        <v>3</v>
      </c>
      <c r="AR123" s="14">
        <f>IF(Distances!AR169="N.C.",0,ROUNDUP(AR107+'Délai intermédiaire'!AR169/24,0))</f>
        <v>3</v>
      </c>
      <c r="AS123" s="14">
        <f>IF(Distances!AS169="N.C.",0,ROUNDUP(AS107+'Délai intermédiaire'!AS169/24,0))</f>
        <v>3</v>
      </c>
      <c r="AT123" s="14">
        <f>IF(Distances!AT169="N.C.",0,ROUNDUP(AT107+'Délai intermédiaire'!AT169/24,0))</f>
        <v>3</v>
      </c>
      <c r="AU123" s="14">
        <f>IF(Distances!AU169="N.C.",0,ROUNDUP(AU107+'Délai intermédiaire'!AU169/24,0))</f>
        <v>3</v>
      </c>
      <c r="AV123" s="14">
        <f>IF(Distances!AV169="N.C.",0,ROUNDUP(AV107+'Délai intermédiaire'!AV169/24,0))</f>
        <v>4</v>
      </c>
      <c r="AW123" s="14">
        <f>IF(Distances!AW169="N.C.",0,ROUNDUP(AW107+'Délai intermédiaire'!AW169/24,0))</f>
        <v>4</v>
      </c>
      <c r="AX123" s="14">
        <f>IF(Distances!AX169="N.C.",0,ROUNDUP(AX107+'Délai intermédiaire'!AX169/24,0))</f>
        <v>4</v>
      </c>
      <c r="AY123" s="14">
        <f>IF(Distances!AY169="N.C.",0,ROUNDUP(AY107+'Délai intermédiaire'!AY169/24,0))</f>
        <v>3</v>
      </c>
      <c r="AZ123" s="14">
        <f>IF(Distances!AZ169="N.C.",0,ROUNDUP(AZ107+'Délai intermédiaire'!AZ169/24,0))</f>
        <v>3</v>
      </c>
      <c r="BA123" s="14">
        <f>IF(Distances!BA169="N.C.",0,ROUNDUP(BA107+'Délai intermédiaire'!BA169/24,0))</f>
        <v>3</v>
      </c>
      <c r="BB123" s="14">
        <f>IF(Distances!BB169="N.C.",0,ROUNDUP(BB107+'Délai intermédiaire'!BB169/24,0))</f>
        <v>3</v>
      </c>
      <c r="BC123" s="14">
        <f>IF(Distances!BC169="N.C.",0,ROUNDUP(BC107+'Délai intermédiaire'!BC169/24,0))</f>
        <v>3</v>
      </c>
      <c r="BD123" s="14">
        <f>IF(Distances!BD169="N.C.",0,ROUNDUP(BD107+'Délai intermédiaire'!BD169/24,0))</f>
        <v>3</v>
      </c>
      <c r="BE123" s="14">
        <f>IF(Distances!BE169="N.C.",0,ROUNDUP(BE107+'Délai intermédiaire'!BE169/24,0))</f>
        <v>3</v>
      </c>
      <c r="BF123" s="14">
        <f>IF(Distances!BF169="N.C.",0,ROUNDUP(BF107+'Délai intermédiaire'!BF169/24,0))</f>
        <v>3</v>
      </c>
      <c r="BG123" s="14">
        <f>IF(Distances!BG169="N.C.",0,ROUNDUP(BG107+'Délai intermédiaire'!BG169/24,0))</f>
        <v>3</v>
      </c>
      <c r="BH123" s="13">
        <f>IF(Distances!BH169="N.C.",0,ROUNDUP(BH107+'Délai intermédiaire'!BH169/24,0))</f>
        <v>3</v>
      </c>
      <c r="BI123" s="13">
        <f>IF(Distances!BI169="N.C.",0,ROUNDUP(BI107+'Délai intermédiaire'!BI169/24,0))</f>
        <v>3</v>
      </c>
      <c r="BJ123" s="18">
        <f>IF(Distances!BJ169="N.C.",0,ROUNDUP(BJ107+'Délai intermédiaire'!BJ169/24,0))</f>
        <v>3</v>
      </c>
    </row>
    <row r="124" spans="1:62" x14ac:dyDescent="0.3">
      <c r="A124" s="10" t="s">
        <v>16</v>
      </c>
      <c r="B124" s="16">
        <f>IF(Distances!B170="N.C.",0,ROUNDUP(B107+'Délai intermédiaire'!B170/24,0))</f>
        <v>2</v>
      </c>
      <c r="C124" s="14">
        <f>IF(Distances!C170="N.C.",0,ROUNDUP(C107+'Délai intermédiaire'!C170/24,0))</f>
        <v>2</v>
      </c>
      <c r="D124" s="14">
        <f>IF(Distances!D170="N.C.",0,ROUNDUP(D107+'Délai intermédiaire'!D170/24,0))</f>
        <v>2</v>
      </c>
      <c r="E124" s="14">
        <f>IF(Distances!E170="N.C.",0,ROUNDUP(E107+'Délai intermédiaire'!E170/24,0))</f>
        <v>2</v>
      </c>
      <c r="F124" s="14">
        <f>IF(Distances!F170="N.C.",0,ROUNDUP(F107+'Délai intermédiaire'!F170/24,0))</f>
        <v>2</v>
      </c>
      <c r="G124" s="14">
        <f>IF(Distances!G170="N.C.",0,ROUNDUP(G107+'Délai intermédiaire'!G170/24,0))</f>
        <v>2</v>
      </c>
      <c r="H124" s="14">
        <f>IF(Distances!H170="N.C.",0,ROUNDUP(H107+'Délai intermédiaire'!H170/24,0))</f>
        <v>2</v>
      </c>
      <c r="I124" s="14">
        <f>IF(Distances!I170="N.C.",0,ROUNDUP(I107+'Délai intermédiaire'!I170/24,0))</f>
        <v>2</v>
      </c>
      <c r="J124" s="14">
        <f>IF(Distances!J170="N.C.",0,ROUNDUP(J107+'Délai intermédiaire'!J170/24,0))</f>
        <v>3</v>
      </c>
      <c r="K124" s="14">
        <f>IF(Distances!K170="N.C.",0,ROUNDUP(K107+'Délai intermédiaire'!K170/24,0))</f>
        <v>3</v>
      </c>
      <c r="L124" s="14">
        <f>IF(Distances!L170="N.C.",0,ROUNDUP(L107+'Délai intermédiaire'!L170/24,0))</f>
        <v>3</v>
      </c>
      <c r="M124" s="14">
        <f>IF(Distances!M170="N.C.",0,ROUNDUP(M107+'Délai intermédiaire'!M170/24,0))</f>
        <v>3</v>
      </c>
      <c r="N124" s="14">
        <f>IF(Distances!N170="N.C.",0,ROUNDUP(N107+'Délai intermédiaire'!N170/24,0))</f>
        <v>3</v>
      </c>
      <c r="O124" s="14">
        <f>IF(Distances!O170="N.C.",0,ROUNDUP(O107+'Délai intermédiaire'!O170/24,0))</f>
        <v>3</v>
      </c>
      <c r="P124" s="14">
        <f>IF(Distances!P170="N.C.",0,ROUNDUP(P107+'Délai intermédiaire'!P170/24,0))</f>
        <v>3</v>
      </c>
      <c r="Q124" s="12">
        <f>IF(Distances!Q170="N.C.",0,ROUNDUP(Q107+'Délai intermédiaire'!Q170/24,0))</f>
        <v>1</v>
      </c>
      <c r="R124" s="13">
        <f>IF(Distances!R170="N.C.",0,ROUNDUP(R107+'Délai intermédiaire'!R170/24,0))</f>
        <v>2</v>
      </c>
      <c r="S124" s="13">
        <f>IF(Distances!S170="N.C.",0,ROUNDUP(S107+'Délai intermédiaire'!S170/24,0))</f>
        <v>2</v>
      </c>
      <c r="T124" s="13">
        <f>IF(Distances!T170="N.C.",0,ROUNDUP(T107+'Délai intermédiaire'!T170/24,0))</f>
        <v>2</v>
      </c>
      <c r="U124" s="13">
        <f>IF(Distances!U170="N.C.",0,ROUNDUP(U107+'Délai intermédiaire'!U170/24,0))</f>
        <v>2</v>
      </c>
      <c r="V124" s="13">
        <f>IF(Distances!V170="N.C.",0,ROUNDUP(V107+'Délai intermédiaire'!V170/24,0))</f>
        <v>2</v>
      </c>
      <c r="W124" s="13">
        <f>IF(Distances!W170="N.C.",0,ROUNDUP(W107+'Délai intermédiaire'!W170/24,0))</f>
        <v>2</v>
      </c>
      <c r="X124" s="13">
        <f>IF(Distances!X170="N.C.",0,ROUNDUP(X107+'Délai intermédiaire'!X170/24,0))</f>
        <v>2</v>
      </c>
      <c r="Y124" s="13">
        <f>IF(Distances!Y170="N.C.",0,ROUNDUP(Y107+'Délai intermédiaire'!Y170/24,0))</f>
        <v>2</v>
      </c>
      <c r="Z124" s="13">
        <f>IF(Distances!Z170="N.C.",0,ROUNDUP(Z107+'Délai intermédiaire'!Z170/24,0))</f>
        <v>3</v>
      </c>
      <c r="AA124" s="13">
        <f>IF(Distances!AA170="N.C.",0,ROUNDUP(AA107+'Délai intermédiaire'!AA170/24,0))</f>
        <v>3</v>
      </c>
      <c r="AB124" s="13">
        <f>IF(Distances!AB170="N.C.",0,ROUNDUP(AB107+'Délai intermédiaire'!AB170/24,0))</f>
        <v>2</v>
      </c>
      <c r="AC124" s="13">
        <f>IF(Distances!AC170="N.C.",0,ROUNDUP(AC107+'Délai intermédiaire'!AC170/24,0))</f>
        <v>2</v>
      </c>
      <c r="AD124" s="13">
        <f>IF(Distances!AD170="N.C.",0,ROUNDUP(AD107+'Délai intermédiaire'!AD170/24,0))</f>
        <v>3</v>
      </c>
      <c r="AE124" s="13">
        <f>IF(Distances!AE170="N.C.",0,ROUNDUP(AE107+'Délai intermédiaire'!AE170/24,0))</f>
        <v>3</v>
      </c>
      <c r="AF124" s="13">
        <f>IF(Distances!AF170="N.C.",0,ROUNDUP(AF107+'Délai intermédiaire'!AF170/24,0))</f>
        <v>2</v>
      </c>
      <c r="AG124" s="13">
        <f>IF(Distances!AG170="N.C.",0,ROUNDUP(AG107+'Délai intermédiaire'!AG170/24,0))</f>
        <v>3</v>
      </c>
      <c r="AH124" s="14">
        <f>IF(Distances!AH170="N.C.",0,ROUNDUP(AH107+'Délai intermédiaire'!AH170/24,0))</f>
        <v>3</v>
      </c>
      <c r="AI124" s="14">
        <f>IF(Distances!AI170="N.C.",0,ROUNDUP(AI107+'Délai intermédiaire'!AI170/24,0))</f>
        <v>3</v>
      </c>
      <c r="AJ124" s="14">
        <f>IF(Distances!AJ170="N.C.",0,ROUNDUP(AJ107+'Délai intermédiaire'!AJ170/24,0))</f>
        <v>3</v>
      </c>
      <c r="AK124" s="14">
        <f>IF(Distances!AK170="N.C.",0,ROUNDUP(AK107+'Délai intermédiaire'!AK170/24,0))</f>
        <v>3</v>
      </c>
      <c r="AL124" s="14">
        <f>IF(Distances!AL170="N.C.",0,ROUNDUP(AL107+'Délai intermédiaire'!AL170/24,0))</f>
        <v>2</v>
      </c>
      <c r="AM124" s="14">
        <f>IF(Distances!AM170="N.C.",0,ROUNDUP(AM107+'Délai intermédiaire'!AM170/24,0))</f>
        <v>2</v>
      </c>
      <c r="AN124" s="14">
        <f>IF(Distances!AN170="N.C.",0,ROUNDUP(AN107+'Délai intermédiaire'!AN170/24,0))</f>
        <v>2</v>
      </c>
      <c r="AO124" s="14">
        <f>IF(Distances!AO170="N.C.",0,ROUNDUP(AO107+'Délai intermédiaire'!AO170/24,0))</f>
        <v>3</v>
      </c>
      <c r="AP124" s="14">
        <f>IF(Distances!AP170="N.C.",0,ROUNDUP(AP107+'Délai intermédiaire'!AP170/24,0))</f>
        <v>3</v>
      </c>
      <c r="AQ124" s="14">
        <f>IF(Distances!AQ170="N.C.",0,ROUNDUP(AQ107+'Délai intermédiaire'!AQ170/24,0))</f>
        <v>3</v>
      </c>
      <c r="AR124" s="14">
        <f>IF(Distances!AR170="N.C.",0,ROUNDUP(AR107+'Délai intermédiaire'!AR170/24,0))</f>
        <v>3</v>
      </c>
      <c r="AS124" s="14">
        <f>IF(Distances!AS170="N.C.",0,ROUNDUP(AS107+'Délai intermédiaire'!AS170/24,0))</f>
        <v>3</v>
      </c>
      <c r="AT124" s="14">
        <f>IF(Distances!AT170="N.C.",0,ROUNDUP(AT107+'Délai intermédiaire'!AT170/24,0))</f>
        <v>3</v>
      </c>
      <c r="AU124" s="14">
        <f>IF(Distances!AU170="N.C.",0,ROUNDUP(AU107+'Délai intermédiaire'!AU170/24,0))</f>
        <v>3</v>
      </c>
      <c r="AV124" s="14">
        <f>IF(Distances!AV170="N.C.",0,ROUNDUP(AV107+'Délai intermédiaire'!AV170/24,0))</f>
        <v>4</v>
      </c>
      <c r="AW124" s="14">
        <f>IF(Distances!AW170="N.C.",0,ROUNDUP(AW107+'Délai intermédiaire'!AW170/24,0))</f>
        <v>4</v>
      </c>
      <c r="AX124" s="14">
        <f>IF(Distances!AX170="N.C.",0,ROUNDUP(AX107+'Délai intermédiaire'!AX170/24,0))</f>
        <v>4</v>
      </c>
      <c r="AY124" s="14">
        <f>IF(Distances!AY170="N.C.",0,ROUNDUP(AY107+'Délai intermédiaire'!AY170/24,0))</f>
        <v>3</v>
      </c>
      <c r="AZ124" s="14">
        <f>IF(Distances!AZ170="N.C.",0,ROUNDUP(AZ107+'Délai intermédiaire'!AZ170/24,0))</f>
        <v>3</v>
      </c>
      <c r="BA124" s="14">
        <f>IF(Distances!BA170="N.C.",0,ROUNDUP(BA107+'Délai intermédiaire'!BA170/24,0))</f>
        <v>3</v>
      </c>
      <c r="BB124" s="13">
        <f>IF(Distances!BB170="N.C.",0,ROUNDUP(BB107+'Délai intermédiaire'!BB170/24,0))</f>
        <v>3</v>
      </c>
      <c r="BC124" s="14">
        <f>IF(Distances!BC170="N.C.",0,ROUNDUP(BC107+'Délai intermédiaire'!BC170/24,0))</f>
        <v>3</v>
      </c>
      <c r="BD124" s="14">
        <f>IF(Distances!BD170="N.C.",0,ROUNDUP(BD107+'Délai intermédiaire'!BD170/24,0))</f>
        <v>3</v>
      </c>
      <c r="BE124" s="14">
        <f>IF(Distances!BE170="N.C.",0,ROUNDUP(BE107+'Délai intermédiaire'!BE170/24,0))</f>
        <v>3</v>
      </c>
      <c r="BF124" s="13">
        <f>IF(Distances!BF170="N.C.",0,ROUNDUP(BF107+'Délai intermédiaire'!BF170/24,0))</f>
        <v>3</v>
      </c>
      <c r="BG124" s="13">
        <f>IF(Distances!BG170="N.C.",0,ROUNDUP(BG107+'Délai intermédiaire'!BG170/24,0))</f>
        <v>3</v>
      </c>
      <c r="BH124" s="14">
        <f>IF(Distances!BH170="N.C.",0,ROUNDUP(BH107+'Délai intermédiaire'!BH170/24,0))</f>
        <v>3</v>
      </c>
      <c r="BI124" s="14">
        <f>IF(Distances!BI170="N.C.",0,ROUNDUP(BI107+'Délai intermédiaire'!BI170/24,0))</f>
        <v>3</v>
      </c>
      <c r="BJ124" s="15">
        <f>IF(Distances!BJ170="N.C.",0,ROUNDUP(BJ107+'Délai intermédiaire'!BJ170/24,0))</f>
        <v>3</v>
      </c>
    </row>
    <row r="125" spans="1:62" x14ac:dyDescent="0.3">
      <c r="A125" s="10" t="s">
        <v>17</v>
      </c>
      <c r="B125" s="16">
        <f>IF(Distances!B171="N.C.",0,ROUNDUP(B107+'Délai intermédiaire'!B171/24,0))</f>
        <v>2</v>
      </c>
      <c r="C125" s="14">
        <f>IF(Distances!C171="N.C.",0,ROUNDUP(C107+'Délai intermédiaire'!C171/24,0))</f>
        <v>2</v>
      </c>
      <c r="D125" s="14">
        <f>IF(Distances!D171="N.C.",0,ROUNDUP(D107+'Délai intermédiaire'!D171/24,0))</f>
        <v>2</v>
      </c>
      <c r="E125" s="14">
        <f>IF(Distances!E171="N.C.",0,ROUNDUP(E107+'Délai intermédiaire'!E171/24,0))</f>
        <v>2</v>
      </c>
      <c r="F125" s="14">
        <f>IF(Distances!F171="N.C.",0,ROUNDUP(F107+'Délai intermédiaire'!F171/24,0))</f>
        <v>2</v>
      </c>
      <c r="G125" s="14">
        <f>IF(Distances!G171="N.C.",0,ROUNDUP(G107+'Délai intermédiaire'!G171/24,0))</f>
        <v>2</v>
      </c>
      <c r="H125" s="14">
        <f>IF(Distances!H171="N.C.",0,ROUNDUP(H107+'Délai intermédiaire'!H171/24,0))</f>
        <v>2</v>
      </c>
      <c r="I125" s="14">
        <f>IF(Distances!I171="N.C.",0,ROUNDUP(I107+'Délai intermédiaire'!I171/24,0))</f>
        <v>2</v>
      </c>
      <c r="J125" s="14">
        <f>IF(Distances!J171="N.C.",0,ROUNDUP(J107+'Délai intermédiaire'!J171/24,0))</f>
        <v>3</v>
      </c>
      <c r="K125" s="14">
        <f>IF(Distances!K171="N.C.",0,ROUNDUP(K107+'Délai intermédiaire'!K171/24,0))</f>
        <v>3</v>
      </c>
      <c r="L125" s="14">
        <f>IF(Distances!L171="N.C.",0,ROUNDUP(L107+'Délai intermédiaire'!L171/24,0))</f>
        <v>3</v>
      </c>
      <c r="M125" s="14">
        <f>IF(Distances!M171="N.C.",0,ROUNDUP(M107+'Délai intermédiaire'!M171/24,0))</f>
        <v>3</v>
      </c>
      <c r="N125" s="14">
        <f>IF(Distances!N171="N.C.",0,ROUNDUP(N107+'Délai intermédiaire'!N171/24,0))</f>
        <v>3</v>
      </c>
      <c r="O125" s="14">
        <f>IF(Distances!O171="N.C.",0,ROUNDUP(O107+'Délai intermédiaire'!O171/24,0))</f>
        <v>3</v>
      </c>
      <c r="P125" s="14">
        <f>IF(Distances!P171="N.C.",0,ROUNDUP(P107+'Délai intermédiaire'!P171/24,0))</f>
        <v>3</v>
      </c>
      <c r="Q125" s="13">
        <f>IF(Distances!Q171="N.C.",0,ROUNDUP(Q107+'Délai intermédiaire'!Q171/24,0))</f>
        <v>2</v>
      </c>
      <c r="R125" s="12">
        <f>IF(Distances!R171="N.C.",0,ROUNDUP(R107+'Délai intermédiaire'!R171/24,0))</f>
        <v>1</v>
      </c>
      <c r="S125" s="13">
        <f>IF(Distances!S171="N.C.",0,ROUNDUP(S107+'Délai intermédiaire'!S171/24,0))</f>
        <v>2</v>
      </c>
      <c r="T125" s="13">
        <f>IF(Distances!T171="N.C.",0,ROUNDUP(T107+'Délai intermédiaire'!T171/24,0))</f>
        <v>2</v>
      </c>
      <c r="U125" s="13">
        <f>IF(Distances!U171="N.C.",0,ROUNDUP(U107+'Délai intermédiaire'!U171/24,0))</f>
        <v>2</v>
      </c>
      <c r="V125" s="13">
        <f>IF(Distances!V171="N.C.",0,ROUNDUP(V107+'Délai intermédiaire'!V171/24,0))</f>
        <v>2</v>
      </c>
      <c r="W125" s="13">
        <f>IF(Distances!W171="N.C.",0,ROUNDUP(W107+'Délai intermédiaire'!W171/24,0))</f>
        <v>2</v>
      </c>
      <c r="X125" s="13">
        <f>IF(Distances!X171="N.C.",0,ROUNDUP(X107+'Délai intermédiaire'!X171/24,0))</f>
        <v>2</v>
      </c>
      <c r="Y125" s="13">
        <f>IF(Distances!Y171="N.C.",0,ROUNDUP(Y107+'Délai intermédiaire'!Y171/24,0))</f>
        <v>2</v>
      </c>
      <c r="Z125" s="13">
        <f>IF(Distances!Z171="N.C.",0,ROUNDUP(Z107+'Délai intermédiaire'!Z171/24,0))</f>
        <v>3</v>
      </c>
      <c r="AA125" s="13">
        <f>IF(Distances!AA171="N.C.",0,ROUNDUP(AA107+'Délai intermédiaire'!AA171/24,0))</f>
        <v>3</v>
      </c>
      <c r="AB125" s="13">
        <f>IF(Distances!AB171="N.C.",0,ROUNDUP(AB107+'Délai intermédiaire'!AB171/24,0))</f>
        <v>2</v>
      </c>
      <c r="AC125" s="13">
        <f>IF(Distances!AC171="N.C.",0,ROUNDUP(AC107+'Délai intermédiaire'!AC171/24,0))</f>
        <v>2</v>
      </c>
      <c r="AD125" s="13">
        <f>IF(Distances!AD171="N.C.",0,ROUNDUP(AD107+'Délai intermédiaire'!AD171/24,0))</f>
        <v>3</v>
      </c>
      <c r="AE125" s="13">
        <f>IF(Distances!AE171="N.C.",0,ROUNDUP(AE107+'Délai intermédiaire'!AE171/24,0))</f>
        <v>3</v>
      </c>
      <c r="AF125" s="13">
        <f>IF(Distances!AF171="N.C.",0,ROUNDUP(AF107+'Délai intermédiaire'!AF171/24,0))</f>
        <v>2</v>
      </c>
      <c r="AG125" s="13">
        <f>IF(Distances!AG171="N.C.",0,ROUNDUP(AG107+'Délai intermédiaire'!AG171/24,0))</f>
        <v>3</v>
      </c>
      <c r="AH125" s="14">
        <f>IF(Distances!AH171="N.C.",0,ROUNDUP(AH107+'Délai intermédiaire'!AH171/24,0))</f>
        <v>3</v>
      </c>
      <c r="AI125" s="14">
        <f>IF(Distances!AI171="N.C.",0,ROUNDUP(AI107+'Délai intermédiaire'!AI171/24,0))</f>
        <v>3</v>
      </c>
      <c r="AJ125" s="14">
        <f>IF(Distances!AJ171="N.C.",0,ROUNDUP(AJ107+'Délai intermédiaire'!AJ171/24,0))</f>
        <v>3</v>
      </c>
      <c r="AK125" s="14">
        <f>IF(Distances!AK171="N.C.",0,ROUNDUP(AK107+'Délai intermédiaire'!AK171/24,0))</f>
        <v>3</v>
      </c>
      <c r="AL125" s="14">
        <f>IF(Distances!AL171="N.C.",0,ROUNDUP(AL107+'Délai intermédiaire'!AL171/24,0))</f>
        <v>2</v>
      </c>
      <c r="AM125" s="14">
        <f>IF(Distances!AM171="N.C.",0,ROUNDUP(AM107+'Délai intermédiaire'!AM171/24,0))</f>
        <v>2</v>
      </c>
      <c r="AN125" s="14">
        <f>IF(Distances!AN171="N.C.",0,ROUNDUP(AN107+'Délai intermédiaire'!AN171/24,0))</f>
        <v>2</v>
      </c>
      <c r="AO125" s="14">
        <f>IF(Distances!AO171="N.C.",0,ROUNDUP(AO107+'Délai intermédiaire'!AO171/24,0))</f>
        <v>3</v>
      </c>
      <c r="AP125" s="14">
        <f>IF(Distances!AP171="N.C.",0,ROUNDUP(AP107+'Délai intermédiaire'!AP171/24,0))</f>
        <v>3</v>
      </c>
      <c r="AQ125" s="14">
        <f>IF(Distances!AQ171="N.C.",0,ROUNDUP(AQ107+'Délai intermédiaire'!AQ171/24,0))</f>
        <v>3</v>
      </c>
      <c r="AR125" s="14">
        <f>IF(Distances!AR171="N.C.",0,ROUNDUP(AR107+'Délai intermédiaire'!AR171/24,0))</f>
        <v>3</v>
      </c>
      <c r="AS125" s="14">
        <f>IF(Distances!AS171="N.C.",0,ROUNDUP(AS107+'Délai intermédiaire'!AS171/24,0))</f>
        <v>3</v>
      </c>
      <c r="AT125" s="14">
        <f>IF(Distances!AT171="N.C.",0,ROUNDUP(AT107+'Délai intermédiaire'!AT171/24,0))</f>
        <v>3</v>
      </c>
      <c r="AU125" s="14">
        <f>IF(Distances!AU171="N.C.",0,ROUNDUP(AU107+'Délai intermédiaire'!AU171/24,0))</f>
        <v>3</v>
      </c>
      <c r="AV125" s="14">
        <f>IF(Distances!AV171="N.C.",0,ROUNDUP(AV107+'Délai intermédiaire'!AV171/24,0))</f>
        <v>4</v>
      </c>
      <c r="AW125" s="14">
        <f>IF(Distances!AW171="N.C.",0,ROUNDUP(AW107+'Délai intermédiaire'!AW171/24,0))</f>
        <v>4</v>
      </c>
      <c r="AX125" s="14">
        <f>IF(Distances!AX171="N.C.",0,ROUNDUP(AX107+'Délai intermédiaire'!AX171/24,0))</f>
        <v>4</v>
      </c>
      <c r="AY125" s="14">
        <f>IF(Distances!AY171="N.C.",0,ROUNDUP(AY107+'Délai intermédiaire'!AY171/24,0))</f>
        <v>3</v>
      </c>
      <c r="AZ125" s="14">
        <f>IF(Distances!AZ171="N.C.",0,ROUNDUP(AZ107+'Délai intermédiaire'!AZ171/24,0))</f>
        <v>3</v>
      </c>
      <c r="BA125" s="14">
        <f>IF(Distances!BA171="N.C.",0,ROUNDUP(BA107+'Délai intermédiaire'!BA171/24,0))</f>
        <v>3</v>
      </c>
      <c r="BB125" s="13">
        <f>IF(Distances!BB171="N.C.",0,ROUNDUP(BB107+'Délai intermédiaire'!BB171/24,0))</f>
        <v>3</v>
      </c>
      <c r="BC125" s="14">
        <f>IF(Distances!BC171="N.C.",0,ROUNDUP(BC107+'Délai intermédiaire'!BC171/24,0))</f>
        <v>3</v>
      </c>
      <c r="BD125" s="14">
        <f>IF(Distances!BD171="N.C.",0,ROUNDUP(BD107+'Délai intermédiaire'!BD171/24,0))</f>
        <v>3</v>
      </c>
      <c r="BE125" s="14">
        <f>IF(Distances!BE171="N.C.",0,ROUNDUP(BE107+'Délai intermédiaire'!BE171/24,0))</f>
        <v>3</v>
      </c>
      <c r="BF125" s="13">
        <f>IF(Distances!BF171="N.C.",0,ROUNDUP(BF107+'Délai intermédiaire'!BF171/24,0))</f>
        <v>3</v>
      </c>
      <c r="BG125" s="13">
        <f>IF(Distances!BG171="N.C.",0,ROUNDUP(BG107+'Délai intermédiaire'!BG171/24,0))</f>
        <v>3</v>
      </c>
      <c r="BH125" s="14">
        <f>IF(Distances!BH171="N.C.",0,ROUNDUP(BH107+'Délai intermédiaire'!BH171/24,0))</f>
        <v>3</v>
      </c>
      <c r="BI125" s="14">
        <f>IF(Distances!BI171="N.C.",0,ROUNDUP(BI107+'Délai intermédiaire'!BI171/24,0))</f>
        <v>3</v>
      </c>
      <c r="BJ125" s="15">
        <f>IF(Distances!BJ171="N.C.",0,ROUNDUP(BJ107+'Délai intermédiaire'!BJ171/24,0))</f>
        <v>3</v>
      </c>
    </row>
    <row r="126" spans="1:62" x14ac:dyDescent="0.3">
      <c r="A126" s="10" t="s">
        <v>18</v>
      </c>
      <c r="B126" s="16">
        <f>IF(Distances!B172="N.C.",0,ROUNDUP(B107+'Délai intermédiaire'!B172/24,0))</f>
        <v>2</v>
      </c>
      <c r="C126" s="14">
        <f>IF(Distances!C172="N.C.",0,ROUNDUP(C107+'Délai intermédiaire'!C172/24,0))</f>
        <v>2</v>
      </c>
      <c r="D126" s="14">
        <f>IF(Distances!D172="N.C.",0,ROUNDUP(D107+'Délai intermédiaire'!D172/24,0))</f>
        <v>2</v>
      </c>
      <c r="E126" s="14">
        <f>IF(Distances!E172="N.C.",0,ROUNDUP(E107+'Délai intermédiaire'!E172/24,0))</f>
        <v>2</v>
      </c>
      <c r="F126" s="14">
        <f>IF(Distances!F172="N.C.",0,ROUNDUP(F107+'Délai intermédiaire'!F172/24,0))</f>
        <v>2</v>
      </c>
      <c r="G126" s="14">
        <f>IF(Distances!G172="N.C.",0,ROUNDUP(G107+'Délai intermédiaire'!G172/24,0))</f>
        <v>2</v>
      </c>
      <c r="H126" s="14">
        <f>IF(Distances!H172="N.C.",0,ROUNDUP(H107+'Délai intermédiaire'!H172/24,0))</f>
        <v>2</v>
      </c>
      <c r="I126" s="14">
        <f>IF(Distances!I172="N.C.",0,ROUNDUP(I107+'Délai intermédiaire'!I172/24,0))</f>
        <v>2</v>
      </c>
      <c r="J126" s="14">
        <f>IF(Distances!J172="N.C.",0,ROUNDUP(J107+'Délai intermédiaire'!J172/24,0))</f>
        <v>3</v>
      </c>
      <c r="K126" s="14">
        <f>IF(Distances!K172="N.C.",0,ROUNDUP(K107+'Délai intermédiaire'!K172/24,0))</f>
        <v>3</v>
      </c>
      <c r="L126" s="14">
        <f>IF(Distances!L172="N.C.",0,ROUNDUP(L107+'Délai intermédiaire'!L172/24,0))</f>
        <v>3</v>
      </c>
      <c r="M126" s="14">
        <f>IF(Distances!M172="N.C.",0,ROUNDUP(M107+'Délai intermédiaire'!M172/24,0))</f>
        <v>3</v>
      </c>
      <c r="N126" s="14">
        <f>IF(Distances!N172="N.C.",0,ROUNDUP(N107+'Délai intermédiaire'!N172/24,0))</f>
        <v>3</v>
      </c>
      <c r="O126" s="14">
        <f>IF(Distances!O172="N.C.",0,ROUNDUP(O107+'Délai intermédiaire'!O172/24,0))</f>
        <v>3</v>
      </c>
      <c r="P126" s="14">
        <f>IF(Distances!P172="N.C.",0,ROUNDUP(P107+'Délai intermédiaire'!P172/24,0))</f>
        <v>3</v>
      </c>
      <c r="Q126" s="13">
        <f>IF(Distances!Q172="N.C.",0,ROUNDUP(Q107+'Délai intermédiaire'!Q172/24,0))</f>
        <v>2</v>
      </c>
      <c r="R126" s="13">
        <f>IF(Distances!R172="N.C.",0,ROUNDUP(R107+'Délai intermédiaire'!R172/24,0))</f>
        <v>2</v>
      </c>
      <c r="S126" s="12">
        <f>IF(Distances!S172="N.C.",0,ROUNDUP(S107+'Délai intermédiaire'!S172/24,0))</f>
        <v>1</v>
      </c>
      <c r="T126" s="13">
        <f>IF(Distances!T172="N.C.",0,ROUNDUP(T107+'Délai intermédiaire'!T172/24,0))</f>
        <v>2</v>
      </c>
      <c r="U126" s="13">
        <f>IF(Distances!U172="N.C.",0,ROUNDUP(U107+'Délai intermédiaire'!U172/24,0))</f>
        <v>2</v>
      </c>
      <c r="V126" s="13">
        <f>IF(Distances!V172="N.C.",0,ROUNDUP(V107+'Délai intermédiaire'!V172/24,0))</f>
        <v>2</v>
      </c>
      <c r="W126" s="13">
        <f>IF(Distances!W172="N.C.",0,ROUNDUP(W107+'Délai intermédiaire'!W172/24,0))</f>
        <v>2</v>
      </c>
      <c r="X126" s="13">
        <f>IF(Distances!X172="N.C.",0,ROUNDUP(X107+'Délai intermédiaire'!X172/24,0))</f>
        <v>2</v>
      </c>
      <c r="Y126" s="13">
        <f>IF(Distances!Y172="N.C.",0,ROUNDUP(Y107+'Délai intermédiaire'!Y172/24,0))</f>
        <v>2</v>
      </c>
      <c r="Z126" s="13">
        <f>IF(Distances!Z172="N.C.",0,ROUNDUP(Z107+'Délai intermédiaire'!Z172/24,0))</f>
        <v>3</v>
      </c>
      <c r="AA126" s="13">
        <f>IF(Distances!AA172="N.C.",0,ROUNDUP(AA107+'Délai intermédiaire'!AA172/24,0))</f>
        <v>3</v>
      </c>
      <c r="AB126" s="13">
        <f>IF(Distances!AB172="N.C.",0,ROUNDUP(AB107+'Délai intermédiaire'!AB172/24,0))</f>
        <v>2</v>
      </c>
      <c r="AC126" s="13">
        <f>IF(Distances!AC172="N.C.",0,ROUNDUP(AC107+'Délai intermédiaire'!AC172/24,0))</f>
        <v>2</v>
      </c>
      <c r="AD126" s="13">
        <f>IF(Distances!AD172="N.C.",0,ROUNDUP(AD107+'Délai intermédiaire'!AD172/24,0))</f>
        <v>3</v>
      </c>
      <c r="AE126" s="13">
        <f>IF(Distances!AE172="N.C.",0,ROUNDUP(AE107+'Délai intermédiaire'!AE172/24,0))</f>
        <v>3</v>
      </c>
      <c r="AF126" s="13">
        <f>IF(Distances!AF172="N.C.",0,ROUNDUP(AF107+'Délai intermédiaire'!AF172/24,0))</f>
        <v>2</v>
      </c>
      <c r="AG126" s="13">
        <f>IF(Distances!AG172="N.C.",0,ROUNDUP(AG107+'Délai intermédiaire'!AG172/24,0))</f>
        <v>3</v>
      </c>
      <c r="AH126" s="14">
        <f>IF(Distances!AH172="N.C.",0,ROUNDUP(AH107+'Délai intermédiaire'!AH172/24,0))</f>
        <v>3</v>
      </c>
      <c r="AI126" s="14">
        <f>IF(Distances!AI172="N.C.",0,ROUNDUP(AI107+'Délai intermédiaire'!AI172/24,0))</f>
        <v>3</v>
      </c>
      <c r="AJ126" s="14">
        <f>IF(Distances!AJ172="N.C.",0,ROUNDUP(AJ107+'Délai intermédiaire'!AJ172/24,0))</f>
        <v>3</v>
      </c>
      <c r="AK126" s="14">
        <f>IF(Distances!AK172="N.C.",0,ROUNDUP(AK107+'Délai intermédiaire'!AK172/24,0))</f>
        <v>3</v>
      </c>
      <c r="AL126" s="14">
        <f>IF(Distances!AL172="N.C.",0,ROUNDUP(AL107+'Délai intermédiaire'!AL172/24,0))</f>
        <v>2</v>
      </c>
      <c r="AM126" s="14">
        <f>IF(Distances!AM172="N.C.",0,ROUNDUP(AM107+'Délai intermédiaire'!AM172/24,0))</f>
        <v>2</v>
      </c>
      <c r="AN126" s="14">
        <f>IF(Distances!AN172="N.C.",0,ROUNDUP(AN107+'Délai intermédiaire'!AN172/24,0))</f>
        <v>2</v>
      </c>
      <c r="AO126" s="14">
        <f>IF(Distances!AO172="N.C.",0,ROUNDUP(AO107+'Délai intermédiaire'!AO172/24,0))</f>
        <v>3</v>
      </c>
      <c r="AP126" s="14">
        <f>IF(Distances!AP172="N.C.",0,ROUNDUP(AP107+'Délai intermédiaire'!AP172/24,0))</f>
        <v>3</v>
      </c>
      <c r="AQ126" s="14">
        <f>IF(Distances!AQ172="N.C.",0,ROUNDUP(AQ107+'Délai intermédiaire'!AQ172/24,0))</f>
        <v>3</v>
      </c>
      <c r="AR126" s="14">
        <f>IF(Distances!AR172="N.C.",0,ROUNDUP(AR107+'Délai intermédiaire'!AR172/24,0))</f>
        <v>3</v>
      </c>
      <c r="AS126" s="14">
        <f>IF(Distances!AS172="N.C.",0,ROUNDUP(AS107+'Délai intermédiaire'!AS172/24,0))</f>
        <v>3</v>
      </c>
      <c r="AT126" s="14">
        <f>IF(Distances!AT172="N.C.",0,ROUNDUP(AT107+'Délai intermédiaire'!AT172/24,0))</f>
        <v>3</v>
      </c>
      <c r="AU126" s="14">
        <f>IF(Distances!AU172="N.C.",0,ROUNDUP(AU107+'Délai intermédiaire'!AU172/24,0))</f>
        <v>3</v>
      </c>
      <c r="AV126" s="14">
        <f>IF(Distances!AV172="N.C.",0,ROUNDUP(AV107+'Délai intermédiaire'!AV172/24,0))</f>
        <v>4</v>
      </c>
      <c r="AW126" s="14">
        <f>IF(Distances!AW172="N.C.",0,ROUNDUP(AW107+'Délai intermédiaire'!AW172/24,0))</f>
        <v>4</v>
      </c>
      <c r="AX126" s="14">
        <f>IF(Distances!AX172="N.C.",0,ROUNDUP(AX107+'Délai intermédiaire'!AX172/24,0))</f>
        <v>4</v>
      </c>
      <c r="AY126" s="14">
        <f>IF(Distances!AY172="N.C.",0,ROUNDUP(AY107+'Délai intermédiaire'!AY172/24,0))</f>
        <v>3</v>
      </c>
      <c r="AZ126" s="14">
        <f>IF(Distances!AZ172="N.C.",0,ROUNDUP(AZ107+'Délai intermédiaire'!AZ172/24,0))</f>
        <v>3</v>
      </c>
      <c r="BA126" s="14">
        <f>IF(Distances!BA172="N.C.",0,ROUNDUP(BA107+'Délai intermédiaire'!BA172/24,0))</f>
        <v>3</v>
      </c>
      <c r="BB126" s="13">
        <f>IF(Distances!BB172="N.C.",0,ROUNDUP(BB107+'Délai intermédiaire'!BB172/24,0))</f>
        <v>3</v>
      </c>
      <c r="BC126" s="14">
        <f>IF(Distances!BC172="N.C.",0,ROUNDUP(BC107+'Délai intermédiaire'!BC172/24,0))</f>
        <v>3</v>
      </c>
      <c r="BD126" s="14">
        <f>IF(Distances!BD172="N.C.",0,ROUNDUP(BD107+'Délai intermédiaire'!BD172/24,0))</f>
        <v>3</v>
      </c>
      <c r="BE126" s="14">
        <f>IF(Distances!BE172="N.C.",0,ROUNDUP(BE107+'Délai intermédiaire'!BE172/24,0))</f>
        <v>3</v>
      </c>
      <c r="BF126" s="13">
        <f>IF(Distances!BF172="N.C.",0,ROUNDUP(BF107+'Délai intermédiaire'!BF172/24,0))</f>
        <v>3</v>
      </c>
      <c r="BG126" s="13">
        <f>IF(Distances!BG172="N.C.",0,ROUNDUP(BG107+'Délai intermédiaire'!BG172/24,0))</f>
        <v>3</v>
      </c>
      <c r="BH126" s="14">
        <f>IF(Distances!BH172="N.C.",0,ROUNDUP(BH107+'Délai intermédiaire'!BH172/24,0))</f>
        <v>3</v>
      </c>
      <c r="BI126" s="14">
        <f>IF(Distances!BI172="N.C.",0,ROUNDUP(BI107+'Délai intermédiaire'!BI172/24,0))</f>
        <v>3</v>
      </c>
      <c r="BJ126" s="15">
        <f>IF(Distances!BJ172="N.C.",0,ROUNDUP(BJ107+'Délai intermédiaire'!BJ172/24,0))</f>
        <v>3</v>
      </c>
    </row>
    <row r="127" spans="1:62" x14ac:dyDescent="0.3">
      <c r="A127" s="10" t="s">
        <v>19</v>
      </c>
      <c r="B127" s="16">
        <f>IF(Distances!B173="N.C.",0,ROUNDUP(B107+'Délai intermédiaire'!B173/24,0))</f>
        <v>2</v>
      </c>
      <c r="C127" s="14">
        <f>IF(Distances!C173="N.C.",0,ROUNDUP(C107+'Délai intermédiaire'!C173/24,0))</f>
        <v>2</v>
      </c>
      <c r="D127" s="14">
        <f>IF(Distances!D173="N.C.",0,ROUNDUP(D107+'Délai intermédiaire'!D173/24,0))</f>
        <v>2</v>
      </c>
      <c r="E127" s="14">
        <f>IF(Distances!E173="N.C.",0,ROUNDUP(E107+'Délai intermédiaire'!E173/24,0))</f>
        <v>2</v>
      </c>
      <c r="F127" s="14">
        <f>IF(Distances!F173="N.C.",0,ROUNDUP(F107+'Délai intermédiaire'!F173/24,0))</f>
        <v>2</v>
      </c>
      <c r="G127" s="14">
        <f>IF(Distances!G173="N.C.",0,ROUNDUP(G107+'Délai intermédiaire'!G173/24,0))</f>
        <v>2</v>
      </c>
      <c r="H127" s="14">
        <f>IF(Distances!H173="N.C.",0,ROUNDUP(H107+'Délai intermédiaire'!H173/24,0))</f>
        <v>2</v>
      </c>
      <c r="I127" s="14">
        <f>IF(Distances!I173="N.C.",0,ROUNDUP(I107+'Délai intermédiaire'!I173/24,0))</f>
        <v>2</v>
      </c>
      <c r="J127" s="14">
        <f>IF(Distances!J173="N.C.",0,ROUNDUP(J107+'Délai intermédiaire'!J173/24,0))</f>
        <v>3</v>
      </c>
      <c r="K127" s="14">
        <f>IF(Distances!K173="N.C.",0,ROUNDUP(K107+'Délai intermédiaire'!K173/24,0))</f>
        <v>3</v>
      </c>
      <c r="L127" s="14">
        <f>IF(Distances!L173="N.C.",0,ROUNDUP(L107+'Délai intermédiaire'!L173/24,0))</f>
        <v>3</v>
      </c>
      <c r="M127" s="14">
        <f>IF(Distances!M173="N.C.",0,ROUNDUP(M107+'Délai intermédiaire'!M173/24,0))</f>
        <v>3</v>
      </c>
      <c r="N127" s="14">
        <f>IF(Distances!N173="N.C.",0,ROUNDUP(N107+'Délai intermédiaire'!N173/24,0))</f>
        <v>3</v>
      </c>
      <c r="O127" s="14">
        <f>IF(Distances!O173="N.C.",0,ROUNDUP(O107+'Délai intermédiaire'!O173/24,0))</f>
        <v>3</v>
      </c>
      <c r="P127" s="14">
        <f>IF(Distances!P173="N.C.",0,ROUNDUP(P107+'Délai intermédiaire'!P173/24,0))</f>
        <v>3</v>
      </c>
      <c r="Q127" s="13">
        <f>IF(Distances!Q173="N.C.",0,ROUNDUP(Q107+'Délai intermédiaire'!Q173/24,0))</f>
        <v>2</v>
      </c>
      <c r="R127" s="13">
        <f>IF(Distances!R173="N.C.",0,ROUNDUP(R107+'Délai intermédiaire'!R173/24,0))</f>
        <v>2</v>
      </c>
      <c r="S127" s="13">
        <f>IF(Distances!S173="N.C.",0,ROUNDUP(S107+'Délai intermédiaire'!S173/24,0))</f>
        <v>2</v>
      </c>
      <c r="T127" s="12">
        <f>IF(Distances!T173="N.C.",0,ROUNDUP(T107+'Délai intermédiaire'!T173/24,0))</f>
        <v>1</v>
      </c>
      <c r="U127" s="13">
        <f>IF(Distances!U173="N.C.",0,ROUNDUP(U107+'Délai intermédiaire'!U173/24,0))</f>
        <v>2</v>
      </c>
      <c r="V127" s="13">
        <f>IF(Distances!V173="N.C.",0,ROUNDUP(V107+'Délai intermédiaire'!V173/24,0))</f>
        <v>2</v>
      </c>
      <c r="W127" s="13">
        <f>IF(Distances!W173="N.C.",0,ROUNDUP(W107+'Délai intermédiaire'!W173/24,0))</f>
        <v>2</v>
      </c>
      <c r="X127" s="13">
        <f>IF(Distances!X173="N.C.",0,ROUNDUP(X107+'Délai intermédiaire'!X173/24,0))</f>
        <v>2</v>
      </c>
      <c r="Y127" s="13">
        <f>IF(Distances!Y173="N.C.",0,ROUNDUP(Y107+'Délai intermédiaire'!Y173/24,0))</f>
        <v>2</v>
      </c>
      <c r="Z127" s="13">
        <f>IF(Distances!Z173="N.C.",0,ROUNDUP(Z107+'Délai intermédiaire'!Z173/24,0))</f>
        <v>3</v>
      </c>
      <c r="AA127" s="13">
        <f>IF(Distances!AA173="N.C.",0,ROUNDUP(AA107+'Délai intermédiaire'!AA173/24,0))</f>
        <v>3</v>
      </c>
      <c r="AB127" s="13">
        <f>IF(Distances!AB173="N.C.",0,ROUNDUP(AB107+'Délai intermédiaire'!AB173/24,0))</f>
        <v>2</v>
      </c>
      <c r="AC127" s="13">
        <f>IF(Distances!AC173="N.C.",0,ROUNDUP(AC107+'Délai intermédiaire'!AC173/24,0))</f>
        <v>2</v>
      </c>
      <c r="AD127" s="13">
        <f>IF(Distances!AD173="N.C.",0,ROUNDUP(AD107+'Délai intermédiaire'!AD173/24,0))</f>
        <v>3</v>
      </c>
      <c r="AE127" s="13">
        <f>IF(Distances!AE173="N.C.",0,ROUNDUP(AE107+'Délai intermédiaire'!AE173/24,0))</f>
        <v>3</v>
      </c>
      <c r="AF127" s="13">
        <f>IF(Distances!AF173="N.C.",0,ROUNDUP(AF107+'Délai intermédiaire'!AF173/24,0))</f>
        <v>2</v>
      </c>
      <c r="AG127" s="13">
        <f>IF(Distances!AG173="N.C.",0,ROUNDUP(AG107+'Délai intermédiaire'!AG173/24,0))</f>
        <v>3</v>
      </c>
      <c r="AH127" s="14">
        <f>IF(Distances!AH173="N.C.",0,ROUNDUP(AH107+'Délai intermédiaire'!AH173/24,0))</f>
        <v>3</v>
      </c>
      <c r="AI127" s="14">
        <f>IF(Distances!AI173="N.C.",0,ROUNDUP(AI107+'Délai intermédiaire'!AI173/24,0))</f>
        <v>3</v>
      </c>
      <c r="AJ127" s="14">
        <f>IF(Distances!AJ173="N.C.",0,ROUNDUP(AJ107+'Délai intermédiaire'!AJ173/24,0))</f>
        <v>3</v>
      </c>
      <c r="AK127" s="14">
        <f>IF(Distances!AK173="N.C.",0,ROUNDUP(AK107+'Délai intermédiaire'!AK173/24,0))</f>
        <v>3</v>
      </c>
      <c r="AL127" s="14">
        <f>IF(Distances!AL173="N.C.",0,ROUNDUP(AL107+'Délai intermédiaire'!AL173/24,0))</f>
        <v>2</v>
      </c>
      <c r="AM127" s="14">
        <f>IF(Distances!AM173="N.C.",0,ROUNDUP(AM107+'Délai intermédiaire'!AM173/24,0))</f>
        <v>2</v>
      </c>
      <c r="AN127" s="14">
        <f>IF(Distances!AN173="N.C.",0,ROUNDUP(AN107+'Délai intermédiaire'!AN173/24,0))</f>
        <v>2</v>
      </c>
      <c r="AO127" s="14">
        <f>IF(Distances!AO173="N.C.",0,ROUNDUP(AO107+'Délai intermédiaire'!AO173/24,0))</f>
        <v>3</v>
      </c>
      <c r="AP127" s="14">
        <f>IF(Distances!AP173="N.C.",0,ROUNDUP(AP107+'Délai intermédiaire'!AP173/24,0))</f>
        <v>3</v>
      </c>
      <c r="AQ127" s="14">
        <f>IF(Distances!AQ173="N.C.",0,ROUNDUP(AQ107+'Délai intermédiaire'!AQ173/24,0))</f>
        <v>3</v>
      </c>
      <c r="AR127" s="14">
        <f>IF(Distances!AR173="N.C.",0,ROUNDUP(AR107+'Délai intermédiaire'!AR173/24,0))</f>
        <v>3</v>
      </c>
      <c r="AS127" s="14">
        <f>IF(Distances!AS173="N.C.",0,ROUNDUP(AS107+'Délai intermédiaire'!AS173/24,0))</f>
        <v>3</v>
      </c>
      <c r="AT127" s="14">
        <f>IF(Distances!AT173="N.C.",0,ROUNDUP(AT107+'Délai intermédiaire'!AT173/24,0))</f>
        <v>3</v>
      </c>
      <c r="AU127" s="14">
        <f>IF(Distances!AU173="N.C.",0,ROUNDUP(AU107+'Délai intermédiaire'!AU173/24,0))</f>
        <v>3</v>
      </c>
      <c r="AV127" s="14">
        <f>IF(Distances!AV173="N.C.",0,ROUNDUP(AV107+'Délai intermédiaire'!AV173/24,0))</f>
        <v>4</v>
      </c>
      <c r="AW127" s="14">
        <f>IF(Distances!AW173="N.C.",0,ROUNDUP(AW107+'Délai intermédiaire'!AW173/24,0))</f>
        <v>4</v>
      </c>
      <c r="AX127" s="14">
        <f>IF(Distances!AX173="N.C.",0,ROUNDUP(AX107+'Délai intermédiaire'!AX173/24,0))</f>
        <v>4</v>
      </c>
      <c r="AY127" s="14">
        <f>IF(Distances!AY173="N.C.",0,ROUNDUP(AY107+'Délai intermédiaire'!AY173/24,0))</f>
        <v>3</v>
      </c>
      <c r="AZ127" s="14">
        <f>IF(Distances!AZ173="N.C.",0,ROUNDUP(AZ107+'Délai intermédiaire'!AZ173/24,0))</f>
        <v>3</v>
      </c>
      <c r="BA127" s="14">
        <f>IF(Distances!BA173="N.C.",0,ROUNDUP(BA107+'Délai intermédiaire'!BA173/24,0))</f>
        <v>3</v>
      </c>
      <c r="BB127" s="13">
        <f>IF(Distances!BB173="N.C.",0,ROUNDUP(BB107+'Délai intermédiaire'!BB173/24,0))</f>
        <v>3</v>
      </c>
      <c r="BC127" s="14">
        <f>IF(Distances!BC173="N.C.",0,ROUNDUP(BC107+'Délai intermédiaire'!BC173/24,0))</f>
        <v>3</v>
      </c>
      <c r="BD127" s="14">
        <f>IF(Distances!BD173="N.C.",0,ROUNDUP(BD107+'Délai intermédiaire'!BD173/24,0))</f>
        <v>3</v>
      </c>
      <c r="BE127" s="14">
        <f>IF(Distances!BE173="N.C.",0,ROUNDUP(BE107+'Délai intermédiaire'!BE173/24,0))</f>
        <v>3</v>
      </c>
      <c r="BF127" s="13">
        <f>IF(Distances!BF173="N.C.",0,ROUNDUP(BF107+'Délai intermédiaire'!BF173/24,0))</f>
        <v>3</v>
      </c>
      <c r="BG127" s="13">
        <f>IF(Distances!BG173="N.C.",0,ROUNDUP(BG107+'Délai intermédiaire'!BG173/24,0))</f>
        <v>3</v>
      </c>
      <c r="BH127" s="14">
        <f>IF(Distances!BH173="N.C.",0,ROUNDUP(BH107+'Délai intermédiaire'!BH173/24,0))</f>
        <v>3</v>
      </c>
      <c r="BI127" s="14">
        <f>IF(Distances!BI173="N.C.",0,ROUNDUP(BI107+'Délai intermédiaire'!BI173/24,0))</f>
        <v>3</v>
      </c>
      <c r="BJ127" s="15">
        <f>IF(Distances!BJ173="N.C.",0,ROUNDUP(BJ107+'Délai intermédiaire'!BJ173/24,0))</f>
        <v>3</v>
      </c>
    </row>
    <row r="128" spans="1:62" x14ac:dyDescent="0.3">
      <c r="A128" s="10" t="s">
        <v>20</v>
      </c>
      <c r="B128" s="16">
        <f>IF(Distances!B174="N.C.",0,ROUNDUP(B107+'Délai intermédiaire'!B174/24,0))</f>
        <v>2</v>
      </c>
      <c r="C128" s="14">
        <f>IF(Distances!C174="N.C.",0,ROUNDUP(C107+'Délai intermédiaire'!C174/24,0))</f>
        <v>2</v>
      </c>
      <c r="D128" s="14">
        <f>IF(Distances!D174="N.C.",0,ROUNDUP(D107+'Délai intermédiaire'!D174/24,0))</f>
        <v>2</v>
      </c>
      <c r="E128" s="14">
        <f>IF(Distances!E174="N.C.",0,ROUNDUP(E107+'Délai intermédiaire'!E174/24,0))</f>
        <v>2</v>
      </c>
      <c r="F128" s="14">
        <f>IF(Distances!F174="N.C.",0,ROUNDUP(F107+'Délai intermédiaire'!F174/24,0))</f>
        <v>2</v>
      </c>
      <c r="G128" s="14">
        <f>IF(Distances!G174="N.C.",0,ROUNDUP(G107+'Délai intermédiaire'!G174/24,0))</f>
        <v>2</v>
      </c>
      <c r="H128" s="14">
        <f>IF(Distances!H174="N.C.",0,ROUNDUP(H107+'Délai intermédiaire'!H174/24,0))</f>
        <v>2</v>
      </c>
      <c r="I128" s="14">
        <f>IF(Distances!I174="N.C.",0,ROUNDUP(I107+'Délai intermédiaire'!I174/24,0))</f>
        <v>2</v>
      </c>
      <c r="J128" s="14">
        <f>IF(Distances!J174="N.C.",0,ROUNDUP(J107+'Délai intermédiaire'!J174/24,0))</f>
        <v>3</v>
      </c>
      <c r="K128" s="14">
        <f>IF(Distances!K174="N.C.",0,ROUNDUP(K107+'Délai intermédiaire'!K174/24,0))</f>
        <v>3</v>
      </c>
      <c r="L128" s="14">
        <f>IF(Distances!L174="N.C.",0,ROUNDUP(L107+'Délai intermédiaire'!L174/24,0))</f>
        <v>3</v>
      </c>
      <c r="M128" s="14">
        <f>IF(Distances!M174="N.C.",0,ROUNDUP(M107+'Délai intermédiaire'!M174/24,0))</f>
        <v>3</v>
      </c>
      <c r="N128" s="14">
        <f>IF(Distances!N174="N.C.",0,ROUNDUP(N107+'Délai intermédiaire'!N174/24,0))</f>
        <v>3</v>
      </c>
      <c r="O128" s="14">
        <f>IF(Distances!O174="N.C.",0,ROUNDUP(O107+'Délai intermédiaire'!O174/24,0))</f>
        <v>3</v>
      </c>
      <c r="P128" s="14">
        <f>IF(Distances!P174="N.C.",0,ROUNDUP(P107+'Délai intermédiaire'!P174/24,0))</f>
        <v>3</v>
      </c>
      <c r="Q128" s="13">
        <f>IF(Distances!Q174="N.C.",0,ROUNDUP(Q107+'Délai intermédiaire'!Q174/24,0))</f>
        <v>2</v>
      </c>
      <c r="R128" s="13">
        <f>IF(Distances!R174="N.C.",0,ROUNDUP(R107+'Délai intermédiaire'!R174/24,0))</f>
        <v>2</v>
      </c>
      <c r="S128" s="13">
        <f>IF(Distances!S174="N.C.",0,ROUNDUP(S107+'Délai intermédiaire'!S174/24,0))</f>
        <v>2</v>
      </c>
      <c r="T128" s="13">
        <f>IF(Distances!T174="N.C.",0,ROUNDUP(T107+'Délai intermédiaire'!T174/24,0))</f>
        <v>2</v>
      </c>
      <c r="U128" s="12">
        <f>IF(Distances!U174="N.C.",0,ROUNDUP(U107+'Délai intermédiaire'!U174/24,0))</f>
        <v>1</v>
      </c>
      <c r="V128" s="13">
        <f>IF(Distances!V174="N.C.",0,ROUNDUP(V107+'Délai intermédiaire'!V174/24,0))</f>
        <v>2</v>
      </c>
      <c r="W128" s="13">
        <f>IF(Distances!W174="N.C.",0,ROUNDUP(W107+'Délai intermédiaire'!W174/24,0))</f>
        <v>2</v>
      </c>
      <c r="X128" s="13">
        <f>IF(Distances!X174="N.C.",0,ROUNDUP(X107+'Délai intermédiaire'!X174/24,0))</f>
        <v>2</v>
      </c>
      <c r="Y128" s="13">
        <f>IF(Distances!Y174="N.C.",0,ROUNDUP(Y107+'Délai intermédiaire'!Y174/24,0))</f>
        <v>2</v>
      </c>
      <c r="Z128" s="13">
        <f>IF(Distances!Z174="N.C.",0,ROUNDUP(Z107+'Délai intermédiaire'!Z174/24,0))</f>
        <v>3</v>
      </c>
      <c r="AA128" s="13">
        <f>IF(Distances!AA174="N.C.",0,ROUNDUP(AA107+'Délai intermédiaire'!AA174/24,0))</f>
        <v>3</v>
      </c>
      <c r="AB128" s="13">
        <f>IF(Distances!AB174="N.C.",0,ROUNDUP(AB107+'Délai intermédiaire'!AB174/24,0))</f>
        <v>2</v>
      </c>
      <c r="AC128" s="13">
        <f>IF(Distances!AC174="N.C.",0,ROUNDUP(AC107+'Délai intermédiaire'!AC174/24,0))</f>
        <v>2</v>
      </c>
      <c r="AD128" s="13">
        <f>IF(Distances!AD174="N.C.",0,ROUNDUP(AD107+'Délai intermédiaire'!AD174/24,0))</f>
        <v>3</v>
      </c>
      <c r="AE128" s="13">
        <f>IF(Distances!AE174="N.C.",0,ROUNDUP(AE107+'Délai intermédiaire'!AE174/24,0))</f>
        <v>3</v>
      </c>
      <c r="AF128" s="13">
        <f>IF(Distances!AF174="N.C.",0,ROUNDUP(AF107+'Délai intermédiaire'!AF174/24,0))</f>
        <v>2</v>
      </c>
      <c r="AG128" s="13">
        <f>IF(Distances!AG174="N.C.",0,ROUNDUP(AG107+'Délai intermédiaire'!AG174/24,0))</f>
        <v>3</v>
      </c>
      <c r="AH128" s="14">
        <f>IF(Distances!AH174="N.C.",0,ROUNDUP(AH107+'Délai intermédiaire'!AH174/24,0))</f>
        <v>3</v>
      </c>
      <c r="AI128" s="14">
        <f>IF(Distances!AI174="N.C.",0,ROUNDUP(AI107+'Délai intermédiaire'!AI174/24,0))</f>
        <v>3</v>
      </c>
      <c r="AJ128" s="14">
        <f>IF(Distances!AJ174="N.C.",0,ROUNDUP(AJ107+'Délai intermédiaire'!AJ174/24,0))</f>
        <v>3</v>
      </c>
      <c r="AK128" s="14">
        <f>IF(Distances!AK174="N.C.",0,ROUNDUP(AK107+'Délai intermédiaire'!AK174/24,0))</f>
        <v>3</v>
      </c>
      <c r="AL128" s="14">
        <f>IF(Distances!AL174="N.C.",0,ROUNDUP(AL107+'Délai intermédiaire'!AL174/24,0))</f>
        <v>2</v>
      </c>
      <c r="AM128" s="14">
        <f>IF(Distances!AM174="N.C.",0,ROUNDUP(AM107+'Délai intermédiaire'!AM174/24,0))</f>
        <v>2</v>
      </c>
      <c r="AN128" s="14">
        <f>IF(Distances!AN174="N.C.",0,ROUNDUP(AN107+'Délai intermédiaire'!AN174/24,0))</f>
        <v>2</v>
      </c>
      <c r="AO128" s="14">
        <f>IF(Distances!AO174="N.C.",0,ROUNDUP(AO107+'Délai intermédiaire'!AO174/24,0))</f>
        <v>3</v>
      </c>
      <c r="AP128" s="14">
        <f>IF(Distances!AP174="N.C.",0,ROUNDUP(AP107+'Délai intermédiaire'!AP174/24,0))</f>
        <v>3</v>
      </c>
      <c r="AQ128" s="14">
        <f>IF(Distances!AQ174="N.C.",0,ROUNDUP(AQ107+'Délai intermédiaire'!AQ174/24,0))</f>
        <v>3</v>
      </c>
      <c r="AR128" s="14">
        <f>IF(Distances!AR174="N.C.",0,ROUNDUP(AR107+'Délai intermédiaire'!AR174/24,0))</f>
        <v>3</v>
      </c>
      <c r="AS128" s="14">
        <f>IF(Distances!AS174="N.C.",0,ROUNDUP(AS107+'Délai intermédiaire'!AS174/24,0))</f>
        <v>3</v>
      </c>
      <c r="AT128" s="14">
        <f>IF(Distances!AT174="N.C.",0,ROUNDUP(AT107+'Délai intermédiaire'!AT174/24,0))</f>
        <v>3</v>
      </c>
      <c r="AU128" s="14">
        <f>IF(Distances!AU174="N.C.",0,ROUNDUP(AU107+'Délai intermédiaire'!AU174/24,0))</f>
        <v>3</v>
      </c>
      <c r="AV128" s="14">
        <f>IF(Distances!AV174="N.C.",0,ROUNDUP(AV107+'Délai intermédiaire'!AV174/24,0))</f>
        <v>4</v>
      </c>
      <c r="AW128" s="14">
        <f>IF(Distances!AW174="N.C.",0,ROUNDUP(AW107+'Délai intermédiaire'!AW174/24,0))</f>
        <v>4</v>
      </c>
      <c r="AX128" s="14">
        <f>IF(Distances!AX174="N.C.",0,ROUNDUP(AX107+'Délai intermédiaire'!AX174/24,0))</f>
        <v>4</v>
      </c>
      <c r="AY128" s="14">
        <f>IF(Distances!AY174="N.C.",0,ROUNDUP(AY107+'Délai intermédiaire'!AY174/24,0))</f>
        <v>3</v>
      </c>
      <c r="AZ128" s="14">
        <f>IF(Distances!AZ174="N.C.",0,ROUNDUP(AZ107+'Délai intermédiaire'!AZ174/24,0))</f>
        <v>3</v>
      </c>
      <c r="BA128" s="14">
        <f>IF(Distances!BA174="N.C.",0,ROUNDUP(BA107+'Délai intermédiaire'!BA174/24,0))</f>
        <v>3</v>
      </c>
      <c r="BB128" s="13">
        <f>IF(Distances!BB174="N.C.",0,ROUNDUP(BB107+'Délai intermédiaire'!BB174/24,0))</f>
        <v>3</v>
      </c>
      <c r="BC128" s="14">
        <f>IF(Distances!BC174="N.C.",0,ROUNDUP(BC107+'Délai intermédiaire'!BC174/24,0))</f>
        <v>3</v>
      </c>
      <c r="BD128" s="14">
        <f>IF(Distances!BD174="N.C.",0,ROUNDUP(BD107+'Délai intermédiaire'!BD174/24,0))</f>
        <v>3</v>
      </c>
      <c r="BE128" s="14">
        <f>IF(Distances!BE174="N.C.",0,ROUNDUP(BE107+'Délai intermédiaire'!BE174/24,0))</f>
        <v>3</v>
      </c>
      <c r="BF128" s="13">
        <f>IF(Distances!BF174="N.C.",0,ROUNDUP(BF107+'Délai intermédiaire'!BF174/24,0))</f>
        <v>3</v>
      </c>
      <c r="BG128" s="13">
        <f>IF(Distances!BG174="N.C.",0,ROUNDUP(BG107+'Délai intermédiaire'!BG174/24,0))</f>
        <v>3</v>
      </c>
      <c r="BH128" s="14">
        <f>IF(Distances!BH174="N.C.",0,ROUNDUP(BH107+'Délai intermédiaire'!BH174/24,0))</f>
        <v>3</v>
      </c>
      <c r="BI128" s="14">
        <f>IF(Distances!BI174="N.C.",0,ROUNDUP(BI107+'Délai intermédiaire'!BI174/24,0))</f>
        <v>3</v>
      </c>
      <c r="BJ128" s="15">
        <f>IF(Distances!BJ174="N.C.",0,ROUNDUP(BJ107+'Délai intermédiaire'!BJ174/24,0))</f>
        <v>3</v>
      </c>
    </row>
    <row r="129" spans="1:62" x14ac:dyDescent="0.3">
      <c r="A129" s="10" t="s">
        <v>21</v>
      </c>
      <c r="B129" s="16">
        <f>IF(Distances!B175="N.C.",0,ROUNDUP(B107+'Délai intermédiaire'!B175/24,0))</f>
        <v>2</v>
      </c>
      <c r="C129" s="14">
        <f>IF(Distances!C175="N.C.",0,ROUNDUP(C107+'Délai intermédiaire'!C175/24,0))</f>
        <v>2</v>
      </c>
      <c r="D129" s="14">
        <f>IF(Distances!D175="N.C.",0,ROUNDUP(D107+'Délai intermédiaire'!D175/24,0))</f>
        <v>2</v>
      </c>
      <c r="E129" s="14">
        <f>IF(Distances!E175="N.C.",0,ROUNDUP(E107+'Délai intermédiaire'!E175/24,0))</f>
        <v>2</v>
      </c>
      <c r="F129" s="14">
        <f>IF(Distances!F175="N.C.",0,ROUNDUP(F107+'Délai intermédiaire'!F175/24,0))</f>
        <v>2</v>
      </c>
      <c r="G129" s="14">
        <f>IF(Distances!G175="N.C.",0,ROUNDUP(G107+'Délai intermédiaire'!G175/24,0))</f>
        <v>2</v>
      </c>
      <c r="H129" s="14">
        <f>IF(Distances!H175="N.C.",0,ROUNDUP(H107+'Délai intermédiaire'!H175/24,0))</f>
        <v>2</v>
      </c>
      <c r="I129" s="14">
        <f>IF(Distances!I175="N.C.",0,ROUNDUP(I107+'Délai intermédiaire'!I175/24,0))</f>
        <v>2</v>
      </c>
      <c r="J129" s="14">
        <f>IF(Distances!J175="N.C.",0,ROUNDUP(J107+'Délai intermédiaire'!J175/24,0))</f>
        <v>3</v>
      </c>
      <c r="K129" s="14">
        <f>IF(Distances!K175="N.C.",0,ROUNDUP(K107+'Délai intermédiaire'!K175/24,0))</f>
        <v>3</v>
      </c>
      <c r="L129" s="14">
        <f>IF(Distances!L175="N.C.",0,ROUNDUP(L107+'Délai intermédiaire'!L175/24,0))</f>
        <v>3</v>
      </c>
      <c r="M129" s="14">
        <f>IF(Distances!M175="N.C.",0,ROUNDUP(M107+'Délai intermédiaire'!M175/24,0))</f>
        <v>3</v>
      </c>
      <c r="N129" s="14">
        <f>IF(Distances!N175="N.C.",0,ROUNDUP(N107+'Délai intermédiaire'!N175/24,0))</f>
        <v>3</v>
      </c>
      <c r="O129" s="14">
        <f>IF(Distances!O175="N.C.",0,ROUNDUP(O107+'Délai intermédiaire'!O175/24,0))</f>
        <v>3</v>
      </c>
      <c r="P129" s="14">
        <f>IF(Distances!P175="N.C.",0,ROUNDUP(P107+'Délai intermédiaire'!P175/24,0))</f>
        <v>3</v>
      </c>
      <c r="Q129" s="13">
        <f>IF(Distances!Q175="N.C.",0,ROUNDUP(Q107+'Délai intermédiaire'!Q175/24,0))</f>
        <v>2</v>
      </c>
      <c r="R129" s="13">
        <f>IF(Distances!R175="N.C.",0,ROUNDUP(R107+'Délai intermédiaire'!R175/24,0))</f>
        <v>2</v>
      </c>
      <c r="S129" s="13">
        <f>IF(Distances!S175="N.C.",0,ROUNDUP(S107+'Délai intermédiaire'!S175/24,0))</f>
        <v>2</v>
      </c>
      <c r="T129" s="13">
        <f>IF(Distances!T175="N.C.",0,ROUNDUP(T107+'Délai intermédiaire'!T175/24,0))</f>
        <v>2</v>
      </c>
      <c r="U129" s="13">
        <f>IF(Distances!U175="N.C.",0,ROUNDUP(U107+'Délai intermédiaire'!U175/24,0))</f>
        <v>2</v>
      </c>
      <c r="V129" s="12">
        <f>IF(Distances!V175="N.C.",0,ROUNDUP(V107+'Délai intermédiaire'!V175/24,0))</f>
        <v>1</v>
      </c>
      <c r="W129" s="13">
        <f>IF(Distances!W175="N.C.",0,ROUNDUP(W107+'Délai intermédiaire'!W175/24,0))</f>
        <v>2</v>
      </c>
      <c r="X129" s="13">
        <f>IF(Distances!X175="N.C.",0,ROUNDUP(X107+'Délai intermédiaire'!X175/24,0))</f>
        <v>2</v>
      </c>
      <c r="Y129" s="13">
        <f>IF(Distances!Y175="N.C.",0,ROUNDUP(Y107+'Délai intermédiaire'!Y175/24,0))</f>
        <v>2</v>
      </c>
      <c r="Z129" s="13">
        <f>IF(Distances!Z175="N.C.",0,ROUNDUP(Z107+'Délai intermédiaire'!Z175/24,0))</f>
        <v>3</v>
      </c>
      <c r="AA129" s="13">
        <f>IF(Distances!AA175="N.C.",0,ROUNDUP(AA107+'Délai intermédiaire'!AA175/24,0))</f>
        <v>3</v>
      </c>
      <c r="AB129" s="13">
        <f>IF(Distances!AB175="N.C.",0,ROUNDUP(AB107+'Délai intermédiaire'!AB175/24,0))</f>
        <v>2</v>
      </c>
      <c r="AC129" s="13">
        <f>IF(Distances!AC175="N.C.",0,ROUNDUP(AC107+'Délai intermédiaire'!AC175/24,0))</f>
        <v>2</v>
      </c>
      <c r="AD129" s="13">
        <f>IF(Distances!AD175="N.C.",0,ROUNDUP(AD107+'Délai intermédiaire'!AD175/24,0))</f>
        <v>3</v>
      </c>
      <c r="AE129" s="13">
        <f>IF(Distances!AE175="N.C.",0,ROUNDUP(AE107+'Délai intermédiaire'!AE175/24,0))</f>
        <v>3</v>
      </c>
      <c r="AF129" s="13">
        <f>IF(Distances!AF175="N.C.",0,ROUNDUP(AF107+'Délai intermédiaire'!AF175/24,0))</f>
        <v>2</v>
      </c>
      <c r="AG129" s="13">
        <f>IF(Distances!AG175="N.C.",0,ROUNDUP(AG107+'Délai intermédiaire'!AG175/24,0))</f>
        <v>3</v>
      </c>
      <c r="AH129" s="14">
        <f>IF(Distances!AH175="N.C.",0,ROUNDUP(AH107+'Délai intermédiaire'!AH175/24,0))</f>
        <v>3</v>
      </c>
      <c r="AI129" s="14">
        <f>IF(Distances!AI175="N.C.",0,ROUNDUP(AI107+'Délai intermédiaire'!AI175/24,0))</f>
        <v>3</v>
      </c>
      <c r="AJ129" s="14">
        <f>IF(Distances!AJ175="N.C.",0,ROUNDUP(AJ107+'Délai intermédiaire'!AJ175/24,0))</f>
        <v>3</v>
      </c>
      <c r="AK129" s="14">
        <f>IF(Distances!AK175="N.C.",0,ROUNDUP(AK107+'Délai intermédiaire'!AK175/24,0))</f>
        <v>3</v>
      </c>
      <c r="AL129" s="14">
        <f>IF(Distances!AL175="N.C.",0,ROUNDUP(AL107+'Délai intermédiaire'!AL175/24,0))</f>
        <v>2</v>
      </c>
      <c r="AM129" s="14">
        <f>IF(Distances!AM175="N.C.",0,ROUNDUP(AM107+'Délai intermédiaire'!AM175/24,0))</f>
        <v>2</v>
      </c>
      <c r="AN129" s="14">
        <f>IF(Distances!AN175="N.C.",0,ROUNDUP(AN107+'Délai intermédiaire'!AN175/24,0))</f>
        <v>2</v>
      </c>
      <c r="AO129" s="14">
        <f>IF(Distances!AO175="N.C.",0,ROUNDUP(AO107+'Délai intermédiaire'!AO175/24,0))</f>
        <v>3</v>
      </c>
      <c r="AP129" s="14">
        <f>IF(Distances!AP175="N.C.",0,ROUNDUP(AP107+'Délai intermédiaire'!AP175/24,0))</f>
        <v>3</v>
      </c>
      <c r="AQ129" s="14">
        <f>IF(Distances!AQ175="N.C.",0,ROUNDUP(AQ107+'Délai intermédiaire'!AQ175/24,0))</f>
        <v>3</v>
      </c>
      <c r="AR129" s="14">
        <f>IF(Distances!AR175="N.C.",0,ROUNDUP(AR107+'Délai intermédiaire'!AR175/24,0))</f>
        <v>3</v>
      </c>
      <c r="AS129" s="14">
        <f>IF(Distances!AS175="N.C.",0,ROUNDUP(AS107+'Délai intermédiaire'!AS175/24,0))</f>
        <v>3</v>
      </c>
      <c r="AT129" s="14">
        <f>IF(Distances!AT175="N.C.",0,ROUNDUP(AT107+'Délai intermédiaire'!AT175/24,0))</f>
        <v>3</v>
      </c>
      <c r="AU129" s="14">
        <f>IF(Distances!AU175="N.C.",0,ROUNDUP(AU107+'Délai intermédiaire'!AU175/24,0))</f>
        <v>3</v>
      </c>
      <c r="AV129" s="14">
        <f>IF(Distances!AV175="N.C.",0,ROUNDUP(AV107+'Délai intermédiaire'!AV175/24,0))</f>
        <v>4</v>
      </c>
      <c r="AW129" s="14">
        <f>IF(Distances!AW175="N.C.",0,ROUNDUP(AW107+'Délai intermédiaire'!AW175/24,0))</f>
        <v>4</v>
      </c>
      <c r="AX129" s="14">
        <f>IF(Distances!AX175="N.C.",0,ROUNDUP(AX107+'Délai intermédiaire'!AX175/24,0))</f>
        <v>4</v>
      </c>
      <c r="AY129" s="14">
        <f>IF(Distances!AY175="N.C.",0,ROUNDUP(AY107+'Délai intermédiaire'!AY175/24,0))</f>
        <v>3</v>
      </c>
      <c r="AZ129" s="14">
        <f>IF(Distances!AZ175="N.C.",0,ROUNDUP(AZ107+'Délai intermédiaire'!AZ175/24,0))</f>
        <v>3</v>
      </c>
      <c r="BA129" s="14">
        <f>IF(Distances!BA175="N.C.",0,ROUNDUP(BA107+'Délai intermédiaire'!BA175/24,0))</f>
        <v>3</v>
      </c>
      <c r="BB129" s="13">
        <f>IF(Distances!BB175="N.C.",0,ROUNDUP(BB107+'Délai intermédiaire'!BB175/24,0))</f>
        <v>3</v>
      </c>
      <c r="BC129" s="14">
        <f>IF(Distances!BC175="N.C.",0,ROUNDUP(BC107+'Délai intermédiaire'!BC175/24,0))</f>
        <v>3</v>
      </c>
      <c r="BD129" s="14">
        <f>IF(Distances!BD175="N.C.",0,ROUNDUP(BD107+'Délai intermédiaire'!BD175/24,0))</f>
        <v>3</v>
      </c>
      <c r="BE129" s="14">
        <f>IF(Distances!BE175="N.C.",0,ROUNDUP(BE107+'Délai intermédiaire'!BE175/24,0))</f>
        <v>3</v>
      </c>
      <c r="BF129" s="13">
        <f>IF(Distances!BF175="N.C.",0,ROUNDUP(BF107+'Délai intermédiaire'!BF175/24,0))</f>
        <v>3</v>
      </c>
      <c r="BG129" s="13">
        <f>IF(Distances!BG175="N.C.",0,ROUNDUP(BG107+'Délai intermédiaire'!BG175/24,0))</f>
        <v>3</v>
      </c>
      <c r="BH129" s="14">
        <f>IF(Distances!BH175="N.C.",0,ROUNDUP(BH107+'Délai intermédiaire'!BH175/24,0))</f>
        <v>3</v>
      </c>
      <c r="BI129" s="14">
        <f>IF(Distances!BI175="N.C.",0,ROUNDUP(BI107+'Délai intermédiaire'!BI175/24,0))</f>
        <v>3</v>
      </c>
      <c r="BJ129" s="15">
        <f>IF(Distances!BJ175="N.C.",0,ROUNDUP(BJ107+'Délai intermédiaire'!BJ175/24,0))</f>
        <v>3</v>
      </c>
    </row>
    <row r="130" spans="1:62" x14ac:dyDescent="0.3">
      <c r="A130" s="10" t="s">
        <v>22</v>
      </c>
      <c r="B130" s="16">
        <f>IF(Distances!B176="N.C.",0,ROUNDUP(B107+'Délai intermédiaire'!B176/24,0))</f>
        <v>2</v>
      </c>
      <c r="C130" s="14">
        <f>IF(Distances!C176="N.C.",0,ROUNDUP(C107+'Délai intermédiaire'!C176/24,0))</f>
        <v>2</v>
      </c>
      <c r="D130" s="14">
        <f>IF(Distances!D176="N.C.",0,ROUNDUP(D107+'Délai intermédiaire'!D176/24,0))</f>
        <v>2</v>
      </c>
      <c r="E130" s="14">
        <f>IF(Distances!E176="N.C.",0,ROUNDUP(E107+'Délai intermédiaire'!E176/24,0))</f>
        <v>2</v>
      </c>
      <c r="F130" s="14">
        <f>IF(Distances!F176="N.C.",0,ROUNDUP(F107+'Délai intermédiaire'!F176/24,0))</f>
        <v>2</v>
      </c>
      <c r="G130" s="14">
        <f>IF(Distances!G176="N.C.",0,ROUNDUP(G107+'Délai intermédiaire'!G176/24,0))</f>
        <v>2</v>
      </c>
      <c r="H130" s="14">
        <f>IF(Distances!H176="N.C.",0,ROUNDUP(H107+'Délai intermédiaire'!H176/24,0))</f>
        <v>2</v>
      </c>
      <c r="I130" s="14">
        <f>IF(Distances!I176="N.C.",0,ROUNDUP(I107+'Délai intermédiaire'!I176/24,0))</f>
        <v>2</v>
      </c>
      <c r="J130" s="14">
        <f>IF(Distances!J176="N.C.",0,ROUNDUP(J107+'Délai intermédiaire'!J176/24,0))</f>
        <v>3</v>
      </c>
      <c r="K130" s="14">
        <f>IF(Distances!K176="N.C.",0,ROUNDUP(K107+'Délai intermédiaire'!K176/24,0))</f>
        <v>3</v>
      </c>
      <c r="L130" s="14">
        <f>IF(Distances!L176="N.C.",0,ROUNDUP(L107+'Délai intermédiaire'!L176/24,0))</f>
        <v>3</v>
      </c>
      <c r="M130" s="14">
        <f>IF(Distances!M176="N.C.",0,ROUNDUP(M107+'Délai intermédiaire'!M176/24,0))</f>
        <v>3</v>
      </c>
      <c r="N130" s="14">
        <f>IF(Distances!N176="N.C.",0,ROUNDUP(N107+'Délai intermédiaire'!N176/24,0))</f>
        <v>3</v>
      </c>
      <c r="O130" s="14">
        <f>IF(Distances!O176="N.C.",0,ROUNDUP(O107+'Délai intermédiaire'!O176/24,0))</f>
        <v>3</v>
      </c>
      <c r="P130" s="14">
        <f>IF(Distances!P176="N.C.",0,ROUNDUP(P107+'Délai intermédiaire'!P176/24,0))</f>
        <v>3</v>
      </c>
      <c r="Q130" s="13">
        <f>IF(Distances!Q176="N.C.",0,ROUNDUP(Q107+'Délai intermédiaire'!Q176/24,0))</f>
        <v>2</v>
      </c>
      <c r="R130" s="13">
        <f>IF(Distances!R176="N.C.",0,ROUNDUP(R107+'Délai intermédiaire'!R176/24,0))</f>
        <v>2</v>
      </c>
      <c r="S130" s="13">
        <f>IF(Distances!S176="N.C.",0,ROUNDUP(S107+'Délai intermédiaire'!S176/24,0))</f>
        <v>2</v>
      </c>
      <c r="T130" s="13">
        <f>IF(Distances!T176="N.C.",0,ROUNDUP(T107+'Délai intermédiaire'!T176/24,0))</f>
        <v>2</v>
      </c>
      <c r="U130" s="13">
        <f>IF(Distances!U176="N.C.",0,ROUNDUP(U107+'Délai intermédiaire'!U176/24,0))</f>
        <v>2</v>
      </c>
      <c r="V130" s="13">
        <f>IF(Distances!V176="N.C.",0,ROUNDUP(V107+'Délai intermédiaire'!V176/24,0))</f>
        <v>2</v>
      </c>
      <c r="W130" s="12">
        <f>IF(Distances!W176="N.C.",0,ROUNDUP(W107+'Délai intermédiaire'!W176/24,0))</f>
        <v>1</v>
      </c>
      <c r="X130" s="13">
        <f>IF(Distances!X176="N.C.",0,ROUNDUP(X107+'Délai intermédiaire'!X176/24,0))</f>
        <v>2</v>
      </c>
      <c r="Y130" s="13">
        <f>IF(Distances!Y176="N.C.",0,ROUNDUP(Y107+'Délai intermédiaire'!Y176/24,0))</f>
        <v>2</v>
      </c>
      <c r="Z130" s="13">
        <f>IF(Distances!Z176="N.C.",0,ROUNDUP(Z107+'Délai intermédiaire'!Z176/24,0))</f>
        <v>3</v>
      </c>
      <c r="AA130" s="13">
        <f>IF(Distances!AA176="N.C.",0,ROUNDUP(AA107+'Délai intermédiaire'!AA176/24,0))</f>
        <v>3</v>
      </c>
      <c r="AB130" s="13">
        <f>IF(Distances!AB176="N.C.",0,ROUNDUP(AB107+'Délai intermédiaire'!AB176/24,0))</f>
        <v>2</v>
      </c>
      <c r="AC130" s="13">
        <f>IF(Distances!AC176="N.C.",0,ROUNDUP(AC107+'Délai intermédiaire'!AC176/24,0))</f>
        <v>2</v>
      </c>
      <c r="AD130" s="13">
        <f>IF(Distances!AD176="N.C.",0,ROUNDUP(AD107+'Délai intermédiaire'!AD176/24,0))</f>
        <v>3</v>
      </c>
      <c r="AE130" s="13">
        <f>IF(Distances!AE176="N.C.",0,ROUNDUP(AE107+'Délai intermédiaire'!AE176/24,0))</f>
        <v>3</v>
      </c>
      <c r="AF130" s="13">
        <f>IF(Distances!AF176="N.C.",0,ROUNDUP(AF107+'Délai intermédiaire'!AF176/24,0))</f>
        <v>2</v>
      </c>
      <c r="AG130" s="13">
        <f>IF(Distances!AG176="N.C.",0,ROUNDUP(AG107+'Délai intermédiaire'!AG176/24,0))</f>
        <v>3</v>
      </c>
      <c r="AH130" s="14">
        <f>IF(Distances!AH176="N.C.",0,ROUNDUP(AH107+'Délai intermédiaire'!AH176/24,0))</f>
        <v>3</v>
      </c>
      <c r="AI130" s="14">
        <f>IF(Distances!AI176="N.C.",0,ROUNDUP(AI107+'Délai intermédiaire'!AI176/24,0))</f>
        <v>3</v>
      </c>
      <c r="AJ130" s="14">
        <f>IF(Distances!AJ176="N.C.",0,ROUNDUP(AJ107+'Délai intermédiaire'!AJ176/24,0))</f>
        <v>3</v>
      </c>
      <c r="AK130" s="14">
        <f>IF(Distances!AK176="N.C.",0,ROUNDUP(AK107+'Délai intermédiaire'!AK176/24,0))</f>
        <v>3</v>
      </c>
      <c r="AL130" s="14">
        <f>IF(Distances!AL176="N.C.",0,ROUNDUP(AL107+'Délai intermédiaire'!AL176/24,0))</f>
        <v>2</v>
      </c>
      <c r="AM130" s="14">
        <f>IF(Distances!AM176="N.C.",0,ROUNDUP(AM107+'Délai intermédiaire'!AM176/24,0))</f>
        <v>2</v>
      </c>
      <c r="AN130" s="14">
        <f>IF(Distances!AN176="N.C.",0,ROUNDUP(AN107+'Délai intermédiaire'!AN176/24,0))</f>
        <v>2</v>
      </c>
      <c r="AO130" s="14">
        <f>IF(Distances!AO176="N.C.",0,ROUNDUP(AO107+'Délai intermédiaire'!AO176/24,0))</f>
        <v>3</v>
      </c>
      <c r="AP130" s="14">
        <f>IF(Distances!AP176="N.C.",0,ROUNDUP(AP107+'Délai intermédiaire'!AP176/24,0))</f>
        <v>3</v>
      </c>
      <c r="AQ130" s="14">
        <f>IF(Distances!AQ176="N.C.",0,ROUNDUP(AQ107+'Délai intermédiaire'!AQ176/24,0))</f>
        <v>3</v>
      </c>
      <c r="AR130" s="14">
        <f>IF(Distances!AR176="N.C.",0,ROUNDUP(AR107+'Délai intermédiaire'!AR176/24,0))</f>
        <v>3</v>
      </c>
      <c r="AS130" s="14">
        <f>IF(Distances!AS176="N.C.",0,ROUNDUP(AS107+'Délai intermédiaire'!AS176/24,0))</f>
        <v>3</v>
      </c>
      <c r="AT130" s="14">
        <f>IF(Distances!AT176="N.C.",0,ROUNDUP(AT107+'Délai intermédiaire'!AT176/24,0))</f>
        <v>3</v>
      </c>
      <c r="AU130" s="14">
        <f>IF(Distances!AU176="N.C.",0,ROUNDUP(AU107+'Délai intermédiaire'!AU176/24,0))</f>
        <v>3</v>
      </c>
      <c r="AV130" s="14">
        <f>IF(Distances!AV176="N.C.",0,ROUNDUP(AV107+'Délai intermédiaire'!AV176/24,0))</f>
        <v>4</v>
      </c>
      <c r="AW130" s="14">
        <f>IF(Distances!AW176="N.C.",0,ROUNDUP(AW107+'Délai intermédiaire'!AW176/24,0))</f>
        <v>4</v>
      </c>
      <c r="AX130" s="14">
        <f>IF(Distances!AX176="N.C.",0,ROUNDUP(AX107+'Délai intermédiaire'!AX176/24,0))</f>
        <v>4</v>
      </c>
      <c r="AY130" s="14">
        <f>IF(Distances!AY176="N.C.",0,ROUNDUP(AY107+'Délai intermédiaire'!AY176/24,0))</f>
        <v>3</v>
      </c>
      <c r="AZ130" s="14">
        <f>IF(Distances!AZ176="N.C.",0,ROUNDUP(AZ107+'Délai intermédiaire'!AZ176/24,0))</f>
        <v>3</v>
      </c>
      <c r="BA130" s="14">
        <f>IF(Distances!BA176="N.C.",0,ROUNDUP(BA107+'Délai intermédiaire'!BA176/24,0))</f>
        <v>3</v>
      </c>
      <c r="BB130" s="12">
        <f>IF(Distances!BB176="N.C.",0,ROUNDUP(BB107+'Délai intermédiaire'!BB176/24,0))</f>
        <v>3</v>
      </c>
      <c r="BC130" s="14">
        <f>IF(Distances!BC176="N.C.",0,ROUNDUP(BC107+'Délai intermédiaire'!BC176/24,0))</f>
        <v>3</v>
      </c>
      <c r="BD130" s="14">
        <f>IF(Distances!BD176="N.C.",0,ROUNDUP(BD107+'Délai intermédiaire'!BD176/24,0))</f>
        <v>3</v>
      </c>
      <c r="BE130" s="14">
        <f>IF(Distances!BE176="N.C.",0,ROUNDUP(BE107+'Délai intermédiaire'!BE176/24,0))</f>
        <v>3</v>
      </c>
      <c r="BF130" s="13">
        <f>IF(Distances!BF176="N.C.",0,ROUNDUP(BF107+'Délai intermédiaire'!BF176/24,0))</f>
        <v>3</v>
      </c>
      <c r="BG130" s="13">
        <f>IF(Distances!BG176="N.C.",0,ROUNDUP(BG107+'Délai intermédiaire'!BG176/24,0))</f>
        <v>3</v>
      </c>
      <c r="BH130" s="14">
        <f>IF(Distances!BH176="N.C.",0,ROUNDUP(BH107+'Délai intermédiaire'!BH176/24,0))</f>
        <v>3</v>
      </c>
      <c r="BI130" s="14">
        <f>IF(Distances!BI176="N.C.",0,ROUNDUP(BI107+'Délai intermédiaire'!BI176/24,0))</f>
        <v>3</v>
      </c>
      <c r="BJ130" s="15">
        <f>IF(Distances!BJ176="N.C.",0,ROUNDUP(BJ107+'Délai intermédiaire'!BJ176/24,0))</f>
        <v>3</v>
      </c>
    </row>
    <row r="131" spans="1:62" x14ac:dyDescent="0.3">
      <c r="A131" s="10" t="s">
        <v>23</v>
      </c>
      <c r="B131" s="16">
        <f>IF(Distances!B177="N.C.",0,ROUNDUP(B107+'Délai intermédiaire'!B177/24,0))</f>
        <v>2</v>
      </c>
      <c r="C131" s="14">
        <f>IF(Distances!C177="N.C.",0,ROUNDUP(C107+'Délai intermédiaire'!C177/24,0))</f>
        <v>2</v>
      </c>
      <c r="D131" s="14">
        <f>IF(Distances!D177="N.C.",0,ROUNDUP(D107+'Délai intermédiaire'!D177/24,0))</f>
        <v>2</v>
      </c>
      <c r="E131" s="14">
        <f>IF(Distances!E177="N.C.",0,ROUNDUP(E107+'Délai intermédiaire'!E177/24,0))</f>
        <v>2</v>
      </c>
      <c r="F131" s="14">
        <f>IF(Distances!F177="N.C.",0,ROUNDUP(F107+'Délai intermédiaire'!F177/24,0))</f>
        <v>2</v>
      </c>
      <c r="G131" s="14">
        <f>IF(Distances!G177="N.C.",0,ROUNDUP(G107+'Délai intermédiaire'!G177/24,0))</f>
        <v>2</v>
      </c>
      <c r="H131" s="14">
        <f>IF(Distances!H177="N.C.",0,ROUNDUP(H107+'Délai intermédiaire'!H177/24,0))</f>
        <v>2</v>
      </c>
      <c r="I131" s="14">
        <f>IF(Distances!I177="N.C.",0,ROUNDUP(I107+'Délai intermédiaire'!I177/24,0))</f>
        <v>2</v>
      </c>
      <c r="J131" s="14">
        <f>IF(Distances!J177="N.C.",0,ROUNDUP(J107+'Délai intermédiaire'!J177/24,0))</f>
        <v>3</v>
      </c>
      <c r="K131" s="14">
        <f>IF(Distances!K177="N.C.",0,ROUNDUP(K107+'Délai intermédiaire'!K177/24,0))</f>
        <v>3</v>
      </c>
      <c r="L131" s="14">
        <f>IF(Distances!L177="N.C.",0,ROUNDUP(L107+'Délai intermédiaire'!L177/24,0))</f>
        <v>3</v>
      </c>
      <c r="M131" s="14">
        <f>IF(Distances!M177="N.C.",0,ROUNDUP(M107+'Délai intermédiaire'!M177/24,0))</f>
        <v>3</v>
      </c>
      <c r="N131" s="14">
        <f>IF(Distances!N177="N.C.",0,ROUNDUP(N107+'Délai intermédiaire'!N177/24,0))</f>
        <v>3</v>
      </c>
      <c r="O131" s="14">
        <f>IF(Distances!O177="N.C.",0,ROUNDUP(O107+'Délai intermédiaire'!O177/24,0))</f>
        <v>3</v>
      </c>
      <c r="P131" s="14">
        <f>IF(Distances!P177="N.C.",0,ROUNDUP(P107+'Délai intermédiaire'!P177/24,0))</f>
        <v>3</v>
      </c>
      <c r="Q131" s="13">
        <f>IF(Distances!Q177="N.C.",0,ROUNDUP(Q107+'Délai intermédiaire'!Q177/24,0))</f>
        <v>2</v>
      </c>
      <c r="R131" s="13">
        <f>IF(Distances!R177="N.C.",0,ROUNDUP(R107+'Délai intermédiaire'!R177/24,0))</f>
        <v>2</v>
      </c>
      <c r="S131" s="13">
        <f>IF(Distances!S177="N.C.",0,ROUNDUP(S107+'Délai intermédiaire'!S177/24,0))</f>
        <v>2</v>
      </c>
      <c r="T131" s="13">
        <f>IF(Distances!T177="N.C.",0,ROUNDUP(T107+'Délai intermédiaire'!T177/24,0))</f>
        <v>2</v>
      </c>
      <c r="U131" s="13">
        <f>IF(Distances!U177="N.C.",0,ROUNDUP(U107+'Délai intermédiaire'!U177/24,0))</f>
        <v>2</v>
      </c>
      <c r="V131" s="13">
        <f>IF(Distances!V177="N.C.",0,ROUNDUP(V107+'Délai intermédiaire'!V177/24,0))</f>
        <v>2</v>
      </c>
      <c r="W131" s="13">
        <f>IF(Distances!W177="N.C.",0,ROUNDUP(W107+'Délai intermédiaire'!W177/24,0))</f>
        <v>2</v>
      </c>
      <c r="X131" s="12">
        <f>IF(Distances!X177="N.C.",0,ROUNDUP(X107+'Délai intermédiaire'!X177/24,0))</f>
        <v>1</v>
      </c>
      <c r="Y131" s="13">
        <f>IF(Distances!Y177="N.C.",0,ROUNDUP(Y107+'Délai intermédiaire'!Y177/24,0))</f>
        <v>2</v>
      </c>
      <c r="Z131" s="13">
        <f>IF(Distances!Z177="N.C.",0,ROUNDUP(Z107+'Délai intermédiaire'!Z177/24,0))</f>
        <v>3</v>
      </c>
      <c r="AA131" s="13">
        <f>IF(Distances!AA177="N.C.",0,ROUNDUP(AA107+'Délai intermédiaire'!AA177/24,0))</f>
        <v>3</v>
      </c>
      <c r="AB131" s="13">
        <f>IF(Distances!AB177="N.C.",0,ROUNDUP(AB107+'Délai intermédiaire'!AB177/24,0))</f>
        <v>2</v>
      </c>
      <c r="AC131" s="13">
        <f>IF(Distances!AC177="N.C.",0,ROUNDUP(AC107+'Délai intermédiaire'!AC177/24,0))</f>
        <v>2</v>
      </c>
      <c r="AD131" s="13">
        <f>IF(Distances!AD177="N.C.",0,ROUNDUP(AD107+'Délai intermédiaire'!AD177/24,0))</f>
        <v>3</v>
      </c>
      <c r="AE131" s="13">
        <f>IF(Distances!AE177="N.C.",0,ROUNDUP(AE107+'Délai intermédiaire'!AE177/24,0))</f>
        <v>3</v>
      </c>
      <c r="AF131" s="13">
        <f>IF(Distances!AF177="N.C.",0,ROUNDUP(AF107+'Délai intermédiaire'!AF177/24,0))</f>
        <v>2</v>
      </c>
      <c r="AG131" s="13">
        <f>IF(Distances!AG177="N.C.",0,ROUNDUP(AG107+'Délai intermédiaire'!AG177/24,0))</f>
        <v>3</v>
      </c>
      <c r="AH131" s="14">
        <f>IF(Distances!AH177="N.C.",0,ROUNDUP(AH107+'Délai intermédiaire'!AH177/24,0))</f>
        <v>3</v>
      </c>
      <c r="AI131" s="14">
        <f>IF(Distances!AI177="N.C.",0,ROUNDUP(AI107+'Délai intermédiaire'!AI177/24,0))</f>
        <v>3</v>
      </c>
      <c r="AJ131" s="14">
        <f>IF(Distances!AJ177="N.C.",0,ROUNDUP(AJ107+'Délai intermédiaire'!AJ177/24,0))</f>
        <v>3</v>
      </c>
      <c r="AK131" s="14">
        <f>IF(Distances!AK177="N.C.",0,ROUNDUP(AK107+'Délai intermédiaire'!AK177/24,0))</f>
        <v>3</v>
      </c>
      <c r="AL131" s="14">
        <f>IF(Distances!AL177="N.C.",0,ROUNDUP(AL107+'Délai intermédiaire'!AL177/24,0))</f>
        <v>2</v>
      </c>
      <c r="AM131" s="14">
        <f>IF(Distances!AM177="N.C.",0,ROUNDUP(AM107+'Délai intermédiaire'!AM177/24,0))</f>
        <v>2</v>
      </c>
      <c r="AN131" s="14">
        <f>IF(Distances!AN177="N.C.",0,ROUNDUP(AN107+'Délai intermédiaire'!AN177/24,0))</f>
        <v>2</v>
      </c>
      <c r="AO131" s="14">
        <f>IF(Distances!AO177="N.C.",0,ROUNDUP(AO107+'Délai intermédiaire'!AO177/24,0))</f>
        <v>3</v>
      </c>
      <c r="AP131" s="14">
        <f>IF(Distances!AP177="N.C.",0,ROUNDUP(AP107+'Délai intermédiaire'!AP177/24,0))</f>
        <v>3</v>
      </c>
      <c r="AQ131" s="14">
        <f>IF(Distances!AQ177="N.C.",0,ROUNDUP(AQ107+'Délai intermédiaire'!AQ177/24,0))</f>
        <v>3</v>
      </c>
      <c r="AR131" s="14">
        <f>IF(Distances!AR177="N.C.",0,ROUNDUP(AR107+'Délai intermédiaire'!AR177/24,0))</f>
        <v>3</v>
      </c>
      <c r="AS131" s="14">
        <f>IF(Distances!AS177="N.C.",0,ROUNDUP(AS107+'Délai intermédiaire'!AS177/24,0))</f>
        <v>3</v>
      </c>
      <c r="AT131" s="14">
        <f>IF(Distances!AT177="N.C.",0,ROUNDUP(AT107+'Délai intermédiaire'!AT177/24,0))</f>
        <v>3</v>
      </c>
      <c r="AU131" s="14">
        <f>IF(Distances!AU177="N.C.",0,ROUNDUP(AU107+'Délai intermédiaire'!AU177/24,0))</f>
        <v>3</v>
      </c>
      <c r="AV131" s="14">
        <f>IF(Distances!AV177="N.C.",0,ROUNDUP(AV107+'Délai intermédiaire'!AV177/24,0))</f>
        <v>4</v>
      </c>
      <c r="AW131" s="14">
        <f>IF(Distances!AW177="N.C.",0,ROUNDUP(AW107+'Délai intermédiaire'!AW177/24,0))</f>
        <v>4</v>
      </c>
      <c r="AX131" s="14">
        <f>IF(Distances!AX177="N.C.",0,ROUNDUP(AX107+'Délai intermédiaire'!AX177/24,0))</f>
        <v>4</v>
      </c>
      <c r="AY131" s="14">
        <f>IF(Distances!AY177="N.C.",0,ROUNDUP(AY107+'Délai intermédiaire'!AY177/24,0))</f>
        <v>3</v>
      </c>
      <c r="AZ131" s="14">
        <f>IF(Distances!AZ177="N.C.",0,ROUNDUP(AZ107+'Délai intermédiaire'!AZ177/24,0))</f>
        <v>3</v>
      </c>
      <c r="BA131" s="14">
        <f>IF(Distances!BA177="N.C.",0,ROUNDUP(BA107+'Délai intermédiaire'!BA177/24,0))</f>
        <v>3</v>
      </c>
      <c r="BB131" s="13">
        <f>IF(Distances!BB177="N.C.",0,ROUNDUP(BB107+'Délai intermédiaire'!BB177/24,0))</f>
        <v>3</v>
      </c>
      <c r="BC131" s="14">
        <f>IF(Distances!BC177="N.C.",0,ROUNDUP(BC107+'Délai intermédiaire'!BC177/24,0))</f>
        <v>3</v>
      </c>
      <c r="BD131" s="14">
        <f>IF(Distances!BD177="N.C.",0,ROUNDUP(BD107+'Délai intermédiaire'!BD177/24,0))</f>
        <v>3</v>
      </c>
      <c r="BE131" s="14">
        <f>IF(Distances!BE177="N.C.",0,ROUNDUP(BE107+'Délai intermédiaire'!BE177/24,0))</f>
        <v>3</v>
      </c>
      <c r="BF131" s="13">
        <f>IF(Distances!BF177="N.C.",0,ROUNDUP(BF107+'Délai intermédiaire'!BF177/24,0))</f>
        <v>3</v>
      </c>
      <c r="BG131" s="13">
        <f>IF(Distances!BG177="N.C.",0,ROUNDUP(BG107+'Délai intermédiaire'!BG177/24,0))</f>
        <v>3</v>
      </c>
      <c r="BH131" s="14">
        <f>IF(Distances!BH177="N.C.",0,ROUNDUP(BH107+'Délai intermédiaire'!BH177/24,0))</f>
        <v>3</v>
      </c>
      <c r="BI131" s="14">
        <f>IF(Distances!BI177="N.C.",0,ROUNDUP(BI107+'Délai intermédiaire'!BI177/24,0))</f>
        <v>3</v>
      </c>
      <c r="BJ131" s="15">
        <f>IF(Distances!BJ177="N.C.",0,ROUNDUP(BJ107+'Délai intermédiaire'!BJ177/24,0))</f>
        <v>3</v>
      </c>
    </row>
    <row r="132" spans="1:62" x14ac:dyDescent="0.3">
      <c r="A132" s="10" t="s">
        <v>24</v>
      </c>
      <c r="B132" s="16">
        <f>IF(Distances!B178="N.C.",0,ROUNDUP(B107+'Délai intermédiaire'!B178/24,0))</f>
        <v>2</v>
      </c>
      <c r="C132" s="14">
        <f>IF(Distances!C178="N.C.",0,ROUNDUP(C107+'Délai intermédiaire'!C178/24,0))</f>
        <v>2</v>
      </c>
      <c r="D132" s="14">
        <f>IF(Distances!D178="N.C.",0,ROUNDUP(D107+'Délai intermédiaire'!D178/24,0))</f>
        <v>2</v>
      </c>
      <c r="E132" s="14">
        <f>IF(Distances!E178="N.C.",0,ROUNDUP(E107+'Délai intermédiaire'!E178/24,0))</f>
        <v>2</v>
      </c>
      <c r="F132" s="14">
        <f>IF(Distances!F178="N.C.",0,ROUNDUP(F107+'Délai intermédiaire'!F178/24,0))</f>
        <v>2</v>
      </c>
      <c r="G132" s="14">
        <f>IF(Distances!G178="N.C.",0,ROUNDUP(G107+'Délai intermédiaire'!G178/24,0))</f>
        <v>2</v>
      </c>
      <c r="H132" s="14">
        <f>IF(Distances!H178="N.C.",0,ROUNDUP(H107+'Délai intermédiaire'!H178/24,0))</f>
        <v>2</v>
      </c>
      <c r="I132" s="14">
        <f>IF(Distances!I178="N.C.",0,ROUNDUP(I107+'Délai intermédiaire'!I178/24,0))</f>
        <v>2</v>
      </c>
      <c r="J132" s="14">
        <f>IF(Distances!J178="N.C.",0,ROUNDUP(J107+'Délai intermédiaire'!J178/24,0))</f>
        <v>3</v>
      </c>
      <c r="K132" s="14">
        <f>IF(Distances!K178="N.C.",0,ROUNDUP(K107+'Délai intermédiaire'!K178/24,0))</f>
        <v>3</v>
      </c>
      <c r="L132" s="14">
        <f>IF(Distances!L178="N.C.",0,ROUNDUP(L107+'Délai intermédiaire'!L178/24,0))</f>
        <v>3</v>
      </c>
      <c r="M132" s="14">
        <f>IF(Distances!M178="N.C.",0,ROUNDUP(M107+'Délai intermédiaire'!M178/24,0))</f>
        <v>3</v>
      </c>
      <c r="N132" s="14">
        <f>IF(Distances!N178="N.C.",0,ROUNDUP(N107+'Délai intermédiaire'!N178/24,0))</f>
        <v>3</v>
      </c>
      <c r="O132" s="14">
        <f>IF(Distances!O178="N.C.",0,ROUNDUP(O107+'Délai intermédiaire'!O178/24,0))</f>
        <v>3</v>
      </c>
      <c r="P132" s="14">
        <f>IF(Distances!P178="N.C.",0,ROUNDUP(P107+'Délai intermédiaire'!P178/24,0))</f>
        <v>3</v>
      </c>
      <c r="Q132" s="13">
        <f>IF(Distances!Q178="N.C.",0,ROUNDUP(Q107+'Délai intermédiaire'!Q178/24,0))</f>
        <v>2</v>
      </c>
      <c r="R132" s="13">
        <f>IF(Distances!R178="N.C.",0,ROUNDUP(R107+'Délai intermédiaire'!R178/24,0))</f>
        <v>2</v>
      </c>
      <c r="S132" s="13">
        <f>IF(Distances!S178="N.C.",0,ROUNDUP(S107+'Délai intermédiaire'!S178/24,0))</f>
        <v>2</v>
      </c>
      <c r="T132" s="13">
        <f>IF(Distances!T178="N.C.",0,ROUNDUP(T107+'Délai intermédiaire'!T178/24,0))</f>
        <v>2</v>
      </c>
      <c r="U132" s="13">
        <f>IF(Distances!U178="N.C.",0,ROUNDUP(U107+'Délai intermédiaire'!U178/24,0))</f>
        <v>2</v>
      </c>
      <c r="V132" s="13">
        <f>IF(Distances!V178="N.C.",0,ROUNDUP(V107+'Délai intermédiaire'!V178/24,0))</f>
        <v>2</v>
      </c>
      <c r="W132" s="13">
        <f>IF(Distances!W178="N.C.",0,ROUNDUP(W107+'Délai intermédiaire'!W178/24,0))</f>
        <v>2</v>
      </c>
      <c r="X132" s="13">
        <f>IF(Distances!X178="N.C.",0,ROUNDUP(X107+'Délai intermédiaire'!X178/24,0))</f>
        <v>2</v>
      </c>
      <c r="Y132" s="12">
        <f>IF(Distances!Y178="N.C.",0,ROUNDUP(Y107+'Délai intermédiaire'!Y178/24,0))</f>
        <v>1</v>
      </c>
      <c r="Z132" s="13">
        <f>IF(Distances!Z178="N.C.",0,ROUNDUP(Z107+'Délai intermédiaire'!Z178/24,0))</f>
        <v>3</v>
      </c>
      <c r="AA132" s="13">
        <f>IF(Distances!AA178="N.C.",0,ROUNDUP(AA107+'Délai intermédiaire'!AA178/24,0))</f>
        <v>3</v>
      </c>
      <c r="AB132" s="13">
        <f>IF(Distances!AB178="N.C.",0,ROUNDUP(AB107+'Délai intermédiaire'!AB178/24,0))</f>
        <v>2</v>
      </c>
      <c r="AC132" s="13">
        <f>IF(Distances!AC178="N.C.",0,ROUNDUP(AC107+'Délai intermédiaire'!AC178/24,0))</f>
        <v>2</v>
      </c>
      <c r="AD132" s="13">
        <f>IF(Distances!AD178="N.C.",0,ROUNDUP(AD107+'Délai intermédiaire'!AD178/24,0))</f>
        <v>3</v>
      </c>
      <c r="AE132" s="13">
        <f>IF(Distances!AE178="N.C.",0,ROUNDUP(AE107+'Délai intermédiaire'!AE178/24,0))</f>
        <v>3</v>
      </c>
      <c r="AF132" s="13">
        <f>IF(Distances!AF178="N.C.",0,ROUNDUP(AF107+'Délai intermédiaire'!AF178/24,0))</f>
        <v>2</v>
      </c>
      <c r="AG132" s="13">
        <f>IF(Distances!AG178="N.C.",0,ROUNDUP(AG107+'Délai intermédiaire'!AG178/24,0))</f>
        <v>3</v>
      </c>
      <c r="AH132" s="14">
        <f>IF(Distances!AH178="N.C.",0,ROUNDUP(AH107+'Délai intermédiaire'!AH178/24,0))</f>
        <v>3</v>
      </c>
      <c r="AI132" s="14">
        <f>IF(Distances!AI178="N.C.",0,ROUNDUP(AI107+'Délai intermédiaire'!AI178/24,0))</f>
        <v>3</v>
      </c>
      <c r="AJ132" s="14">
        <f>IF(Distances!AJ178="N.C.",0,ROUNDUP(AJ107+'Délai intermédiaire'!AJ178/24,0))</f>
        <v>3</v>
      </c>
      <c r="AK132" s="14">
        <f>IF(Distances!AK178="N.C.",0,ROUNDUP(AK107+'Délai intermédiaire'!AK178/24,0))</f>
        <v>3</v>
      </c>
      <c r="AL132" s="14">
        <f>IF(Distances!AL178="N.C.",0,ROUNDUP(AL107+'Délai intermédiaire'!AL178/24,0))</f>
        <v>2</v>
      </c>
      <c r="AM132" s="14">
        <f>IF(Distances!AM178="N.C.",0,ROUNDUP(AM107+'Délai intermédiaire'!AM178/24,0))</f>
        <v>2</v>
      </c>
      <c r="AN132" s="14">
        <f>IF(Distances!AN178="N.C.",0,ROUNDUP(AN107+'Délai intermédiaire'!AN178/24,0))</f>
        <v>2</v>
      </c>
      <c r="AO132" s="14">
        <f>IF(Distances!AO178="N.C.",0,ROUNDUP(AO107+'Délai intermédiaire'!AO178/24,0))</f>
        <v>3</v>
      </c>
      <c r="AP132" s="14">
        <f>IF(Distances!AP178="N.C.",0,ROUNDUP(AP107+'Délai intermédiaire'!AP178/24,0))</f>
        <v>3</v>
      </c>
      <c r="AQ132" s="14">
        <f>IF(Distances!AQ178="N.C.",0,ROUNDUP(AQ107+'Délai intermédiaire'!AQ178/24,0))</f>
        <v>3</v>
      </c>
      <c r="AR132" s="14">
        <f>IF(Distances!AR178="N.C.",0,ROUNDUP(AR107+'Délai intermédiaire'!AR178/24,0))</f>
        <v>3</v>
      </c>
      <c r="AS132" s="14">
        <f>IF(Distances!AS178="N.C.",0,ROUNDUP(AS107+'Délai intermédiaire'!AS178/24,0))</f>
        <v>3</v>
      </c>
      <c r="AT132" s="14">
        <f>IF(Distances!AT178="N.C.",0,ROUNDUP(AT107+'Délai intermédiaire'!AT178/24,0))</f>
        <v>3</v>
      </c>
      <c r="AU132" s="14">
        <f>IF(Distances!AU178="N.C.",0,ROUNDUP(AU107+'Délai intermédiaire'!AU178/24,0))</f>
        <v>3</v>
      </c>
      <c r="AV132" s="14">
        <f>IF(Distances!AV178="N.C.",0,ROUNDUP(AV107+'Délai intermédiaire'!AV178/24,0))</f>
        <v>4</v>
      </c>
      <c r="AW132" s="14">
        <f>IF(Distances!AW178="N.C.",0,ROUNDUP(AW107+'Délai intermédiaire'!AW178/24,0))</f>
        <v>4</v>
      </c>
      <c r="AX132" s="14">
        <f>IF(Distances!AX178="N.C.",0,ROUNDUP(AX107+'Délai intermédiaire'!AX178/24,0))</f>
        <v>4</v>
      </c>
      <c r="AY132" s="14">
        <f>IF(Distances!AY178="N.C.",0,ROUNDUP(AY107+'Délai intermédiaire'!AY178/24,0))</f>
        <v>3</v>
      </c>
      <c r="AZ132" s="14">
        <f>IF(Distances!AZ178="N.C.",0,ROUNDUP(AZ107+'Délai intermédiaire'!AZ178/24,0))</f>
        <v>3</v>
      </c>
      <c r="BA132" s="14">
        <f>IF(Distances!BA178="N.C.",0,ROUNDUP(BA107+'Délai intermédiaire'!BA178/24,0))</f>
        <v>3</v>
      </c>
      <c r="BB132" s="13">
        <f>IF(Distances!BB178="N.C.",0,ROUNDUP(BB107+'Délai intermédiaire'!BB178/24,0))</f>
        <v>3</v>
      </c>
      <c r="BC132" s="14">
        <f>IF(Distances!BC178="N.C.",0,ROUNDUP(BC107+'Délai intermédiaire'!BC178/24,0))</f>
        <v>3</v>
      </c>
      <c r="BD132" s="14">
        <f>IF(Distances!BD178="N.C.",0,ROUNDUP(BD107+'Délai intermédiaire'!BD178/24,0))</f>
        <v>3</v>
      </c>
      <c r="BE132" s="14">
        <f>IF(Distances!BE178="N.C.",0,ROUNDUP(BE107+'Délai intermédiaire'!BE178/24,0))</f>
        <v>3</v>
      </c>
      <c r="BF132" s="13">
        <f>IF(Distances!BF178="N.C.",0,ROUNDUP(BF107+'Délai intermédiaire'!BF178/24,0))</f>
        <v>3</v>
      </c>
      <c r="BG132" s="13">
        <f>IF(Distances!BG178="N.C.",0,ROUNDUP(BG107+'Délai intermédiaire'!BG178/24,0))</f>
        <v>3</v>
      </c>
      <c r="BH132" s="14">
        <f>IF(Distances!BH178="N.C.",0,ROUNDUP(BH107+'Délai intermédiaire'!BH178/24,0))</f>
        <v>3</v>
      </c>
      <c r="BI132" s="14">
        <f>IF(Distances!BI178="N.C.",0,ROUNDUP(BI107+'Délai intermédiaire'!BI178/24,0))</f>
        <v>3</v>
      </c>
      <c r="BJ132" s="15">
        <f>IF(Distances!BJ178="N.C.",0,ROUNDUP(BJ107+'Délai intermédiaire'!BJ178/24,0))</f>
        <v>3</v>
      </c>
    </row>
    <row r="133" spans="1:62" x14ac:dyDescent="0.3">
      <c r="A133" s="10" t="s">
        <v>25</v>
      </c>
      <c r="B133" s="16">
        <f>IF(Distances!B179="N.C.",0,ROUNDUP(B107+'Délai intermédiaire'!B179/24,0))</f>
        <v>2</v>
      </c>
      <c r="C133" s="14">
        <f>IF(Distances!C179="N.C.",0,ROUNDUP(C107+'Délai intermédiaire'!C179/24,0))</f>
        <v>2</v>
      </c>
      <c r="D133" s="14">
        <f>IF(Distances!D179="N.C.",0,ROUNDUP(D107+'Délai intermédiaire'!D179/24,0))</f>
        <v>2</v>
      </c>
      <c r="E133" s="14">
        <f>IF(Distances!E179="N.C.",0,ROUNDUP(E107+'Délai intermédiaire'!E179/24,0))</f>
        <v>2</v>
      </c>
      <c r="F133" s="14">
        <f>IF(Distances!F179="N.C.",0,ROUNDUP(F107+'Délai intermédiaire'!F179/24,0))</f>
        <v>2</v>
      </c>
      <c r="G133" s="14">
        <f>IF(Distances!G179="N.C.",0,ROUNDUP(G107+'Délai intermédiaire'!G179/24,0))</f>
        <v>2</v>
      </c>
      <c r="H133" s="14">
        <f>IF(Distances!H179="N.C.",0,ROUNDUP(H107+'Délai intermédiaire'!H179/24,0))</f>
        <v>2</v>
      </c>
      <c r="I133" s="14">
        <f>IF(Distances!I179="N.C.",0,ROUNDUP(I107+'Délai intermédiaire'!I179/24,0))</f>
        <v>2</v>
      </c>
      <c r="J133" s="14">
        <f>IF(Distances!J179="N.C.",0,ROUNDUP(J107+'Délai intermédiaire'!J179/24,0))</f>
        <v>3</v>
      </c>
      <c r="K133" s="14">
        <f>IF(Distances!K179="N.C.",0,ROUNDUP(K107+'Délai intermédiaire'!K179/24,0))</f>
        <v>3</v>
      </c>
      <c r="L133" s="14">
        <f>IF(Distances!L179="N.C.",0,ROUNDUP(L107+'Délai intermédiaire'!L179/24,0))</f>
        <v>3</v>
      </c>
      <c r="M133" s="14">
        <f>IF(Distances!M179="N.C.",0,ROUNDUP(M107+'Délai intermédiaire'!M179/24,0))</f>
        <v>3</v>
      </c>
      <c r="N133" s="14">
        <f>IF(Distances!N179="N.C.",0,ROUNDUP(N107+'Délai intermédiaire'!N179/24,0))</f>
        <v>3</v>
      </c>
      <c r="O133" s="14">
        <f>IF(Distances!O179="N.C.",0,ROUNDUP(O107+'Délai intermédiaire'!O179/24,0))</f>
        <v>3</v>
      </c>
      <c r="P133" s="14">
        <f>IF(Distances!P179="N.C.",0,ROUNDUP(P107+'Délai intermédiaire'!P179/24,0))</f>
        <v>3</v>
      </c>
      <c r="Q133" s="13">
        <f>IF(Distances!Q179="N.C.",0,ROUNDUP(Q107+'Délai intermédiaire'!Q179/24,0))</f>
        <v>2</v>
      </c>
      <c r="R133" s="13">
        <f>IF(Distances!R179="N.C.",0,ROUNDUP(R107+'Délai intermédiaire'!R179/24,0))</f>
        <v>2</v>
      </c>
      <c r="S133" s="13">
        <f>IF(Distances!S179="N.C.",0,ROUNDUP(S107+'Délai intermédiaire'!S179/24,0))</f>
        <v>2</v>
      </c>
      <c r="T133" s="13">
        <f>IF(Distances!T179="N.C.",0,ROUNDUP(T107+'Délai intermédiaire'!T179/24,0))</f>
        <v>2</v>
      </c>
      <c r="U133" s="13">
        <f>IF(Distances!U179="N.C.",0,ROUNDUP(U107+'Délai intermédiaire'!U179/24,0))</f>
        <v>2</v>
      </c>
      <c r="V133" s="13">
        <f>IF(Distances!V179="N.C.",0,ROUNDUP(V107+'Délai intermédiaire'!V179/24,0))</f>
        <v>2</v>
      </c>
      <c r="W133" s="13">
        <f>IF(Distances!W179="N.C.",0,ROUNDUP(W107+'Délai intermédiaire'!W179/24,0))</f>
        <v>2</v>
      </c>
      <c r="X133" s="13">
        <f>IF(Distances!X179="N.C.",0,ROUNDUP(X107+'Délai intermédiaire'!X179/24,0))</f>
        <v>2</v>
      </c>
      <c r="Y133" s="13">
        <f>IF(Distances!Y179="N.C.",0,ROUNDUP(Y107+'Délai intermédiaire'!Y179/24,0))</f>
        <v>2</v>
      </c>
      <c r="Z133" s="12">
        <f>IF(Distances!Z179="N.C.",0,ROUNDUP(Z107+'Délai intermédiaire'!Z179/24,0))</f>
        <v>2</v>
      </c>
      <c r="AA133" s="13">
        <f>IF(Distances!AA179="N.C.",0,ROUNDUP(AA107+'Délai intermédiaire'!AA179/24,0))</f>
        <v>3</v>
      </c>
      <c r="AB133" s="13">
        <f>IF(Distances!AB179="N.C.",0,ROUNDUP(AB107+'Délai intermédiaire'!AB179/24,0))</f>
        <v>2</v>
      </c>
      <c r="AC133" s="13">
        <f>IF(Distances!AC179="N.C.",0,ROUNDUP(AC107+'Délai intermédiaire'!AC179/24,0))</f>
        <v>2</v>
      </c>
      <c r="AD133" s="13">
        <f>IF(Distances!AD179="N.C.",0,ROUNDUP(AD107+'Délai intermédiaire'!AD179/24,0))</f>
        <v>3</v>
      </c>
      <c r="AE133" s="13">
        <f>IF(Distances!AE179="N.C.",0,ROUNDUP(AE107+'Délai intermédiaire'!AE179/24,0))</f>
        <v>3</v>
      </c>
      <c r="AF133" s="13">
        <f>IF(Distances!AF179="N.C.",0,ROUNDUP(AF107+'Délai intermédiaire'!AF179/24,0))</f>
        <v>2</v>
      </c>
      <c r="AG133" s="13">
        <f>IF(Distances!AG179="N.C.",0,ROUNDUP(AG107+'Délai intermédiaire'!AG179/24,0))</f>
        <v>3</v>
      </c>
      <c r="AH133" s="14">
        <f>IF(Distances!AH179="N.C.",0,ROUNDUP(AH107+'Délai intermédiaire'!AH179/24,0))</f>
        <v>3</v>
      </c>
      <c r="AI133" s="14">
        <f>IF(Distances!AI179="N.C.",0,ROUNDUP(AI107+'Délai intermédiaire'!AI179/24,0))</f>
        <v>3</v>
      </c>
      <c r="AJ133" s="14">
        <f>IF(Distances!AJ179="N.C.",0,ROUNDUP(AJ107+'Délai intermédiaire'!AJ179/24,0))</f>
        <v>3</v>
      </c>
      <c r="AK133" s="14">
        <f>IF(Distances!AK179="N.C.",0,ROUNDUP(AK107+'Délai intermédiaire'!AK179/24,0))</f>
        <v>3</v>
      </c>
      <c r="AL133" s="14">
        <f>IF(Distances!AL179="N.C.",0,ROUNDUP(AL107+'Délai intermédiaire'!AL179/24,0))</f>
        <v>2</v>
      </c>
      <c r="AM133" s="14">
        <f>IF(Distances!AM179="N.C.",0,ROUNDUP(AM107+'Délai intermédiaire'!AM179/24,0))</f>
        <v>2</v>
      </c>
      <c r="AN133" s="14">
        <f>IF(Distances!AN179="N.C.",0,ROUNDUP(AN107+'Délai intermédiaire'!AN179/24,0))</f>
        <v>2</v>
      </c>
      <c r="AO133" s="14">
        <f>IF(Distances!AO179="N.C.",0,ROUNDUP(AO107+'Délai intermédiaire'!AO179/24,0))</f>
        <v>3</v>
      </c>
      <c r="AP133" s="14">
        <f>IF(Distances!AP179="N.C.",0,ROUNDUP(AP107+'Délai intermédiaire'!AP179/24,0))</f>
        <v>3</v>
      </c>
      <c r="AQ133" s="14">
        <f>IF(Distances!AQ179="N.C.",0,ROUNDUP(AQ107+'Délai intermédiaire'!AQ179/24,0))</f>
        <v>3</v>
      </c>
      <c r="AR133" s="14">
        <f>IF(Distances!AR179="N.C.",0,ROUNDUP(AR107+'Délai intermédiaire'!AR179/24,0))</f>
        <v>3</v>
      </c>
      <c r="AS133" s="14">
        <f>IF(Distances!AS179="N.C.",0,ROUNDUP(AS107+'Délai intermédiaire'!AS179/24,0))</f>
        <v>3</v>
      </c>
      <c r="AT133" s="14">
        <f>IF(Distances!AT179="N.C.",0,ROUNDUP(AT107+'Délai intermédiaire'!AT179/24,0))</f>
        <v>3</v>
      </c>
      <c r="AU133" s="14">
        <f>IF(Distances!AU179="N.C.",0,ROUNDUP(AU107+'Délai intermédiaire'!AU179/24,0))</f>
        <v>3</v>
      </c>
      <c r="AV133" s="14">
        <f>IF(Distances!AV179="N.C.",0,ROUNDUP(AV107+'Délai intermédiaire'!AV179/24,0))</f>
        <v>4</v>
      </c>
      <c r="AW133" s="14">
        <f>IF(Distances!AW179="N.C.",0,ROUNDUP(AW107+'Délai intermédiaire'!AW179/24,0))</f>
        <v>4</v>
      </c>
      <c r="AX133" s="14">
        <f>IF(Distances!AX179="N.C.",0,ROUNDUP(AX107+'Délai intermédiaire'!AX179/24,0))</f>
        <v>4</v>
      </c>
      <c r="AY133" s="14">
        <f>IF(Distances!AY179="N.C.",0,ROUNDUP(AY107+'Délai intermédiaire'!AY179/24,0))</f>
        <v>3</v>
      </c>
      <c r="AZ133" s="14">
        <f>IF(Distances!AZ179="N.C.",0,ROUNDUP(AZ107+'Délai intermédiaire'!AZ179/24,0))</f>
        <v>3</v>
      </c>
      <c r="BA133" s="14">
        <f>IF(Distances!BA179="N.C.",0,ROUNDUP(BA107+'Délai intermédiaire'!BA179/24,0))</f>
        <v>3</v>
      </c>
      <c r="BB133" s="13">
        <f>IF(Distances!BB179="N.C.",0,ROUNDUP(BB107+'Délai intermédiaire'!BB179/24,0))</f>
        <v>3</v>
      </c>
      <c r="BC133" s="14">
        <f>IF(Distances!BC179="N.C.",0,ROUNDUP(BC107+'Délai intermédiaire'!BC179/24,0))</f>
        <v>3</v>
      </c>
      <c r="BD133" s="14">
        <f>IF(Distances!BD179="N.C.",0,ROUNDUP(BD107+'Délai intermédiaire'!BD179/24,0))</f>
        <v>3</v>
      </c>
      <c r="BE133" s="14">
        <f>IF(Distances!BE179="N.C.",0,ROUNDUP(BE107+'Délai intermédiaire'!BE179/24,0))</f>
        <v>3</v>
      </c>
      <c r="BF133" s="13">
        <f>IF(Distances!BF179="N.C.",0,ROUNDUP(BF107+'Délai intermédiaire'!BF179/24,0))</f>
        <v>3</v>
      </c>
      <c r="BG133" s="13">
        <f>IF(Distances!BG179="N.C.",0,ROUNDUP(BG107+'Délai intermédiaire'!BG179/24,0))</f>
        <v>3</v>
      </c>
      <c r="BH133" s="14">
        <f>IF(Distances!BH179="N.C.",0,ROUNDUP(BH107+'Délai intermédiaire'!BH179/24,0))</f>
        <v>3</v>
      </c>
      <c r="BI133" s="14">
        <f>IF(Distances!BI179="N.C.",0,ROUNDUP(BI107+'Délai intermédiaire'!BI179/24,0))</f>
        <v>3</v>
      </c>
      <c r="BJ133" s="15">
        <f>IF(Distances!BJ179="N.C.",0,ROUNDUP(BJ107+'Délai intermédiaire'!BJ179/24,0))</f>
        <v>3</v>
      </c>
    </row>
    <row r="134" spans="1:62" x14ac:dyDescent="0.3">
      <c r="A134" s="10" t="s">
        <v>26</v>
      </c>
      <c r="B134" s="16">
        <f>IF(Distances!B180="N.C.",0,ROUNDUP(B107+'Délai intermédiaire'!B180/24,0))</f>
        <v>2</v>
      </c>
      <c r="C134" s="14">
        <f>IF(Distances!C180="N.C.",0,ROUNDUP(C107+'Délai intermédiaire'!C180/24,0))</f>
        <v>2</v>
      </c>
      <c r="D134" s="14">
        <f>IF(Distances!D180="N.C.",0,ROUNDUP(D107+'Délai intermédiaire'!D180/24,0))</f>
        <v>2</v>
      </c>
      <c r="E134" s="14">
        <f>IF(Distances!E180="N.C.",0,ROUNDUP(E107+'Délai intermédiaire'!E180/24,0))</f>
        <v>2</v>
      </c>
      <c r="F134" s="14">
        <f>IF(Distances!F180="N.C.",0,ROUNDUP(F107+'Délai intermédiaire'!F180/24,0))</f>
        <v>2</v>
      </c>
      <c r="G134" s="14">
        <f>IF(Distances!G180="N.C.",0,ROUNDUP(G107+'Délai intermédiaire'!G180/24,0))</f>
        <v>2</v>
      </c>
      <c r="H134" s="14">
        <f>IF(Distances!H180="N.C.",0,ROUNDUP(H107+'Délai intermédiaire'!H180/24,0))</f>
        <v>2</v>
      </c>
      <c r="I134" s="14">
        <f>IF(Distances!I180="N.C.",0,ROUNDUP(I107+'Délai intermédiaire'!I180/24,0))</f>
        <v>2</v>
      </c>
      <c r="J134" s="14">
        <f>IF(Distances!J180="N.C.",0,ROUNDUP(J107+'Délai intermédiaire'!J180/24,0))</f>
        <v>3</v>
      </c>
      <c r="K134" s="14">
        <f>IF(Distances!K180="N.C.",0,ROUNDUP(K107+'Délai intermédiaire'!K180/24,0))</f>
        <v>3</v>
      </c>
      <c r="L134" s="14">
        <f>IF(Distances!L180="N.C.",0,ROUNDUP(L107+'Délai intermédiaire'!L180/24,0))</f>
        <v>3</v>
      </c>
      <c r="M134" s="14">
        <f>IF(Distances!M180="N.C.",0,ROUNDUP(M107+'Délai intermédiaire'!M180/24,0))</f>
        <v>3</v>
      </c>
      <c r="N134" s="14">
        <f>IF(Distances!N180="N.C.",0,ROUNDUP(N107+'Délai intermédiaire'!N180/24,0))</f>
        <v>3</v>
      </c>
      <c r="O134" s="14">
        <f>IF(Distances!O180="N.C.",0,ROUNDUP(O107+'Délai intermédiaire'!O180/24,0))</f>
        <v>3</v>
      </c>
      <c r="P134" s="14">
        <f>IF(Distances!P180="N.C.",0,ROUNDUP(P107+'Délai intermédiaire'!P180/24,0))</f>
        <v>3</v>
      </c>
      <c r="Q134" s="13">
        <f>IF(Distances!Q180="N.C.",0,ROUNDUP(Q107+'Délai intermédiaire'!Q180/24,0))</f>
        <v>2</v>
      </c>
      <c r="R134" s="13">
        <f>IF(Distances!R180="N.C.",0,ROUNDUP(R107+'Délai intermédiaire'!R180/24,0))</f>
        <v>2</v>
      </c>
      <c r="S134" s="13">
        <f>IF(Distances!S180="N.C.",0,ROUNDUP(S107+'Délai intermédiaire'!S180/24,0))</f>
        <v>2</v>
      </c>
      <c r="T134" s="13">
        <f>IF(Distances!T180="N.C.",0,ROUNDUP(T107+'Délai intermédiaire'!T180/24,0))</f>
        <v>2</v>
      </c>
      <c r="U134" s="13">
        <f>IF(Distances!U180="N.C.",0,ROUNDUP(U107+'Délai intermédiaire'!U180/24,0))</f>
        <v>2</v>
      </c>
      <c r="V134" s="13">
        <f>IF(Distances!V180="N.C.",0,ROUNDUP(V107+'Délai intermédiaire'!V180/24,0))</f>
        <v>2</v>
      </c>
      <c r="W134" s="13">
        <f>IF(Distances!W180="N.C.",0,ROUNDUP(W107+'Délai intermédiaire'!W180/24,0))</f>
        <v>2</v>
      </c>
      <c r="X134" s="13">
        <f>IF(Distances!X180="N.C.",0,ROUNDUP(X107+'Délai intermédiaire'!X180/24,0))</f>
        <v>2</v>
      </c>
      <c r="Y134" s="13">
        <f>IF(Distances!Y180="N.C.",0,ROUNDUP(Y107+'Délai intermédiaire'!Y180/24,0))</f>
        <v>2</v>
      </c>
      <c r="Z134" s="13">
        <f>IF(Distances!Z180="N.C.",0,ROUNDUP(Z107+'Délai intermédiaire'!Z180/24,0))</f>
        <v>3</v>
      </c>
      <c r="AA134" s="12">
        <f>IF(Distances!AA180="N.C.",0,ROUNDUP(AA107+'Délai intermédiaire'!AA180/24,0))</f>
        <v>2</v>
      </c>
      <c r="AB134" s="13">
        <f>IF(Distances!AB180="N.C.",0,ROUNDUP(AB107+'Délai intermédiaire'!AB180/24,0))</f>
        <v>2</v>
      </c>
      <c r="AC134" s="13">
        <f>IF(Distances!AC180="N.C.",0,ROUNDUP(AC107+'Délai intermédiaire'!AC180/24,0))</f>
        <v>2</v>
      </c>
      <c r="AD134" s="13">
        <f>IF(Distances!AD180="N.C.",0,ROUNDUP(AD107+'Délai intermédiaire'!AD180/24,0))</f>
        <v>3</v>
      </c>
      <c r="AE134" s="13">
        <f>IF(Distances!AE180="N.C.",0,ROUNDUP(AE107+'Délai intermédiaire'!AE180/24,0))</f>
        <v>3</v>
      </c>
      <c r="AF134" s="13">
        <f>IF(Distances!AF180="N.C.",0,ROUNDUP(AF107+'Délai intermédiaire'!AF180/24,0))</f>
        <v>2</v>
      </c>
      <c r="AG134" s="13">
        <f>IF(Distances!AG180="N.C.",0,ROUNDUP(AG107+'Délai intermédiaire'!AG180/24,0))</f>
        <v>3</v>
      </c>
      <c r="AH134" s="14">
        <f>IF(Distances!AH180="N.C.",0,ROUNDUP(AH107+'Délai intermédiaire'!AH180/24,0))</f>
        <v>3</v>
      </c>
      <c r="AI134" s="14">
        <f>IF(Distances!AI180="N.C.",0,ROUNDUP(AI107+'Délai intermédiaire'!AI180/24,0))</f>
        <v>3</v>
      </c>
      <c r="AJ134" s="14">
        <f>IF(Distances!AJ180="N.C.",0,ROUNDUP(AJ107+'Délai intermédiaire'!AJ180/24,0))</f>
        <v>3</v>
      </c>
      <c r="AK134" s="14">
        <f>IF(Distances!AK180="N.C.",0,ROUNDUP(AK107+'Délai intermédiaire'!AK180/24,0))</f>
        <v>3</v>
      </c>
      <c r="AL134" s="14">
        <f>IF(Distances!AL180="N.C.",0,ROUNDUP(AL107+'Délai intermédiaire'!AL180/24,0))</f>
        <v>2</v>
      </c>
      <c r="AM134" s="14">
        <f>IF(Distances!AM180="N.C.",0,ROUNDUP(AM107+'Délai intermédiaire'!AM180/24,0))</f>
        <v>2</v>
      </c>
      <c r="AN134" s="14">
        <f>IF(Distances!AN180="N.C.",0,ROUNDUP(AN107+'Délai intermédiaire'!AN180/24,0))</f>
        <v>2</v>
      </c>
      <c r="AO134" s="14">
        <f>IF(Distances!AO180="N.C.",0,ROUNDUP(AO107+'Délai intermédiaire'!AO180/24,0))</f>
        <v>3</v>
      </c>
      <c r="AP134" s="14">
        <f>IF(Distances!AP180="N.C.",0,ROUNDUP(AP107+'Délai intermédiaire'!AP180/24,0))</f>
        <v>3</v>
      </c>
      <c r="AQ134" s="14">
        <f>IF(Distances!AQ180="N.C.",0,ROUNDUP(AQ107+'Délai intermédiaire'!AQ180/24,0))</f>
        <v>3</v>
      </c>
      <c r="AR134" s="14">
        <f>IF(Distances!AR180="N.C.",0,ROUNDUP(AR107+'Délai intermédiaire'!AR180/24,0))</f>
        <v>3</v>
      </c>
      <c r="AS134" s="14">
        <f>IF(Distances!AS180="N.C.",0,ROUNDUP(AS107+'Délai intermédiaire'!AS180/24,0))</f>
        <v>3</v>
      </c>
      <c r="AT134" s="14">
        <f>IF(Distances!AT180="N.C.",0,ROUNDUP(AT107+'Délai intermédiaire'!AT180/24,0))</f>
        <v>3</v>
      </c>
      <c r="AU134" s="14">
        <f>IF(Distances!AU180="N.C.",0,ROUNDUP(AU107+'Délai intermédiaire'!AU180/24,0))</f>
        <v>3</v>
      </c>
      <c r="AV134" s="14">
        <f>IF(Distances!AV180="N.C.",0,ROUNDUP(AV107+'Délai intermédiaire'!AV180/24,0))</f>
        <v>4</v>
      </c>
      <c r="AW134" s="14">
        <f>IF(Distances!AW180="N.C.",0,ROUNDUP(AW107+'Délai intermédiaire'!AW180/24,0))</f>
        <v>4</v>
      </c>
      <c r="AX134" s="14">
        <f>IF(Distances!AX180="N.C.",0,ROUNDUP(AX107+'Délai intermédiaire'!AX180/24,0))</f>
        <v>4</v>
      </c>
      <c r="AY134" s="14">
        <f>IF(Distances!AY180="N.C.",0,ROUNDUP(AY107+'Délai intermédiaire'!AY180/24,0))</f>
        <v>3</v>
      </c>
      <c r="AZ134" s="14">
        <f>IF(Distances!AZ180="N.C.",0,ROUNDUP(AZ107+'Délai intermédiaire'!AZ180/24,0))</f>
        <v>3</v>
      </c>
      <c r="BA134" s="14">
        <f>IF(Distances!BA180="N.C.",0,ROUNDUP(BA107+'Délai intermédiaire'!BA180/24,0))</f>
        <v>3</v>
      </c>
      <c r="BB134" s="13">
        <f>IF(Distances!BB180="N.C.",0,ROUNDUP(BB107+'Délai intermédiaire'!BB180/24,0))</f>
        <v>3</v>
      </c>
      <c r="BC134" s="14">
        <f>IF(Distances!BC180="N.C.",0,ROUNDUP(BC107+'Délai intermédiaire'!BC180/24,0))</f>
        <v>3</v>
      </c>
      <c r="BD134" s="14">
        <f>IF(Distances!BD180="N.C.",0,ROUNDUP(BD107+'Délai intermédiaire'!BD180/24,0))</f>
        <v>3</v>
      </c>
      <c r="BE134" s="14">
        <f>IF(Distances!BE180="N.C.",0,ROUNDUP(BE107+'Délai intermédiaire'!BE180/24,0))</f>
        <v>3</v>
      </c>
      <c r="BF134" s="13">
        <f>IF(Distances!BF180="N.C.",0,ROUNDUP(BF107+'Délai intermédiaire'!BF180/24,0))</f>
        <v>3</v>
      </c>
      <c r="BG134" s="13">
        <f>IF(Distances!BG180="N.C.",0,ROUNDUP(BG107+'Délai intermédiaire'!BG180/24,0))</f>
        <v>3</v>
      </c>
      <c r="BH134" s="14">
        <f>IF(Distances!BH180="N.C.",0,ROUNDUP(BH107+'Délai intermédiaire'!BH180/24,0))</f>
        <v>3</v>
      </c>
      <c r="BI134" s="14">
        <f>IF(Distances!BI180="N.C.",0,ROUNDUP(BI107+'Délai intermédiaire'!BI180/24,0))</f>
        <v>3</v>
      </c>
      <c r="BJ134" s="15">
        <f>IF(Distances!BJ180="N.C.",0,ROUNDUP(BJ107+'Délai intermédiaire'!BJ180/24,0))</f>
        <v>3</v>
      </c>
    </row>
    <row r="135" spans="1:62" x14ac:dyDescent="0.3">
      <c r="A135" s="10" t="s">
        <v>27</v>
      </c>
      <c r="B135" s="16">
        <f>IF(Distances!B181="N.C.",0,ROUNDUP(B107+'Délai intermédiaire'!B181/24,0))</f>
        <v>2</v>
      </c>
      <c r="C135" s="14">
        <f>IF(Distances!C181="N.C.",0,ROUNDUP(C107+'Délai intermédiaire'!C181/24,0))</f>
        <v>2</v>
      </c>
      <c r="D135" s="14">
        <f>IF(Distances!D181="N.C.",0,ROUNDUP(D107+'Délai intermédiaire'!D181/24,0))</f>
        <v>2</v>
      </c>
      <c r="E135" s="14">
        <f>IF(Distances!E181="N.C.",0,ROUNDUP(E107+'Délai intermédiaire'!E181/24,0))</f>
        <v>2</v>
      </c>
      <c r="F135" s="14">
        <f>IF(Distances!F181="N.C.",0,ROUNDUP(F107+'Délai intermédiaire'!F181/24,0))</f>
        <v>2</v>
      </c>
      <c r="G135" s="14">
        <f>IF(Distances!G181="N.C.",0,ROUNDUP(G107+'Délai intermédiaire'!G181/24,0))</f>
        <v>2</v>
      </c>
      <c r="H135" s="14">
        <f>IF(Distances!H181="N.C.",0,ROUNDUP(H107+'Délai intermédiaire'!H181/24,0))</f>
        <v>2</v>
      </c>
      <c r="I135" s="14">
        <f>IF(Distances!I181="N.C.",0,ROUNDUP(I107+'Délai intermédiaire'!I181/24,0))</f>
        <v>2</v>
      </c>
      <c r="J135" s="14">
        <f>IF(Distances!J181="N.C.",0,ROUNDUP(J107+'Délai intermédiaire'!J181/24,0))</f>
        <v>3</v>
      </c>
      <c r="K135" s="14">
        <f>IF(Distances!K181="N.C.",0,ROUNDUP(K107+'Délai intermédiaire'!K181/24,0))</f>
        <v>3</v>
      </c>
      <c r="L135" s="14">
        <f>IF(Distances!L181="N.C.",0,ROUNDUP(L107+'Délai intermédiaire'!L181/24,0))</f>
        <v>3</v>
      </c>
      <c r="M135" s="14">
        <f>IF(Distances!M181="N.C.",0,ROUNDUP(M107+'Délai intermédiaire'!M181/24,0))</f>
        <v>3</v>
      </c>
      <c r="N135" s="14">
        <f>IF(Distances!N181="N.C.",0,ROUNDUP(N107+'Délai intermédiaire'!N181/24,0))</f>
        <v>3</v>
      </c>
      <c r="O135" s="14">
        <f>IF(Distances!O181="N.C.",0,ROUNDUP(O107+'Délai intermédiaire'!O181/24,0))</f>
        <v>3</v>
      </c>
      <c r="P135" s="14">
        <f>IF(Distances!P181="N.C.",0,ROUNDUP(P107+'Délai intermédiaire'!P181/24,0))</f>
        <v>3</v>
      </c>
      <c r="Q135" s="13">
        <f>IF(Distances!Q181="N.C.",0,ROUNDUP(Q107+'Délai intermédiaire'!Q181/24,0))</f>
        <v>2</v>
      </c>
      <c r="R135" s="13">
        <f>IF(Distances!R181="N.C.",0,ROUNDUP(R107+'Délai intermédiaire'!R181/24,0))</f>
        <v>2</v>
      </c>
      <c r="S135" s="13">
        <f>IF(Distances!S181="N.C.",0,ROUNDUP(S107+'Délai intermédiaire'!S181/24,0))</f>
        <v>2</v>
      </c>
      <c r="T135" s="13">
        <f>IF(Distances!T181="N.C.",0,ROUNDUP(T107+'Délai intermédiaire'!T181/24,0))</f>
        <v>2</v>
      </c>
      <c r="U135" s="13">
        <f>IF(Distances!U181="N.C.",0,ROUNDUP(U107+'Délai intermédiaire'!U181/24,0))</f>
        <v>2</v>
      </c>
      <c r="V135" s="13">
        <f>IF(Distances!V181="N.C.",0,ROUNDUP(V107+'Délai intermédiaire'!V181/24,0))</f>
        <v>2</v>
      </c>
      <c r="W135" s="13">
        <f>IF(Distances!W181="N.C.",0,ROUNDUP(W107+'Délai intermédiaire'!W181/24,0))</f>
        <v>2</v>
      </c>
      <c r="X135" s="13">
        <f>IF(Distances!X181="N.C.",0,ROUNDUP(X107+'Délai intermédiaire'!X181/24,0))</f>
        <v>2</v>
      </c>
      <c r="Y135" s="13">
        <f>IF(Distances!Y181="N.C.",0,ROUNDUP(Y107+'Délai intermédiaire'!Y181/24,0))</f>
        <v>2</v>
      </c>
      <c r="Z135" s="13">
        <f>IF(Distances!Z181="N.C.",0,ROUNDUP(Z107+'Délai intermédiaire'!Z181/24,0))</f>
        <v>3</v>
      </c>
      <c r="AA135" s="13">
        <f>IF(Distances!AA181="N.C.",0,ROUNDUP(AA107+'Délai intermédiaire'!AA181/24,0))</f>
        <v>3</v>
      </c>
      <c r="AB135" s="12">
        <f>IF(Distances!AB181="N.C.",0,ROUNDUP(AB107+'Délai intermédiaire'!AB181/24,0))</f>
        <v>1</v>
      </c>
      <c r="AC135" s="13">
        <f>IF(Distances!AC181="N.C.",0,ROUNDUP(AC107+'Délai intermédiaire'!AC181/24,0))</f>
        <v>2</v>
      </c>
      <c r="AD135" s="13">
        <f>IF(Distances!AD181="N.C.",0,ROUNDUP(AD107+'Délai intermédiaire'!AD181/24,0))</f>
        <v>3</v>
      </c>
      <c r="AE135" s="13">
        <f>IF(Distances!AE181="N.C.",0,ROUNDUP(AE107+'Délai intermédiaire'!AE181/24,0))</f>
        <v>3</v>
      </c>
      <c r="AF135" s="13">
        <f>IF(Distances!AF181="N.C.",0,ROUNDUP(AF107+'Délai intermédiaire'!AF181/24,0))</f>
        <v>2</v>
      </c>
      <c r="AG135" s="13">
        <f>IF(Distances!AG181="N.C.",0,ROUNDUP(AG107+'Délai intermédiaire'!AG181/24,0))</f>
        <v>3</v>
      </c>
      <c r="AH135" s="14">
        <f>IF(Distances!AH181="N.C.",0,ROUNDUP(AH107+'Délai intermédiaire'!AH181/24,0))</f>
        <v>3</v>
      </c>
      <c r="AI135" s="14">
        <f>IF(Distances!AI181="N.C.",0,ROUNDUP(AI107+'Délai intermédiaire'!AI181/24,0))</f>
        <v>3</v>
      </c>
      <c r="AJ135" s="14">
        <f>IF(Distances!AJ181="N.C.",0,ROUNDUP(AJ107+'Délai intermédiaire'!AJ181/24,0))</f>
        <v>3</v>
      </c>
      <c r="AK135" s="14">
        <f>IF(Distances!AK181="N.C.",0,ROUNDUP(AK107+'Délai intermédiaire'!AK181/24,0))</f>
        <v>3</v>
      </c>
      <c r="AL135" s="14">
        <f>IF(Distances!AL181="N.C.",0,ROUNDUP(AL107+'Délai intermédiaire'!AL181/24,0))</f>
        <v>2</v>
      </c>
      <c r="AM135" s="14">
        <f>IF(Distances!AM181="N.C.",0,ROUNDUP(AM107+'Délai intermédiaire'!AM181/24,0))</f>
        <v>2</v>
      </c>
      <c r="AN135" s="14">
        <f>IF(Distances!AN181="N.C.",0,ROUNDUP(AN107+'Délai intermédiaire'!AN181/24,0))</f>
        <v>2</v>
      </c>
      <c r="AO135" s="14">
        <f>IF(Distances!AO181="N.C.",0,ROUNDUP(AO107+'Délai intermédiaire'!AO181/24,0))</f>
        <v>3</v>
      </c>
      <c r="AP135" s="14">
        <f>IF(Distances!AP181="N.C.",0,ROUNDUP(AP107+'Délai intermédiaire'!AP181/24,0))</f>
        <v>3</v>
      </c>
      <c r="AQ135" s="14">
        <f>IF(Distances!AQ181="N.C.",0,ROUNDUP(AQ107+'Délai intermédiaire'!AQ181/24,0))</f>
        <v>3</v>
      </c>
      <c r="AR135" s="14">
        <f>IF(Distances!AR181="N.C.",0,ROUNDUP(AR107+'Délai intermédiaire'!AR181/24,0))</f>
        <v>3</v>
      </c>
      <c r="AS135" s="14">
        <f>IF(Distances!AS181="N.C.",0,ROUNDUP(AS107+'Délai intermédiaire'!AS181/24,0))</f>
        <v>3</v>
      </c>
      <c r="AT135" s="14">
        <f>IF(Distances!AT181="N.C.",0,ROUNDUP(AT107+'Délai intermédiaire'!AT181/24,0))</f>
        <v>3</v>
      </c>
      <c r="AU135" s="14">
        <f>IF(Distances!AU181="N.C.",0,ROUNDUP(AU107+'Délai intermédiaire'!AU181/24,0))</f>
        <v>3</v>
      </c>
      <c r="AV135" s="14">
        <f>IF(Distances!AV181="N.C.",0,ROUNDUP(AV107+'Délai intermédiaire'!AV181/24,0))</f>
        <v>4</v>
      </c>
      <c r="AW135" s="14">
        <f>IF(Distances!AW181="N.C.",0,ROUNDUP(AW107+'Délai intermédiaire'!AW181/24,0))</f>
        <v>4</v>
      </c>
      <c r="AX135" s="14">
        <f>IF(Distances!AX181="N.C.",0,ROUNDUP(AX107+'Délai intermédiaire'!AX181/24,0))</f>
        <v>4</v>
      </c>
      <c r="AY135" s="14">
        <f>IF(Distances!AY181="N.C.",0,ROUNDUP(AY107+'Délai intermédiaire'!AY181/24,0))</f>
        <v>3</v>
      </c>
      <c r="AZ135" s="14">
        <f>IF(Distances!AZ181="N.C.",0,ROUNDUP(AZ107+'Délai intermédiaire'!AZ181/24,0))</f>
        <v>3</v>
      </c>
      <c r="BA135" s="14">
        <f>IF(Distances!BA181="N.C.",0,ROUNDUP(BA107+'Délai intermédiaire'!BA181/24,0))</f>
        <v>3</v>
      </c>
      <c r="BB135" s="13">
        <f>IF(Distances!BB181="N.C.",0,ROUNDUP(BB107+'Délai intermédiaire'!BB181/24,0))</f>
        <v>3</v>
      </c>
      <c r="BC135" s="14">
        <f>IF(Distances!BC181="N.C.",0,ROUNDUP(BC107+'Délai intermédiaire'!BC181/24,0))</f>
        <v>3</v>
      </c>
      <c r="BD135" s="14">
        <f>IF(Distances!BD181="N.C.",0,ROUNDUP(BD107+'Délai intermédiaire'!BD181/24,0))</f>
        <v>3</v>
      </c>
      <c r="BE135" s="14">
        <f>IF(Distances!BE181="N.C.",0,ROUNDUP(BE107+'Délai intermédiaire'!BE181/24,0))</f>
        <v>3</v>
      </c>
      <c r="BF135" s="13">
        <f>IF(Distances!BF181="N.C.",0,ROUNDUP(BF107+'Délai intermédiaire'!BF181/24,0))</f>
        <v>3</v>
      </c>
      <c r="BG135" s="13">
        <f>IF(Distances!BG181="N.C.",0,ROUNDUP(BG107+'Délai intermédiaire'!BG181/24,0))</f>
        <v>3</v>
      </c>
      <c r="BH135" s="14">
        <f>IF(Distances!BH181="N.C.",0,ROUNDUP(BH107+'Délai intermédiaire'!BH181/24,0))</f>
        <v>3</v>
      </c>
      <c r="BI135" s="14">
        <f>IF(Distances!BI181="N.C.",0,ROUNDUP(BI107+'Délai intermédiaire'!BI181/24,0))</f>
        <v>3</v>
      </c>
      <c r="BJ135" s="15">
        <f>IF(Distances!BJ181="N.C.",0,ROUNDUP(BJ107+'Délai intermédiaire'!BJ181/24,0))</f>
        <v>3</v>
      </c>
    </row>
    <row r="136" spans="1:62" x14ac:dyDescent="0.3">
      <c r="A136" s="10" t="s">
        <v>65</v>
      </c>
      <c r="B136" s="16">
        <f>IF(Distances!B182="N.C.",0,ROUNDUP(B107+'Délai intermédiaire'!B182/24,0))</f>
        <v>2</v>
      </c>
      <c r="C136" s="14">
        <f>IF(Distances!C182="N.C.",0,ROUNDUP(C107+'Délai intermédiaire'!C182/24,0))</f>
        <v>2</v>
      </c>
      <c r="D136" s="14">
        <f>IF(Distances!D182="N.C.",0,ROUNDUP(D107+'Délai intermédiaire'!D182/24,0))</f>
        <v>2</v>
      </c>
      <c r="E136" s="14">
        <f>IF(Distances!E182="N.C.",0,ROUNDUP(E107+'Délai intermédiaire'!E182/24,0))</f>
        <v>2</v>
      </c>
      <c r="F136" s="14">
        <f>IF(Distances!F182="N.C.",0,ROUNDUP(F107+'Délai intermédiaire'!F182/24,0))</f>
        <v>2</v>
      </c>
      <c r="G136" s="14">
        <f>IF(Distances!G182="N.C.",0,ROUNDUP(G107+'Délai intermédiaire'!G182/24,0))</f>
        <v>2</v>
      </c>
      <c r="H136" s="14">
        <f>IF(Distances!H182="N.C.",0,ROUNDUP(H107+'Délai intermédiaire'!H182/24,0))</f>
        <v>2</v>
      </c>
      <c r="I136" s="14">
        <f>IF(Distances!I182="N.C.",0,ROUNDUP(I107+'Délai intermédiaire'!I182/24,0))</f>
        <v>2</v>
      </c>
      <c r="J136" s="14">
        <f>IF(Distances!J182="N.C.",0,ROUNDUP(J107+'Délai intermédiaire'!J182/24,0))</f>
        <v>3</v>
      </c>
      <c r="K136" s="14">
        <f>IF(Distances!K182="N.C.",0,ROUNDUP(K107+'Délai intermédiaire'!K182/24,0))</f>
        <v>3</v>
      </c>
      <c r="L136" s="14">
        <f>IF(Distances!L182="N.C.",0,ROUNDUP(L107+'Délai intermédiaire'!L182/24,0))</f>
        <v>3</v>
      </c>
      <c r="M136" s="14">
        <f>IF(Distances!M182="N.C.",0,ROUNDUP(M107+'Délai intermédiaire'!M182/24,0))</f>
        <v>3</v>
      </c>
      <c r="N136" s="14">
        <f>IF(Distances!N182="N.C.",0,ROUNDUP(N107+'Délai intermédiaire'!N182/24,0))</f>
        <v>3</v>
      </c>
      <c r="O136" s="14">
        <f>IF(Distances!O182="N.C.",0,ROUNDUP(O107+'Délai intermédiaire'!O182/24,0))</f>
        <v>3</v>
      </c>
      <c r="P136" s="14">
        <f>IF(Distances!P182="N.C.",0,ROUNDUP(P107+'Délai intermédiaire'!P182/24,0))</f>
        <v>3</v>
      </c>
      <c r="Q136" s="13">
        <f>IF(Distances!Q182="N.C.",0,ROUNDUP(Q107+'Délai intermédiaire'!Q182/24,0))</f>
        <v>2</v>
      </c>
      <c r="R136" s="13">
        <f>IF(Distances!R182="N.C.",0,ROUNDUP(R107+'Délai intermédiaire'!R182/24,0))</f>
        <v>2</v>
      </c>
      <c r="S136" s="13">
        <f>IF(Distances!S182="N.C.",0,ROUNDUP(S107+'Délai intermédiaire'!S182/24,0))</f>
        <v>2</v>
      </c>
      <c r="T136" s="13">
        <f>IF(Distances!T182="N.C.",0,ROUNDUP(T107+'Délai intermédiaire'!T182/24,0))</f>
        <v>2</v>
      </c>
      <c r="U136" s="13">
        <f>IF(Distances!U182="N.C.",0,ROUNDUP(U107+'Délai intermédiaire'!U182/24,0))</f>
        <v>2</v>
      </c>
      <c r="V136" s="13">
        <f>IF(Distances!V182="N.C.",0,ROUNDUP(V107+'Délai intermédiaire'!V182/24,0))</f>
        <v>2</v>
      </c>
      <c r="W136" s="13">
        <f>IF(Distances!W182="N.C.",0,ROUNDUP(W107+'Délai intermédiaire'!W182/24,0))</f>
        <v>2</v>
      </c>
      <c r="X136" s="13">
        <f>IF(Distances!X182="N.C.",0,ROUNDUP(X107+'Délai intermédiaire'!X182/24,0))</f>
        <v>2</v>
      </c>
      <c r="Y136" s="13">
        <f>IF(Distances!Y182="N.C.",0,ROUNDUP(Y107+'Délai intermédiaire'!Y182/24,0))</f>
        <v>2</v>
      </c>
      <c r="Z136" s="13">
        <f>IF(Distances!Z182="N.C.",0,ROUNDUP(Z107+'Délai intermédiaire'!Z182/24,0))</f>
        <v>3</v>
      </c>
      <c r="AA136" s="13">
        <f>IF(Distances!AA182="N.C.",0,ROUNDUP(AA107+'Délai intermédiaire'!AA182/24,0))</f>
        <v>3</v>
      </c>
      <c r="AB136" s="13">
        <f>IF(Distances!AB182="N.C.",0,ROUNDUP(AB107+'Délai intermédiaire'!AB182/24,0))</f>
        <v>2</v>
      </c>
      <c r="AC136" s="12">
        <f>IF(Distances!AC182="N.C.",0,ROUNDUP(AC107+'Délai intermédiaire'!AC182/24,0))</f>
        <v>1</v>
      </c>
      <c r="AD136" s="13">
        <f>IF(Distances!AD182="N.C.",0,ROUNDUP(AD107+'Délai intermédiaire'!AD182/24,0))</f>
        <v>3</v>
      </c>
      <c r="AE136" s="13">
        <f>IF(Distances!AE182="N.C.",0,ROUNDUP(AE107+'Délai intermédiaire'!AE182/24,0))</f>
        <v>3</v>
      </c>
      <c r="AF136" s="13">
        <f>IF(Distances!AF182="N.C.",0,ROUNDUP(AF107+'Délai intermédiaire'!AF182/24,0))</f>
        <v>2</v>
      </c>
      <c r="AG136" s="13">
        <f>IF(Distances!AG182="N.C.",0,ROUNDUP(AG107+'Délai intermédiaire'!AG182/24,0))</f>
        <v>3</v>
      </c>
      <c r="AH136" s="14">
        <f>IF(Distances!AH182="N.C.",0,ROUNDUP(AH107+'Délai intermédiaire'!AH182/24,0))</f>
        <v>3</v>
      </c>
      <c r="AI136" s="14">
        <f>IF(Distances!AI182="N.C.",0,ROUNDUP(AI107+'Délai intermédiaire'!AI182/24,0))</f>
        <v>3</v>
      </c>
      <c r="AJ136" s="14">
        <f>IF(Distances!AJ182="N.C.",0,ROUNDUP(AJ107+'Délai intermédiaire'!AJ182/24,0))</f>
        <v>3</v>
      </c>
      <c r="AK136" s="14">
        <f>IF(Distances!AK182="N.C.",0,ROUNDUP(AK107+'Délai intermédiaire'!AK182/24,0))</f>
        <v>3</v>
      </c>
      <c r="AL136" s="14">
        <f>IF(Distances!AL182="N.C.",0,ROUNDUP(AL107+'Délai intermédiaire'!AL182/24,0))</f>
        <v>2</v>
      </c>
      <c r="AM136" s="14">
        <f>IF(Distances!AM182="N.C.",0,ROUNDUP(AM107+'Délai intermédiaire'!AM182/24,0))</f>
        <v>2</v>
      </c>
      <c r="AN136" s="14">
        <f>IF(Distances!AN182="N.C.",0,ROUNDUP(AN107+'Délai intermédiaire'!AN182/24,0))</f>
        <v>2</v>
      </c>
      <c r="AO136" s="14">
        <f>IF(Distances!AO182="N.C.",0,ROUNDUP(AO107+'Délai intermédiaire'!AO182/24,0))</f>
        <v>3</v>
      </c>
      <c r="AP136" s="14">
        <f>IF(Distances!AP182="N.C.",0,ROUNDUP(AP107+'Délai intermédiaire'!AP182/24,0))</f>
        <v>3</v>
      </c>
      <c r="AQ136" s="14">
        <f>IF(Distances!AQ182="N.C.",0,ROUNDUP(AQ107+'Délai intermédiaire'!AQ182/24,0))</f>
        <v>3</v>
      </c>
      <c r="AR136" s="14">
        <f>IF(Distances!AR182="N.C.",0,ROUNDUP(AR107+'Délai intermédiaire'!AR182/24,0))</f>
        <v>3</v>
      </c>
      <c r="AS136" s="14">
        <f>IF(Distances!AS182="N.C.",0,ROUNDUP(AS107+'Délai intermédiaire'!AS182/24,0))</f>
        <v>3</v>
      </c>
      <c r="AT136" s="14">
        <f>IF(Distances!AT182="N.C.",0,ROUNDUP(AT107+'Délai intermédiaire'!AT182/24,0))</f>
        <v>3</v>
      </c>
      <c r="AU136" s="14">
        <f>IF(Distances!AU182="N.C.",0,ROUNDUP(AU107+'Délai intermédiaire'!AU182/24,0))</f>
        <v>3</v>
      </c>
      <c r="AV136" s="14">
        <f>IF(Distances!AV182="N.C.",0,ROUNDUP(AV107+'Délai intermédiaire'!AV182/24,0))</f>
        <v>4</v>
      </c>
      <c r="AW136" s="14">
        <f>IF(Distances!AW182="N.C.",0,ROUNDUP(AW107+'Délai intermédiaire'!AW182/24,0))</f>
        <v>4</v>
      </c>
      <c r="AX136" s="14">
        <f>IF(Distances!AX182="N.C.",0,ROUNDUP(AX107+'Délai intermédiaire'!AX182/24,0))</f>
        <v>4</v>
      </c>
      <c r="AY136" s="14">
        <f>IF(Distances!AY182="N.C.",0,ROUNDUP(AY107+'Délai intermédiaire'!AY182/24,0))</f>
        <v>3</v>
      </c>
      <c r="AZ136" s="14">
        <f>IF(Distances!AZ182="N.C.",0,ROUNDUP(AZ107+'Délai intermédiaire'!AZ182/24,0))</f>
        <v>3</v>
      </c>
      <c r="BA136" s="14">
        <f>IF(Distances!BA182="N.C.",0,ROUNDUP(BA107+'Délai intermédiaire'!BA182/24,0))</f>
        <v>3</v>
      </c>
      <c r="BB136" s="13">
        <f>IF(Distances!BB182="N.C.",0,ROUNDUP(BB107+'Délai intermédiaire'!BB182/24,0))</f>
        <v>3</v>
      </c>
      <c r="BC136" s="14">
        <f>IF(Distances!BC182="N.C.",0,ROUNDUP(BC107+'Délai intermédiaire'!BC182/24,0))</f>
        <v>3</v>
      </c>
      <c r="BD136" s="14">
        <f>IF(Distances!BD182="N.C.",0,ROUNDUP(BD107+'Délai intermédiaire'!BD182/24,0))</f>
        <v>3</v>
      </c>
      <c r="BE136" s="14">
        <f>IF(Distances!BE182="N.C.",0,ROUNDUP(BE107+'Délai intermédiaire'!BE182/24,0))</f>
        <v>3</v>
      </c>
      <c r="BF136" s="13">
        <f>IF(Distances!BF182="N.C.",0,ROUNDUP(BF107+'Délai intermédiaire'!BF182/24,0))</f>
        <v>3</v>
      </c>
      <c r="BG136" s="13">
        <f>IF(Distances!BG182="N.C.",0,ROUNDUP(BG107+'Délai intermédiaire'!BG182/24,0))</f>
        <v>3</v>
      </c>
      <c r="BH136" s="14">
        <f>IF(Distances!BH182="N.C.",0,ROUNDUP(BH107+'Délai intermédiaire'!BH182/24,0))</f>
        <v>3</v>
      </c>
      <c r="BI136" s="14">
        <f>IF(Distances!BI182="N.C.",0,ROUNDUP(BI107+'Délai intermédiaire'!BI182/24,0))</f>
        <v>3</v>
      </c>
      <c r="BJ136" s="15">
        <f>IF(Distances!BJ182="N.C.",0,ROUNDUP(BJ107+'Délai intermédiaire'!BJ182/24,0))</f>
        <v>3</v>
      </c>
    </row>
    <row r="137" spans="1:62" x14ac:dyDescent="0.3">
      <c r="A137" s="10" t="s">
        <v>29</v>
      </c>
      <c r="B137" s="16">
        <f>IF(Distances!B183="N.C.",0,ROUNDUP(B107+'Délai intermédiaire'!B183/24,0))</f>
        <v>2</v>
      </c>
      <c r="C137" s="14">
        <f>IF(Distances!C183="N.C.",0,ROUNDUP(C107+'Délai intermédiaire'!C183/24,0))</f>
        <v>2</v>
      </c>
      <c r="D137" s="14">
        <f>IF(Distances!D183="N.C.",0,ROUNDUP(D107+'Délai intermédiaire'!D183/24,0))</f>
        <v>2</v>
      </c>
      <c r="E137" s="14">
        <f>IF(Distances!E183="N.C.",0,ROUNDUP(E107+'Délai intermédiaire'!E183/24,0))</f>
        <v>2</v>
      </c>
      <c r="F137" s="14">
        <f>IF(Distances!F183="N.C.",0,ROUNDUP(F107+'Délai intermédiaire'!F183/24,0))</f>
        <v>2</v>
      </c>
      <c r="G137" s="14">
        <f>IF(Distances!G183="N.C.",0,ROUNDUP(G107+'Délai intermédiaire'!G183/24,0))</f>
        <v>2</v>
      </c>
      <c r="H137" s="14">
        <f>IF(Distances!H183="N.C.",0,ROUNDUP(H107+'Délai intermédiaire'!H183/24,0))</f>
        <v>2</v>
      </c>
      <c r="I137" s="14">
        <f>IF(Distances!I183="N.C.",0,ROUNDUP(I107+'Délai intermédiaire'!I183/24,0))</f>
        <v>2</v>
      </c>
      <c r="J137" s="14">
        <f>IF(Distances!J183="N.C.",0,ROUNDUP(J107+'Délai intermédiaire'!J183/24,0))</f>
        <v>3</v>
      </c>
      <c r="K137" s="14">
        <f>IF(Distances!K183="N.C.",0,ROUNDUP(K107+'Délai intermédiaire'!K183/24,0))</f>
        <v>3</v>
      </c>
      <c r="L137" s="14">
        <f>IF(Distances!L183="N.C.",0,ROUNDUP(L107+'Délai intermédiaire'!L183/24,0))</f>
        <v>3</v>
      </c>
      <c r="M137" s="14">
        <f>IF(Distances!M183="N.C.",0,ROUNDUP(M107+'Délai intermédiaire'!M183/24,0))</f>
        <v>3</v>
      </c>
      <c r="N137" s="14">
        <f>IF(Distances!N183="N.C.",0,ROUNDUP(N107+'Délai intermédiaire'!N183/24,0))</f>
        <v>3</v>
      </c>
      <c r="O137" s="14">
        <f>IF(Distances!O183="N.C.",0,ROUNDUP(O107+'Délai intermédiaire'!O183/24,0))</f>
        <v>3</v>
      </c>
      <c r="P137" s="14">
        <f>IF(Distances!P183="N.C.",0,ROUNDUP(P107+'Délai intermédiaire'!P183/24,0))</f>
        <v>3</v>
      </c>
      <c r="Q137" s="13">
        <f>IF(Distances!Q183="N.C.",0,ROUNDUP(Q107+'Délai intermédiaire'!Q183/24,0))</f>
        <v>2</v>
      </c>
      <c r="R137" s="13">
        <f>IF(Distances!R183="N.C.",0,ROUNDUP(R107+'Délai intermédiaire'!R183/24,0))</f>
        <v>2</v>
      </c>
      <c r="S137" s="13">
        <f>IF(Distances!S183="N.C.",0,ROUNDUP(S107+'Délai intermédiaire'!S183/24,0))</f>
        <v>2</v>
      </c>
      <c r="T137" s="13">
        <f>IF(Distances!T183="N.C.",0,ROUNDUP(T107+'Délai intermédiaire'!T183/24,0))</f>
        <v>2</v>
      </c>
      <c r="U137" s="13">
        <f>IF(Distances!U183="N.C.",0,ROUNDUP(U107+'Délai intermédiaire'!U183/24,0))</f>
        <v>2</v>
      </c>
      <c r="V137" s="13">
        <f>IF(Distances!V183="N.C.",0,ROUNDUP(V107+'Délai intermédiaire'!V183/24,0))</f>
        <v>2</v>
      </c>
      <c r="W137" s="13">
        <f>IF(Distances!W183="N.C.",0,ROUNDUP(W107+'Délai intermédiaire'!W183/24,0))</f>
        <v>2</v>
      </c>
      <c r="X137" s="13">
        <f>IF(Distances!X183="N.C.",0,ROUNDUP(X107+'Délai intermédiaire'!X183/24,0))</f>
        <v>2</v>
      </c>
      <c r="Y137" s="13">
        <f>IF(Distances!Y183="N.C.",0,ROUNDUP(Y107+'Délai intermédiaire'!Y183/24,0))</f>
        <v>2</v>
      </c>
      <c r="Z137" s="13">
        <f>IF(Distances!Z183="N.C.",0,ROUNDUP(Z107+'Délai intermédiaire'!Z183/24,0))</f>
        <v>3</v>
      </c>
      <c r="AA137" s="13">
        <f>IF(Distances!AA183="N.C.",0,ROUNDUP(AA107+'Délai intermédiaire'!AA183/24,0))</f>
        <v>3</v>
      </c>
      <c r="AB137" s="13">
        <f>IF(Distances!AB183="N.C.",0,ROUNDUP(AB107+'Délai intermédiaire'!AB183/24,0))</f>
        <v>2</v>
      </c>
      <c r="AC137" s="13">
        <f>IF(Distances!AC183="N.C.",0,ROUNDUP(AC107+'Délai intermédiaire'!AC183/24,0))</f>
        <v>2</v>
      </c>
      <c r="AD137" s="12">
        <f>IF(Distances!AD183="N.C.",0,ROUNDUP(AD107+'Délai intermédiaire'!AD183/24,0))</f>
        <v>2</v>
      </c>
      <c r="AE137" s="13">
        <f>IF(Distances!AE183="N.C.",0,ROUNDUP(AE107+'Délai intermédiaire'!AE183/24,0))</f>
        <v>3</v>
      </c>
      <c r="AF137" s="13">
        <f>IF(Distances!AF183="N.C.",0,ROUNDUP(AF107+'Délai intermédiaire'!AF183/24,0))</f>
        <v>2</v>
      </c>
      <c r="AG137" s="13">
        <f>IF(Distances!AG183="N.C.",0,ROUNDUP(AG107+'Délai intermédiaire'!AG183/24,0))</f>
        <v>3</v>
      </c>
      <c r="AH137" s="14">
        <f>IF(Distances!AH183="N.C.",0,ROUNDUP(AH107+'Délai intermédiaire'!AH183/24,0))</f>
        <v>3</v>
      </c>
      <c r="AI137" s="14">
        <f>IF(Distances!AI183="N.C.",0,ROUNDUP(AI107+'Délai intermédiaire'!AI183/24,0))</f>
        <v>3</v>
      </c>
      <c r="AJ137" s="14">
        <f>IF(Distances!AJ183="N.C.",0,ROUNDUP(AJ107+'Délai intermédiaire'!AJ183/24,0))</f>
        <v>3</v>
      </c>
      <c r="AK137" s="14">
        <f>IF(Distances!AK183="N.C.",0,ROUNDUP(AK107+'Délai intermédiaire'!AK183/24,0))</f>
        <v>3</v>
      </c>
      <c r="AL137" s="14">
        <f>IF(Distances!AL183="N.C.",0,ROUNDUP(AL107+'Délai intermédiaire'!AL183/24,0))</f>
        <v>2</v>
      </c>
      <c r="AM137" s="14">
        <f>IF(Distances!AM183="N.C.",0,ROUNDUP(AM107+'Délai intermédiaire'!AM183/24,0))</f>
        <v>2</v>
      </c>
      <c r="AN137" s="14">
        <f>IF(Distances!AN183="N.C.",0,ROUNDUP(AN107+'Délai intermédiaire'!AN183/24,0))</f>
        <v>2</v>
      </c>
      <c r="AO137" s="14">
        <f>IF(Distances!AO183="N.C.",0,ROUNDUP(AO107+'Délai intermédiaire'!AO183/24,0))</f>
        <v>3</v>
      </c>
      <c r="AP137" s="14">
        <f>IF(Distances!AP183="N.C.",0,ROUNDUP(AP107+'Délai intermédiaire'!AP183/24,0))</f>
        <v>3</v>
      </c>
      <c r="AQ137" s="14">
        <f>IF(Distances!AQ183="N.C.",0,ROUNDUP(AQ107+'Délai intermédiaire'!AQ183/24,0))</f>
        <v>3</v>
      </c>
      <c r="AR137" s="14">
        <f>IF(Distances!AR183="N.C.",0,ROUNDUP(AR107+'Délai intermédiaire'!AR183/24,0))</f>
        <v>3</v>
      </c>
      <c r="AS137" s="14">
        <f>IF(Distances!AS183="N.C.",0,ROUNDUP(AS107+'Délai intermédiaire'!AS183/24,0))</f>
        <v>3</v>
      </c>
      <c r="AT137" s="14">
        <f>IF(Distances!AT183="N.C.",0,ROUNDUP(AT107+'Délai intermédiaire'!AT183/24,0))</f>
        <v>3</v>
      </c>
      <c r="AU137" s="14">
        <f>IF(Distances!AU183="N.C.",0,ROUNDUP(AU107+'Délai intermédiaire'!AU183/24,0))</f>
        <v>3</v>
      </c>
      <c r="AV137" s="14">
        <f>IF(Distances!AV183="N.C.",0,ROUNDUP(AV107+'Délai intermédiaire'!AV183/24,0))</f>
        <v>4</v>
      </c>
      <c r="AW137" s="14">
        <f>IF(Distances!AW183="N.C.",0,ROUNDUP(AW107+'Délai intermédiaire'!AW183/24,0))</f>
        <v>4</v>
      </c>
      <c r="AX137" s="14">
        <f>IF(Distances!AX183="N.C.",0,ROUNDUP(AX107+'Délai intermédiaire'!AX183/24,0))</f>
        <v>4</v>
      </c>
      <c r="AY137" s="14">
        <f>IF(Distances!AY183="N.C.",0,ROUNDUP(AY107+'Délai intermédiaire'!AY183/24,0))</f>
        <v>3</v>
      </c>
      <c r="AZ137" s="14">
        <f>IF(Distances!AZ183="N.C.",0,ROUNDUP(AZ107+'Délai intermédiaire'!AZ183/24,0))</f>
        <v>3</v>
      </c>
      <c r="BA137" s="14">
        <f>IF(Distances!BA183="N.C.",0,ROUNDUP(BA107+'Délai intermédiaire'!BA183/24,0))</f>
        <v>3</v>
      </c>
      <c r="BB137" s="13">
        <f>IF(Distances!BB183="N.C.",0,ROUNDUP(BB107+'Délai intermédiaire'!BB183/24,0))</f>
        <v>3</v>
      </c>
      <c r="BC137" s="14">
        <f>IF(Distances!BC183="N.C.",0,ROUNDUP(BC107+'Délai intermédiaire'!BC183/24,0))</f>
        <v>3</v>
      </c>
      <c r="BD137" s="14">
        <f>IF(Distances!BD183="N.C.",0,ROUNDUP(BD107+'Délai intermédiaire'!BD183/24,0))</f>
        <v>3</v>
      </c>
      <c r="BE137" s="14">
        <f>IF(Distances!BE183="N.C.",0,ROUNDUP(BE107+'Délai intermédiaire'!BE183/24,0))</f>
        <v>3</v>
      </c>
      <c r="BF137" s="13">
        <f>IF(Distances!BF183="N.C.",0,ROUNDUP(BF107+'Délai intermédiaire'!BF183/24,0))</f>
        <v>3</v>
      </c>
      <c r="BG137" s="13">
        <f>IF(Distances!BG183="N.C.",0,ROUNDUP(BG107+'Délai intermédiaire'!BG183/24,0))</f>
        <v>3</v>
      </c>
      <c r="BH137" s="14">
        <f>IF(Distances!BH183="N.C.",0,ROUNDUP(BH107+'Délai intermédiaire'!BH183/24,0))</f>
        <v>3</v>
      </c>
      <c r="BI137" s="14">
        <f>IF(Distances!BI183="N.C.",0,ROUNDUP(BI107+'Délai intermédiaire'!BI183/24,0))</f>
        <v>3</v>
      </c>
      <c r="BJ137" s="15">
        <f>IF(Distances!BJ183="N.C.",0,ROUNDUP(BJ107+'Délai intermédiaire'!BJ183/24,0))</f>
        <v>3</v>
      </c>
    </row>
    <row r="138" spans="1:62" x14ac:dyDescent="0.3">
      <c r="A138" s="10" t="s">
        <v>30</v>
      </c>
      <c r="B138" s="16">
        <f>IF(Distances!B184="N.C.",0,ROUNDUP(B107+'Délai intermédiaire'!B184/24,0))</f>
        <v>2</v>
      </c>
      <c r="C138" s="14">
        <f>IF(Distances!C184="N.C.",0,ROUNDUP(C107+'Délai intermédiaire'!C184/24,0))</f>
        <v>2</v>
      </c>
      <c r="D138" s="14">
        <f>IF(Distances!D184="N.C.",0,ROUNDUP(D107+'Délai intermédiaire'!D184/24,0))</f>
        <v>2</v>
      </c>
      <c r="E138" s="14">
        <f>IF(Distances!E184="N.C.",0,ROUNDUP(E107+'Délai intermédiaire'!E184/24,0))</f>
        <v>2</v>
      </c>
      <c r="F138" s="14">
        <f>IF(Distances!F184="N.C.",0,ROUNDUP(F107+'Délai intermédiaire'!F184/24,0))</f>
        <v>2</v>
      </c>
      <c r="G138" s="14">
        <f>IF(Distances!G184="N.C.",0,ROUNDUP(G107+'Délai intermédiaire'!G184/24,0))</f>
        <v>2</v>
      </c>
      <c r="H138" s="14">
        <f>IF(Distances!H184="N.C.",0,ROUNDUP(H107+'Délai intermédiaire'!H184/24,0))</f>
        <v>2</v>
      </c>
      <c r="I138" s="14">
        <f>IF(Distances!I184="N.C.",0,ROUNDUP(I107+'Délai intermédiaire'!I184/24,0))</f>
        <v>2</v>
      </c>
      <c r="J138" s="14">
        <f>IF(Distances!J184="N.C.",0,ROUNDUP(J107+'Délai intermédiaire'!J184/24,0))</f>
        <v>3</v>
      </c>
      <c r="K138" s="14">
        <f>IF(Distances!K184="N.C.",0,ROUNDUP(K107+'Délai intermédiaire'!K184/24,0))</f>
        <v>3</v>
      </c>
      <c r="L138" s="14">
        <f>IF(Distances!L184="N.C.",0,ROUNDUP(L107+'Délai intermédiaire'!L184/24,0))</f>
        <v>3</v>
      </c>
      <c r="M138" s="14">
        <f>IF(Distances!M184="N.C.",0,ROUNDUP(M107+'Délai intermédiaire'!M184/24,0))</f>
        <v>3</v>
      </c>
      <c r="N138" s="14">
        <f>IF(Distances!N184="N.C.",0,ROUNDUP(N107+'Délai intermédiaire'!N184/24,0))</f>
        <v>3</v>
      </c>
      <c r="O138" s="14">
        <f>IF(Distances!O184="N.C.",0,ROUNDUP(O107+'Délai intermédiaire'!O184/24,0))</f>
        <v>3</v>
      </c>
      <c r="P138" s="14">
        <f>IF(Distances!P184="N.C.",0,ROUNDUP(P107+'Délai intermédiaire'!P184/24,0))</f>
        <v>3</v>
      </c>
      <c r="Q138" s="13">
        <f>IF(Distances!Q184="N.C.",0,ROUNDUP(Q107+'Délai intermédiaire'!Q184/24,0))</f>
        <v>2</v>
      </c>
      <c r="R138" s="13">
        <f>IF(Distances!R184="N.C.",0,ROUNDUP(R107+'Délai intermédiaire'!R184/24,0))</f>
        <v>2</v>
      </c>
      <c r="S138" s="13">
        <f>IF(Distances!S184="N.C.",0,ROUNDUP(S107+'Délai intermédiaire'!S184/24,0))</f>
        <v>2</v>
      </c>
      <c r="T138" s="13">
        <f>IF(Distances!T184="N.C.",0,ROUNDUP(T107+'Délai intermédiaire'!T184/24,0))</f>
        <v>2</v>
      </c>
      <c r="U138" s="13">
        <f>IF(Distances!U184="N.C.",0,ROUNDUP(U107+'Délai intermédiaire'!U184/24,0))</f>
        <v>2</v>
      </c>
      <c r="V138" s="13">
        <f>IF(Distances!V184="N.C.",0,ROUNDUP(V107+'Délai intermédiaire'!V184/24,0))</f>
        <v>2</v>
      </c>
      <c r="W138" s="13">
        <f>IF(Distances!W184="N.C.",0,ROUNDUP(W107+'Délai intermédiaire'!W184/24,0))</f>
        <v>2</v>
      </c>
      <c r="X138" s="13">
        <f>IF(Distances!X184="N.C.",0,ROUNDUP(X107+'Délai intermédiaire'!X184/24,0))</f>
        <v>2</v>
      </c>
      <c r="Y138" s="13">
        <f>IF(Distances!Y184="N.C.",0,ROUNDUP(Y107+'Délai intermédiaire'!Y184/24,0))</f>
        <v>2</v>
      </c>
      <c r="Z138" s="13">
        <f>IF(Distances!Z184="N.C.",0,ROUNDUP(Z107+'Délai intermédiaire'!Z184/24,0))</f>
        <v>3</v>
      </c>
      <c r="AA138" s="13">
        <f>IF(Distances!AA184="N.C.",0,ROUNDUP(AA107+'Délai intermédiaire'!AA184/24,0))</f>
        <v>3</v>
      </c>
      <c r="AB138" s="13">
        <f>IF(Distances!AB184="N.C.",0,ROUNDUP(AB107+'Délai intermédiaire'!AB184/24,0))</f>
        <v>2</v>
      </c>
      <c r="AC138" s="13">
        <f>IF(Distances!AC184="N.C.",0,ROUNDUP(AC107+'Délai intermédiaire'!AC184/24,0))</f>
        <v>2</v>
      </c>
      <c r="AD138" s="13">
        <f>IF(Distances!AD184="N.C.",0,ROUNDUP(AD107+'Délai intermédiaire'!AD184/24,0))</f>
        <v>3</v>
      </c>
      <c r="AE138" s="12">
        <f>IF(Distances!AE184="N.C.",0,ROUNDUP(AE107+'Délai intermédiaire'!AE184/24,0))</f>
        <v>2</v>
      </c>
      <c r="AF138" s="13">
        <f>IF(Distances!AF184="N.C.",0,ROUNDUP(AF107+'Délai intermédiaire'!AF184/24,0))</f>
        <v>2</v>
      </c>
      <c r="AG138" s="13">
        <f>IF(Distances!AG184="N.C.",0,ROUNDUP(AG107+'Délai intermédiaire'!AG184/24,0))</f>
        <v>3</v>
      </c>
      <c r="AH138" s="14">
        <f>IF(Distances!AH184="N.C.",0,ROUNDUP(AH107+'Délai intermédiaire'!AH184/24,0))</f>
        <v>3</v>
      </c>
      <c r="AI138" s="14">
        <f>IF(Distances!AI184="N.C.",0,ROUNDUP(AI107+'Délai intermédiaire'!AI184/24,0))</f>
        <v>3</v>
      </c>
      <c r="AJ138" s="14">
        <f>IF(Distances!AJ184="N.C.",0,ROUNDUP(AJ107+'Délai intermédiaire'!AJ184/24,0))</f>
        <v>3</v>
      </c>
      <c r="AK138" s="14">
        <f>IF(Distances!AK184="N.C.",0,ROUNDUP(AK107+'Délai intermédiaire'!AK184/24,0))</f>
        <v>3</v>
      </c>
      <c r="AL138" s="14">
        <f>IF(Distances!AL184="N.C.",0,ROUNDUP(AL107+'Délai intermédiaire'!AL184/24,0))</f>
        <v>2</v>
      </c>
      <c r="AM138" s="14">
        <f>IF(Distances!AM184="N.C.",0,ROUNDUP(AM107+'Délai intermédiaire'!AM184/24,0))</f>
        <v>2</v>
      </c>
      <c r="AN138" s="14">
        <f>IF(Distances!AN184="N.C.",0,ROUNDUP(AN107+'Délai intermédiaire'!AN184/24,0))</f>
        <v>2</v>
      </c>
      <c r="AO138" s="14">
        <f>IF(Distances!AO184="N.C.",0,ROUNDUP(AO107+'Délai intermédiaire'!AO184/24,0))</f>
        <v>3</v>
      </c>
      <c r="AP138" s="14">
        <f>IF(Distances!AP184="N.C.",0,ROUNDUP(AP107+'Délai intermédiaire'!AP184/24,0))</f>
        <v>3</v>
      </c>
      <c r="AQ138" s="14">
        <f>IF(Distances!AQ184="N.C.",0,ROUNDUP(AQ107+'Délai intermédiaire'!AQ184/24,0))</f>
        <v>3</v>
      </c>
      <c r="AR138" s="14">
        <f>IF(Distances!AR184="N.C.",0,ROUNDUP(AR107+'Délai intermédiaire'!AR184/24,0))</f>
        <v>3</v>
      </c>
      <c r="AS138" s="14">
        <f>IF(Distances!AS184="N.C.",0,ROUNDUP(AS107+'Délai intermédiaire'!AS184/24,0))</f>
        <v>3</v>
      </c>
      <c r="AT138" s="14">
        <f>IF(Distances!AT184="N.C.",0,ROUNDUP(AT107+'Délai intermédiaire'!AT184/24,0))</f>
        <v>3</v>
      </c>
      <c r="AU138" s="14">
        <f>IF(Distances!AU184="N.C.",0,ROUNDUP(AU107+'Délai intermédiaire'!AU184/24,0))</f>
        <v>3</v>
      </c>
      <c r="AV138" s="12">
        <f>IF(Distances!AV184="N.C.",0,ROUNDUP(AV107+'Délai intermédiaire'!AV184/24,0))</f>
        <v>4</v>
      </c>
      <c r="AW138" s="14">
        <f>IF(Distances!AW184="N.C.",0,ROUNDUP(AW107+'Délai intermédiaire'!AW184/24,0))</f>
        <v>4</v>
      </c>
      <c r="AX138" s="14">
        <f>IF(Distances!AX184="N.C.",0,ROUNDUP(AX107+'Délai intermédiaire'!AX184/24,0))</f>
        <v>4</v>
      </c>
      <c r="AY138" s="14">
        <f>IF(Distances!AY184="N.C.",0,ROUNDUP(AY107+'Délai intermédiaire'!AY184/24,0))</f>
        <v>3</v>
      </c>
      <c r="AZ138" s="14">
        <f>IF(Distances!AZ184="N.C.",0,ROUNDUP(AZ107+'Délai intermédiaire'!AZ184/24,0))</f>
        <v>3</v>
      </c>
      <c r="BA138" s="14">
        <f>IF(Distances!BA184="N.C.",0,ROUNDUP(BA107+'Délai intermédiaire'!BA184/24,0))</f>
        <v>3</v>
      </c>
      <c r="BB138" s="13">
        <f>IF(Distances!BB184="N.C.",0,ROUNDUP(BB107+'Délai intermédiaire'!BB184/24,0))</f>
        <v>3</v>
      </c>
      <c r="BC138" s="14">
        <f>IF(Distances!BC184="N.C.",0,ROUNDUP(BC107+'Délai intermédiaire'!BC184/24,0))</f>
        <v>3</v>
      </c>
      <c r="BD138" s="14">
        <f>IF(Distances!BD184="N.C.",0,ROUNDUP(BD107+'Délai intermédiaire'!BD184/24,0))</f>
        <v>3</v>
      </c>
      <c r="BE138" s="14">
        <f>IF(Distances!BE184="N.C.",0,ROUNDUP(BE107+'Délai intermédiaire'!BE184/24,0))</f>
        <v>3</v>
      </c>
      <c r="BF138" s="12">
        <f>IF(Distances!BF184="N.C.",0,ROUNDUP(BF107+'Délai intermédiaire'!BF184/24,0))</f>
        <v>3</v>
      </c>
      <c r="BG138" s="13">
        <f>IF(Distances!BG184="N.C.",0,ROUNDUP(BG107+'Délai intermédiaire'!BG184/24,0))</f>
        <v>3</v>
      </c>
      <c r="BH138" s="14">
        <f>IF(Distances!BH184="N.C.",0,ROUNDUP(BH107+'Délai intermédiaire'!BH184/24,0))</f>
        <v>3</v>
      </c>
      <c r="BI138" s="14">
        <f>IF(Distances!BI184="N.C.",0,ROUNDUP(BI107+'Délai intermédiaire'!BI184/24,0))</f>
        <v>3</v>
      </c>
      <c r="BJ138" s="15">
        <f>IF(Distances!BJ184="N.C.",0,ROUNDUP(BJ107+'Délai intermédiaire'!BJ184/24,0))</f>
        <v>3</v>
      </c>
    </row>
    <row r="139" spans="1:62" x14ac:dyDescent="0.3">
      <c r="A139" s="10" t="s">
        <v>31</v>
      </c>
      <c r="B139" s="16">
        <f>IF(Distances!B185="N.C.",0,ROUNDUP(B107+'Délai intermédiaire'!B185/24,0))</f>
        <v>2</v>
      </c>
      <c r="C139" s="14">
        <f>IF(Distances!C185="N.C.",0,ROUNDUP(C107+'Délai intermédiaire'!C185/24,0))</f>
        <v>2</v>
      </c>
      <c r="D139" s="14">
        <f>IF(Distances!D185="N.C.",0,ROUNDUP(D107+'Délai intermédiaire'!D185/24,0))</f>
        <v>2</v>
      </c>
      <c r="E139" s="14">
        <f>IF(Distances!E185="N.C.",0,ROUNDUP(E107+'Délai intermédiaire'!E185/24,0))</f>
        <v>2</v>
      </c>
      <c r="F139" s="14">
        <f>IF(Distances!F185="N.C.",0,ROUNDUP(F107+'Délai intermédiaire'!F185/24,0))</f>
        <v>2</v>
      </c>
      <c r="G139" s="14">
        <f>IF(Distances!G185="N.C.",0,ROUNDUP(G107+'Délai intermédiaire'!G185/24,0))</f>
        <v>2</v>
      </c>
      <c r="H139" s="14">
        <f>IF(Distances!H185="N.C.",0,ROUNDUP(H107+'Délai intermédiaire'!H185/24,0))</f>
        <v>2</v>
      </c>
      <c r="I139" s="14">
        <f>IF(Distances!I185="N.C.",0,ROUNDUP(I107+'Délai intermédiaire'!I185/24,0))</f>
        <v>2</v>
      </c>
      <c r="J139" s="14">
        <f>IF(Distances!J185="N.C.",0,ROUNDUP(J107+'Délai intermédiaire'!J185/24,0))</f>
        <v>3</v>
      </c>
      <c r="K139" s="14">
        <f>IF(Distances!K185="N.C.",0,ROUNDUP(K107+'Délai intermédiaire'!K185/24,0))</f>
        <v>3</v>
      </c>
      <c r="L139" s="14">
        <f>IF(Distances!L185="N.C.",0,ROUNDUP(L107+'Délai intermédiaire'!L185/24,0))</f>
        <v>3</v>
      </c>
      <c r="M139" s="14">
        <f>IF(Distances!M185="N.C.",0,ROUNDUP(M107+'Délai intermédiaire'!M185/24,0))</f>
        <v>3</v>
      </c>
      <c r="N139" s="14">
        <f>IF(Distances!N185="N.C.",0,ROUNDUP(N107+'Délai intermédiaire'!N185/24,0))</f>
        <v>3</v>
      </c>
      <c r="O139" s="14">
        <f>IF(Distances!O185="N.C.",0,ROUNDUP(O107+'Délai intermédiaire'!O185/24,0))</f>
        <v>3</v>
      </c>
      <c r="P139" s="14">
        <f>IF(Distances!P185="N.C.",0,ROUNDUP(P107+'Délai intermédiaire'!P185/24,0))</f>
        <v>3</v>
      </c>
      <c r="Q139" s="13">
        <f>IF(Distances!Q185="N.C.",0,ROUNDUP(Q107+'Délai intermédiaire'!Q185/24,0))</f>
        <v>2</v>
      </c>
      <c r="R139" s="13">
        <f>IF(Distances!R185="N.C.",0,ROUNDUP(R107+'Délai intermédiaire'!R185/24,0))</f>
        <v>2</v>
      </c>
      <c r="S139" s="13">
        <f>IF(Distances!S185="N.C.",0,ROUNDUP(S107+'Délai intermédiaire'!S185/24,0))</f>
        <v>2</v>
      </c>
      <c r="T139" s="13">
        <f>IF(Distances!T185="N.C.",0,ROUNDUP(T107+'Délai intermédiaire'!T185/24,0))</f>
        <v>2</v>
      </c>
      <c r="U139" s="13">
        <f>IF(Distances!U185="N.C.",0,ROUNDUP(U107+'Délai intermédiaire'!U185/24,0))</f>
        <v>2</v>
      </c>
      <c r="V139" s="13">
        <f>IF(Distances!V185="N.C.",0,ROUNDUP(V107+'Délai intermédiaire'!V185/24,0))</f>
        <v>2</v>
      </c>
      <c r="W139" s="13">
        <f>IF(Distances!W185="N.C.",0,ROUNDUP(W107+'Délai intermédiaire'!W185/24,0))</f>
        <v>2</v>
      </c>
      <c r="X139" s="13">
        <f>IF(Distances!X185="N.C.",0,ROUNDUP(X107+'Délai intermédiaire'!X185/24,0))</f>
        <v>2</v>
      </c>
      <c r="Y139" s="13">
        <f>IF(Distances!Y185="N.C.",0,ROUNDUP(Y107+'Délai intermédiaire'!Y185/24,0))</f>
        <v>2</v>
      </c>
      <c r="Z139" s="13">
        <f>IF(Distances!Z185="N.C.",0,ROUNDUP(Z107+'Délai intermédiaire'!Z185/24,0))</f>
        <v>3</v>
      </c>
      <c r="AA139" s="13">
        <f>IF(Distances!AA185="N.C.",0,ROUNDUP(AA107+'Délai intermédiaire'!AA185/24,0))</f>
        <v>3</v>
      </c>
      <c r="AB139" s="13">
        <f>IF(Distances!AB185="N.C.",0,ROUNDUP(AB107+'Délai intermédiaire'!AB185/24,0))</f>
        <v>2</v>
      </c>
      <c r="AC139" s="13">
        <f>IF(Distances!AC185="N.C.",0,ROUNDUP(AC107+'Délai intermédiaire'!AC185/24,0))</f>
        <v>2</v>
      </c>
      <c r="AD139" s="13">
        <f>IF(Distances!AD185="N.C.",0,ROUNDUP(AD107+'Délai intermédiaire'!AD185/24,0))</f>
        <v>3</v>
      </c>
      <c r="AE139" s="13">
        <f>IF(Distances!AE185="N.C.",0,ROUNDUP(AE107+'Délai intermédiaire'!AE185/24,0))</f>
        <v>3</v>
      </c>
      <c r="AF139" s="12">
        <f>IF(Distances!AF185="N.C.",0,ROUNDUP(AF107+'Délai intermédiaire'!AF185/24,0))</f>
        <v>1</v>
      </c>
      <c r="AG139" s="13">
        <f>IF(Distances!AG185="N.C.",0,ROUNDUP(AG107+'Délai intermédiaire'!AG185/24,0))</f>
        <v>3</v>
      </c>
      <c r="AH139" s="14">
        <f>IF(Distances!AH185="N.C.",0,ROUNDUP(AH107+'Délai intermédiaire'!AH185/24,0))</f>
        <v>3</v>
      </c>
      <c r="AI139" s="14">
        <f>IF(Distances!AI185="N.C.",0,ROUNDUP(AI107+'Délai intermédiaire'!AI185/24,0))</f>
        <v>3</v>
      </c>
      <c r="AJ139" s="14">
        <f>IF(Distances!AJ185="N.C.",0,ROUNDUP(AJ107+'Délai intermédiaire'!AJ185/24,0))</f>
        <v>3</v>
      </c>
      <c r="AK139" s="14">
        <f>IF(Distances!AK185="N.C.",0,ROUNDUP(AK107+'Délai intermédiaire'!AK185/24,0))</f>
        <v>3</v>
      </c>
      <c r="AL139" s="14">
        <f>IF(Distances!AL185="N.C.",0,ROUNDUP(AL107+'Délai intermédiaire'!AL185/24,0))</f>
        <v>2</v>
      </c>
      <c r="AM139" s="14">
        <f>IF(Distances!AM185="N.C.",0,ROUNDUP(AM107+'Délai intermédiaire'!AM185/24,0))</f>
        <v>2</v>
      </c>
      <c r="AN139" s="14">
        <f>IF(Distances!AN185="N.C.",0,ROUNDUP(AN107+'Délai intermédiaire'!AN185/24,0))</f>
        <v>2</v>
      </c>
      <c r="AO139" s="14">
        <f>IF(Distances!AO185="N.C.",0,ROUNDUP(AO107+'Délai intermédiaire'!AO185/24,0))</f>
        <v>3</v>
      </c>
      <c r="AP139" s="14">
        <f>IF(Distances!AP185="N.C.",0,ROUNDUP(AP107+'Délai intermédiaire'!AP185/24,0))</f>
        <v>3</v>
      </c>
      <c r="AQ139" s="14">
        <f>IF(Distances!AQ185="N.C.",0,ROUNDUP(AQ107+'Délai intermédiaire'!AQ185/24,0))</f>
        <v>3</v>
      </c>
      <c r="AR139" s="14">
        <f>IF(Distances!AR185="N.C.",0,ROUNDUP(AR107+'Délai intermédiaire'!AR185/24,0))</f>
        <v>3</v>
      </c>
      <c r="AS139" s="14">
        <f>IF(Distances!AS185="N.C.",0,ROUNDUP(AS107+'Délai intermédiaire'!AS185/24,0))</f>
        <v>3</v>
      </c>
      <c r="AT139" s="14">
        <f>IF(Distances!AT185="N.C.",0,ROUNDUP(AT107+'Délai intermédiaire'!AT185/24,0))</f>
        <v>3</v>
      </c>
      <c r="AU139" s="14">
        <f>IF(Distances!AU185="N.C.",0,ROUNDUP(AU107+'Délai intermédiaire'!AU185/24,0))</f>
        <v>3</v>
      </c>
      <c r="AV139" s="14">
        <f>IF(Distances!AV185="N.C.",0,ROUNDUP(AV107+'Délai intermédiaire'!AV185/24,0))</f>
        <v>4</v>
      </c>
      <c r="AW139" s="14">
        <f>IF(Distances!AW185="N.C.",0,ROUNDUP(AW107+'Délai intermédiaire'!AW185/24,0))</f>
        <v>4</v>
      </c>
      <c r="AX139" s="14">
        <f>IF(Distances!AX185="N.C.",0,ROUNDUP(AX107+'Délai intermédiaire'!AX185/24,0))</f>
        <v>4</v>
      </c>
      <c r="AY139" s="14">
        <f>IF(Distances!AY185="N.C.",0,ROUNDUP(AY107+'Délai intermédiaire'!AY185/24,0))</f>
        <v>3</v>
      </c>
      <c r="AZ139" s="14">
        <f>IF(Distances!AZ185="N.C.",0,ROUNDUP(AZ107+'Délai intermédiaire'!AZ185/24,0))</f>
        <v>3</v>
      </c>
      <c r="BA139" s="14">
        <f>IF(Distances!BA185="N.C.",0,ROUNDUP(BA107+'Délai intermédiaire'!BA185/24,0))</f>
        <v>3</v>
      </c>
      <c r="BB139" s="13">
        <f>IF(Distances!BB185="N.C.",0,ROUNDUP(BB107+'Délai intermédiaire'!BB185/24,0))</f>
        <v>3</v>
      </c>
      <c r="BC139" s="14">
        <f>IF(Distances!BC185="N.C.",0,ROUNDUP(BC107+'Délai intermédiaire'!BC185/24,0))</f>
        <v>3</v>
      </c>
      <c r="BD139" s="14">
        <f>IF(Distances!BD185="N.C.",0,ROUNDUP(BD107+'Délai intermédiaire'!BD185/24,0))</f>
        <v>3</v>
      </c>
      <c r="BE139" s="14">
        <f>IF(Distances!BE185="N.C.",0,ROUNDUP(BE107+'Délai intermédiaire'!BE185/24,0))</f>
        <v>3</v>
      </c>
      <c r="BF139" s="13">
        <f>IF(Distances!BF185="N.C.",0,ROUNDUP(BF107+'Délai intermédiaire'!BF185/24,0))</f>
        <v>3</v>
      </c>
      <c r="BG139" s="13">
        <f>IF(Distances!BG185="N.C.",0,ROUNDUP(BG107+'Délai intermédiaire'!BG185/24,0))</f>
        <v>3</v>
      </c>
      <c r="BH139" s="14">
        <f>IF(Distances!BH185="N.C.",0,ROUNDUP(BH107+'Délai intermédiaire'!BH185/24,0))</f>
        <v>3</v>
      </c>
      <c r="BI139" s="14">
        <f>IF(Distances!BI185="N.C.",0,ROUNDUP(BI107+'Délai intermédiaire'!BI185/24,0))</f>
        <v>3</v>
      </c>
      <c r="BJ139" s="15">
        <f>IF(Distances!BJ185="N.C.",0,ROUNDUP(BJ107+'Délai intermédiaire'!BJ185/24,0))</f>
        <v>3</v>
      </c>
    </row>
    <row r="140" spans="1:62" x14ac:dyDescent="0.3">
      <c r="A140" s="10" t="s">
        <v>32</v>
      </c>
      <c r="B140" s="16">
        <f>IF(Distances!B186="N.C.",0,ROUNDUP(B107+'Délai intermédiaire'!B186/24,0))</f>
        <v>2</v>
      </c>
      <c r="C140" s="14">
        <f>IF(Distances!C186="N.C.",0,ROUNDUP(C107+'Délai intermédiaire'!C186/24,0))</f>
        <v>2</v>
      </c>
      <c r="D140" s="14">
        <f>IF(Distances!D186="N.C.",0,ROUNDUP(D107+'Délai intermédiaire'!D186/24,0))</f>
        <v>2</v>
      </c>
      <c r="E140" s="14">
        <f>IF(Distances!E186="N.C.",0,ROUNDUP(E107+'Délai intermédiaire'!E186/24,0))</f>
        <v>2</v>
      </c>
      <c r="F140" s="14">
        <f>IF(Distances!F186="N.C.",0,ROUNDUP(F107+'Délai intermédiaire'!F186/24,0))</f>
        <v>2</v>
      </c>
      <c r="G140" s="14">
        <f>IF(Distances!G186="N.C.",0,ROUNDUP(G107+'Délai intermédiaire'!G186/24,0))</f>
        <v>2</v>
      </c>
      <c r="H140" s="14">
        <f>IF(Distances!H186="N.C.",0,ROUNDUP(H107+'Délai intermédiaire'!H186/24,0))</f>
        <v>2</v>
      </c>
      <c r="I140" s="14">
        <f>IF(Distances!I186="N.C.",0,ROUNDUP(I107+'Délai intermédiaire'!I186/24,0))</f>
        <v>2</v>
      </c>
      <c r="J140" s="14">
        <f>IF(Distances!J186="N.C.",0,ROUNDUP(J107+'Délai intermédiaire'!J186/24,0))</f>
        <v>3</v>
      </c>
      <c r="K140" s="14">
        <f>IF(Distances!K186="N.C.",0,ROUNDUP(K107+'Délai intermédiaire'!K186/24,0))</f>
        <v>3</v>
      </c>
      <c r="L140" s="14">
        <f>IF(Distances!L186="N.C.",0,ROUNDUP(L107+'Délai intermédiaire'!L186/24,0))</f>
        <v>3</v>
      </c>
      <c r="M140" s="14">
        <f>IF(Distances!M186="N.C.",0,ROUNDUP(M107+'Délai intermédiaire'!M186/24,0))</f>
        <v>3</v>
      </c>
      <c r="N140" s="14">
        <f>IF(Distances!N186="N.C.",0,ROUNDUP(N107+'Délai intermédiaire'!N186/24,0))</f>
        <v>3</v>
      </c>
      <c r="O140" s="14">
        <f>IF(Distances!O186="N.C.",0,ROUNDUP(O107+'Délai intermédiaire'!O186/24,0))</f>
        <v>3</v>
      </c>
      <c r="P140" s="14">
        <f>IF(Distances!P186="N.C.",0,ROUNDUP(P107+'Délai intermédiaire'!P186/24,0))</f>
        <v>3</v>
      </c>
      <c r="Q140" s="13">
        <f>IF(Distances!Q186="N.C.",0,ROUNDUP(Q107+'Délai intermédiaire'!Q186/24,0))</f>
        <v>2</v>
      </c>
      <c r="R140" s="13">
        <f>IF(Distances!R186="N.C.",0,ROUNDUP(R107+'Délai intermédiaire'!R186/24,0))</f>
        <v>2</v>
      </c>
      <c r="S140" s="13">
        <f>IF(Distances!S186="N.C.",0,ROUNDUP(S107+'Délai intermédiaire'!S186/24,0))</f>
        <v>2</v>
      </c>
      <c r="T140" s="13">
        <f>IF(Distances!T186="N.C.",0,ROUNDUP(T107+'Délai intermédiaire'!T186/24,0))</f>
        <v>2</v>
      </c>
      <c r="U140" s="13">
        <f>IF(Distances!U186="N.C.",0,ROUNDUP(U107+'Délai intermédiaire'!U186/24,0))</f>
        <v>2</v>
      </c>
      <c r="V140" s="13">
        <f>IF(Distances!V186="N.C.",0,ROUNDUP(V107+'Délai intermédiaire'!V186/24,0))</f>
        <v>2</v>
      </c>
      <c r="W140" s="13">
        <f>IF(Distances!W186="N.C.",0,ROUNDUP(W107+'Délai intermédiaire'!W186/24,0))</f>
        <v>2</v>
      </c>
      <c r="X140" s="13">
        <f>IF(Distances!X186="N.C.",0,ROUNDUP(X107+'Délai intermédiaire'!X186/24,0))</f>
        <v>2</v>
      </c>
      <c r="Y140" s="13">
        <f>IF(Distances!Y186="N.C.",0,ROUNDUP(Y107+'Délai intermédiaire'!Y186/24,0))</f>
        <v>2</v>
      </c>
      <c r="Z140" s="13">
        <f>IF(Distances!Z186="N.C.",0,ROUNDUP(Z107+'Délai intermédiaire'!Z186/24,0))</f>
        <v>3</v>
      </c>
      <c r="AA140" s="13">
        <f>IF(Distances!AA186="N.C.",0,ROUNDUP(AA107+'Délai intermédiaire'!AA186/24,0))</f>
        <v>3</v>
      </c>
      <c r="AB140" s="13">
        <f>IF(Distances!AB186="N.C.",0,ROUNDUP(AB107+'Délai intermédiaire'!AB186/24,0))</f>
        <v>2</v>
      </c>
      <c r="AC140" s="13">
        <f>IF(Distances!AC186="N.C.",0,ROUNDUP(AC107+'Délai intermédiaire'!AC186/24,0))</f>
        <v>2</v>
      </c>
      <c r="AD140" s="13">
        <f>IF(Distances!AD186="N.C.",0,ROUNDUP(AD107+'Délai intermédiaire'!AD186/24,0))</f>
        <v>3</v>
      </c>
      <c r="AE140" s="13">
        <f>IF(Distances!AE186="N.C.",0,ROUNDUP(AE107+'Délai intermédiaire'!AE186/24,0))</f>
        <v>3</v>
      </c>
      <c r="AF140" s="13">
        <f>IF(Distances!AF186="N.C.",0,ROUNDUP(AF107+'Délai intermédiaire'!AF186/24,0))</f>
        <v>2</v>
      </c>
      <c r="AG140" s="12">
        <f>IF(Distances!AG186="N.C.",0,ROUNDUP(AG107+'Délai intermédiaire'!AG186/24,0))</f>
        <v>2</v>
      </c>
      <c r="AH140" s="14">
        <f>IF(Distances!AH186="N.C.",0,ROUNDUP(AH107+'Délai intermédiaire'!AH186/24,0))</f>
        <v>3</v>
      </c>
      <c r="AI140" s="14">
        <f>IF(Distances!AI186="N.C.",0,ROUNDUP(AI107+'Délai intermédiaire'!AI186/24,0))</f>
        <v>3</v>
      </c>
      <c r="AJ140" s="14">
        <f>IF(Distances!AJ186="N.C.",0,ROUNDUP(AJ107+'Délai intermédiaire'!AJ186/24,0))</f>
        <v>3</v>
      </c>
      <c r="AK140" s="14">
        <f>IF(Distances!AK186="N.C.",0,ROUNDUP(AK107+'Délai intermédiaire'!AK186/24,0))</f>
        <v>3</v>
      </c>
      <c r="AL140" s="14">
        <f>IF(Distances!AL186="N.C.",0,ROUNDUP(AL107+'Délai intermédiaire'!AL186/24,0))</f>
        <v>2</v>
      </c>
      <c r="AM140" s="14">
        <f>IF(Distances!AM186="N.C.",0,ROUNDUP(AM107+'Délai intermédiaire'!AM186/24,0))</f>
        <v>2</v>
      </c>
      <c r="AN140" s="14">
        <f>IF(Distances!AN186="N.C.",0,ROUNDUP(AN107+'Délai intermédiaire'!AN186/24,0))</f>
        <v>2</v>
      </c>
      <c r="AO140" s="14">
        <f>IF(Distances!AO186="N.C.",0,ROUNDUP(AO107+'Délai intermédiaire'!AO186/24,0))</f>
        <v>3</v>
      </c>
      <c r="AP140" s="14">
        <f>IF(Distances!AP186="N.C.",0,ROUNDUP(AP107+'Délai intermédiaire'!AP186/24,0))</f>
        <v>3</v>
      </c>
      <c r="AQ140" s="14">
        <f>IF(Distances!AQ186="N.C.",0,ROUNDUP(AQ107+'Délai intermédiaire'!AQ186/24,0))</f>
        <v>3</v>
      </c>
      <c r="AR140" s="14">
        <f>IF(Distances!AR186="N.C.",0,ROUNDUP(AR107+'Délai intermédiaire'!AR186/24,0))</f>
        <v>3</v>
      </c>
      <c r="AS140" s="14">
        <f>IF(Distances!AS186="N.C.",0,ROUNDUP(AS107+'Délai intermédiaire'!AS186/24,0))</f>
        <v>3</v>
      </c>
      <c r="AT140" s="14">
        <f>IF(Distances!AT186="N.C.",0,ROUNDUP(AT107+'Délai intermédiaire'!AT186/24,0))</f>
        <v>3</v>
      </c>
      <c r="AU140" s="14">
        <f>IF(Distances!AU186="N.C.",0,ROUNDUP(AU107+'Délai intermédiaire'!AU186/24,0))</f>
        <v>3</v>
      </c>
      <c r="AV140" s="14">
        <f>IF(Distances!AV186="N.C.",0,ROUNDUP(AV107+'Délai intermédiaire'!AV186/24,0))</f>
        <v>4</v>
      </c>
      <c r="AW140" s="14">
        <f>IF(Distances!AW186="N.C.",0,ROUNDUP(AW107+'Délai intermédiaire'!AW186/24,0))</f>
        <v>4</v>
      </c>
      <c r="AX140" s="14">
        <f>IF(Distances!AX186="N.C.",0,ROUNDUP(AX107+'Délai intermédiaire'!AX186/24,0))</f>
        <v>4</v>
      </c>
      <c r="AY140" s="14">
        <f>IF(Distances!AY186="N.C.",0,ROUNDUP(AY107+'Délai intermédiaire'!AY186/24,0))</f>
        <v>3</v>
      </c>
      <c r="AZ140" s="14">
        <f>IF(Distances!AZ186="N.C.",0,ROUNDUP(AZ107+'Délai intermédiaire'!AZ186/24,0))</f>
        <v>3</v>
      </c>
      <c r="BA140" s="14">
        <f>IF(Distances!BA186="N.C.",0,ROUNDUP(BA107+'Délai intermédiaire'!BA186/24,0))</f>
        <v>3</v>
      </c>
      <c r="BB140" s="13">
        <f>IF(Distances!BB186="N.C.",0,ROUNDUP(BB107+'Délai intermédiaire'!BB186/24,0))</f>
        <v>3</v>
      </c>
      <c r="BC140" s="14">
        <f>IF(Distances!BC186="N.C.",0,ROUNDUP(BC107+'Délai intermédiaire'!BC186/24,0))</f>
        <v>3</v>
      </c>
      <c r="BD140" s="14">
        <f>IF(Distances!BD186="N.C.",0,ROUNDUP(BD107+'Délai intermédiaire'!BD186/24,0))</f>
        <v>3</v>
      </c>
      <c r="BE140" s="14">
        <f>IF(Distances!BE186="N.C.",0,ROUNDUP(BE107+'Délai intermédiaire'!BE186/24,0))</f>
        <v>3</v>
      </c>
      <c r="BF140" s="13">
        <f>IF(Distances!BF186="N.C.",0,ROUNDUP(BF107+'Délai intermédiaire'!BF186/24,0))</f>
        <v>3</v>
      </c>
      <c r="BG140" s="12">
        <f>IF(Distances!BG186="N.C.",0,ROUNDUP(BG107+'Délai intermédiaire'!BG186/24,0))</f>
        <v>3</v>
      </c>
      <c r="BH140" s="14">
        <f>IF(Distances!BH186="N.C.",0,ROUNDUP(BH107+'Délai intermédiaire'!BH186/24,0))</f>
        <v>3</v>
      </c>
      <c r="BI140" s="14">
        <f>IF(Distances!BI186="N.C.",0,ROUNDUP(BI107+'Délai intermédiaire'!BI186/24,0))</f>
        <v>3</v>
      </c>
      <c r="BJ140" s="15">
        <f>IF(Distances!BJ186="N.C.",0,ROUNDUP(BJ107+'Délai intermédiaire'!BJ186/24,0))</f>
        <v>3</v>
      </c>
    </row>
    <row r="141" spans="1:62" x14ac:dyDescent="0.3">
      <c r="A141" s="10" t="s">
        <v>33</v>
      </c>
      <c r="B141" s="16">
        <f>IF(Distances!B187="N.C.",0,ROUNDUP(B107+'Délai intermédiaire'!B187/24,0))</f>
        <v>2</v>
      </c>
      <c r="C141" s="14">
        <f>IF(Distances!C187="N.C.",0,ROUNDUP(C107+'Délai intermédiaire'!C187/24,0))</f>
        <v>2</v>
      </c>
      <c r="D141" s="14">
        <f>IF(Distances!D187="N.C.",0,ROUNDUP(D107+'Délai intermédiaire'!D187/24,0))</f>
        <v>2</v>
      </c>
      <c r="E141" s="14">
        <f>IF(Distances!E187="N.C.",0,ROUNDUP(E107+'Délai intermédiaire'!E187/24,0))</f>
        <v>2</v>
      </c>
      <c r="F141" s="14">
        <f>IF(Distances!F187="N.C.",0,ROUNDUP(F107+'Délai intermédiaire'!F187/24,0))</f>
        <v>2</v>
      </c>
      <c r="G141" s="14">
        <f>IF(Distances!G187="N.C.",0,ROUNDUP(G107+'Délai intermédiaire'!G187/24,0))</f>
        <v>2</v>
      </c>
      <c r="H141" s="14">
        <f>IF(Distances!H187="N.C.",0,ROUNDUP(H107+'Délai intermédiaire'!H187/24,0))</f>
        <v>2</v>
      </c>
      <c r="I141" s="14">
        <f>IF(Distances!I187="N.C.",0,ROUNDUP(I107+'Délai intermédiaire'!I187/24,0))</f>
        <v>2</v>
      </c>
      <c r="J141" s="14">
        <f>IF(Distances!J187="N.C.",0,ROUNDUP(J107+'Délai intermédiaire'!J187/24,0))</f>
        <v>3</v>
      </c>
      <c r="K141" s="14">
        <f>IF(Distances!K187="N.C.",0,ROUNDUP(K107+'Délai intermédiaire'!K187/24,0))</f>
        <v>3</v>
      </c>
      <c r="L141" s="14">
        <f>IF(Distances!L187="N.C.",0,ROUNDUP(L107+'Délai intermédiaire'!L187/24,0))</f>
        <v>3</v>
      </c>
      <c r="M141" s="14">
        <f>IF(Distances!M187="N.C.",0,ROUNDUP(M107+'Délai intermédiaire'!M187/24,0))</f>
        <v>3</v>
      </c>
      <c r="N141" s="14">
        <f>IF(Distances!N187="N.C.",0,ROUNDUP(N107+'Délai intermédiaire'!N187/24,0))</f>
        <v>3</v>
      </c>
      <c r="O141" s="14">
        <f>IF(Distances!O187="N.C.",0,ROUNDUP(O107+'Délai intermédiaire'!O187/24,0))</f>
        <v>3</v>
      </c>
      <c r="P141" s="14">
        <f>IF(Distances!P187="N.C.",0,ROUNDUP(P107+'Délai intermédiaire'!P187/24,0))</f>
        <v>3</v>
      </c>
      <c r="Q141" s="14">
        <f>IF(Distances!Q187="N.C.",0,ROUNDUP(Q107+'Délai intermédiaire'!Q187/24,0))</f>
        <v>2</v>
      </c>
      <c r="R141" s="14">
        <f>IF(Distances!R187="N.C.",0,ROUNDUP(R107+'Délai intermédiaire'!R187/24,0))</f>
        <v>2</v>
      </c>
      <c r="S141" s="14">
        <f>IF(Distances!S187="N.C.",0,ROUNDUP(S107+'Délai intermédiaire'!S187/24,0))</f>
        <v>2</v>
      </c>
      <c r="T141" s="14">
        <f>IF(Distances!T187="N.C.",0,ROUNDUP(T107+'Délai intermédiaire'!T187/24,0))</f>
        <v>2</v>
      </c>
      <c r="U141" s="14">
        <f>IF(Distances!U187="N.C.",0,ROUNDUP(U107+'Délai intermédiaire'!U187/24,0))</f>
        <v>2</v>
      </c>
      <c r="V141" s="14">
        <f>IF(Distances!V187="N.C.",0,ROUNDUP(V107+'Délai intermédiaire'!V187/24,0))</f>
        <v>2</v>
      </c>
      <c r="W141" s="14">
        <f>IF(Distances!W187="N.C.",0,ROUNDUP(W107+'Délai intermédiaire'!W187/24,0))</f>
        <v>2</v>
      </c>
      <c r="X141" s="14">
        <f>IF(Distances!X187="N.C.",0,ROUNDUP(X107+'Délai intermédiaire'!X187/24,0))</f>
        <v>2</v>
      </c>
      <c r="Y141" s="14">
        <f>IF(Distances!Y187="N.C.",0,ROUNDUP(Y107+'Délai intermédiaire'!Y187/24,0))</f>
        <v>2</v>
      </c>
      <c r="Z141" s="14">
        <f>IF(Distances!Z187="N.C.",0,ROUNDUP(Z107+'Délai intermédiaire'!Z187/24,0))</f>
        <v>3</v>
      </c>
      <c r="AA141" s="14">
        <f>IF(Distances!AA187="N.C.",0,ROUNDUP(AA107+'Délai intermédiaire'!AA187/24,0))</f>
        <v>3</v>
      </c>
      <c r="AB141" s="14">
        <f>IF(Distances!AB187="N.C.",0,ROUNDUP(AB107+'Délai intermédiaire'!AB187/24,0))</f>
        <v>2</v>
      </c>
      <c r="AC141" s="14">
        <f>IF(Distances!AC187="N.C.",0,ROUNDUP(AC107+'Délai intermédiaire'!AC187/24,0))</f>
        <v>2</v>
      </c>
      <c r="AD141" s="14">
        <f>IF(Distances!AD187="N.C.",0,ROUNDUP(AD107+'Délai intermédiaire'!AD187/24,0))</f>
        <v>3</v>
      </c>
      <c r="AE141" s="14">
        <f>IF(Distances!AE187="N.C.",0,ROUNDUP(AE107+'Délai intermédiaire'!AE187/24,0))</f>
        <v>3</v>
      </c>
      <c r="AF141" s="14">
        <f>IF(Distances!AF187="N.C.",0,ROUNDUP(AF107+'Délai intermédiaire'!AF187/24,0))</f>
        <v>2</v>
      </c>
      <c r="AG141" s="14">
        <f>IF(Distances!AG187="N.C.",0,ROUNDUP(AG107+'Délai intermédiaire'!AG187/24,0))</f>
        <v>3</v>
      </c>
      <c r="AH141" s="12">
        <f>IF(Distances!AH187="N.C.",0,ROUNDUP(AH107+'Délai intermédiaire'!AH187/24,0))</f>
        <v>2</v>
      </c>
      <c r="AI141" s="13">
        <f>IF(Distances!AI187="N.C.",0,ROUNDUP(AI107+'Délai intermédiaire'!AI187/24,0))</f>
        <v>3</v>
      </c>
      <c r="AJ141" s="13">
        <f>IF(Distances!AJ187="N.C.",0,ROUNDUP(AJ107+'Délai intermédiaire'!AJ187/24,0))</f>
        <v>3</v>
      </c>
      <c r="AK141" s="13">
        <f>IF(Distances!AK187="N.C.",0,ROUNDUP(AK107+'Délai intermédiaire'!AK187/24,0))</f>
        <v>3</v>
      </c>
      <c r="AL141" s="13">
        <f>IF(Distances!AL187="N.C.",0,ROUNDUP(AL107+'Délai intermédiaire'!AL187/24,0))</f>
        <v>2</v>
      </c>
      <c r="AM141" s="13">
        <f>IF(Distances!AM187="N.C.",0,ROUNDUP(AM107+'Délai intermédiaire'!AM187/24,0))</f>
        <v>2</v>
      </c>
      <c r="AN141" s="13">
        <f>IF(Distances!AN187="N.C.",0,ROUNDUP(AN107+'Délai intermédiaire'!AN187/24,0))</f>
        <v>2</v>
      </c>
      <c r="AO141" s="14">
        <f>IF(Distances!AO187="N.C.",0,ROUNDUP(AO107+'Délai intermédiaire'!AO187/24,0))</f>
        <v>3</v>
      </c>
      <c r="AP141" s="14">
        <f>IF(Distances!AP187="N.C.",0,ROUNDUP(AP107+'Délai intermédiaire'!AP187/24,0))</f>
        <v>3</v>
      </c>
      <c r="AQ141" s="14">
        <f>IF(Distances!AQ187="N.C.",0,ROUNDUP(AQ107+'Délai intermédiaire'!AQ187/24,0))</f>
        <v>3</v>
      </c>
      <c r="AR141" s="13">
        <f>IF(Distances!AR187="N.C.",0,ROUNDUP(AR107+'Délai intermédiaire'!AR187/24,0))</f>
        <v>3</v>
      </c>
      <c r="AS141" s="13">
        <f>IF(Distances!AS187="N.C.",0,ROUNDUP(AS107+'Délai intermédiaire'!AS187/24,0))</f>
        <v>3</v>
      </c>
      <c r="AT141" s="13">
        <f>IF(Distances!AT187="N.C.",0,ROUNDUP(AT107+'Délai intermédiaire'!AT187/24,0))</f>
        <v>3</v>
      </c>
      <c r="AU141" s="13">
        <f>IF(Distances!AU187="N.C.",0,ROUNDUP(AU107+'Délai intermédiaire'!AU187/24,0))</f>
        <v>3</v>
      </c>
      <c r="AV141" s="13">
        <f>IF(Distances!AV187="N.C.",0,ROUNDUP(AV107+'Délai intermédiaire'!AV187/24,0))</f>
        <v>4</v>
      </c>
      <c r="AW141" s="12">
        <f>IF(Distances!AW187="N.C.",0,ROUNDUP(AW107+'Délai intermédiaire'!AW187/24,0))</f>
        <v>4</v>
      </c>
      <c r="AX141" s="13">
        <f>IF(Distances!AX187="N.C.",0,ROUNDUP(AX107+'Délai intermédiaire'!AX187/24,0))</f>
        <v>4</v>
      </c>
      <c r="AY141" s="14">
        <f>IF(Distances!AY187="N.C.",0,ROUNDUP(AY107+'Délai intermédiaire'!AY187/24,0))</f>
        <v>3</v>
      </c>
      <c r="AZ141" s="14">
        <f>IF(Distances!AZ187="N.C.",0,ROUNDUP(AZ107+'Délai intermédiaire'!AZ187/24,0))</f>
        <v>3</v>
      </c>
      <c r="BA141" s="13">
        <f>IF(Distances!BA187="N.C.",0,ROUNDUP(BA107+'Délai intermédiaire'!BA187/24,0))</f>
        <v>3</v>
      </c>
      <c r="BB141" s="14">
        <f>IF(Distances!BB187="N.C.",0,ROUNDUP(BB107+'Délai intermédiaire'!BB187/24,0))</f>
        <v>3</v>
      </c>
      <c r="BC141" s="13">
        <f>IF(Distances!BC187="N.C.",0,ROUNDUP(BC107+'Délai intermédiaire'!BC187/24,0))</f>
        <v>3</v>
      </c>
      <c r="BD141" s="13">
        <f>IF(Distances!BD187="N.C.",0,ROUNDUP(BD107+'Délai intermédiaire'!BD187/24,0))</f>
        <v>3</v>
      </c>
      <c r="BE141" s="13">
        <f>IF(Distances!BE187="N.C.",0,ROUNDUP(BE107+'Délai intermédiaire'!BE187/24,0))</f>
        <v>3</v>
      </c>
      <c r="BF141" s="14">
        <f>IF(Distances!BF187="N.C.",0,ROUNDUP(BF107+'Délai intermédiaire'!BF187/24,0))</f>
        <v>3</v>
      </c>
      <c r="BG141" s="14">
        <f>IF(Distances!BG187="N.C.",0,ROUNDUP(BG107+'Délai intermédiaire'!BG187/24,0))</f>
        <v>3</v>
      </c>
      <c r="BH141" s="14">
        <f>IF(Distances!BH187="N.C.",0,ROUNDUP(BH107+'Délai intermédiaire'!BH187/24,0))</f>
        <v>3</v>
      </c>
      <c r="BI141" s="14">
        <f>IF(Distances!BI187="N.C.",0,ROUNDUP(BI107+'Délai intermédiaire'!BI187/24,0))</f>
        <v>3</v>
      </c>
      <c r="BJ141" s="15">
        <f>IF(Distances!BJ187="N.C.",0,ROUNDUP(BJ107+'Délai intermédiaire'!BJ187/24,0))</f>
        <v>3</v>
      </c>
    </row>
    <row r="142" spans="1:62" x14ac:dyDescent="0.3">
      <c r="A142" s="10" t="s">
        <v>34</v>
      </c>
      <c r="B142" s="16">
        <f>IF(Distances!B188="N.C.",0,ROUNDUP(B107+'Délai intermédiaire'!B188/24,0))</f>
        <v>2</v>
      </c>
      <c r="C142" s="14">
        <f>IF(Distances!C188="N.C.",0,ROUNDUP(C107+'Délai intermédiaire'!C188/24,0))</f>
        <v>2</v>
      </c>
      <c r="D142" s="14">
        <f>IF(Distances!D188="N.C.",0,ROUNDUP(D107+'Délai intermédiaire'!D188/24,0))</f>
        <v>2</v>
      </c>
      <c r="E142" s="14">
        <f>IF(Distances!E188="N.C.",0,ROUNDUP(E107+'Délai intermédiaire'!E188/24,0))</f>
        <v>2</v>
      </c>
      <c r="F142" s="14">
        <f>IF(Distances!F188="N.C.",0,ROUNDUP(F107+'Délai intermédiaire'!F188/24,0))</f>
        <v>2</v>
      </c>
      <c r="G142" s="14">
        <f>IF(Distances!G188="N.C.",0,ROUNDUP(G107+'Délai intermédiaire'!G188/24,0))</f>
        <v>2</v>
      </c>
      <c r="H142" s="14">
        <f>IF(Distances!H188="N.C.",0,ROUNDUP(H107+'Délai intermédiaire'!H188/24,0))</f>
        <v>2</v>
      </c>
      <c r="I142" s="14">
        <f>IF(Distances!I188="N.C.",0,ROUNDUP(I107+'Délai intermédiaire'!I188/24,0))</f>
        <v>2</v>
      </c>
      <c r="J142" s="14">
        <f>IF(Distances!J188="N.C.",0,ROUNDUP(J107+'Délai intermédiaire'!J188/24,0))</f>
        <v>3</v>
      </c>
      <c r="K142" s="14">
        <f>IF(Distances!K188="N.C.",0,ROUNDUP(K107+'Délai intermédiaire'!K188/24,0))</f>
        <v>3</v>
      </c>
      <c r="L142" s="14">
        <f>IF(Distances!L188="N.C.",0,ROUNDUP(L107+'Délai intermédiaire'!L188/24,0))</f>
        <v>3</v>
      </c>
      <c r="M142" s="14">
        <f>IF(Distances!M188="N.C.",0,ROUNDUP(M107+'Délai intermédiaire'!M188/24,0))</f>
        <v>3</v>
      </c>
      <c r="N142" s="14">
        <f>IF(Distances!N188="N.C.",0,ROUNDUP(N107+'Délai intermédiaire'!N188/24,0))</f>
        <v>3</v>
      </c>
      <c r="O142" s="14">
        <f>IF(Distances!O188="N.C.",0,ROUNDUP(O107+'Délai intermédiaire'!O188/24,0))</f>
        <v>3</v>
      </c>
      <c r="P142" s="14">
        <f>IF(Distances!P188="N.C.",0,ROUNDUP(P107+'Délai intermédiaire'!P188/24,0))</f>
        <v>3</v>
      </c>
      <c r="Q142" s="14">
        <f>IF(Distances!Q188="N.C.",0,ROUNDUP(Q107+'Délai intermédiaire'!Q188/24,0))</f>
        <v>2</v>
      </c>
      <c r="R142" s="14">
        <f>IF(Distances!R188="N.C.",0,ROUNDUP(R107+'Délai intermédiaire'!R188/24,0))</f>
        <v>2</v>
      </c>
      <c r="S142" s="14">
        <f>IF(Distances!S188="N.C.",0,ROUNDUP(S107+'Délai intermédiaire'!S188/24,0))</f>
        <v>2</v>
      </c>
      <c r="T142" s="14">
        <f>IF(Distances!T188="N.C.",0,ROUNDUP(T107+'Délai intermédiaire'!T188/24,0))</f>
        <v>2</v>
      </c>
      <c r="U142" s="14">
        <f>IF(Distances!U188="N.C.",0,ROUNDUP(U107+'Délai intermédiaire'!U188/24,0))</f>
        <v>2</v>
      </c>
      <c r="V142" s="14">
        <f>IF(Distances!V188="N.C.",0,ROUNDUP(V107+'Délai intermédiaire'!V188/24,0))</f>
        <v>2</v>
      </c>
      <c r="W142" s="14">
        <f>IF(Distances!W188="N.C.",0,ROUNDUP(W107+'Délai intermédiaire'!W188/24,0))</f>
        <v>2</v>
      </c>
      <c r="X142" s="14">
        <f>IF(Distances!X188="N.C.",0,ROUNDUP(X107+'Délai intermédiaire'!X188/24,0))</f>
        <v>2</v>
      </c>
      <c r="Y142" s="14">
        <f>IF(Distances!Y188="N.C.",0,ROUNDUP(Y107+'Délai intermédiaire'!Y188/24,0))</f>
        <v>2</v>
      </c>
      <c r="Z142" s="14">
        <f>IF(Distances!Z188="N.C.",0,ROUNDUP(Z107+'Délai intermédiaire'!Z188/24,0))</f>
        <v>3</v>
      </c>
      <c r="AA142" s="14">
        <f>IF(Distances!AA188="N.C.",0,ROUNDUP(AA107+'Délai intermédiaire'!AA188/24,0))</f>
        <v>3</v>
      </c>
      <c r="AB142" s="14">
        <f>IF(Distances!AB188="N.C.",0,ROUNDUP(AB107+'Délai intermédiaire'!AB188/24,0))</f>
        <v>2</v>
      </c>
      <c r="AC142" s="14">
        <f>IF(Distances!AC188="N.C.",0,ROUNDUP(AC107+'Délai intermédiaire'!AC188/24,0))</f>
        <v>2</v>
      </c>
      <c r="AD142" s="14">
        <f>IF(Distances!AD188="N.C.",0,ROUNDUP(AD107+'Délai intermédiaire'!AD188/24,0))</f>
        <v>3</v>
      </c>
      <c r="AE142" s="14">
        <f>IF(Distances!AE188="N.C.",0,ROUNDUP(AE107+'Délai intermédiaire'!AE188/24,0))</f>
        <v>3</v>
      </c>
      <c r="AF142" s="14">
        <f>IF(Distances!AF188="N.C.",0,ROUNDUP(AF107+'Délai intermédiaire'!AF188/24,0))</f>
        <v>2</v>
      </c>
      <c r="AG142" s="14">
        <f>IF(Distances!AG188="N.C.",0,ROUNDUP(AG107+'Délai intermédiaire'!AG188/24,0))</f>
        <v>3</v>
      </c>
      <c r="AH142" s="13">
        <f>IF(Distances!AH188="N.C.",0,ROUNDUP(AH107+'Délai intermédiaire'!AH188/24,0))</f>
        <v>3</v>
      </c>
      <c r="AI142" s="12">
        <f>IF(Distances!AI188="N.C.",0,ROUNDUP(AI107+'Délai intermédiaire'!AI188/24,0))</f>
        <v>2</v>
      </c>
      <c r="AJ142" s="13">
        <f>IF(Distances!AJ188="N.C.",0,ROUNDUP(AJ107+'Délai intermédiaire'!AJ188/24,0))</f>
        <v>3</v>
      </c>
      <c r="AK142" s="13">
        <f>IF(Distances!AK188="N.C.",0,ROUNDUP(AK107+'Délai intermédiaire'!AK188/24,0))</f>
        <v>3</v>
      </c>
      <c r="AL142" s="13">
        <f>IF(Distances!AL188="N.C.",0,ROUNDUP(AL107+'Délai intermédiaire'!AL188/24,0))</f>
        <v>2</v>
      </c>
      <c r="AM142" s="13">
        <f>IF(Distances!AM188="N.C.",0,ROUNDUP(AM107+'Délai intermédiaire'!AM188/24,0))</f>
        <v>2</v>
      </c>
      <c r="AN142" s="13">
        <f>IF(Distances!AN188="N.C.",0,ROUNDUP(AN107+'Délai intermédiaire'!AN188/24,0))</f>
        <v>2</v>
      </c>
      <c r="AO142" s="14">
        <f>IF(Distances!AO188="N.C.",0,ROUNDUP(AO107+'Délai intermédiaire'!AO188/24,0))</f>
        <v>3</v>
      </c>
      <c r="AP142" s="14">
        <f>IF(Distances!AP188="N.C.",0,ROUNDUP(AP107+'Délai intermédiaire'!AP188/24,0))</f>
        <v>3</v>
      </c>
      <c r="AQ142" s="14">
        <f>IF(Distances!AQ188="N.C.",0,ROUNDUP(AQ107+'Délai intermédiaire'!AQ188/24,0))</f>
        <v>3</v>
      </c>
      <c r="AR142" s="13">
        <f>IF(Distances!AR188="N.C.",0,ROUNDUP(AR107+'Délai intermédiaire'!AR188/24,0))</f>
        <v>3</v>
      </c>
      <c r="AS142" s="13">
        <f>IF(Distances!AS188="N.C.",0,ROUNDUP(AS107+'Délai intermédiaire'!AS188/24,0))</f>
        <v>3</v>
      </c>
      <c r="AT142" s="13">
        <f>IF(Distances!AT188="N.C.",0,ROUNDUP(AT107+'Délai intermédiaire'!AT188/24,0))</f>
        <v>3</v>
      </c>
      <c r="AU142" s="12">
        <f>IF(Distances!AU188="N.C.",0,ROUNDUP(AU107+'Délai intermédiaire'!AU188/24,0))</f>
        <v>3</v>
      </c>
      <c r="AV142" s="13">
        <f>IF(Distances!AV188="N.C.",0,ROUNDUP(AV107+'Délai intermédiaire'!AV188/24,0))</f>
        <v>4</v>
      </c>
      <c r="AW142" s="13">
        <f>IF(Distances!AW188="N.C.",0,ROUNDUP(AW107+'Délai intermédiaire'!AW188/24,0))</f>
        <v>4</v>
      </c>
      <c r="AX142" s="12">
        <f>IF(Distances!AX188="N.C.",0,ROUNDUP(AX107+'Délai intermédiaire'!AX188/24,0))</f>
        <v>4</v>
      </c>
      <c r="AY142" s="14">
        <f>IF(Distances!AY188="N.C.",0,ROUNDUP(AY107+'Délai intermédiaire'!AY188/24,0))</f>
        <v>3</v>
      </c>
      <c r="AZ142" s="14">
        <f>IF(Distances!AZ188="N.C.",0,ROUNDUP(AZ107+'Délai intermédiaire'!AZ188/24,0))</f>
        <v>3</v>
      </c>
      <c r="BA142" s="13">
        <f>IF(Distances!BA188="N.C.",0,ROUNDUP(BA107+'Délai intermédiaire'!BA188/24,0))</f>
        <v>3</v>
      </c>
      <c r="BB142" s="14">
        <f>IF(Distances!BB188="N.C.",0,ROUNDUP(BB107+'Délai intermédiaire'!BB188/24,0))</f>
        <v>3</v>
      </c>
      <c r="BC142" s="12">
        <f>IF(Distances!BC188="N.C.",0,ROUNDUP(BC107+'Délai intermédiaire'!BC188/24,0))</f>
        <v>3</v>
      </c>
      <c r="BD142" s="12">
        <f>IF(Distances!BD188="N.C.",0,ROUNDUP(BD107+'Délai intermédiaire'!BD188/24,0))</f>
        <v>3</v>
      </c>
      <c r="BE142" s="12">
        <f>IF(Distances!BE188="N.C.",0,ROUNDUP(BE107+'Délai intermédiaire'!BE188/24,0))</f>
        <v>3</v>
      </c>
      <c r="BF142" s="14">
        <f>IF(Distances!BF188="N.C.",0,ROUNDUP(BF107+'Délai intermédiaire'!BF188/24,0))</f>
        <v>3</v>
      </c>
      <c r="BG142" s="14">
        <f>IF(Distances!BG188="N.C.",0,ROUNDUP(BG107+'Délai intermédiaire'!BG188/24,0))</f>
        <v>3</v>
      </c>
      <c r="BH142" s="14">
        <f>IF(Distances!BH188="N.C.",0,ROUNDUP(BH107+'Délai intermédiaire'!BH188/24,0))</f>
        <v>3</v>
      </c>
      <c r="BI142" s="14">
        <f>IF(Distances!BI188="N.C.",0,ROUNDUP(BI107+'Délai intermédiaire'!BI188/24,0))</f>
        <v>3</v>
      </c>
      <c r="BJ142" s="15">
        <f>IF(Distances!BJ188="N.C.",0,ROUNDUP(BJ107+'Délai intermédiaire'!BJ188/24,0))</f>
        <v>3</v>
      </c>
    </row>
    <row r="143" spans="1:62" x14ac:dyDescent="0.3">
      <c r="A143" s="10" t="s">
        <v>35</v>
      </c>
      <c r="B143" s="16">
        <f>IF(Distances!B189="N.C.",0,ROUNDUP(B107+'Délai intermédiaire'!B189/24,0))</f>
        <v>2</v>
      </c>
      <c r="C143" s="14">
        <f>IF(Distances!C189="N.C.",0,ROUNDUP(C107+'Délai intermédiaire'!C189/24,0))</f>
        <v>3</v>
      </c>
      <c r="D143" s="14">
        <f>IF(Distances!D189="N.C.",0,ROUNDUP(D107+'Délai intermédiaire'!D189/24,0))</f>
        <v>2</v>
      </c>
      <c r="E143" s="14">
        <f>IF(Distances!E189="N.C.",0,ROUNDUP(E107+'Délai intermédiaire'!E189/24,0))</f>
        <v>2</v>
      </c>
      <c r="F143" s="14">
        <f>IF(Distances!F189="N.C.",0,ROUNDUP(F107+'Délai intermédiaire'!F189/24,0))</f>
        <v>2</v>
      </c>
      <c r="G143" s="14">
        <f>IF(Distances!G189="N.C.",0,ROUNDUP(G107+'Délai intermédiaire'!G189/24,0))</f>
        <v>2</v>
      </c>
      <c r="H143" s="14">
        <f>IF(Distances!H189="N.C.",0,ROUNDUP(H107+'Délai intermédiaire'!H189/24,0))</f>
        <v>2</v>
      </c>
      <c r="I143" s="14">
        <f>IF(Distances!I189="N.C.",0,ROUNDUP(I107+'Délai intermédiaire'!I189/24,0))</f>
        <v>2</v>
      </c>
      <c r="J143" s="14">
        <f>IF(Distances!J189="N.C.",0,ROUNDUP(J107+'Délai intermédiaire'!J189/24,0))</f>
        <v>3</v>
      </c>
      <c r="K143" s="14">
        <f>IF(Distances!K189="N.C.",0,ROUNDUP(K107+'Délai intermédiaire'!K189/24,0))</f>
        <v>3</v>
      </c>
      <c r="L143" s="14">
        <f>IF(Distances!L189="N.C.",0,ROUNDUP(L107+'Délai intermédiaire'!L189/24,0))</f>
        <v>3</v>
      </c>
      <c r="M143" s="14">
        <f>IF(Distances!M189="N.C.",0,ROUNDUP(M107+'Délai intermédiaire'!M189/24,0))</f>
        <v>3</v>
      </c>
      <c r="N143" s="14">
        <f>IF(Distances!N189="N.C.",0,ROUNDUP(N107+'Délai intermédiaire'!N189/24,0))</f>
        <v>3</v>
      </c>
      <c r="O143" s="14">
        <f>IF(Distances!O189="N.C.",0,ROUNDUP(O107+'Délai intermédiaire'!O189/24,0))</f>
        <v>3</v>
      </c>
      <c r="P143" s="14">
        <f>IF(Distances!P189="N.C.",0,ROUNDUP(P107+'Délai intermédiaire'!P189/24,0))</f>
        <v>3</v>
      </c>
      <c r="Q143" s="14">
        <f>IF(Distances!Q189="N.C.",0,ROUNDUP(Q107+'Délai intermédiaire'!Q189/24,0))</f>
        <v>2</v>
      </c>
      <c r="R143" s="14">
        <f>IF(Distances!R189="N.C.",0,ROUNDUP(R107+'Délai intermédiaire'!R189/24,0))</f>
        <v>2</v>
      </c>
      <c r="S143" s="14">
        <f>IF(Distances!S189="N.C.",0,ROUNDUP(S107+'Délai intermédiaire'!S189/24,0))</f>
        <v>2</v>
      </c>
      <c r="T143" s="14">
        <f>IF(Distances!T189="N.C.",0,ROUNDUP(T107+'Délai intermédiaire'!T189/24,0))</f>
        <v>2</v>
      </c>
      <c r="U143" s="14">
        <f>IF(Distances!U189="N.C.",0,ROUNDUP(U107+'Délai intermédiaire'!U189/24,0))</f>
        <v>2</v>
      </c>
      <c r="V143" s="14">
        <f>IF(Distances!V189="N.C.",0,ROUNDUP(V107+'Délai intermédiaire'!V189/24,0))</f>
        <v>2</v>
      </c>
      <c r="W143" s="14">
        <f>IF(Distances!W189="N.C.",0,ROUNDUP(W107+'Délai intermédiaire'!W189/24,0))</f>
        <v>2</v>
      </c>
      <c r="X143" s="14">
        <f>IF(Distances!X189="N.C.",0,ROUNDUP(X107+'Délai intermédiaire'!X189/24,0))</f>
        <v>2</v>
      </c>
      <c r="Y143" s="14">
        <f>IF(Distances!Y189="N.C.",0,ROUNDUP(Y107+'Délai intermédiaire'!Y189/24,0))</f>
        <v>2</v>
      </c>
      <c r="Z143" s="14">
        <f>IF(Distances!Z189="N.C.",0,ROUNDUP(Z107+'Délai intermédiaire'!Z189/24,0))</f>
        <v>3</v>
      </c>
      <c r="AA143" s="14">
        <f>IF(Distances!AA189="N.C.",0,ROUNDUP(AA107+'Délai intermédiaire'!AA189/24,0))</f>
        <v>3</v>
      </c>
      <c r="AB143" s="14">
        <f>IF(Distances!AB189="N.C.",0,ROUNDUP(AB107+'Délai intermédiaire'!AB189/24,0))</f>
        <v>2</v>
      </c>
      <c r="AC143" s="14">
        <f>IF(Distances!AC189="N.C.",0,ROUNDUP(AC107+'Délai intermédiaire'!AC189/24,0))</f>
        <v>2</v>
      </c>
      <c r="AD143" s="14">
        <f>IF(Distances!AD189="N.C.",0,ROUNDUP(AD107+'Délai intermédiaire'!AD189/24,0))</f>
        <v>3</v>
      </c>
      <c r="AE143" s="14">
        <f>IF(Distances!AE189="N.C.",0,ROUNDUP(AE107+'Délai intermédiaire'!AE189/24,0))</f>
        <v>3</v>
      </c>
      <c r="AF143" s="14">
        <f>IF(Distances!AF189="N.C.",0,ROUNDUP(AF107+'Délai intermédiaire'!AF189/24,0))</f>
        <v>2</v>
      </c>
      <c r="AG143" s="14">
        <f>IF(Distances!AG189="N.C.",0,ROUNDUP(AG107+'Délai intermédiaire'!AG189/24,0))</f>
        <v>3</v>
      </c>
      <c r="AH143" s="13">
        <f>IF(Distances!AH189="N.C.",0,ROUNDUP(AH107+'Délai intermédiaire'!AH189/24,0))</f>
        <v>3</v>
      </c>
      <c r="AI143" s="13">
        <f>IF(Distances!AI189="N.C.",0,ROUNDUP(AI107+'Délai intermédiaire'!AI189/24,0))</f>
        <v>3</v>
      </c>
      <c r="AJ143" s="12">
        <f>IF(Distances!AJ189="N.C.",0,ROUNDUP(AJ107+'Délai intermédiaire'!AJ189/24,0))</f>
        <v>2</v>
      </c>
      <c r="AK143" s="13">
        <f>IF(Distances!AK189="N.C.",0,ROUNDUP(AK107+'Délai intermédiaire'!AK189/24,0))</f>
        <v>3</v>
      </c>
      <c r="AL143" s="13">
        <f>IF(Distances!AL189="N.C.",0,ROUNDUP(AL107+'Délai intermédiaire'!AL189/24,0))</f>
        <v>2</v>
      </c>
      <c r="AM143" s="13">
        <f>IF(Distances!AM189="N.C.",0,ROUNDUP(AM107+'Délai intermédiaire'!AM189/24,0))</f>
        <v>2</v>
      </c>
      <c r="AN143" s="13">
        <f>IF(Distances!AN189="N.C.",0,ROUNDUP(AN107+'Délai intermédiaire'!AN189/24,0))</f>
        <v>2</v>
      </c>
      <c r="AO143" s="14">
        <f>IF(Distances!AO189="N.C.",0,ROUNDUP(AO107+'Délai intermédiaire'!AO189/24,0))</f>
        <v>3</v>
      </c>
      <c r="AP143" s="14">
        <f>IF(Distances!AP189="N.C.",0,ROUNDUP(AP107+'Délai intermédiaire'!AP189/24,0))</f>
        <v>3</v>
      </c>
      <c r="AQ143" s="14">
        <f>IF(Distances!AQ189="N.C.",0,ROUNDUP(AQ107+'Délai intermédiaire'!AQ189/24,0))</f>
        <v>3</v>
      </c>
      <c r="AR143" s="13">
        <f>IF(Distances!AR189="N.C.",0,ROUNDUP(AR107+'Délai intermédiaire'!AR189/24,0))</f>
        <v>3</v>
      </c>
      <c r="AS143" s="13">
        <f>IF(Distances!AS189="N.C.",0,ROUNDUP(AS107+'Délai intermédiaire'!AS189/24,0))</f>
        <v>3</v>
      </c>
      <c r="AT143" s="13">
        <f>IF(Distances!AT189="N.C.",0,ROUNDUP(AT107+'Délai intermédiaire'!AT189/24,0))</f>
        <v>3</v>
      </c>
      <c r="AU143" s="13">
        <f>IF(Distances!AU189="N.C.",0,ROUNDUP(AU107+'Délai intermédiaire'!AU189/24,0))</f>
        <v>3</v>
      </c>
      <c r="AV143" s="13">
        <f>IF(Distances!AV189="N.C.",0,ROUNDUP(AV107+'Délai intermédiaire'!AV189/24,0))</f>
        <v>4</v>
      </c>
      <c r="AW143" s="13">
        <f>IF(Distances!AW189="N.C.",0,ROUNDUP(AW107+'Délai intermédiaire'!AW189/24,0))</f>
        <v>4</v>
      </c>
      <c r="AX143" s="13">
        <f>IF(Distances!AX189="N.C.",0,ROUNDUP(AX107+'Délai intermédiaire'!AX189/24,0))</f>
        <v>4</v>
      </c>
      <c r="AY143" s="14">
        <f>IF(Distances!AY189="N.C.",0,ROUNDUP(AY107+'Délai intermédiaire'!AY189/24,0))</f>
        <v>3</v>
      </c>
      <c r="AZ143" s="14">
        <f>IF(Distances!AZ189="N.C.",0,ROUNDUP(AZ107+'Délai intermédiaire'!AZ189/24,0))</f>
        <v>3</v>
      </c>
      <c r="BA143" s="13">
        <f>IF(Distances!BA189="N.C.",0,ROUNDUP(BA107+'Délai intermédiaire'!BA189/24,0))</f>
        <v>3</v>
      </c>
      <c r="BB143" s="14">
        <f>IF(Distances!BB189="N.C.",0,ROUNDUP(BB107+'Délai intermédiaire'!BB189/24,0))</f>
        <v>3</v>
      </c>
      <c r="BC143" s="13">
        <f>IF(Distances!BC189="N.C.",0,ROUNDUP(BC107+'Délai intermédiaire'!BC189/24,0))</f>
        <v>3</v>
      </c>
      <c r="BD143" s="13">
        <f>IF(Distances!BD189="N.C.",0,ROUNDUP(BD107+'Délai intermédiaire'!BD189/24,0))</f>
        <v>3</v>
      </c>
      <c r="BE143" s="13">
        <f>IF(Distances!BE189="N.C.",0,ROUNDUP(BE107+'Délai intermédiaire'!BE189/24,0))</f>
        <v>3</v>
      </c>
      <c r="BF143" s="14">
        <f>IF(Distances!BF189="N.C.",0,ROUNDUP(BF107+'Délai intermédiaire'!BF189/24,0))</f>
        <v>3</v>
      </c>
      <c r="BG143" s="14">
        <f>IF(Distances!BG189="N.C.",0,ROUNDUP(BG107+'Délai intermédiaire'!BG189/24,0))</f>
        <v>3</v>
      </c>
      <c r="BH143" s="14">
        <f>IF(Distances!BH189="N.C.",0,ROUNDUP(BH107+'Délai intermédiaire'!BH189/24,0))</f>
        <v>3</v>
      </c>
      <c r="BI143" s="14">
        <f>IF(Distances!BI189="N.C.",0,ROUNDUP(BI107+'Délai intermédiaire'!BI189/24,0))</f>
        <v>3</v>
      </c>
      <c r="BJ143" s="15">
        <f>IF(Distances!BJ189="N.C.",0,ROUNDUP(BJ107+'Délai intermédiaire'!BJ189/24,0))</f>
        <v>3</v>
      </c>
    </row>
    <row r="144" spans="1:62" x14ac:dyDescent="0.3">
      <c r="A144" s="10" t="s">
        <v>36</v>
      </c>
      <c r="B144" s="16">
        <f>IF(Distances!B190="N.C.",0,ROUNDUP(B107+'Délai intermédiaire'!B190/24,0))</f>
        <v>2</v>
      </c>
      <c r="C144" s="14">
        <f>IF(Distances!C190="N.C.",0,ROUNDUP(C107+'Délai intermédiaire'!C190/24,0))</f>
        <v>2</v>
      </c>
      <c r="D144" s="14">
        <f>IF(Distances!D190="N.C.",0,ROUNDUP(D107+'Délai intermédiaire'!D190/24,0))</f>
        <v>2</v>
      </c>
      <c r="E144" s="14">
        <f>IF(Distances!E190="N.C.",0,ROUNDUP(E107+'Délai intermédiaire'!E190/24,0))</f>
        <v>2</v>
      </c>
      <c r="F144" s="14">
        <f>IF(Distances!F190="N.C.",0,ROUNDUP(F107+'Délai intermédiaire'!F190/24,0))</f>
        <v>2</v>
      </c>
      <c r="G144" s="14">
        <f>IF(Distances!G190="N.C.",0,ROUNDUP(G107+'Délai intermédiaire'!G190/24,0))</f>
        <v>2</v>
      </c>
      <c r="H144" s="14">
        <f>IF(Distances!H190="N.C.",0,ROUNDUP(H107+'Délai intermédiaire'!H190/24,0))</f>
        <v>2</v>
      </c>
      <c r="I144" s="14">
        <f>IF(Distances!I190="N.C.",0,ROUNDUP(I107+'Délai intermédiaire'!I190/24,0))</f>
        <v>2</v>
      </c>
      <c r="J144" s="14">
        <f>IF(Distances!J190="N.C.",0,ROUNDUP(J107+'Délai intermédiaire'!J190/24,0))</f>
        <v>3</v>
      </c>
      <c r="K144" s="14">
        <f>IF(Distances!K190="N.C.",0,ROUNDUP(K107+'Délai intermédiaire'!K190/24,0))</f>
        <v>3</v>
      </c>
      <c r="L144" s="14">
        <f>IF(Distances!L190="N.C.",0,ROUNDUP(L107+'Délai intermédiaire'!L190/24,0))</f>
        <v>3</v>
      </c>
      <c r="M144" s="14">
        <f>IF(Distances!M190="N.C.",0,ROUNDUP(M107+'Délai intermédiaire'!M190/24,0))</f>
        <v>3</v>
      </c>
      <c r="N144" s="14">
        <f>IF(Distances!N190="N.C.",0,ROUNDUP(N107+'Délai intermédiaire'!N190/24,0))</f>
        <v>3</v>
      </c>
      <c r="O144" s="14">
        <f>IF(Distances!O190="N.C.",0,ROUNDUP(O107+'Délai intermédiaire'!O190/24,0))</f>
        <v>3</v>
      </c>
      <c r="P144" s="14">
        <f>IF(Distances!P190="N.C.",0,ROUNDUP(P107+'Délai intermédiaire'!P190/24,0))</f>
        <v>3</v>
      </c>
      <c r="Q144" s="14">
        <f>IF(Distances!Q190="N.C.",0,ROUNDUP(Q107+'Délai intermédiaire'!Q190/24,0))</f>
        <v>2</v>
      </c>
      <c r="R144" s="14">
        <f>IF(Distances!R190="N.C.",0,ROUNDUP(R107+'Délai intermédiaire'!R190/24,0))</f>
        <v>2</v>
      </c>
      <c r="S144" s="14">
        <f>IF(Distances!S190="N.C.",0,ROUNDUP(S107+'Délai intermédiaire'!S190/24,0))</f>
        <v>2</v>
      </c>
      <c r="T144" s="14">
        <f>IF(Distances!T190="N.C.",0,ROUNDUP(T107+'Délai intermédiaire'!T190/24,0))</f>
        <v>2</v>
      </c>
      <c r="U144" s="14">
        <f>IF(Distances!U190="N.C.",0,ROUNDUP(U107+'Délai intermédiaire'!U190/24,0))</f>
        <v>2</v>
      </c>
      <c r="V144" s="14">
        <f>IF(Distances!V190="N.C.",0,ROUNDUP(V107+'Délai intermédiaire'!V190/24,0))</f>
        <v>2</v>
      </c>
      <c r="W144" s="14">
        <f>IF(Distances!W190="N.C.",0,ROUNDUP(W107+'Délai intermédiaire'!W190/24,0))</f>
        <v>2</v>
      </c>
      <c r="X144" s="14">
        <f>IF(Distances!X190="N.C.",0,ROUNDUP(X107+'Délai intermédiaire'!X190/24,0))</f>
        <v>2</v>
      </c>
      <c r="Y144" s="14">
        <f>IF(Distances!Y190="N.C.",0,ROUNDUP(Y107+'Délai intermédiaire'!Y190/24,0))</f>
        <v>2</v>
      </c>
      <c r="Z144" s="14">
        <f>IF(Distances!Z190="N.C.",0,ROUNDUP(Z107+'Délai intermédiaire'!Z190/24,0))</f>
        <v>3</v>
      </c>
      <c r="AA144" s="14">
        <f>IF(Distances!AA190="N.C.",0,ROUNDUP(AA107+'Délai intermédiaire'!AA190/24,0))</f>
        <v>3</v>
      </c>
      <c r="AB144" s="14">
        <f>IF(Distances!AB190="N.C.",0,ROUNDUP(AB107+'Délai intermédiaire'!AB190/24,0))</f>
        <v>2</v>
      </c>
      <c r="AC144" s="14">
        <f>IF(Distances!AC190="N.C.",0,ROUNDUP(AC107+'Délai intermédiaire'!AC190/24,0))</f>
        <v>2</v>
      </c>
      <c r="AD144" s="14">
        <f>IF(Distances!AD190="N.C.",0,ROUNDUP(AD107+'Délai intermédiaire'!AD190/24,0))</f>
        <v>3</v>
      </c>
      <c r="AE144" s="14">
        <f>IF(Distances!AE190="N.C.",0,ROUNDUP(AE107+'Délai intermédiaire'!AE190/24,0))</f>
        <v>3</v>
      </c>
      <c r="AF144" s="14">
        <f>IF(Distances!AF190="N.C.",0,ROUNDUP(AF107+'Délai intermédiaire'!AF190/24,0))</f>
        <v>2</v>
      </c>
      <c r="AG144" s="14">
        <f>IF(Distances!AG190="N.C.",0,ROUNDUP(AG107+'Délai intermédiaire'!AG190/24,0))</f>
        <v>3</v>
      </c>
      <c r="AH144" s="13">
        <f>IF(Distances!AH190="N.C.",0,ROUNDUP(AH107+'Délai intermédiaire'!AH190/24,0))</f>
        <v>3</v>
      </c>
      <c r="AI144" s="13">
        <f>IF(Distances!AI190="N.C.",0,ROUNDUP(AI107+'Délai intermédiaire'!AI190/24,0))</f>
        <v>3</v>
      </c>
      <c r="AJ144" s="13">
        <f>IF(Distances!AJ190="N.C.",0,ROUNDUP(AJ107+'Délai intermédiaire'!AJ190/24,0))</f>
        <v>3</v>
      </c>
      <c r="AK144" s="12">
        <f>IF(Distances!AK190="N.C.",0,ROUNDUP(AK107+'Délai intermédiaire'!AK190/24,0))</f>
        <v>2</v>
      </c>
      <c r="AL144" s="13">
        <f>IF(Distances!AL190="N.C.",0,ROUNDUP(AL107+'Délai intermédiaire'!AL190/24,0))</f>
        <v>2</v>
      </c>
      <c r="AM144" s="13">
        <f>IF(Distances!AM190="N.C.",0,ROUNDUP(AM107+'Délai intermédiaire'!AM190/24,0))</f>
        <v>2</v>
      </c>
      <c r="AN144" s="13">
        <f>IF(Distances!AN190="N.C.",0,ROUNDUP(AN107+'Délai intermédiaire'!AN190/24,0))</f>
        <v>2</v>
      </c>
      <c r="AO144" s="14">
        <f>IF(Distances!AO190="N.C.",0,ROUNDUP(AO107+'Délai intermédiaire'!AO190/24,0))</f>
        <v>3</v>
      </c>
      <c r="AP144" s="14">
        <f>IF(Distances!AP190="N.C.",0,ROUNDUP(AP107+'Délai intermédiaire'!AP190/24,0))</f>
        <v>3</v>
      </c>
      <c r="AQ144" s="14">
        <f>IF(Distances!AQ190="N.C.",0,ROUNDUP(AQ107+'Délai intermédiaire'!AQ190/24,0))</f>
        <v>3</v>
      </c>
      <c r="AR144" s="13">
        <f>IF(Distances!AR190="N.C.",0,ROUNDUP(AR107+'Délai intermédiaire'!AR190/24,0))</f>
        <v>3</v>
      </c>
      <c r="AS144" s="13">
        <f>IF(Distances!AS190="N.C.",0,ROUNDUP(AS107+'Délai intermédiaire'!AS190/24,0))</f>
        <v>3</v>
      </c>
      <c r="AT144" s="13">
        <f>IF(Distances!AT190="N.C.",0,ROUNDUP(AT107+'Délai intermédiaire'!AT190/24,0))</f>
        <v>3</v>
      </c>
      <c r="AU144" s="13">
        <f>IF(Distances!AU190="N.C.",0,ROUNDUP(AU107+'Délai intermédiaire'!AU190/24,0))</f>
        <v>3</v>
      </c>
      <c r="AV144" s="13">
        <f>IF(Distances!AV190="N.C.",0,ROUNDUP(AV107+'Délai intermédiaire'!AV190/24,0))</f>
        <v>4</v>
      </c>
      <c r="AW144" s="13">
        <f>IF(Distances!AW190="N.C.",0,ROUNDUP(AW107+'Délai intermédiaire'!AW190/24,0))</f>
        <v>4</v>
      </c>
      <c r="AX144" s="13">
        <f>IF(Distances!AX190="N.C.",0,ROUNDUP(AX107+'Délai intermédiaire'!AX190/24,0))</f>
        <v>4</v>
      </c>
      <c r="AY144" s="14">
        <f>IF(Distances!AY190="N.C.",0,ROUNDUP(AY107+'Délai intermédiaire'!AY190/24,0))</f>
        <v>3</v>
      </c>
      <c r="AZ144" s="14">
        <f>IF(Distances!AZ190="N.C.",0,ROUNDUP(AZ107+'Délai intermédiaire'!AZ190/24,0))</f>
        <v>3</v>
      </c>
      <c r="BA144" s="13">
        <f>IF(Distances!BA190="N.C.",0,ROUNDUP(BA107+'Délai intermédiaire'!BA190/24,0))</f>
        <v>3</v>
      </c>
      <c r="BB144" s="14">
        <f>IF(Distances!BB190="N.C.",0,ROUNDUP(BB107+'Délai intermédiaire'!BB190/24,0))</f>
        <v>3</v>
      </c>
      <c r="BC144" s="13">
        <f>IF(Distances!BC190="N.C.",0,ROUNDUP(BC107+'Délai intermédiaire'!BC190/24,0))</f>
        <v>3</v>
      </c>
      <c r="BD144" s="13">
        <f>IF(Distances!BD190="N.C.",0,ROUNDUP(BD107+'Délai intermédiaire'!BD190/24,0))</f>
        <v>3</v>
      </c>
      <c r="BE144" s="13">
        <f>IF(Distances!BE190="N.C.",0,ROUNDUP(BE107+'Délai intermédiaire'!BE190/24,0))</f>
        <v>3</v>
      </c>
      <c r="BF144" s="14">
        <f>IF(Distances!BF190="N.C.",0,ROUNDUP(BF107+'Délai intermédiaire'!BF190/24,0))</f>
        <v>3</v>
      </c>
      <c r="BG144" s="14">
        <f>IF(Distances!BG190="N.C.",0,ROUNDUP(BG107+'Délai intermédiaire'!BG190/24,0))</f>
        <v>3</v>
      </c>
      <c r="BH144" s="14">
        <f>IF(Distances!BH190="N.C.",0,ROUNDUP(BH107+'Délai intermédiaire'!BH190/24,0))</f>
        <v>3</v>
      </c>
      <c r="BI144" s="14">
        <f>IF(Distances!BI190="N.C.",0,ROUNDUP(BI107+'Délai intermédiaire'!BI190/24,0))</f>
        <v>3</v>
      </c>
      <c r="BJ144" s="15">
        <f>IF(Distances!BJ190="N.C.",0,ROUNDUP(BJ107+'Délai intermédiaire'!BJ190/24,0))</f>
        <v>3</v>
      </c>
    </row>
    <row r="145" spans="1:62" x14ac:dyDescent="0.3">
      <c r="A145" s="10" t="s">
        <v>37</v>
      </c>
      <c r="B145" s="16">
        <f>IF(Distances!B191="N.C.",0,ROUNDUP(B107+'Délai intermédiaire'!B191/24,0))</f>
        <v>2</v>
      </c>
      <c r="C145" s="14">
        <f>IF(Distances!C191="N.C.",0,ROUNDUP(C107+'Délai intermédiaire'!C191/24,0))</f>
        <v>2</v>
      </c>
      <c r="D145" s="14">
        <f>IF(Distances!D191="N.C.",0,ROUNDUP(D107+'Délai intermédiaire'!D191/24,0))</f>
        <v>2</v>
      </c>
      <c r="E145" s="14">
        <f>IF(Distances!E191="N.C.",0,ROUNDUP(E107+'Délai intermédiaire'!E191/24,0))</f>
        <v>2</v>
      </c>
      <c r="F145" s="14">
        <f>IF(Distances!F191="N.C.",0,ROUNDUP(F107+'Délai intermédiaire'!F191/24,0))</f>
        <v>2</v>
      </c>
      <c r="G145" s="14">
        <f>IF(Distances!G191="N.C.",0,ROUNDUP(G107+'Délai intermédiaire'!G191/24,0))</f>
        <v>2</v>
      </c>
      <c r="H145" s="14">
        <f>IF(Distances!H191="N.C.",0,ROUNDUP(H107+'Délai intermédiaire'!H191/24,0))</f>
        <v>2</v>
      </c>
      <c r="I145" s="14">
        <f>IF(Distances!I191="N.C.",0,ROUNDUP(I107+'Délai intermédiaire'!I191/24,0))</f>
        <v>2</v>
      </c>
      <c r="J145" s="14">
        <f>IF(Distances!J191="N.C.",0,ROUNDUP(J107+'Délai intermédiaire'!J191/24,0))</f>
        <v>3</v>
      </c>
      <c r="K145" s="14">
        <f>IF(Distances!K191="N.C.",0,ROUNDUP(K107+'Délai intermédiaire'!K191/24,0))</f>
        <v>3</v>
      </c>
      <c r="L145" s="14">
        <f>IF(Distances!L191="N.C.",0,ROUNDUP(L107+'Délai intermédiaire'!L191/24,0))</f>
        <v>3</v>
      </c>
      <c r="M145" s="14">
        <f>IF(Distances!M191="N.C.",0,ROUNDUP(M107+'Délai intermédiaire'!M191/24,0))</f>
        <v>3</v>
      </c>
      <c r="N145" s="14">
        <f>IF(Distances!N191="N.C.",0,ROUNDUP(N107+'Délai intermédiaire'!N191/24,0))</f>
        <v>3</v>
      </c>
      <c r="O145" s="14">
        <f>IF(Distances!O191="N.C.",0,ROUNDUP(O107+'Délai intermédiaire'!O191/24,0))</f>
        <v>3</v>
      </c>
      <c r="P145" s="14">
        <f>IF(Distances!P191="N.C.",0,ROUNDUP(P107+'Délai intermédiaire'!P191/24,0))</f>
        <v>3</v>
      </c>
      <c r="Q145" s="14">
        <f>IF(Distances!Q191="N.C.",0,ROUNDUP(Q107+'Délai intermédiaire'!Q191/24,0))</f>
        <v>2</v>
      </c>
      <c r="R145" s="14">
        <f>IF(Distances!R191="N.C.",0,ROUNDUP(R107+'Délai intermédiaire'!R191/24,0))</f>
        <v>2</v>
      </c>
      <c r="S145" s="14">
        <f>IF(Distances!S191="N.C.",0,ROUNDUP(S107+'Délai intermédiaire'!S191/24,0))</f>
        <v>2</v>
      </c>
      <c r="T145" s="14">
        <f>IF(Distances!T191="N.C.",0,ROUNDUP(T107+'Délai intermédiaire'!T191/24,0))</f>
        <v>2</v>
      </c>
      <c r="U145" s="14">
        <f>IF(Distances!U191="N.C.",0,ROUNDUP(U107+'Délai intermédiaire'!U191/24,0))</f>
        <v>2</v>
      </c>
      <c r="V145" s="14">
        <f>IF(Distances!V191="N.C.",0,ROUNDUP(V107+'Délai intermédiaire'!V191/24,0))</f>
        <v>2</v>
      </c>
      <c r="W145" s="14">
        <f>IF(Distances!W191="N.C.",0,ROUNDUP(W107+'Délai intermédiaire'!W191/24,0))</f>
        <v>2</v>
      </c>
      <c r="X145" s="14">
        <f>IF(Distances!X191="N.C.",0,ROUNDUP(X107+'Délai intermédiaire'!X191/24,0))</f>
        <v>2</v>
      </c>
      <c r="Y145" s="14">
        <f>IF(Distances!Y191="N.C.",0,ROUNDUP(Y107+'Délai intermédiaire'!Y191/24,0))</f>
        <v>2</v>
      </c>
      <c r="Z145" s="14">
        <f>IF(Distances!Z191="N.C.",0,ROUNDUP(Z107+'Délai intermédiaire'!Z191/24,0))</f>
        <v>3</v>
      </c>
      <c r="AA145" s="14">
        <f>IF(Distances!AA191="N.C.",0,ROUNDUP(AA107+'Délai intermédiaire'!AA191/24,0))</f>
        <v>3</v>
      </c>
      <c r="AB145" s="14">
        <f>IF(Distances!AB191="N.C.",0,ROUNDUP(AB107+'Délai intermédiaire'!AB191/24,0))</f>
        <v>2</v>
      </c>
      <c r="AC145" s="14">
        <f>IF(Distances!AC191="N.C.",0,ROUNDUP(AC107+'Délai intermédiaire'!AC191/24,0))</f>
        <v>2</v>
      </c>
      <c r="AD145" s="14">
        <f>IF(Distances!AD191="N.C.",0,ROUNDUP(AD107+'Délai intermédiaire'!AD191/24,0))</f>
        <v>3</v>
      </c>
      <c r="AE145" s="14">
        <f>IF(Distances!AE191="N.C.",0,ROUNDUP(AE107+'Délai intermédiaire'!AE191/24,0))</f>
        <v>3</v>
      </c>
      <c r="AF145" s="14">
        <f>IF(Distances!AF191="N.C.",0,ROUNDUP(AF107+'Délai intermédiaire'!AF191/24,0))</f>
        <v>2</v>
      </c>
      <c r="AG145" s="14">
        <f>IF(Distances!AG191="N.C.",0,ROUNDUP(AG107+'Délai intermédiaire'!AG191/24,0))</f>
        <v>3</v>
      </c>
      <c r="AH145" s="13">
        <f>IF(Distances!AH191="N.C.",0,ROUNDUP(AH107+'Délai intermédiaire'!AH191/24,0))</f>
        <v>3</v>
      </c>
      <c r="AI145" s="13">
        <f>IF(Distances!AI191="N.C.",0,ROUNDUP(AI107+'Délai intermédiaire'!AI191/24,0))</f>
        <v>3</v>
      </c>
      <c r="AJ145" s="13">
        <f>IF(Distances!AJ191="N.C.",0,ROUNDUP(AJ107+'Délai intermédiaire'!AJ191/24,0))</f>
        <v>3</v>
      </c>
      <c r="AK145" s="13">
        <f>IF(Distances!AK191="N.C.",0,ROUNDUP(AK107+'Délai intermédiaire'!AK191/24,0))</f>
        <v>3</v>
      </c>
      <c r="AL145" s="12">
        <f>IF(Distances!AL191="N.C.",0,ROUNDUP(AL107+'Délai intermédiaire'!AL191/24,0))</f>
        <v>1</v>
      </c>
      <c r="AM145" s="13">
        <f>IF(Distances!AM191="N.C.",0,ROUNDUP(AM107+'Délai intermédiaire'!AM191/24,0))</f>
        <v>2</v>
      </c>
      <c r="AN145" s="13">
        <f>IF(Distances!AN191="N.C.",0,ROUNDUP(AN107+'Délai intermédiaire'!AN191/24,0))</f>
        <v>2</v>
      </c>
      <c r="AO145" s="14">
        <f>IF(Distances!AO191="N.C.",0,ROUNDUP(AO107+'Délai intermédiaire'!AO191/24,0))</f>
        <v>3</v>
      </c>
      <c r="AP145" s="14">
        <f>IF(Distances!AP191="N.C.",0,ROUNDUP(AP107+'Délai intermédiaire'!AP191/24,0))</f>
        <v>3</v>
      </c>
      <c r="AQ145" s="14">
        <f>IF(Distances!AQ191="N.C.",0,ROUNDUP(AQ107+'Délai intermédiaire'!AQ191/24,0))</f>
        <v>3</v>
      </c>
      <c r="AR145" s="13">
        <f>IF(Distances!AR191="N.C.",0,ROUNDUP(AR107+'Délai intermédiaire'!AR191/24,0))</f>
        <v>3</v>
      </c>
      <c r="AS145" s="13">
        <f>IF(Distances!AS191="N.C.",0,ROUNDUP(AS107+'Délai intermédiaire'!AS191/24,0))</f>
        <v>3</v>
      </c>
      <c r="AT145" s="13">
        <f>IF(Distances!AT191="N.C.",0,ROUNDUP(AT107+'Délai intermédiaire'!AT191/24,0))</f>
        <v>3</v>
      </c>
      <c r="AU145" s="13">
        <f>IF(Distances!AU191="N.C.",0,ROUNDUP(AU107+'Délai intermédiaire'!AU191/24,0))</f>
        <v>3</v>
      </c>
      <c r="AV145" s="13">
        <f>IF(Distances!AV191="N.C.",0,ROUNDUP(AV107+'Délai intermédiaire'!AV191/24,0))</f>
        <v>4</v>
      </c>
      <c r="AW145" s="13">
        <f>IF(Distances!AW191="N.C.",0,ROUNDUP(AW107+'Délai intermédiaire'!AW191/24,0))</f>
        <v>4</v>
      </c>
      <c r="AX145" s="13">
        <f>IF(Distances!AX191="N.C.",0,ROUNDUP(AX107+'Délai intermédiaire'!AX191/24,0))</f>
        <v>4</v>
      </c>
      <c r="AY145" s="14">
        <f>IF(Distances!AY191="N.C.",0,ROUNDUP(AY107+'Délai intermédiaire'!AY191/24,0))</f>
        <v>3</v>
      </c>
      <c r="AZ145" s="14">
        <f>IF(Distances!AZ191="N.C.",0,ROUNDUP(AZ107+'Délai intermédiaire'!AZ191/24,0))</f>
        <v>3</v>
      </c>
      <c r="BA145" s="13">
        <f>IF(Distances!BA191="N.C.",0,ROUNDUP(BA107+'Délai intermédiaire'!BA191/24,0))</f>
        <v>3</v>
      </c>
      <c r="BB145" s="14">
        <f>IF(Distances!BB191="N.C.",0,ROUNDUP(BB107+'Délai intermédiaire'!BB191/24,0))</f>
        <v>3</v>
      </c>
      <c r="BC145" s="13">
        <f>IF(Distances!BC191="N.C.",0,ROUNDUP(BC107+'Délai intermédiaire'!BC191/24,0))</f>
        <v>3</v>
      </c>
      <c r="BD145" s="13">
        <f>IF(Distances!BD191="N.C.",0,ROUNDUP(BD107+'Délai intermédiaire'!BD191/24,0))</f>
        <v>3</v>
      </c>
      <c r="BE145" s="13">
        <f>IF(Distances!BE191="N.C.",0,ROUNDUP(BE107+'Délai intermédiaire'!BE191/24,0))</f>
        <v>3</v>
      </c>
      <c r="BF145" s="14">
        <f>IF(Distances!BF191="N.C.",0,ROUNDUP(BF107+'Délai intermédiaire'!BF191/24,0))</f>
        <v>3</v>
      </c>
      <c r="BG145" s="14">
        <f>IF(Distances!BG191="N.C.",0,ROUNDUP(BG107+'Délai intermédiaire'!BG191/24,0))</f>
        <v>3</v>
      </c>
      <c r="BH145" s="14">
        <f>IF(Distances!BH191="N.C.",0,ROUNDUP(BH107+'Délai intermédiaire'!BH191/24,0))</f>
        <v>3</v>
      </c>
      <c r="BI145" s="14">
        <f>IF(Distances!BI191="N.C.",0,ROUNDUP(BI107+'Délai intermédiaire'!BI191/24,0))</f>
        <v>3</v>
      </c>
      <c r="BJ145" s="15">
        <f>IF(Distances!BJ191="N.C.",0,ROUNDUP(BJ107+'Délai intermédiaire'!BJ191/24,0))</f>
        <v>3</v>
      </c>
    </row>
    <row r="146" spans="1:62" x14ac:dyDescent="0.3">
      <c r="A146" s="10" t="s">
        <v>38</v>
      </c>
      <c r="B146" s="16">
        <f>IF(Distances!B192="N.C.",0,ROUNDUP(B107+'Délai intermédiaire'!B192/24,0))</f>
        <v>2</v>
      </c>
      <c r="C146" s="14">
        <f>IF(Distances!C192="N.C.",0,ROUNDUP(C107+'Délai intermédiaire'!C192/24,0))</f>
        <v>2</v>
      </c>
      <c r="D146" s="14">
        <f>IF(Distances!D192="N.C.",0,ROUNDUP(D107+'Délai intermédiaire'!D192/24,0))</f>
        <v>2</v>
      </c>
      <c r="E146" s="14">
        <f>IF(Distances!E192="N.C.",0,ROUNDUP(E107+'Délai intermédiaire'!E192/24,0))</f>
        <v>2</v>
      </c>
      <c r="F146" s="14">
        <f>IF(Distances!F192="N.C.",0,ROUNDUP(F107+'Délai intermédiaire'!F192/24,0))</f>
        <v>2</v>
      </c>
      <c r="G146" s="14">
        <f>IF(Distances!G192="N.C.",0,ROUNDUP(G107+'Délai intermédiaire'!G192/24,0))</f>
        <v>2</v>
      </c>
      <c r="H146" s="14">
        <f>IF(Distances!H192="N.C.",0,ROUNDUP(H107+'Délai intermédiaire'!H192/24,0))</f>
        <v>2</v>
      </c>
      <c r="I146" s="14">
        <f>IF(Distances!I192="N.C.",0,ROUNDUP(I107+'Délai intermédiaire'!I192/24,0))</f>
        <v>2</v>
      </c>
      <c r="J146" s="14">
        <f>IF(Distances!J192="N.C.",0,ROUNDUP(J107+'Délai intermédiaire'!J192/24,0))</f>
        <v>3</v>
      </c>
      <c r="K146" s="14">
        <f>IF(Distances!K192="N.C.",0,ROUNDUP(K107+'Délai intermédiaire'!K192/24,0))</f>
        <v>3</v>
      </c>
      <c r="L146" s="14">
        <f>IF(Distances!L192="N.C.",0,ROUNDUP(L107+'Délai intermédiaire'!L192/24,0))</f>
        <v>3</v>
      </c>
      <c r="M146" s="14">
        <f>IF(Distances!M192="N.C.",0,ROUNDUP(M107+'Délai intermédiaire'!M192/24,0))</f>
        <v>3</v>
      </c>
      <c r="N146" s="14">
        <f>IF(Distances!N192="N.C.",0,ROUNDUP(N107+'Délai intermédiaire'!N192/24,0))</f>
        <v>3</v>
      </c>
      <c r="O146" s="14">
        <f>IF(Distances!O192="N.C.",0,ROUNDUP(O107+'Délai intermédiaire'!O192/24,0))</f>
        <v>3</v>
      </c>
      <c r="P146" s="14">
        <f>IF(Distances!P192="N.C.",0,ROUNDUP(P107+'Délai intermédiaire'!P192/24,0))</f>
        <v>3</v>
      </c>
      <c r="Q146" s="14">
        <f>IF(Distances!Q192="N.C.",0,ROUNDUP(Q107+'Délai intermédiaire'!Q192/24,0))</f>
        <v>2</v>
      </c>
      <c r="R146" s="14">
        <f>IF(Distances!R192="N.C.",0,ROUNDUP(R107+'Délai intermédiaire'!R192/24,0))</f>
        <v>2</v>
      </c>
      <c r="S146" s="14">
        <f>IF(Distances!S192="N.C.",0,ROUNDUP(S107+'Délai intermédiaire'!S192/24,0))</f>
        <v>2</v>
      </c>
      <c r="T146" s="14">
        <f>IF(Distances!T192="N.C.",0,ROUNDUP(T107+'Délai intermédiaire'!T192/24,0))</f>
        <v>2</v>
      </c>
      <c r="U146" s="14">
        <f>IF(Distances!U192="N.C.",0,ROUNDUP(U107+'Délai intermédiaire'!U192/24,0))</f>
        <v>2</v>
      </c>
      <c r="V146" s="14">
        <f>IF(Distances!V192="N.C.",0,ROUNDUP(V107+'Délai intermédiaire'!V192/24,0))</f>
        <v>2</v>
      </c>
      <c r="W146" s="14">
        <f>IF(Distances!W192="N.C.",0,ROUNDUP(W107+'Délai intermédiaire'!W192/24,0))</f>
        <v>2</v>
      </c>
      <c r="X146" s="14">
        <f>IF(Distances!X192="N.C.",0,ROUNDUP(X107+'Délai intermédiaire'!X192/24,0))</f>
        <v>2</v>
      </c>
      <c r="Y146" s="14">
        <f>IF(Distances!Y192="N.C.",0,ROUNDUP(Y107+'Délai intermédiaire'!Y192/24,0))</f>
        <v>2</v>
      </c>
      <c r="Z146" s="14">
        <f>IF(Distances!Z192="N.C.",0,ROUNDUP(Z107+'Délai intermédiaire'!Z192/24,0))</f>
        <v>3</v>
      </c>
      <c r="AA146" s="14">
        <f>IF(Distances!AA192="N.C.",0,ROUNDUP(AA107+'Délai intermédiaire'!AA192/24,0))</f>
        <v>3</v>
      </c>
      <c r="AB146" s="14">
        <f>IF(Distances!AB192="N.C.",0,ROUNDUP(AB107+'Délai intermédiaire'!AB192/24,0))</f>
        <v>2</v>
      </c>
      <c r="AC146" s="14">
        <f>IF(Distances!AC192="N.C.",0,ROUNDUP(AC107+'Délai intermédiaire'!AC192/24,0))</f>
        <v>2</v>
      </c>
      <c r="AD146" s="14">
        <f>IF(Distances!AD192="N.C.",0,ROUNDUP(AD107+'Délai intermédiaire'!AD192/24,0))</f>
        <v>3</v>
      </c>
      <c r="AE146" s="14">
        <f>IF(Distances!AE192="N.C.",0,ROUNDUP(AE107+'Délai intermédiaire'!AE192/24,0))</f>
        <v>3</v>
      </c>
      <c r="AF146" s="14">
        <f>IF(Distances!AF192="N.C.",0,ROUNDUP(AF107+'Délai intermédiaire'!AF192/24,0))</f>
        <v>2</v>
      </c>
      <c r="AG146" s="14">
        <f>IF(Distances!AG192="N.C.",0,ROUNDUP(AG107+'Délai intermédiaire'!AG192/24,0))</f>
        <v>3</v>
      </c>
      <c r="AH146" s="13">
        <f>IF(Distances!AH192="N.C.",0,ROUNDUP(AH107+'Délai intermédiaire'!AH192/24,0))</f>
        <v>3</v>
      </c>
      <c r="AI146" s="13">
        <f>IF(Distances!AI192="N.C.",0,ROUNDUP(AI107+'Délai intermédiaire'!AI192/24,0))</f>
        <v>3</v>
      </c>
      <c r="AJ146" s="13">
        <f>IF(Distances!AJ192="N.C.",0,ROUNDUP(AJ107+'Délai intermédiaire'!AJ192/24,0))</f>
        <v>3</v>
      </c>
      <c r="AK146" s="13">
        <f>IF(Distances!AK192="N.C.",0,ROUNDUP(AK107+'Délai intermédiaire'!AK192/24,0))</f>
        <v>3</v>
      </c>
      <c r="AL146" s="13">
        <f>IF(Distances!AL192="N.C.",0,ROUNDUP(AL107+'Délai intermédiaire'!AL192/24,0))</f>
        <v>2</v>
      </c>
      <c r="AM146" s="12">
        <f>IF(Distances!AM192="N.C.",0,ROUNDUP(AM107+'Délai intermédiaire'!AM192/24,0))</f>
        <v>1</v>
      </c>
      <c r="AN146" s="13">
        <f>IF(Distances!AN192="N.C.",0,ROUNDUP(AN107+'Délai intermédiaire'!AN192/24,0))</f>
        <v>2</v>
      </c>
      <c r="AO146" s="14">
        <f>IF(Distances!AO192="N.C.",0,ROUNDUP(AO107+'Délai intermédiaire'!AO192/24,0))</f>
        <v>3</v>
      </c>
      <c r="AP146" s="14">
        <f>IF(Distances!AP192="N.C.",0,ROUNDUP(AP107+'Délai intermédiaire'!AP192/24,0))</f>
        <v>3</v>
      </c>
      <c r="AQ146" s="14">
        <f>IF(Distances!AQ192="N.C.",0,ROUNDUP(AQ107+'Délai intermédiaire'!AQ192/24,0))</f>
        <v>3</v>
      </c>
      <c r="AR146" s="13">
        <f>IF(Distances!AR192="N.C.",0,ROUNDUP(AR107+'Délai intermédiaire'!AR192/24,0))</f>
        <v>3</v>
      </c>
      <c r="AS146" s="13">
        <f>IF(Distances!AS192="N.C.",0,ROUNDUP(AS107+'Délai intermédiaire'!AS192/24,0))</f>
        <v>3</v>
      </c>
      <c r="AT146" s="13">
        <f>IF(Distances!AT192="N.C.",0,ROUNDUP(AT107+'Délai intermédiaire'!AT192/24,0))</f>
        <v>3</v>
      </c>
      <c r="AU146" s="13">
        <f>IF(Distances!AU192="N.C.",0,ROUNDUP(AU107+'Délai intermédiaire'!AU192/24,0))</f>
        <v>3</v>
      </c>
      <c r="AV146" s="13">
        <f>IF(Distances!AV192="N.C.",0,ROUNDUP(AV107+'Délai intermédiaire'!AV192/24,0))</f>
        <v>4</v>
      </c>
      <c r="AW146" s="13">
        <f>IF(Distances!AW192="N.C.",0,ROUNDUP(AW107+'Délai intermédiaire'!AW192/24,0))</f>
        <v>4</v>
      </c>
      <c r="AX146" s="13">
        <f>IF(Distances!AX192="N.C.",0,ROUNDUP(AX107+'Délai intermédiaire'!AX192/24,0))</f>
        <v>4</v>
      </c>
      <c r="AY146" s="14">
        <f>IF(Distances!AY192="N.C.",0,ROUNDUP(AY107+'Délai intermédiaire'!AY192/24,0))</f>
        <v>3</v>
      </c>
      <c r="AZ146" s="14">
        <f>IF(Distances!AZ192="N.C.",0,ROUNDUP(AZ107+'Délai intermédiaire'!AZ192/24,0))</f>
        <v>3</v>
      </c>
      <c r="BA146" s="13">
        <f>IF(Distances!BA192="N.C.",0,ROUNDUP(BA107+'Délai intermédiaire'!BA192/24,0))</f>
        <v>3</v>
      </c>
      <c r="BB146" s="14">
        <f>IF(Distances!BB192="N.C.",0,ROUNDUP(BB107+'Délai intermédiaire'!BB192/24,0))</f>
        <v>3</v>
      </c>
      <c r="BC146" s="13">
        <f>IF(Distances!BC192="N.C.",0,ROUNDUP(BC107+'Délai intermédiaire'!BC192/24,0))</f>
        <v>3</v>
      </c>
      <c r="BD146" s="13">
        <f>IF(Distances!BD192="N.C.",0,ROUNDUP(BD107+'Délai intermédiaire'!BD192/24,0))</f>
        <v>3</v>
      </c>
      <c r="BE146" s="13">
        <f>IF(Distances!BE192="N.C.",0,ROUNDUP(BE107+'Délai intermédiaire'!BE192/24,0))</f>
        <v>3</v>
      </c>
      <c r="BF146" s="14">
        <f>IF(Distances!BF192="N.C.",0,ROUNDUP(BF107+'Délai intermédiaire'!BF192/24,0))</f>
        <v>3</v>
      </c>
      <c r="BG146" s="14">
        <f>IF(Distances!BG192="N.C.",0,ROUNDUP(BG107+'Délai intermédiaire'!BG192/24,0))</f>
        <v>3</v>
      </c>
      <c r="BH146" s="14">
        <f>IF(Distances!BH192="N.C.",0,ROUNDUP(BH107+'Délai intermédiaire'!BH192/24,0))</f>
        <v>3</v>
      </c>
      <c r="BI146" s="14">
        <f>IF(Distances!BI192="N.C.",0,ROUNDUP(BI107+'Délai intermédiaire'!BI192/24,0))</f>
        <v>3</v>
      </c>
      <c r="BJ146" s="15">
        <f>IF(Distances!BJ192="N.C.",0,ROUNDUP(BJ107+'Délai intermédiaire'!BJ192/24,0))</f>
        <v>3</v>
      </c>
    </row>
    <row r="147" spans="1:62" x14ac:dyDescent="0.3">
      <c r="A147" s="10" t="s">
        <v>39</v>
      </c>
      <c r="B147" s="16">
        <f>IF(Distances!B193="N.C.",0,ROUNDUP(B107+'Délai intermédiaire'!B193/24,0))</f>
        <v>2</v>
      </c>
      <c r="C147" s="14">
        <f>IF(Distances!C193="N.C.",0,ROUNDUP(C107+'Délai intermédiaire'!C193/24,0))</f>
        <v>2</v>
      </c>
      <c r="D147" s="14">
        <f>IF(Distances!D193="N.C.",0,ROUNDUP(D107+'Délai intermédiaire'!D193/24,0))</f>
        <v>2</v>
      </c>
      <c r="E147" s="14">
        <f>IF(Distances!E193="N.C.",0,ROUNDUP(E107+'Délai intermédiaire'!E193/24,0))</f>
        <v>2</v>
      </c>
      <c r="F147" s="14">
        <f>IF(Distances!F193="N.C.",0,ROUNDUP(F107+'Délai intermédiaire'!F193/24,0))</f>
        <v>2</v>
      </c>
      <c r="G147" s="14">
        <f>IF(Distances!G193="N.C.",0,ROUNDUP(G107+'Délai intermédiaire'!G193/24,0))</f>
        <v>2</v>
      </c>
      <c r="H147" s="14">
        <f>IF(Distances!H193="N.C.",0,ROUNDUP(H107+'Délai intermédiaire'!H193/24,0))</f>
        <v>2</v>
      </c>
      <c r="I147" s="14">
        <f>IF(Distances!I193="N.C.",0,ROUNDUP(I107+'Délai intermédiaire'!I193/24,0))</f>
        <v>2</v>
      </c>
      <c r="J147" s="14">
        <f>IF(Distances!J193="N.C.",0,ROUNDUP(J107+'Délai intermédiaire'!J193/24,0))</f>
        <v>3</v>
      </c>
      <c r="K147" s="14">
        <f>IF(Distances!K193="N.C.",0,ROUNDUP(K107+'Délai intermédiaire'!K193/24,0))</f>
        <v>3</v>
      </c>
      <c r="L147" s="14">
        <f>IF(Distances!L193="N.C.",0,ROUNDUP(L107+'Délai intermédiaire'!L193/24,0))</f>
        <v>3</v>
      </c>
      <c r="M147" s="14">
        <f>IF(Distances!M193="N.C.",0,ROUNDUP(M107+'Délai intermédiaire'!M193/24,0))</f>
        <v>3</v>
      </c>
      <c r="N147" s="14">
        <f>IF(Distances!N193="N.C.",0,ROUNDUP(N107+'Délai intermédiaire'!N193/24,0))</f>
        <v>3</v>
      </c>
      <c r="O147" s="14">
        <f>IF(Distances!O193="N.C.",0,ROUNDUP(O107+'Délai intermédiaire'!O193/24,0))</f>
        <v>3</v>
      </c>
      <c r="P147" s="14">
        <f>IF(Distances!P193="N.C.",0,ROUNDUP(P107+'Délai intermédiaire'!P193/24,0))</f>
        <v>3</v>
      </c>
      <c r="Q147" s="14">
        <f>IF(Distances!Q193="N.C.",0,ROUNDUP(Q107+'Délai intermédiaire'!Q193/24,0))</f>
        <v>2</v>
      </c>
      <c r="R147" s="14">
        <f>IF(Distances!R193="N.C.",0,ROUNDUP(R107+'Délai intermédiaire'!R193/24,0))</f>
        <v>2</v>
      </c>
      <c r="S147" s="14">
        <f>IF(Distances!S193="N.C.",0,ROUNDUP(S107+'Délai intermédiaire'!S193/24,0))</f>
        <v>2</v>
      </c>
      <c r="T147" s="14">
        <f>IF(Distances!T193="N.C.",0,ROUNDUP(T107+'Délai intermédiaire'!T193/24,0))</f>
        <v>2</v>
      </c>
      <c r="U147" s="14">
        <f>IF(Distances!U193="N.C.",0,ROUNDUP(U107+'Délai intermédiaire'!U193/24,0))</f>
        <v>2</v>
      </c>
      <c r="V147" s="14">
        <f>IF(Distances!V193="N.C.",0,ROUNDUP(V107+'Délai intermédiaire'!V193/24,0))</f>
        <v>2</v>
      </c>
      <c r="W147" s="14">
        <f>IF(Distances!W193="N.C.",0,ROUNDUP(W107+'Délai intermédiaire'!W193/24,0))</f>
        <v>2</v>
      </c>
      <c r="X147" s="14">
        <f>IF(Distances!X193="N.C.",0,ROUNDUP(X107+'Délai intermédiaire'!X193/24,0))</f>
        <v>2</v>
      </c>
      <c r="Y147" s="14">
        <f>IF(Distances!Y193="N.C.",0,ROUNDUP(Y107+'Délai intermédiaire'!Y193/24,0))</f>
        <v>2</v>
      </c>
      <c r="Z147" s="14">
        <f>IF(Distances!Z193="N.C.",0,ROUNDUP(Z107+'Délai intermédiaire'!Z193/24,0))</f>
        <v>3</v>
      </c>
      <c r="AA147" s="14">
        <f>IF(Distances!AA193="N.C.",0,ROUNDUP(AA107+'Délai intermédiaire'!AA193/24,0))</f>
        <v>3</v>
      </c>
      <c r="AB147" s="14">
        <f>IF(Distances!AB193="N.C.",0,ROUNDUP(AB107+'Délai intermédiaire'!AB193/24,0))</f>
        <v>2</v>
      </c>
      <c r="AC147" s="14">
        <f>IF(Distances!AC193="N.C.",0,ROUNDUP(AC107+'Délai intermédiaire'!AC193/24,0))</f>
        <v>2</v>
      </c>
      <c r="AD147" s="14">
        <f>IF(Distances!AD193="N.C.",0,ROUNDUP(AD107+'Délai intermédiaire'!AD193/24,0))</f>
        <v>3</v>
      </c>
      <c r="AE147" s="14">
        <f>IF(Distances!AE193="N.C.",0,ROUNDUP(AE107+'Délai intermédiaire'!AE193/24,0))</f>
        <v>3</v>
      </c>
      <c r="AF147" s="14">
        <f>IF(Distances!AF193="N.C.",0,ROUNDUP(AF107+'Délai intermédiaire'!AF193/24,0))</f>
        <v>2</v>
      </c>
      <c r="AG147" s="14">
        <f>IF(Distances!AG193="N.C.",0,ROUNDUP(AG107+'Délai intermédiaire'!AG193/24,0))</f>
        <v>3</v>
      </c>
      <c r="AH147" s="13">
        <f>IF(Distances!AH193="N.C.",0,ROUNDUP(AH107+'Délai intermédiaire'!AH193/24,0))</f>
        <v>3</v>
      </c>
      <c r="AI147" s="13">
        <f>IF(Distances!AI193="N.C.",0,ROUNDUP(AI107+'Délai intermédiaire'!AI193/24,0))</f>
        <v>3</v>
      </c>
      <c r="AJ147" s="13">
        <f>IF(Distances!AJ193="N.C.",0,ROUNDUP(AJ107+'Délai intermédiaire'!AJ193/24,0))</f>
        <v>3</v>
      </c>
      <c r="AK147" s="13">
        <f>IF(Distances!AK193="N.C.",0,ROUNDUP(AK107+'Délai intermédiaire'!AK193/24,0))</f>
        <v>3</v>
      </c>
      <c r="AL147" s="13">
        <f>IF(Distances!AL193="N.C.",0,ROUNDUP(AL107+'Délai intermédiaire'!AL193/24,0))</f>
        <v>2</v>
      </c>
      <c r="AM147" s="13">
        <f>IF(Distances!AM193="N.C.",0,ROUNDUP(AM107+'Délai intermédiaire'!AM193/24,0))</f>
        <v>2</v>
      </c>
      <c r="AN147" s="12">
        <f>IF(Distances!AN193="N.C.",0,ROUNDUP(AN107+'Délai intermédiaire'!AN193/24,0))</f>
        <v>1</v>
      </c>
      <c r="AO147" s="14">
        <f>IF(Distances!AO193="N.C.",0,ROUNDUP(AO107+'Délai intermédiaire'!AO193/24,0))</f>
        <v>3</v>
      </c>
      <c r="AP147" s="14">
        <f>IF(Distances!AP193="N.C.",0,ROUNDUP(AP107+'Délai intermédiaire'!AP193/24,0))</f>
        <v>3</v>
      </c>
      <c r="AQ147" s="14">
        <f>IF(Distances!AQ193="N.C.",0,ROUNDUP(AQ107+'Délai intermédiaire'!AQ193/24,0))</f>
        <v>3</v>
      </c>
      <c r="AR147" s="13">
        <f>IF(Distances!AR193="N.C.",0,ROUNDUP(AR107+'Délai intermédiaire'!AR193/24,0))</f>
        <v>3</v>
      </c>
      <c r="AS147" s="13">
        <f>IF(Distances!AS193="N.C.",0,ROUNDUP(AS107+'Délai intermédiaire'!AS193/24,0))</f>
        <v>3</v>
      </c>
      <c r="AT147" s="13">
        <f>IF(Distances!AT193="N.C.",0,ROUNDUP(AT107+'Délai intermédiaire'!AT193/24,0))</f>
        <v>3</v>
      </c>
      <c r="AU147" s="13">
        <f>IF(Distances!AU193="N.C.",0,ROUNDUP(AU107+'Délai intermédiaire'!AU193/24,0))</f>
        <v>3</v>
      </c>
      <c r="AV147" s="13">
        <f>IF(Distances!AV193="N.C.",0,ROUNDUP(AV107+'Délai intermédiaire'!AV193/24,0))</f>
        <v>4</v>
      </c>
      <c r="AW147" s="13">
        <f>IF(Distances!AW193="N.C.",0,ROUNDUP(AW107+'Délai intermédiaire'!AW193/24,0))</f>
        <v>4</v>
      </c>
      <c r="AX147" s="13">
        <f>IF(Distances!AX193="N.C.",0,ROUNDUP(AX107+'Délai intermédiaire'!AX193/24,0))</f>
        <v>4</v>
      </c>
      <c r="AY147" s="14">
        <f>IF(Distances!AY193="N.C.",0,ROUNDUP(AY107+'Délai intermédiaire'!AY193/24,0))</f>
        <v>3</v>
      </c>
      <c r="AZ147" s="14">
        <f>IF(Distances!AZ193="N.C.",0,ROUNDUP(AZ107+'Délai intermédiaire'!AZ193/24,0))</f>
        <v>3</v>
      </c>
      <c r="BA147" s="13">
        <f>IF(Distances!BA193="N.C.",0,ROUNDUP(BA107+'Délai intermédiaire'!BA193/24,0))</f>
        <v>3</v>
      </c>
      <c r="BB147" s="14">
        <f>IF(Distances!BB193="N.C.",0,ROUNDUP(BB107+'Délai intermédiaire'!BB193/24,0))</f>
        <v>3</v>
      </c>
      <c r="BC147" s="13">
        <f>IF(Distances!BC193="N.C.",0,ROUNDUP(BC107+'Délai intermédiaire'!BC193/24,0))</f>
        <v>3</v>
      </c>
      <c r="BD147" s="13">
        <f>IF(Distances!BD193="N.C.",0,ROUNDUP(BD107+'Délai intermédiaire'!BD193/24,0))</f>
        <v>3</v>
      </c>
      <c r="BE147" s="13">
        <f>IF(Distances!BE193="N.C.",0,ROUNDUP(BE107+'Délai intermédiaire'!BE193/24,0))</f>
        <v>3</v>
      </c>
      <c r="BF147" s="14">
        <f>IF(Distances!BF193="N.C.",0,ROUNDUP(BF107+'Délai intermédiaire'!BF193/24,0))</f>
        <v>3</v>
      </c>
      <c r="BG147" s="14">
        <f>IF(Distances!BG193="N.C.",0,ROUNDUP(BG107+'Délai intermédiaire'!BG193/24,0))</f>
        <v>3</v>
      </c>
      <c r="BH147" s="14">
        <f>IF(Distances!BH193="N.C.",0,ROUNDUP(BH107+'Délai intermédiaire'!BH193/24,0))</f>
        <v>3</v>
      </c>
      <c r="BI147" s="14">
        <f>IF(Distances!BI193="N.C.",0,ROUNDUP(BI107+'Délai intermédiaire'!BI193/24,0))</f>
        <v>3</v>
      </c>
      <c r="BJ147" s="15">
        <f>IF(Distances!BJ193="N.C.",0,ROUNDUP(BJ107+'Délai intermédiaire'!BJ193/24,0))</f>
        <v>3</v>
      </c>
    </row>
    <row r="148" spans="1:62" x14ac:dyDescent="0.3">
      <c r="A148" s="10" t="s">
        <v>40</v>
      </c>
      <c r="B148" s="16">
        <f>IF(Distances!B194="N.C.",0,ROUNDUP(B107+'Délai intermédiaire'!B194/24,0))</f>
        <v>2</v>
      </c>
      <c r="C148" s="14">
        <f>IF(Distances!C194="N.C.",0,ROUNDUP(C107+'Délai intermédiaire'!C194/24,0))</f>
        <v>2</v>
      </c>
      <c r="D148" s="14">
        <f>IF(Distances!D194="N.C.",0,ROUNDUP(D107+'Délai intermédiaire'!D194/24,0))</f>
        <v>2</v>
      </c>
      <c r="E148" s="14">
        <f>IF(Distances!E194="N.C.",0,ROUNDUP(E107+'Délai intermédiaire'!E194/24,0))</f>
        <v>2</v>
      </c>
      <c r="F148" s="14">
        <f>IF(Distances!F194="N.C.",0,ROUNDUP(F107+'Délai intermédiaire'!F194/24,0))</f>
        <v>2</v>
      </c>
      <c r="G148" s="14">
        <f>IF(Distances!G194="N.C.",0,ROUNDUP(G107+'Délai intermédiaire'!G194/24,0))</f>
        <v>2</v>
      </c>
      <c r="H148" s="14">
        <f>IF(Distances!H194="N.C.",0,ROUNDUP(H107+'Délai intermédiaire'!H194/24,0))</f>
        <v>2</v>
      </c>
      <c r="I148" s="14">
        <f>IF(Distances!I194="N.C.",0,ROUNDUP(I107+'Délai intermédiaire'!I194/24,0))</f>
        <v>2</v>
      </c>
      <c r="J148" s="14">
        <f>IF(Distances!J194="N.C.",0,ROUNDUP(J107+'Délai intermédiaire'!J194/24,0))</f>
        <v>3</v>
      </c>
      <c r="K148" s="14">
        <f>IF(Distances!K194="N.C.",0,ROUNDUP(K107+'Délai intermédiaire'!K194/24,0))</f>
        <v>3</v>
      </c>
      <c r="L148" s="14">
        <f>IF(Distances!L194="N.C.",0,ROUNDUP(L107+'Délai intermédiaire'!L194/24,0))</f>
        <v>3</v>
      </c>
      <c r="M148" s="14">
        <f>IF(Distances!M194="N.C.",0,ROUNDUP(M107+'Délai intermédiaire'!M194/24,0))</f>
        <v>3</v>
      </c>
      <c r="N148" s="14">
        <f>IF(Distances!N194="N.C.",0,ROUNDUP(N107+'Délai intermédiaire'!N194/24,0))</f>
        <v>3</v>
      </c>
      <c r="O148" s="14">
        <f>IF(Distances!O194="N.C.",0,ROUNDUP(O107+'Délai intermédiaire'!O194/24,0))</f>
        <v>3</v>
      </c>
      <c r="P148" s="14">
        <f>IF(Distances!P194="N.C.",0,ROUNDUP(P107+'Délai intermédiaire'!P194/24,0))</f>
        <v>3</v>
      </c>
      <c r="Q148" s="14">
        <f>IF(Distances!Q194="N.C.",0,ROUNDUP(Q107+'Délai intermédiaire'!Q194/24,0))</f>
        <v>2</v>
      </c>
      <c r="R148" s="14">
        <f>IF(Distances!R194="N.C.",0,ROUNDUP(R107+'Délai intermédiaire'!R194/24,0))</f>
        <v>2</v>
      </c>
      <c r="S148" s="14">
        <f>IF(Distances!S194="N.C.",0,ROUNDUP(S107+'Délai intermédiaire'!S194/24,0))</f>
        <v>2</v>
      </c>
      <c r="T148" s="14">
        <f>IF(Distances!T194="N.C.",0,ROUNDUP(T107+'Délai intermédiaire'!T194/24,0))</f>
        <v>2</v>
      </c>
      <c r="U148" s="14">
        <f>IF(Distances!U194="N.C.",0,ROUNDUP(U107+'Délai intermédiaire'!U194/24,0))</f>
        <v>2</v>
      </c>
      <c r="V148" s="14">
        <f>IF(Distances!V194="N.C.",0,ROUNDUP(V107+'Délai intermédiaire'!V194/24,0))</f>
        <v>2</v>
      </c>
      <c r="W148" s="14">
        <f>IF(Distances!W194="N.C.",0,ROUNDUP(W107+'Délai intermédiaire'!W194/24,0))</f>
        <v>2</v>
      </c>
      <c r="X148" s="14">
        <f>IF(Distances!X194="N.C.",0,ROUNDUP(X107+'Délai intermédiaire'!X194/24,0))</f>
        <v>2</v>
      </c>
      <c r="Y148" s="14">
        <f>IF(Distances!Y194="N.C.",0,ROUNDUP(Y107+'Délai intermédiaire'!Y194/24,0))</f>
        <v>2</v>
      </c>
      <c r="Z148" s="14">
        <f>IF(Distances!Z194="N.C.",0,ROUNDUP(Z107+'Délai intermédiaire'!Z194/24,0))</f>
        <v>3</v>
      </c>
      <c r="AA148" s="14">
        <f>IF(Distances!AA194="N.C.",0,ROUNDUP(AA107+'Délai intermédiaire'!AA194/24,0))</f>
        <v>3</v>
      </c>
      <c r="AB148" s="14">
        <f>IF(Distances!AB194="N.C.",0,ROUNDUP(AB107+'Délai intermédiaire'!AB194/24,0))</f>
        <v>2</v>
      </c>
      <c r="AC148" s="14">
        <f>IF(Distances!AC194="N.C.",0,ROUNDUP(AC107+'Délai intermédiaire'!AC194/24,0))</f>
        <v>2</v>
      </c>
      <c r="AD148" s="14">
        <f>IF(Distances!AD194="N.C.",0,ROUNDUP(AD107+'Délai intermédiaire'!AD194/24,0))</f>
        <v>3</v>
      </c>
      <c r="AE148" s="14">
        <f>IF(Distances!AE194="N.C.",0,ROUNDUP(AE107+'Délai intermédiaire'!AE194/24,0))</f>
        <v>3</v>
      </c>
      <c r="AF148" s="14">
        <f>IF(Distances!AF194="N.C.",0,ROUNDUP(AF107+'Délai intermédiaire'!AF194/24,0))</f>
        <v>2</v>
      </c>
      <c r="AG148" s="14">
        <f>IF(Distances!AG194="N.C.",0,ROUNDUP(AG107+'Délai intermédiaire'!AG194/24,0))</f>
        <v>3</v>
      </c>
      <c r="AH148" s="14">
        <f>IF(Distances!AH194="N.C.",0,ROUNDUP(AH107+'Délai intermédiaire'!AH194/24,0))</f>
        <v>3</v>
      </c>
      <c r="AI148" s="14">
        <f>IF(Distances!AI194="N.C.",0,ROUNDUP(AI107+'Délai intermédiaire'!AI194/24,0))</f>
        <v>3</v>
      </c>
      <c r="AJ148" s="14">
        <f>IF(Distances!AJ194="N.C.",0,ROUNDUP(AJ107+'Délai intermédiaire'!AJ194/24,0))</f>
        <v>3</v>
      </c>
      <c r="AK148" s="14">
        <f>IF(Distances!AK194="N.C.",0,ROUNDUP(AK107+'Délai intermédiaire'!AK194/24,0))</f>
        <v>3</v>
      </c>
      <c r="AL148" s="14">
        <f>IF(Distances!AL194="N.C.",0,ROUNDUP(AL107+'Délai intermédiaire'!AL194/24,0))</f>
        <v>2</v>
      </c>
      <c r="AM148" s="14">
        <f>IF(Distances!AM194="N.C.",0,ROUNDUP(AM107+'Délai intermédiaire'!AM194/24,0))</f>
        <v>2</v>
      </c>
      <c r="AN148" s="14">
        <f>IF(Distances!AN194="N.C.",0,ROUNDUP(AN107+'Délai intermédiaire'!AN194/24,0))</f>
        <v>2</v>
      </c>
      <c r="AO148" s="12">
        <f>IF(Distances!AO194="N.C.",0,ROUNDUP(AO107+'Délai intermédiaire'!AO194/24,0))</f>
        <v>2</v>
      </c>
      <c r="AP148" s="19">
        <f>IF(Distances!AP194="N.C.",0,ROUNDUP(AP107+'Délai intermédiaire'!AP194/24,0))</f>
        <v>3</v>
      </c>
      <c r="AQ148" s="19">
        <f>IF(Distances!AQ194="N.C.",0,ROUNDUP(AQ107+'Délai intermédiaire'!AQ194/24,0))</f>
        <v>3</v>
      </c>
      <c r="AR148" s="14">
        <f>IF(Distances!AR194="N.C.",0,ROUNDUP(AR107+'Délai intermédiaire'!AR194/24,0))</f>
        <v>3</v>
      </c>
      <c r="AS148" s="14">
        <f>IF(Distances!AS194="N.C.",0,ROUNDUP(AS107+'Délai intermédiaire'!AS194/24,0))</f>
        <v>3</v>
      </c>
      <c r="AT148" s="14">
        <f>IF(Distances!AT194="N.C.",0,ROUNDUP(AT107+'Délai intermédiaire'!AT194/24,0))</f>
        <v>3</v>
      </c>
      <c r="AU148" s="14">
        <f>IF(Distances!AU194="N.C.",0,ROUNDUP(AU107+'Délai intermédiaire'!AU194/24,0))</f>
        <v>3</v>
      </c>
      <c r="AV148" s="14">
        <f>IF(Distances!AV194="N.C.",0,ROUNDUP(AV107+'Délai intermédiaire'!AV194/24,0))</f>
        <v>4</v>
      </c>
      <c r="AW148" s="14">
        <f>IF(Distances!AW194="N.C.",0,ROUNDUP(AW107+'Délai intermédiaire'!AW194/24,0))</f>
        <v>4</v>
      </c>
      <c r="AX148" s="14">
        <f>IF(Distances!AX194="N.C.",0,ROUNDUP(AX107+'Délai intermédiaire'!AX194/24,0))</f>
        <v>4</v>
      </c>
      <c r="AY148" s="14">
        <f>IF(Distances!AY194="N.C.",0,ROUNDUP(AY107+'Délai intermédiaire'!AY194/24,0))</f>
        <v>3</v>
      </c>
      <c r="AZ148" s="14">
        <f>IF(Distances!AZ194="N.C.",0,ROUNDUP(AZ107+'Délai intermédiaire'!AZ194/24,0))</f>
        <v>3</v>
      </c>
      <c r="BA148" s="14">
        <f>IF(Distances!BA194="N.C.",0,ROUNDUP(BA107+'Délai intermédiaire'!BA194/24,0))</f>
        <v>3</v>
      </c>
      <c r="BB148" s="14">
        <f>IF(Distances!BB194="N.C.",0,ROUNDUP(BB107+'Délai intermédiaire'!BB194/24,0))</f>
        <v>3</v>
      </c>
      <c r="BC148" s="14">
        <f>IF(Distances!BC194="N.C.",0,ROUNDUP(BC107+'Délai intermédiaire'!BC194/24,0))</f>
        <v>3</v>
      </c>
      <c r="BD148" s="14">
        <f>IF(Distances!BD194="N.C.",0,ROUNDUP(BD107+'Délai intermédiaire'!BD194/24,0))</f>
        <v>3</v>
      </c>
      <c r="BE148" s="14">
        <f>IF(Distances!BE194="N.C.",0,ROUNDUP(BE107+'Délai intermédiaire'!BE194/24,0))</f>
        <v>3</v>
      </c>
      <c r="BF148" s="14">
        <f>IF(Distances!BF194="N.C.",0,ROUNDUP(BF107+'Délai intermédiaire'!BF194/24,0))</f>
        <v>3</v>
      </c>
      <c r="BG148" s="14">
        <f>IF(Distances!BG194="N.C.",0,ROUNDUP(BG107+'Délai intermédiaire'!BG194/24,0))</f>
        <v>3</v>
      </c>
      <c r="BH148" s="14">
        <f>IF(Distances!BH194="N.C.",0,ROUNDUP(BH107+'Délai intermédiaire'!BH194/24,0))</f>
        <v>3</v>
      </c>
      <c r="BI148" s="14">
        <f>IF(Distances!BI194="N.C.",0,ROUNDUP(BI107+'Délai intermédiaire'!BI194/24,0))</f>
        <v>3</v>
      </c>
      <c r="BJ148" s="15">
        <f>IF(Distances!BJ194="N.C.",0,ROUNDUP(BJ107+'Délai intermédiaire'!BJ194/24,0))</f>
        <v>3</v>
      </c>
    </row>
    <row r="149" spans="1:62" x14ac:dyDescent="0.3">
      <c r="A149" s="10" t="s">
        <v>41</v>
      </c>
      <c r="B149" s="16">
        <f>IF(Distances!B195="N.C.",0,ROUNDUP(B107+'Délai intermédiaire'!B195/24,0))</f>
        <v>2</v>
      </c>
      <c r="C149" s="14">
        <f>IF(Distances!C195="N.C.",0,ROUNDUP(C107+'Délai intermédiaire'!C195/24,0))</f>
        <v>2</v>
      </c>
      <c r="D149" s="14">
        <f>IF(Distances!D195="N.C.",0,ROUNDUP(D107+'Délai intermédiaire'!D195/24,0))</f>
        <v>2</v>
      </c>
      <c r="E149" s="14">
        <f>IF(Distances!E195="N.C.",0,ROUNDUP(E107+'Délai intermédiaire'!E195/24,0))</f>
        <v>2</v>
      </c>
      <c r="F149" s="14">
        <f>IF(Distances!F195="N.C.",0,ROUNDUP(F107+'Délai intermédiaire'!F195/24,0))</f>
        <v>2</v>
      </c>
      <c r="G149" s="14">
        <f>IF(Distances!G195="N.C.",0,ROUNDUP(G107+'Délai intermédiaire'!G195/24,0))</f>
        <v>2</v>
      </c>
      <c r="H149" s="14">
        <f>IF(Distances!H195="N.C.",0,ROUNDUP(H107+'Délai intermédiaire'!H195/24,0))</f>
        <v>2</v>
      </c>
      <c r="I149" s="14">
        <f>IF(Distances!I195="N.C.",0,ROUNDUP(I107+'Délai intermédiaire'!I195/24,0))</f>
        <v>2</v>
      </c>
      <c r="J149" s="14">
        <f>IF(Distances!J195="N.C.",0,ROUNDUP(J107+'Délai intermédiaire'!J195/24,0))</f>
        <v>3</v>
      </c>
      <c r="K149" s="14">
        <f>IF(Distances!K195="N.C.",0,ROUNDUP(K107+'Délai intermédiaire'!K195/24,0))</f>
        <v>3</v>
      </c>
      <c r="L149" s="14">
        <f>IF(Distances!L195="N.C.",0,ROUNDUP(L107+'Délai intermédiaire'!L195/24,0))</f>
        <v>3</v>
      </c>
      <c r="M149" s="14">
        <f>IF(Distances!M195="N.C.",0,ROUNDUP(M107+'Délai intermédiaire'!M195/24,0))</f>
        <v>3</v>
      </c>
      <c r="N149" s="14">
        <f>IF(Distances!N195="N.C.",0,ROUNDUP(N107+'Délai intermédiaire'!N195/24,0))</f>
        <v>3</v>
      </c>
      <c r="O149" s="14">
        <f>IF(Distances!O195="N.C.",0,ROUNDUP(O107+'Délai intermédiaire'!O195/24,0))</f>
        <v>3</v>
      </c>
      <c r="P149" s="14">
        <f>IF(Distances!P195="N.C.",0,ROUNDUP(P107+'Délai intermédiaire'!P195/24,0))</f>
        <v>3</v>
      </c>
      <c r="Q149" s="14">
        <f>IF(Distances!Q195="N.C.",0,ROUNDUP(Q107+'Délai intermédiaire'!Q195/24,0))</f>
        <v>2</v>
      </c>
      <c r="R149" s="14">
        <f>IF(Distances!R195="N.C.",0,ROUNDUP(R107+'Délai intermédiaire'!R195/24,0))</f>
        <v>2</v>
      </c>
      <c r="S149" s="14">
        <f>IF(Distances!S195="N.C.",0,ROUNDUP(S107+'Délai intermédiaire'!S195/24,0))</f>
        <v>2</v>
      </c>
      <c r="T149" s="14">
        <f>IF(Distances!T195="N.C.",0,ROUNDUP(T107+'Délai intermédiaire'!T195/24,0))</f>
        <v>2</v>
      </c>
      <c r="U149" s="14">
        <f>IF(Distances!U195="N.C.",0,ROUNDUP(U107+'Délai intermédiaire'!U195/24,0))</f>
        <v>2</v>
      </c>
      <c r="V149" s="14">
        <f>IF(Distances!V195="N.C.",0,ROUNDUP(V107+'Délai intermédiaire'!V195/24,0))</f>
        <v>2</v>
      </c>
      <c r="W149" s="14">
        <f>IF(Distances!W195="N.C.",0,ROUNDUP(W107+'Délai intermédiaire'!W195/24,0))</f>
        <v>2</v>
      </c>
      <c r="X149" s="14">
        <f>IF(Distances!X195="N.C.",0,ROUNDUP(X107+'Délai intermédiaire'!X195/24,0))</f>
        <v>2</v>
      </c>
      <c r="Y149" s="14">
        <f>IF(Distances!Y195="N.C.",0,ROUNDUP(Y107+'Délai intermédiaire'!Y195/24,0))</f>
        <v>2</v>
      </c>
      <c r="Z149" s="14">
        <f>IF(Distances!Z195="N.C.",0,ROUNDUP(Z107+'Délai intermédiaire'!Z195/24,0))</f>
        <v>3</v>
      </c>
      <c r="AA149" s="14">
        <f>IF(Distances!AA195="N.C.",0,ROUNDUP(AA107+'Délai intermédiaire'!AA195/24,0))</f>
        <v>3</v>
      </c>
      <c r="AB149" s="14">
        <f>IF(Distances!AB195="N.C.",0,ROUNDUP(AB107+'Délai intermédiaire'!AB195/24,0))</f>
        <v>2</v>
      </c>
      <c r="AC149" s="14">
        <f>IF(Distances!AC195="N.C.",0,ROUNDUP(AC107+'Délai intermédiaire'!AC195/24,0))</f>
        <v>2</v>
      </c>
      <c r="AD149" s="14">
        <f>IF(Distances!AD195="N.C.",0,ROUNDUP(AD107+'Délai intermédiaire'!AD195/24,0))</f>
        <v>3</v>
      </c>
      <c r="AE149" s="14">
        <f>IF(Distances!AE195="N.C.",0,ROUNDUP(AE107+'Délai intermédiaire'!AE195/24,0))</f>
        <v>3</v>
      </c>
      <c r="AF149" s="14">
        <f>IF(Distances!AF195="N.C.",0,ROUNDUP(AF107+'Délai intermédiaire'!AF195/24,0))</f>
        <v>2</v>
      </c>
      <c r="AG149" s="14">
        <f>IF(Distances!AG195="N.C.",0,ROUNDUP(AG107+'Délai intermédiaire'!AG195/24,0))</f>
        <v>3</v>
      </c>
      <c r="AH149" s="14">
        <f>IF(Distances!AH195="N.C.",0,ROUNDUP(AH107+'Délai intermédiaire'!AH195/24,0))</f>
        <v>3</v>
      </c>
      <c r="AI149" s="14">
        <f>IF(Distances!AI195="N.C.",0,ROUNDUP(AI107+'Délai intermédiaire'!AI195/24,0))</f>
        <v>3</v>
      </c>
      <c r="AJ149" s="14">
        <f>IF(Distances!AJ195="N.C.",0,ROUNDUP(AJ107+'Délai intermédiaire'!AJ195/24,0))</f>
        <v>3</v>
      </c>
      <c r="AK149" s="14">
        <f>IF(Distances!AK195="N.C.",0,ROUNDUP(AK107+'Délai intermédiaire'!AK195/24,0))</f>
        <v>3</v>
      </c>
      <c r="AL149" s="14">
        <f>IF(Distances!AL195="N.C.",0,ROUNDUP(AL107+'Délai intermédiaire'!AL195/24,0))</f>
        <v>2</v>
      </c>
      <c r="AM149" s="14">
        <f>IF(Distances!AM195="N.C.",0,ROUNDUP(AM107+'Délai intermédiaire'!AM195/24,0))</f>
        <v>2</v>
      </c>
      <c r="AN149" s="14">
        <f>IF(Distances!AN195="N.C.",0,ROUNDUP(AN107+'Délai intermédiaire'!AN195/24,0))</f>
        <v>2</v>
      </c>
      <c r="AO149" s="13">
        <f>IF(Distances!AO195="N.C.",0,ROUNDUP(AO107+'Délai intermédiaire'!AO195/24,0))</f>
        <v>3</v>
      </c>
      <c r="AP149" s="12">
        <f>IF(Distances!AP195="N.C.",0,ROUNDUP(AP107+'Délai intermédiaire'!AP195/24,0))</f>
        <v>2</v>
      </c>
      <c r="AQ149" s="13">
        <f>IF(Distances!AQ195="N.C.",0,ROUNDUP(AQ107+'Délai intermédiaire'!AQ195/24,0))</f>
        <v>3</v>
      </c>
      <c r="AR149" s="14">
        <f>IF(Distances!AR195="N.C.",0,ROUNDUP(AR107+'Délai intermédiaire'!AR195/24,0))</f>
        <v>3</v>
      </c>
      <c r="AS149" s="14">
        <f>IF(Distances!AS195="N.C.",0,ROUNDUP(AS107+'Délai intermédiaire'!AS195/24,0))</f>
        <v>3</v>
      </c>
      <c r="AT149" s="14">
        <f>IF(Distances!AT195="N.C.",0,ROUNDUP(AT107+'Délai intermédiaire'!AT195/24,0))</f>
        <v>3</v>
      </c>
      <c r="AU149" s="14">
        <f>IF(Distances!AU195="N.C.",0,ROUNDUP(AU107+'Délai intermédiaire'!AU195/24,0))</f>
        <v>3</v>
      </c>
      <c r="AV149" s="14">
        <f>IF(Distances!AV195="N.C.",0,ROUNDUP(AV107+'Délai intermédiaire'!AV195/24,0))</f>
        <v>4</v>
      </c>
      <c r="AW149" s="14">
        <f>IF(Distances!AW195="N.C.",0,ROUNDUP(AW107+'Délai intermédiaire'!AW195/24,0))</f>
        <v>4</v>
      </c>
      <c r="AX149" s="14">
        <f>IF(Distances!AX195="N.C.",0,ROUNDUP(AX107+'Délai intermédiaire'!AX195/24,0))</f>
        <v>4</v>
      </c>
      <c r="AY149" s="14">
        <f>IF(Distances!AY195="N.C.",0,ROUNDUP(AY107+'Délai intermédiaire'!AY195/24,0))</f>
        <v>3</v>
      </c>
      <c r="AZ149" s="14">
        <f>IF(Distances!AZ195="N.C.",0,ROUNDUP(AZ107+'Délai intermédiaire'!AZ195/24,0))</f>
        <v>3</v>
      </c>
      <c r="BA149" s="14">
        <f>IF(Distances!BA195="N.C.",0,ROUNDUP(BA107+'Délai intermédiaire'!BA195/24,0))</f>
        <v>3</v>
      </c>
      <c r="BB149" s="14">
        <f>IF(Distances!BB195="N.C.",0,ROUNDUP(BB107+'Délai intermédiaire'!BB195/24,0))</f>
        <v>3</v>
      </c>
      <c r="BC149" s="14">
        <f>IF(Distances!BC195="N.C.",0,ROUNDUP(BC107+'Délai intermédiaire'!BC195/24,0))</f>
        <v>3</v>
      </c>
      <c r="BD149" s="14">
        <f>IF(Distances!BD195="N.C.",0,ROUNDUP(BD107+'Délai intermédiaire'!BD195/24,0))</f>
        <v>3</v>
      </c>
      <c r="BE149" s="14">
        <f>IF(Distances!BE195="N.C.",0,ROUNDUP(BE107+'Délai intermédiaire'!BE195/24,0))</f>
        <v>3</v>
      </c>
      <c r="BF149" s="14">
        <f>IF(Distances!BF195="N.C.",0,ROUNDUP(BF107+'Délai intermédiaire'!BF195/24,0))</f>
        <v>3</v>
      </c>
      <c r="BG149" s="14">
        <f>IF(Distances!BG195="N.C.",0,ROUNDUP(BG107+'Délai intermédiaire'!BG195/24,0))</f>
        <v>3</v>
      </c>
      <c r="BH149" s="14">
        <f>IF(Distances!BH195="N.C.",0,ROUNDUP(BH107+'Délai intermédiaire'!BH195/24,0))</f>
        <v>3</v>
      </c>
      <c r="BI149" s="14">
        <f>IF(Distances!BI195="N.C.",0,ROUNDUP(BI107+'Délai intermédiaire'!BI195/24,0))</f>
        <v>3</v>
      </c>
      <c r="BJ149" s="15">
        <f>IF(Distances!BJ195="N.C.",0,ROUNDUP(BJ107+'Délai intermédiaire'!BJ195/24,0))</f>
        <v>3</v>
      </c>
    </row>
    <row r="150" spans="1:62" x14ac:dyDescent="0.3">
      <c r="A150" s="10" t="s">
        <v>42</v>
      </c>
      <c r="B150" s="16">
        <f>IF(Distances!B196="N.C.",0,ROUNDUP(B107+'Délai intermédiaire'!B196/24,0))</f>
        <v>3</v>
      </c>
      <c r="C150" s="14">
        <f>IF(Distances!C196="N.C.",0,ROUNDUP(C107+'Délai intermédiaire'!C196/24,0))</f>
        <v>3</v>
      </c>
      <c r="D150" s="14">
        <f>IF(Distances!D196="N.C.",0,ROUNDUP(D107+'Délai intermédiaire'!D196/24,0))</f>
        <v>3</v>
      </c>
      <c r="E150" s="14">
        <f>IF(Distances!E196="N.C.",0,ROUNDUP(E107+'Délai intermédiaire'!E196/24,0))</f>
        <v>3</v>
      </c>
      <c r="F150" s="14">
        <f>IF(Distances!F196="N.C.",0,ROUNDUP(F107+'Délai intermédiaire'!F196/24,0))</f>
        <v>2</v>
      </c>
      <c r="G150" s="14">
        <f>IF(Distances!G196="N.C.",0,ROUNDUP(G107+'Délai intermédiaire'!G196/24,0))</f>
        <v>2</v>
      </c>
      <c r="H150" s="14">
        <f>IF(Distances!H196="N.C.",0,ROUNDUP(H107+'Délai intermédiaire'!H196/24,0))</f>
        <v>2</v>
      </c>
      <c r="I150" s="14">
        <f>IF(Distances!I196="N.C.",0,ROUNDUP(I107+'Délai intermédiaire'!I196/24,0))</f>
        <v>2</v>
      </c>
      <c r="J150" s="14">
        <f>IF(Distances!J196="N.C.",0,ROUNDUP(J107+'Délai intermédiaire'!J196/24,0))</f>
        <v>3</v>
      </c>
      <c r="K150" s="14">
        <f>IF(Distances!K196="N.C.",0,ROUNDUP(K107+'Délai intermédiaire'!K196/24,0))</f>
        <v>3</v>
      </c>
      <c r="L150" s="14">
        <f>IF(Distances!L196="N.C.",0,ROUNDUP(L107+'Délai intermédiaire'!L196/24,0))</f>
        <v>3</v>
      </c>
      <c r="M150" s="14">
        <f>IF(Distances!M196="N.C.",0,ROUNDUP(M107+'Délai intermédiaire'!M196/24,0))</f>
        <v>3</v>
      </c>
      <c r="N150" s="14">
        <f>IF(Distances!N196="N.C.",0,ROUNDUP(N107+'Délai intermédiaire'!N196/24,0))</f>
        <v>3</v>
      </c>
      <c r="O150" s="14">
        <f>IF(Distances!O196="N.C.",0,ROUNDUP(O107+'Délai intermédiaire'!O196/24,0))</f>
        <v>3</v>
      </c>
      <c r="P150" s="14">
        <f>IF(Distances!P196="N.C.",0,ROUNDUP(P107+'Délai intermédiaire'!P196/24,0))</f>
        <v>3</v>
      </c>
      <c r="Q150" s="14">
        <f>IF(Distances!Q196="N.C.",0,ROUNDUP(Q107+'Délai intermédiaire'!Q196/24,0))</f>
        <v>2</v>
      </c>
      <c r="R150" s="14">
        <f>IF(Distances!R196="N.C.",0,ROUNDUP(R107+'Délai intermédiaire'!R196/24,0))</f>
        <v>2</v>
      </c>
      <c r="S150" s="14">
        <f>IF(Distances!S196="N.C.",0,ROUNDUP(S107+'Délai intermédiaire'!S196/24,0))</f>
        <v>2</v>
      </c>
      <c r="T150" s="14">
        <f>IF(Distances!T196="N.C.",0,ROUNDUP(T107+'Délai intermédiaire'!T196/24,0))</f>
        <v>2</v>
      </c>
      <c r="U150" s="14">
        <f>IF(Distances!U196="N.C.",0,ROUNDUP(U107+'Délai intermédiaire'!U196/24,0))</f>
        <v>2</v>
      </c>
      <c r="V150" s="14">
        <f>IF(Distances!V196="N.C.",0,ROUNDUP(V107+'Délai intermédiaire'!V196/24,0))</f>
        <v>2</v>
      </c>
      <c r="W150" s="14">
        <f>IF(Distances!W196="N.C.",0,ROUNDUP(W107+'Délai intermédiaire'!W196/24,0))</f>
        <v>2</v>
      </c>
      <c r="X150" s="14">
        <f>IF(Distances!X196="N.C.",0,ROUNDUP(X107+'Délai intermédiaire'!X196/24,0))</f>
        <v>2</v>
      </c>
      <c r="Y150" s="14">
        <f>IF(Distances!Y196="N.C.",0,ROUNDUP(Y107+'Délai intermédiaire'!Y196/24,0))</f>
        <v>2</v>
      </c>
      <c r="Z150" s="14">
        <f>IF(Distances!Z196="N.C.",0,ROUNDUP(Z107+'Délai intermédiaire'!Z196/24,0))</f>
        <v>3</v>
      </c>
      <c r="AA150" s="14">
        <f>IF(Distances!AA196="N.C.",0,ROUNDUP(AA107+'Délai intermédiaire'!AA196/24,0))</f>
        <v>3</v>
      </c>
      <c r="AB150" s="14">
        <f>IF(Distances!AB196="N.C.",0,ROUNDUP(AB107+'Délai intermédiaire'!AB196/24,0))</f>
        <v>2</v>
      </c>
      <c r="AC150" s="14">
        <f>IF(Distances!AC196="N.C.",0,ROUNDUP(AC107+'Délai intermédiaire'!AC196/24,0))</f>
        <v>2</v>
      </c>
      <c r="AD150" s="14">
        <f>IF(Distances!AD196="N.C.",0,ROUNDUP(AD107+'Délai intermédiaire'!AD196/24,0))</f>
        <v>3</v>
      </c>
      <c r="AE150" s="14">
        <f>IF(Distances!AE196="N.C.",0,ROUNDUP(AE107+'Délai intermédiaire'!AE196/24,0))</f>
        <v>3</v>
      </c>
      <c r="AF150" s="14">
        <f>IF(Distances!AF196="N.C.",0,ROUNDUP(AF107+'Délai intermédiaire'!AF196/24,0))</f>
        <v>2</v>
      </c>
      <c r="AG150" s="14">
        <f>IF(Distances!AG196="N.C.",0,ROUNDUP(AG107+'Délai intermédiaire'!AG196/24,0))</f>
        <v>3</v>
      </c>
      <c r="AH150" s="14">
        <f>IF(Distances!AH196="N.C.",0,ROUNDUP(AH107+'Délai intermédiaire'!AH196/24,0))</f>
        <v>3</v>
      </c>
      <c r="AI150" s="14">
        <f>IF(Distances!AI196="N.C.",0,ROUNDUP(AI107+'Délai intermédiaire'!AI196/24,0))</f>
        <v>3</v>
      </c>
      <c r="AJ150" s="14">
        <f>IF(Distances!AJ196="N.C.",0,ROUNDUP(AJ107+'Délai intermédiaire'!AJ196/24,0))</f>
        <v>3</v>
      </c>
      <c r="AK150" s="14">
        <f>IF(Distances!AK196="N.C.",0,ROUNDUP(AK107+'Délai intermédiaire'!AK196/24,0))</f>
        <v>3</v>
      </c>
      <c r="AL150" s="14">
        <f>IF(Distances!AL196="N.C.",0,ROUNDUP(AL107+'Délai intermédiaire'!AL196/24,0))</f>
        <v>2</v>
      </c>
      <c r="AM150" s="14">
        <f>IF(Distances!AM196="N.C.",0,ROUNDUP(AM107+'Délai intermédiaire'!AM196/24,0))</f>
        <v>2</v>
      </c>
      <c r="AN150" s="14">
        <f>IF(Distances!AN196="N.C.",0,ROUNDUP(AN107+'Délai intermédiaire'!AN196/24,0))</f>
        <v>2</v>
      </c>
      <c r="AO150" s="13">
        <f>IF(Distances!AO196="N.C.",0,ROUNDUP(AO107+'Délai intermédiaire'!AO196/24,0))</f>
        <v>3</v>
      </c>
      <c r="AP150" s="13">
        <f>IF(Distances!AP196="N.C.",0,ROUNDUP(AP107+'Délai intermédiaire'!AP196/24,0))</f>
        <v>3</v>
      </c>
      <c r="AQ150" s="12">
        <f>IF(Distances!AQ196="N.C.",0,ROUNDUP(AQ107+'Délai intermédiaire'!AQ196/24,0))</f>
        <v>2</v>
      </c>
      <c r="AR150" s="14">
        <f>IF(Distances!AR196="N.C.",0,ROUNDUP(AR107+'Délai intermédiaire'!AR196/24,0))</f>
        <v>3</v>
      </c>
      <c r="AS150" s="14">
        <f>IF(Distances!AS196="N.C.",0,ROUNDUP(AS107+'Délai intermédiaire'!AS196/24,0))</f>
        <v>3</v>
      </c>
      <c r="AT150" s="14">
        <f>IF(Distances!AT196="N.C.",0,ROUNDUP(AT107+'Délai intermédiaire'!AT196/24,0))</f>
        <v>3</v>
      </c>
      <c r="AU150" s="14">
        <f>IF(Distances!AU196="N.C.",0,ROUNDUP(AU107+'Délai intermédiaire'!AU196/24,0))</f>
        <v>3</v>
      </c>
      <c r="AV150" s="14">
        <f>IF(Distances!AV196="N.C.",0,ROUNDUP(AV107+'Délai intermédiaire'!AV196/24,0))</f>
        <v>4</v>
      </c>
      <c r="AW150" s="14">
        <f>IF(Distances!AW196="N.C.",0,ROUNDUP(AW107+'Délai intermédiaire'!AW196/24,0))</f>
        <v>4</v>
      </c>
      <c r="AX150" s="14">
        <f>IF(Distances!AX196="N.C.",0,ROUNDUP(AX107+'Délai intermédiaire'!AX196/24,0))</f>
        <v>4</v>
      </c>
      <c r="AY150" s="14">
        <f>IF(Distances!AY196="N.C.",0,ROUNDUP(AY107+'Délai intermédiaire'!AY196/24,0))</f>
        <v>3</v>
      </c>
      <c r="AZ150" s="14">
        <f>IF(Distances!AZ196="N.C.",0,ROUNDUP(AZ107+'Délai intermédiaire'!AZ196/24,0))</f>
        <v>3</v>
      </c>
      <c r="BA150" s="14">
        <f>IF(Distances!BA196="N.C.",0,ROUNDUP(BA107+'Délai intermédiaire'!BA196/24,0))</f>
        <v>3</v>
      </c>
      <c r="BB150" s="14">
        <f>IF(Distances!BB196="N.C.",0,ROUNDUP(BB107+'Délai intermédiaire'!BB196/24,0))</f>
        <v>3</v>
      </c>
      <c r="BC150" s="14">
        <f>IF(Distances!BC196="N.C.",0,ROUNDUP(BC107+'Délai intermédiaire'!BC196/24,0))</f>
        <v>3</v>
      </c>
      <c r="BD150" s="14">
        <f>IF(Distances!BD196="N.C.",0,ROUNDUP(BD107+'Délai intermédiaire'!BD196/24,0))</f>
        <v>3</v>
      </c>
      <c r="BE150" s="14">
        <f>IF(Distances!BE196="N.C.",0,ROUNDUP(BE107+'Délai intermédiaire'!BE196/24,0))</f>
        <v>3</v>
      </c>
      <c r="BF150" s="14">
        <f>IF(Distances!BF196="N.C.",0,ROUNDUP(BF107+'Délai intermédiaire'!BF196/24,0))</f>
        <v>3</v>
      </c>
      <c r="BG150" s="14">
        <f>IF(Distances!BG196="N.C.",0,ROUNDUP(BG107+'Délai intermédiaire'!BG196/24,0))</f>
        <v>3</v>
      </c>
      <c r="BH150" s="14">
        <f>IF(Distances!BH196="N.C.",0,ROUNDUP(BH107+'Délai intermédiaire'!BH196/24,0))</f>
        <v>3</v>
      </c>
      <c r="BI150" s="14">
        <f>IF(Distances!BI196="N.C.",0,ROUNDUP(BI107+'Délai intermédiaire'!BI196/24,0))</f>
        <v>3</v>
      </c>
      <c r="BJ150" s="15">
        <f>IF(Distances!BJ196="N.C.",0,ROUNDUP(BJ107+'Délai intermédiaire'!BJ196/24,0))</f>
        <v>3</v>
      </c>
    </row>
    <row r="151" spans="1:62" x14ac:dyDescent="0.3">
      <c r="A151" s="10" t="s">
        <v>43</v>
      </c>
      <c r="B151" s="16">
        <f>IF(Distances!B197="N.C.",0,ROUNDUP(B107+'Délai intermédiaire'!B197/24,0))</f>
        <v>2</v>
      </c>
      <c r="C151" s="14">
        <f>IF(Distances!C197="N.C.",0,ROUNDUP(C107+'Délai intermédiaire'!C197/24,0))</f>
        <v>2</v>
      </c>
      <c r="D151" s="14">
        <f>IF(Distances!D197="N.C.",0,ROUNDUP(D107+'Délai intermédiaire'!D197/24,0))</f>
        <v>2</v>
      </c>
      <c r="E151" s="14">
        <f>IF(Distances!E197="N.C.",0,ROUNDUP(E107+'Délai intermédiaire'!E197/24,0))</f>
        <v>2</v>
      </c>
      <c r="F151" s="14">
        <f>IF(Distances!F197="N.C.",0,ROUNDUP(F107+'Délai intermédiaire'!F197/24,0))</f>
        <v>2</v>
      </c>
      <c r="G151" s="14">
        <f>IF(Distances!G197="N.C.",0,ROUNDUP(G107+'Délai intermédiaire'!G197/24,0))</f>
        <v>2</v>
      </c>
      <c r="H151" s="14">
        <f>IF(Distances!H197="N.C.",0,ROUNDUP(H107+'Délai intermédiaire'!H197/24,0))</f>
        <v>2</v>
      </c>
      <c r="I151" s="14">
        <f>IF(Distances!I197="N.C.",0,ROUNDUP(I107+'Délai intermédiaire'!I197/24,0))</f>
        <v>2</v>
      </c>
      <c r="J151" s="14">
        <f>IF(Distances!J197="N.C.",0,ROUNDUP(J107+'Délai intermédiaire'!J197/24,0))</f>
        <v>3</v>
      </c>
      <c r="K151" s="14">
        <f>IF(Distances!K197="N.C.",0,ROUNDUP(K107+'Délai intermédiaire'!K197/24,0))</f>
        <v>3</v>
      </c>
      <c r="L151" s="14">
        <f>IF(Distances!L197="N.C.",0,ROUNDUP(L107+'Délai intermédiaire'!L197/24,0))</f>
        <v>3</v>
      </c>
      <c r="M151" s="14">
        <f>IF(Distances!M197="N.C.",0,ROUNDUP(M107+'Délai intermédiaire'!M197/24,0))</f>
        <v>3</v>
      </c>
      <c r="N151" s="14">
        <f>IF(Distances!N197="N.C.",0,ROUNDUP(N107+'Délai intermédiaire'!N197/24,0))</f>
        <v>3</v>
      </c>
      <c r="O151" s="14">
        <f>IF(Distances!O197="N.C.",0,ROUNDUP(O107+'Délai intermédiaire'!O197/24,0))</f>
        <v>3</v>
      </c>
      <c r="P151" s="14">
        <f>IF(Distances!P197="N.C.",0,ROUNDUP(P107+'Délai intermédiaire'!P197/24,0))</f>
        <v>3</v>
      </c>
      <c r="Q151" s="14">
        <f>IF(Distances!Q197="N.C.",0,ROUNDUP(Q107+'Délai intermédiaire'!Q197/24,0))</f>
        <v>2</v>
      </c>
      <c r="R151" s="14">
        <f>IF(Distances!R197="N.C.",0,ROUNDUP(R107+'Délai intermédiaire'!R197/24,0))</f>
        <v>2</v>
      </c>
      <c r="S151" s="14">
        <f>IF(Distances!S197="N.C.",0,ROUNDUP(S107+'Délai intermédiaire'!S197/24,0))</f>
        <v>2</v>
      </c>
      <c r="T151" s="14">
        <f>IF(Distances!T197="N.C.",0,ROUNDUP(T107+'Délai intermédiaire'!T197/24,0))</f>
        <v>2</v>
      </c>
      <c r="U151" s="14">
        <f>IF(Distances!U197="N.C.",0,ROUNDUP(U107+'Délai intermédiaire'!U197/24,0))</f>
        <v>2</v>
      </c>
      <c r="V151" s="14">
        <f>IF(Distances!V197="N.C.",0,ROUNDUP(V107+'Délai intermédiaire'!V197/24,0))</f>
        <v>2</v>
      </c>
      <c r="W151" s="14">
        <f>IF(Distances!W197="N.C.",0,ROUNDUP(W107+'Délai intermédiaire'!W197/24,0))</f>
        <v>2</v>
      </c>
      <c r="X151" s="14">
        <f>IF(Distances!X197="N.C.",0,ROUNDUP(X107+'Délai intermédiaire'!X197/24,0))</f>
        <v>2</v>
      </c>
      <c r="Y151" s="14">
        <f>IF(Distances!Y197="N.C.",0,ROUNDUP(Y107+'Délai intermédiaire'!Y197/24,0))</f>
        <v>2</v>
      </c>
      <c r="Z151" s="14">
        <f>IF(Distances!Z197="N.C.",0,ROUNDUP(Z107+'Délai intermédiaire'!Z197/24,0))</f>
        <v>3</v>
      </c>
      <c r="AA151" s="14">
        <f>IF(Distances!AA197="N.C.",0,ROUNDUP(AA107+'Délai intermédiaire'!AA197/24,0))</f>
        <v>3</v>
      </c>
      <c r="AB151" s="14">
        <f>IF(Distances!AB197="N.C.",0,ROUNDUP(AB107+'Délai intermédiaire'!AB197/24,0))</f>
        <v>2</v>
      </c>
      <c r="AC151" s="14">
        <f>IF(Distances!AC197="N.C.",0,ROUNDUP(AC107+'Délai intermédiaire'!AC197/24,0))</f>
        <v>2</v>
      </c>
      <c r="AD151" s="14">
        <f>IF(Distances!AD197="N.C.",0,ROUNDUP(AD107+'Délai intermédiaire'!AD197/24,0))</f>
        <v>3</v>
      </c>
      <c r="AE151" s="14">
        <f>IF(Distances!AE197="N.C.",0,ROUNDUP(AE107+'Délai intermédiaire'!AE197/24,0))</f>
        <v>3</v>
      </c>
      <c r="AF151" s="14">
        <f>IF(Distances!AF197="N.C.",0,ROUNDUP(AF107+'Délai intermédiaire'!AF197/24,0))</f>
        <v>2</v>
      </c>
      <c r="AG151" s="14">
        <f>IF(Distances!AG197="N.C.",0,ROUNDUP(AG107+'Délai intermédiaire'!AG197/24,0))</f>
        <v>3</v>
      </c>
      <c r="AH151" s="13">
        <f>IF(Distances!AH197="N.C.",0,ROUNDUP(AH107+'Délai intermédiaire'!AH197/24,0))</f>
        <v>3</v>
      </c>
      <c r="AI151" s="13">
        <f>IF(Distances!AI197="N.C.",0,ROUNDUP(AI107+'Délai intermédiaire'!AI197/24,0))</f>
        <v>3</v>
      </c>
      <c r="AJ151" s="13">
        <f>IF(Distances!AJ197="N.C.",0,ROUNDUP(AJ107+'Délai intermédiaire'!AJ197/24,0))</f>
        <v>3</v>
      </c>
      <c r="AK151" s="13">
        <f>IF(Distances!AK197="N.C.",0,ROUNDUP(AK107+'Délai intermédiaire'!AK197/24,0))</f>
        <v>3</v>
      </c>
      <c r="AL151" s="13">
        <f>IF(Distances!AL197="N.C.",0,ROUNDUP(AL107+'Délai intermédiaire'!AL197/24,0))</f>
        <v>2</v>
      </c>
      <c r="AM151" s="13">
        <f>IF(Distances!AM197="N.C.",0,ROUNDUP(AM107+'Délai intermédiaire'!AM197/24,0))</f>
        <v>2</v>
      </c>
      <c r="AN151" s="13">
        <f>IF(Distances!AN197="N.C.",0,ROUNDUP(AN107+'Délai intermédiaire'!AN197/24,0))</f>
        <v>2</v>
      </c>
      <c r="AO151" s="14">
        <f>IF(Distances!AO197="N.C.",0,ROUNDUP(AO107+'Délai intermédiaire'!AO197/24,0))</f>
        <v>3</v>
      </c>
      <c r="AP151" s="14">
        <f>IF(Distances!AP197="N.C.",0,ROUNDUP(AP107+'Délai intermédiaire'!AP197/24,0))</f>
        <v>3</v>
      </c>
      <c r="AQ151" s="14">
        <f>IF(Distances!AQ197="N.C.",0,ROUNDUP(AQ107+'Délai intermédiaire'!AQ197/24,0))</f>
        <v>3</v>
      </c>
      <c r="AR151" s="12">
        <f>IF(Distances!AR197="N.C.",0,ROUNDUP(AR107+'Délai intermédiaire'!AR197/24,0))</f>
        <v>2</v>
      </c>
      <c r="AS151" s="13">
        <f>IF(Distances!AS197="N.C.",0,ROUNDUP(AS107+'Délai intermédiaire'!AS197/24,0))</f>
        <v>3</v>
      </c>
      <c r="AT151" s="13">
        <f>IF(Distances!AT197="N.C.",0,ROUNDUP(AT107+'Délai intermédiaire'!AT197/24,0))</f>
        <v>3</v>
      </c>
      <c r="AU151" s="13">
        <f>IF(Distances!AU197="N.C.",0,ROUNDUP(AU107+'Délai intermédiaire'!AU197/24,0))</f>
        <v>3</v>
      </c>
      <c r="AV151" s="13">
        <f>IF(Distances!AV197="N.C.",0,ROUNDUP(AV107+'Délai intermédiaire'!AV197/24,0))</f>
        <v>4</v>
      </c>
      <c r="AW151" s="13">
        <f>IF(Distances!AW197="N.C.",0,ROUNDUP(AW107+'Délai intermédiaire'!AW197/24,0))</f>
        <v>4</v>
      </c>
      <c r="AX151" s="13">
        <f>IF(Distances!AX197="N.C.",0,ROUNDUP(AX107+'Délai intermédiaire'!AX197/24,0))</f>
        <v>4</v>
      </c>
      <c r="AY151" s="14">
        <f>IF(Distances!AY197="N.C.",0,ROUNDUP(AY107+'Délai intermédiaire'!AY197/24,0))</f>
        <v>3</v>
      </c>
      <c r="AZ151" s="14">
        <f>IF(Distances!AZ197="N.C.",0,ROUNDUP(AZ107+'Délai intermédiaire'!AZ197/24,0))</f>
        <v>3</v>
      </c>
      <c r="BA151" s="13">
        <f>IF(Distances!BA197="N.C.",0,ROUNDUP(BA107+'Délai intermédiaire'!BA197/24,0))</f>
        <v>3</v>
      </c>
      <c r="BB151" s="14">
        <f>IF(Distances!BB197="N.C.",0,ROUNDUP(BB107+'Délai intermédiaire'!BB197/24,0))</f>
        <v>3</v>
      </c>
      <c r="BC151" s="13">
        <f>IF(Distances!BC197="N.C.",0,ROUNDUP(BC107+'Délai intermédiaire'!BC197/24,0))</f>
        <v>3</v>
      </c>
      <c r="BD151" s="13">
        <f>IF(Distances!BD197="N.C.",0,ROUNDUP(BD107+'Délai intermédiaire'!BD197/24,0))</f>
        <v>3</v>
      </c>
      <c r="BE151" s="13">
        <f>IF(Distances!BE197="N.C.",0,ROUNDUP(BE107+'Délai intermédiaire'!BE197/24,0))</f>
        <v>3</v>
      </c>
      <c r="BF151" s="14">
        <f>IF(Distances!BF197="N.C.",0,ROUNDUP(BF107+'Délai intermédiaire'!BF197/24,0))</f>
        <v>3</v>
      </c>
      <c r="BG151" s="14">
        <f>IF(Distances!BG197="N.C.",0,ROUNDUP(BG107+'Délai intermédiaire'!BG197/24,0))</f>
        <v>3</v>
      </c>
      <c r="BH151" s="14">
        <f>IF(Distances!BH197="N.C.",0,ROUNDUP(BH107+'Délai intermédiaire'!BH197/24,0))</f>
        <v>3</v>
      </c>
      <c r="BI151" s="14">
        <f>IF(Distances!BI197="N.C.",0,ROUNDUP(BI107+'Délai intermédiaire'!BI197/24,0))</f>
        <v>3</v>
      </c>
      <c r="BJ151" s="15">
        <f>IF(Distances!BJ197="N.C.",0,ROUNDUP(BJ107+'Délai intermédiaire'!BJ197/24,0))</f>
        <v>3</v>
      </c>
    </row>
    <row r="152" spans="1:62" x14ac:dyDescent="0.3">
      <c r="A152" s="10" t="s">
        <v>44</v>
      </c>
      <c r="B152" s="16">
        <f>IF(Distances!B198="N.C.",0,ROUNDUP(B107+'Délai intermédiaire'!B198/24,0))</f>
        <v>2</v>
      </c>
      <c r="C152" s="14">
        <f>IF(Distances!C198="N.C.",0,ROUNDUP(C107+'Délai intermédiaire'!C198/24,0))</f>
        <v>2</v>
      </c>
      <c r="D152" s="14">
        <f>IF(Distances!D198="N.C.",0,ROUNDUP(D107+'Délai intermédiaire'!D198/24,0))</f>
        <v>2</v>
      </c>
      <c r="E152" s="14">
        <f>IF(Distances!E198="N.C.",0,ROUNDUP(E107+'Délai intermédiaire'!E198/24,0))</f>
        <v>2</v>
      </c>
      <c r="F152" s="14">
        <f>IF(Distances!F198="N.C.",0,ROUNDUP(F107+'Délai intermédiaire'!F198/24,0))</f>
        <v>2</v>
      </c>
      <c r="G152" s="14">
        <f>IF(Distances!G198="N.C.",0,ROUNDUP(G107+'Délai intermédiaire'!G198/24,0))</f>
        <v>2</v>
      </c>
      <c r="H152" s="14">
        <f>IF(Distances!H198="N.C.",0,ROUNDUP(H107+'Délai intermédiaire'!H198/24,0))</f>
        <v>2</v>
      </c>
      <c r="I152" s="14">
        <f>IF(Distances!I198="N.C.",0,ROUNDUP(I107+'Délai intermédiaire'!I198/24,0))</f>
        <v>2</v>
      </c>
      <c r="J152" s="14">
        <f>IF(Distances!J198="N.C.",0,ROUNDUP(J107+'Délai intermédiaire'!J198/24,0))</f>
        <v>3</v>
      </c>
      <c r="K152" s="14">
        <f>IF(Distances!K198="N.C.",0,ROUNDUP(K107+'Délai intermédiaire'!K198/24,0))</f>
        <v>3</v>
      </c>
      <c r="L152" s="14">
        <f>IF(Distances!L198="N.C.",0,ROUNDUP(L107+'Délai intermédiaire'!L198/24,0))</f>
        <v>3</v>
      </c>
      <c r="M152" s="14">
        <f>IF(Distances!M198="N.C.",0,ROUNDUP(M107+'Délai intermédiaire'!M198/24,0))</f>
        <v>3</v>
      </c>
      <c r="N152" s="14">
        <f>IF(Distances!N198="N.C.",0,ROUNDUP(N107+'Délai intermédiaire'!N198/24,0))</f>
        <v>3</v>
      </c>
      <c r="O152" s="14">
        <f>IF(Distances!O198="N.C.",0,ROUNDUP(O107+'Délai intermédiaire'!O198/24,0))</f>
        <v>3</v>
      </c>
      <c r="P152" s="14">
        <f>IF(Distances!P198="N.C.",0,ROUNDUP(P107+'Délai intermédiaire'!P198/24,0))</f>
        <v>3</v>
      </c>
      <c r="Q152" s="14">
        <f>IF(Distances!Q198="N.C.",0,ROUNDUP(Q107+'Délai intermédiaire'!Q198/24,0))</f>
        <v>2</v>
      </c>
      <c r="R152" s="14">
        <f>IF(Distances!R198="N.C.",0,ROUNDUP(R107+'Délai intermédiaire'!R198/24,0))</f>
        <v>2</v>
      </c>
      <c r="S152" s="14">
        <f>IF(Distances!S198="N.C.",0,ROUNDUP(S107+'Délai intermédiaire'!S198/24,0))</f>
        <v>2</v>
      </c>
      <c r="T152" s="14">
        <f>IF(Distances!T198="N.C.",0,ROUNDUP(T107+'Délai intermédiaire'!T198/24,0))</f>
        <v>2</v>
      </c>
      <c r="U152" s="14">
        <f>IF(Distances!U198="N.C.",0,ROUNDUP(U107+'Délai intermédiaire'!U198/24,0))</f>
        <v>2</v>
      </c>
      <c r="V152" s="14">
        <f>IF(Distances!V198="N.C.",0,ROUNDUP(V107+'Délai intermédiaire'!V198/24,0))</f>
        <v>2</v>
      </c>
      <c r="W152" s="14">
        <f>IF(Distances!W198="N.C.",0,ROUNDUP(W107+'Délai intermédiaire'!W198/24,0))</f>
        <v>2</v>
      </c>
      <c r="X152" s="14">
        <f>IF(Distances!X198="N.C.",0,ROUNDUP(X107+'Délai intermédiaire'!X198/24,0))</f>
        <v>2</v>
      </c>
      <c r="Y152" s="14">
        <f>IF(Distances!Y198="N.C.",0,ROUNDUP(Y107+'Délai intermédiaire'!Y198/24,0))</f>
        <v>2</v>
      </c>
      <c r="Z152" s="14">
        <f>IF(Distances!Z198="N.C.",0,ROUNDUP(Z107+'Délai intermédiaire'!Z198/24,0))</f>
        <v>3</v>
      </c>
      <c r="AA152" s="14">
        <f>IF(Distances!AA198="N.C.",0,ROUNDUP(AA107+'Délai intermédiaire'!AA198/24,0))</f>
        <v>3</v>
      </c>
      <c r="AB152" s="14">
        <f>IF(Distances!AB198="N.C.",0,ROUNDUP(AB107+'Délai intermédiaire'!AB198/24,0))</f>
        <v>2</v>
      </c>
      <c r="AC152" s="14">
        <f>IF(Distances!AC198="N.C.",0,ROUNDUP(AC107+'Délai intermédiaire'!AC198/24,0))</f>
        <v>2</v>
      </c>
      <c r="AD152" s="14">
        <f>IF(Distances!AD198="N.C.",0,ROUNDUP(AD107+'Délai intermédiaire'!AD198/24,0))</f>
        <v>3</v>
      </c>
      <c r="AE152" s="14">
        <f>IF(Distances!AE198="N.C.",0,ROUNDUP(AE107+'Délai intermédiaire'!AE198/24,0))</f>
        <v>3</v>
      </c>
      <c r="AF152" s="14">
        <f>IF(Distances!AF198="N.C.",0,ROUNDUP(AF107+'Délai intermédiaire'!AF198/24,0))</f>
        <v>2</v>
      </c>
      <c r="AG152" s="14">
        <f>IF(Distances!AG198="N.C.",0,ROUNDUP(AG107+'Délai intermédiaire'!AG198/24,0))</f>
        <v>3</v>
      </c>
      <c r="AH152" s="13">
        <f>IF(Distances!AH198="N.C.",0,ROUNDUP(AH107+'Délai intermédiaire'!AH198/24,0))</f>
        <v>3</v>
      </c>
      <c r="AI152" s="13">
        <f>IF(Distances!AI198="N.C.",0,ROUNDUP(AI107+'Délai intermédiaire'!AI198/24,0))</f>
        <v>3</v>
      </c>
      <c r="AJ152" s="13">
        <f>IF(Distances!AJ198="N.C.",0,ROUNDUP(AJ107+'Délai intermédiaire'!AJ198/24,0))</f>
        <v>3</v>
      </c>
      <c r="AK152" s="13">
        <f>IF(Distances!AK198="N.C.",0,ROUNDUP(AK107+'Délai intermédiaire'!AK198/24,0))</f>
        <v>3</v>
      </c>
      <c r="AL152" s="13">
        <f>IF(Distances!AL198="N.C.",0,ROUNDUP(AL107+'Délai intermédiaire'!AL198/24,0))</f>
        <v>2</v>
      </c>
      <c r="AM152" s="13">
        <f>IF(Distances!AM198="N.C.",0,ROUNDUP(AM107+'Délai intermédiaire'!AM198/24,0))</f>
        <v>2</v>
      </c>
      <c r="AN152" s="13">
        <f>IF(Distances!AN198="N.C.",0,ROUNDUP(AN107+'Délai intermédiaire'!AN198/24,0))</f>
        <v>2</v>
      </c>
      <c r="AO152" s="14">
        <f>IF(Distances!AO198="N.C.",0,ROUNDUP(AO107+'Délai intermédiaire'!AO198/24,0))</f>
        <v>3</v>
      </c>
      <c r="AP152" s="14">
        <f>IF(Distances!AP198="N.C.",0,ROUNDUP(AP107+'Délai intermédiaire'!AP198/24,0))</f>
        <v>3</v>
      </c>
      <c r="AQ152" s="14">
        <f>IF(Distances!AQ198="N.C.",0,ROUNDUP(AQ107+'Délai intermédiaire'!AQ198/24,0))</f>
        <v>3</v>
      </c>
      <c r="AR152" s="13">
        <f>IF(Distances!AR198="N.C.",0,ROUNDUP(AR107+'Délai intermédiaire'!AR198/24,0))</f>
        <v>3</v>
      </c>
      <c r="AS152" s="12">
        <f>IF(Distances!AS198="N.C.",0,ROUNDUP(AS107+'Délai intermédiaire'!AS198/24,0))</f>
        <v>2</v>
      </c>
      <c r="AT152" s="13">
        <f>IF(Distances!AT198="N.C.",0,ROUNDUP(AT107+'Délai intermédiaire'!AT198/24,0))</f>
        <v>3</v>
      </c>
      <c r="AU152" s="13">
        <f>IF(Distances!AU198="N.C.",0,ROUNDUP(AU107+'Délai intermédiaire'!AU198/24,0))</f>
        <v>3</v>
      </c>
      <c r="AV152" s="13">
        <f>IF(Distances!AV198="N.C.",0,ROUNDUP(AV107+'Délai intermédiaire'!AV198/24,0))</f>
        <v>4</v>
      </c>
      <c r="AW152" s="13">
        <f>IF(Distances!AW198="N.C.",0,ROUNDUP(AW107+'Délai intermédiaire'!AW198/24,0))</f>
        <v>4</v>
      </c>
      <c r="AX152" s="13">
        <f>IF(Distances!AX198="N.C.",0,ROUNDUP(AX107+'Délai intermédiaire'!AX198/24,0))</f>
        <v>4</v>
      </c>
      <c r="AY152" s="12">
        <f>IF(Distances!AY198="N.C.",0,ROUNDUP(AY107+'Délai intermédiaire'!AY198/24,0))</f>
        <v>3</v>
      </c>
      <c r="AZ152" s="12">
        <f>IF(Distances!AZ198="N.C.",0,ROUNDUP(AZ107+'Délai intermédiaire'!AZ198/24,0))</f>
        <v>3</v>
      </c>
      <c r="BA152" s="13">
        <f>IF(Distances!BA198="N.C.",0,ROUNDUP(BA107+'Délai intermédiaire'!BA198/24,0))</f>
        <v>3</v>
      </c>
      <c r="BB152" s="14">
        <f>IF(Distances!BB198="N.C.",0,ROUNDUP(BB107+'Délai intermédiaire'!BB198/24,0))</f>
        <v>3</v>
      </c>
      <c r="BC152" s="13">
        <f>IF(Distances!BC198="N.C.",0,ROUNDUP(BC107+'Délai intermédiaire'!BC198/24,0))</f>
        <v>3</v>
      </c>
      <c r="BD152" s="13">
        <f>IF(Distances!BD198="N.C.",0,ROUNDUP(BD107+'Délai intermédiaire'!BD198/24,0))</f>
        <v>3</v>
      </c>
      <c r="BE152" s="13">
        <f>IF(Distances!BE198="N.C.",0,ROUNDUP(BE107+'Délai intermédiaire'!BE198/24,0))</f>
        <v>3</v>
      </c>
      <c r="BF152" s="14">
        <f>IF(Distances!BF198="N.C.",0,ROUNDUP(BF107+'Délai intermédiaire'!BF198/24,0))</f>
        <v>3</v>
      </c>
      <c r="BG152" s="14">
        <f>IF(Distances!BG198="N.C.",0,ROUNDUP(BG107+'Délai intermédiaire'!BG198/24,0))</f>
        <v>3</v>
      </c>
      <c r="BH152" s="14">
        <f>IF(Distances!BH198="N.C.",0,ROUNDUP(BH107+'Délai intermédiaire'!BH198/24,0))</f>
        <v>3</v>
      </c>
      <c r="BI152" s="14">
        <f>IF(Distances!BI198="N.C.",0,ROUNDUP(BI107+'Délai intermédiaire'!BI198/24,0))</f>
        <v>3</v>
      </c>
      <c r="BJ152" s="15">
        <f>IF(Distances!BJ198="N.C.",0,ROUNDUP(BJ107+'Délai intermédiaire'!BJ198/24,0))</f>
        <v>3</v>
      </c>
    </row>
    <row r="153" spans="1:62" x14ac:dyDescent="0.3">
      <c r="A153" s="20" t="s">
        <v>45</v>
      </c>
      <c r="B153" s="21">
        <f>IF(Distances!B199="N.C.",0,ROUNDUP(B107+'Délai intermédiaire'!B199/24,0))</f>
        <v>2</v>
      </c>
      <c r="C153" s="22">
        <f>IF(Distances!C199="N.C.",0,ROUNDUP(C107+'Délai intermédiaire'!C199/24,0))</f>
        <v>2</v>
      </c>
      <c r="D153" s="22">
        <f>IF(Distances!D199="N.C.",0,ROUNDUP(D107+'Délai intermédiaire'!D199/24,0))</f>
        <v>2</v>
      </c>
      <c r="E153" s="22">
        <f>IF(Distances!E199="N.C.",0,ROUNDUP(E107+'Délai intermédiaire'!E199/24,0))</f>
        <v>2</v>
      </c>
      <c r="F153" s="22">
        <f>IF(Distances!F199="N.C.",0,ROUNDUP(F107+'Délai intermédiaire'!F199/24,0))</f>
        <v>2</v>
      </c>
      <c r="G153" s="22">
        <f>IF(Distances!G199="N.C.",0,ROUNDUP(G107+'Délai intermédiaire'!G199/24,0))</f>
        <v>2</v>
      </c>
      <c r="H153" s="22">
        <f>IF(Distances!H199="N.C.",0,ROUNDUP(H107+'Délai intermédiaire'!H199/24,0))</f>
        <v>2</v>
      </c>
      <c r="I153" s="22">
        <f>IF(Distances!I199="N.C.",0,ROUNDUP(I107+'Délai intermédiaire'!I199/24,0))</f>
        <v>2</v>
      </c>
      <c r="J153" s="22">
        <f>IF(Distances!J199="N.C.",0,ROUNDUP(J107+'Délai intermédiaire'!J199/24,0))</f>
        <v>3</v>
      </c>
      <c r="K153" s="22">
        <f>IF(Distances!K199="N.C.",0,ROUNDUP(K107+'Délai intermédiaire'!K199/24,0))</f>
        <v>3</v>
      </c>
      <c r="L153" s="22">
        <f>IF(Distances!L199="N.C.",0,ROUNDUP(L107+'Délai intermédiaire'!L199/24,0))</f>
        <v>3</v>
      </c>
      <c r="M153" s="22">
        <f>IF(Distances!M199="N.C.",0,ROUNDUP(M107+'Délai intermédiaire'!M199/24,0))</f>
        <v>3</v>
      </c>
      <c r="N153" s="22">
        <f>IF(Distances!N199="N.C.",0,ROUNDUP(N107+'Délai intermédiaire'!N199/24,0))</f>
        <v>3</v>
      </c>
      <c r="O153" s="22">
        <f>IF(Distances!O199="N.C.",0,ROUNDUP(O107+'Délai intermédiaire'!O199/24,0))</f>
        <v>3</v>
      </c>
      <c r="P153" s="22">
        <f>IF(Distances!P199="N.C.",0,ROUNDUP(P107+'Délai intermédiaire'!P199/24,0))</f>
        <v>3</v>
      </c>
      <c r="Q153" s="22">
        <f>IF(Distances!Q199="N.C.",0,ROUNDUP(Q107+'Délai intermédiaire'!Q199/24,0))</f>
        <v>2</v>
      </c>
      <c r="R153" s="22">
        <f>IF(Distances!R199="N.C.",0,ROUNDUP(R107+'Délai intermédiaire'!R199/24,0))</f>
        <v>2</v>
      </c>
      <c r="S153" s="22">
        <f>IF(Distances!S199="N.C.",0,ROUNDUP(S107+'Délai intermédiaire'!S199/24,0))</f>
        <v>2</v>
      </c>
      <c r="T153" s="22">
        <f>IF(Distances!T199="N.C.",0,ROUNDUP(T107+'Délai intermédiaire'!T199/24,0))</f>
        <v>2</v>
      </c>
      <c r="U153" s="22">
        <f>IF(Distances!U199="N.C.",0,ROUNDUP(U107+'Délai intermédiaire'!U199/24,0))</f>
        <v>2</v>
      </c>
      <c r="V153" s="22">
        <f>IF(Distances!V199="N.C.",0,ROUNDUP(V107+'Délai intermédiaire'!V199/24,0))</f>
        <v>2</v>
      </c>
      <c r="W153" s="22">
        <f>IF(Distances!W199="N.C.",0,ROUNDUP(W107+'Délai intermédiaire'!W199/24,0))</f>
        <v>2</v>
      </c>
      <c r="X153" s="22">
        <f>IF(Distances!X199="N.C.",0,ROUNDUP(X107+'Délai intermédiaire'!X199/24,0))</f>
        <v>2</v>
      </c>
      <c r="Y153" s="22">
        <f>IF(Distances!Y199="N.C.",0,ROUNDUP(Y107+'Délai intermédiaire'!Y199/24,0))</f>
        <v>2</v>
      </c>
      <c r="Z153" s="22">
        <f>IF(Distances!Z199="N.C.",0,ROUNDUP(Z107+'Délai intermédiaire'!Z199/24,0))</f>
        <v>3</v>
      </c>
      <c r="AA153" s="22">
        <f>IF(Distances!AA199="N.C.",0,ROUNDUP(AA107+'Délai intermédiaire'!AA199/24,0))</f>
        <v>3</v>
      </c>
      <c r="AB153" s="22">
        <f>IF(Distances!AB199="N.C.",0,ROUNDUP(AB107+'Délai intermédiaire'!AB199/24,0))</f>
        <v>2</v>
      </c>
      <c r="AC153" s="22">
        <f>IF(Distances!AC199="N.C.",0,ROUNDUP(AC107+'Délai intermédiaire'!AC199/24,0))</f>
        <v>2</v>
      </c>
      <c r="AD153" s="22">
        <f>IF(Distances!AD199="N.C.",0,ROUNDUP(AD107+'Délai intermédiaire'!AD199/24,0))</f>
        <v>3</v>
      </c>
      <c r="AE153" s="22">
        <f>IF(Distances!AE199="N.C.",0,ROUNDUP(AE107+'Délai intermédiaire'!AE199/24,0))</f>
        <v>3</v>
      </c>
      <c r="AF153" s="22">
        <f>IF(Distances!AF199="N.C.",0,ROUNDUP(AF107+'Délai intermédiaire'!AF199/24,0))</f>
        <v>2</v>
      </c>
      <c r="AG153" s="22">
        <f>IF(Distances!AG199="N.C.",0,ROUNDUP(AG107+'Délai intermédiaire'!AG199/24,0))</f>
        <v>3</v>
      </c>
      <c r="AH153" s="23">
        <f>IF(Distances!AH199="N.C.",0,ROUNDUP(AH107+'Délai intermédiaire'!AH199/24,0))</f>
        <v>3</v>
      </c>
      <c r="AI153" s="23">
        <f>IF(Distances!AI199="N.C.",0,ROUNDUP(AI107+'Délai intermédiaire'!AI199/24,0))</f>
        <v>3</v>
      </c>
      <c r="AJ153" s="23">
        <f>IF(Distances!AJ199="N.C.",0,ROUNDUP(AJ107+'Délai intermédiaire'!AJ199/24,0))</f>
        <v>3</v>
      </c>
      <c r="AK153" s="23">
        <f>IF(Distances!AK199="N.C.",0,ROUNDUP(AK107+'Délai intermédiaire'!AK199/24,0))</f>
        <v>3</v>
      </c>
      <c r="AL153" s="23">
        <f>IF(Distances!AL199="N.C.",0,ROUNDUP(AL107+'Délai intermédiaire'!AL199/24,0))</f>
        <v>2</v>
      </c>
      <c r="AM153" s="23">
        <f>IF(Distances!AM199="N.C.",0,ROUNDUP(AM107+'Délai intermédiaire'!AM199/24,0))</f>
        <v>2</v>
      </c>
      <c r="AN153" s="23">
        <f>IF(Distances!AN199="N.C.",0,ROUNDUP(AN107+'Délai intermédiaire'!AN199/24,0))</f>
        <v>2</v>
      </c>
      <c r="AO153" s="22">
        <f>IF(Distances!AO199="N.C.",0,ROUNDUP(AO107+'Délai intermédiaire'!AO199/24,0))</f>
        <v>3</v>
      </c>
      <c r="AP153" s="22">
        <f>IF(Distances!AP199="N.C.",0,ROUNDUP(AP107+'Délai intermédiaire'!AP199/24,0))</f>
        <v>3</v>
      </c>
      <c r="AQ153" s="22">
        <f>IF(Distances!AQ199="N.C.",0,ROUNDUP(AQ107+'Délai intermédiaire'!AQ199/24,0))</f>
        <v>3</v>
      </c>
      <c r="AR153" s="23">
        <f>IF(Distances!AR199="N.C.",0,ROUNDUP(AR107+'Délai intermédiaire'!AR199/24,0))</f>
        <v>3</v>
      </c>
      <c r="AS153" s="23">
        <f>IF(Distances!AS199="N.C.",0,ROUNDUP(AS107+'Délai intermédiaire'!AS199/24,0))</f>
        <v>3</v>
      </c>
      <c r="AT153" s="24">
        <f>IF(Distances!AT199="N.C.",0,ROUNDUP(AT107+'Délai intermédiaire'!AT199/24,0))</f>
        <v>2</v>
      </c>
      <c r="AU153" s="23">
        <f>IF(Distances!AU199="N.C.",0,ROUNDUP(AU107+'Délai intermédiaire'!AU199/24,0))</f>
        <v>3</v>
      </c>
      <c r="AV153" s="23">
        <f>IF(Distances!AV199="N.C.",0,ROUNDUP(AV107+'Délai intermédiaire'!AV199/24,0))</f>
        <v>4</v>
      </c>
      <c r="AW153" s="23">
        <f>IF(Distances!AW199="N.C.",0,ROUNDUP(AW107+'Délai intermédiaire'!AW199/24,0))</f>
        <v>4</v>
      </c>
      <c r="AX153" s="23">
        <f>IF(Distances!AX199="N.C.",0,ROUNDUP(AX107+'Délai intermédiaire'!AX199/24,0))</f>
        <v>4</v>
      </c>
      <c r="AY153" s="22">
        <f>IF(Distances!AY199="N.C.",0,ROUNDUP(AY107+'Délai intermédiaire'!AY199/24,0))</f>
        <v>3</v>
      </c>
      <c r="AZ153" s="22">
        <f>IF(Distances!AZ199="N.C.",0,ROUNDUP(AZ107+'Délai intermédiaire'!AZ199/24,0))</f>
        <v>3</v>
      </c>
      <c r="BA153" s="24">
        <f>IF(Distances!BA199="N.C.",0,ROUNDUP(BA107+'Délai intermédiaire'!BA199/24,0))</f>
        <v>3</v>
      </c>
      <c r="BB153" s="22">
        <f>IF(Distances!BB199="N.C.",0,ROUNDUP(BB107+'Délai intermédiaire'!BB199/24,0))</f>
        <v>3</v>
      </c>
      <c r="BC153" s="23">
        <f>IF(Distances!BC199="N.C.",0,ROUNDUP(BC107+'Délai intermédiaire'!BC199/24,0))</f>
        <v>3</v>
      </c>
      <c r="BD153" s="23">
        <f>IF(Distances!BD199="N.C.",0,ROUNDUP(BD107+'Délai intermédiaire'!BD199/24,0))</f>
        <v>3</v>
      </c>
      <c r="BE153" s="23">
        <f>IF(Distances!BE199="N.C.",0,ROUNDUP(BE107+'Délai intermédiaire'!BE199/24,0))</f>
        <v>3</v>
      </c>
      <c r="BF153" s="22">
        <f>IF(Distances!BF199="N.C.",0,ROUNDUP(BF107+'Délai intermédiaire'!BF199/24,0))</f>
        <v>3</v>
      </c>
      <c r="BG153" s="22">
        <f>IF(Distances!BG199="N.C.",0,ROUNDUP(BG107+'Délai intermédiaire'!BG199/24,0))</f>
        <v>3</v>
      </c>
      <c r="BH153" s="22">
        <f>IF(Distances!BH199="N.C.",0,ROUNDUP(BH107+'Délai intermédiaire'!BH199/24,0))</f>
        <v>3</v>
      </c>
      <c r="BI153" s="22">
        <f>IF(Distances!BI199="N.C.",0,ROUNDUP(BI107+'Délai intermédiaire'!BI199/24,0))</f>
        <v>3</v>
      </c>
      <c r="BJ153" s="25">
        <f>IF(Distances!BJ199="N.C.",0,ROUNDUP(BJ107+'Délai intermédiaire'!BJ199/24,0))</f>
        <v>3</v>
      </c>
    </row>
    <row r="156" spans="1:62" ht="21" x14ac:dyDescent="0.3">
      <c r="A156" s="55" t="s">
        <v>136</v>
      </c>
      <c r="B156" s="56"/>
    </row>
    <row r="158" spans="1:62" x14ac:dyDescent="0.3">
      <c r="A158" s="44" t="s">
        <v>132</v>
      </c>
      <c r="B158" s="45">
        <v>1</v>
      </c>
      <c r="C158" s="46">
        <v>1</v>
      </c>
      <c r="D158" s="46">
        <v>1</v>
      </c>
      <c r="E158" s="46">
        <v>1</v>
      </c>
      <c r="F158" s="46">
        <v>1</v>
      </c>
      <c r="G158" s="46">
        <v>1</v>
      </c>
      <c r="H158" s="46">
        <v>1</v>
      </c>
      <c r="I158" s="46">
        <v>1</v>
      </c>
      <c r="J158" s="46">
        <v>2</v>
      </c>
      <c r="K158" s="46">
        <v>2</v>
      </c>
      <c r="L158" s="46">
        <v>2</v>
      </c>
      <c r="M158" s="46">
        <v>2</v>
      </c>
      <c r="N158" s="46">
        <v>2</v>
      </c>
      <c r="O158" s="46">
        <v>2</v>
      </c>
      <c r="P158" s="46">
        <v>2</v>
      </c>
      <c r="Q158" s="46">
        <v>1</v>
      </c>
      <c r="R158" s="46">
        <v>1</v>
      </c>
      <c r="S158" s="46">
        <v>1</v>
      </c>
      <c r="T158" s="46">
        <v>1</v>
      </c>
      <c r="U158" s="46">
        <v>1</v>
      </c>
      <c r="V158" s="46">
        <v>1</v>
      </c>
      <c r="W158" s="46">
        <v>1</v>
      </c>
      <c r="X158" s="46">
        <v>1</v>
      </c>
      <c r="Y158" s="46">
        <v>1</v>
      </c>
      <c r="Z158" s="46">
        <v>2</v>
      </c>
      <c r="AA158" s="46">
        <v>2</v>
      </c>
      <c r="AB158" s="46">
        <v>1</v>
      </c>
      <c r="AC158" s="46">
        <v>1</v>
      </c>
      <c r="AD158" s="46">
        <v>2</v>
      </c>
      <c r="AE158" s="46">
        <v>2</v>
      </c>
      <c r="AF158" s="46">
        <v>1</v>
      </c>
      <c r="AG158" s="46">
        <v>2</v>
      </c>
      <c r="AH158" s="46">
        <v>2</v>
      </c>
      <c r="AI158" s="46">
        <v>2</v>
      </c>
      <c r="AJ158" s="46">
        <v>2</v>
      </c>
      <c r="AK158" s="46">
        <v>2</v>
      </c>
      <c r="AL158" s="46">
        <v>1</v>
      </c>
      <c r="AM158" s="46">
        <v>1</v>
      </c>
      <c r="AN158" s="46">
        <v>1</v>
      </c>
      <c r="AO158" s="46">
        <v>2</v>
      </c>
      <c r="AP158" s="46">
        <v>2</v>
      </c>
      <c r="AQ158" s="46">
        <v>2</v>
      </c>
      <c r="AR158" s="46">
        <v>2</v>
      </c>
      <c r="AS158" s="46">
        <v>2</v>
      </c>
      <c r="AT158" s="46">
        <v>2</v>
      </c>
      <c r="AU158" s="46">
        <v>2</v>
      </c>
      <c r="AV158" s="46">
        <v>3</v>
      </c>
      <c r="AW158" s="46">
        <v>3</v>
      </c>
      <c r="AX158" s="46">
        <v>3</v>
      </c>
      <c r="AY158" s="46">
        <v>2</v>
      </c>
      <c r="AZ158" s="46">
        <v>2</v>
      </c>
      <c r="BA158" s="46">
        <v>2</v>
      </c>
      <c r="BB158" s="46">
        <v>2</v>
      </c>
      <c r="BC158" s="46">
        <v>2</v>
      </c>
      <c r="BD158" s="46">
        <v>2</v>
      </c>
      <c r="BE158" s="46">
        <v>2</v>
      </c>
      <c r="BF158" s="46">
        <v>2</v>
      </c>
      <c r="BG158" s="46">
        <v>2</v>
      </c>
      <c r="BH158" s="46">
        <v>2</v>
      </c>
      <c r="BI158" s="46">
        <v>2</v>
      </c>
      <c r="BJ158" s="47">
        <v>2</v>
      </c>
    </row>
    <row r="159" spans="1:62" x14ac:dyDescent="0.3">
      <c r="A159" s="1" t="s">
        <v>66</v>
      </c>
      <c r="B159" s="2" t="s">
        <v>1</v>
      </c>
      <c r="C159" s="3" t="s">
        <v>2</v>
      </c>
      <c r="D159" s="3" t="s">
        <v>3</v>
      </c>
      <c r="E159" s="3" t="s">
        <v>4</v>
      </c>
      <c r="F159" s="3" t="s">
        <v>5</v>
      </c>
      <c r="G159" s="3" t="s">
        <v>6</v>
      </c>
      <c r="H159" s="3" t="s">
        <v>7</v>
      </c>
      <c r="I159" s="3" t="s">
        <v>8</v>
      </c>
      <c r="J159" s="3" t="s">
        <v>9</v>
      </c>
      <c r="K159" s="3" t="s">
        <v>10</v>
      </c>
      <c r="L159" s="3" t="s">
        <v>11</v>
      </c>
      <c r="M159" s="3" t="s">
        <v>12</v>
      </c>
      <c r="N159" s="3" t="s">
        <v>13</v>
      </c>
      <c r="O159" s="3" t="s">
        <v>14</v>
      </c>
      <c r="P159" s="3" t="s">
        <v>15</v>
      </c>
      <c r="Q159" s="3" t="s">
        <v>16</v>
      </c>
      <c r="R159" s="3" t="s">
        <v>17</v>
      </c>
      <c r="S159" s="3" t="s">
        <v>18</v>
      </c>
      <c r="T159" s="3" t="s">
        <v>19</v>
      </c>
      <c r="U159" s="3" t="s">
        <v>20</v>
      </c>
      <c r="V159" s="3" t="s">
        <v>21</v>
      </c>
      <c r="W159" s="3" t="s">
        <v>22</v>
      </c>
      <c r="X159" s="3" t="s">
        <v>23</v>
      </c>
      <c r="Y159" s="3" t="s">
        <v>24</v>
      </c>
      <c r="Z159" s="3" t="s">
        <v>25</v>
      </c>
      <c r="AA159" s="3" t="s">
        <v>26</v>
      </c>
      <c r="AB159" s="3" t="s">
        <v>27</v>
      </c>
      <c r="AC159" s="3" t="s">
        <v>28</v>
      </c>
      <c r="AD159" s="3" t="s">
        <v>29</v>
      </c>
      <c r="AE159" s="3" t="s">
        <v>30</v>
      </c>
      <c r="AF159" s="3" t="s">
        <v>31</v>
      </c>
      <c r="AG159" s="3" t="s">
        <v>133</v>
      </c>
      <c r="AH159" s="3" t="s">
        <v>33</v>
      </c>
      <c r="AI159" s="3" t="s">
        <v>34</v>
      </c>
      <c r="AJ159" s="3" t="s">
        <v>35</v>
      </c>
      <c r="AK159" s="3" t="s">
        <v>36</v>
      </c>
      <c r="AL159" s="3" t="s">
        <v>37</v>
      </c>
      <c r="AM159" s="3" t="s">
        <v>38</v>
      </c>
      <c r="AN159" s="3" t="s">
        <v>39</v>
      </c>
      <c r="AO159" s="3" t="s">
        <v>40</v>
      </c>
      <c r="AP159" s="3" t="s">
        <v>41</v>
      </c>
      <c r="AQ159" s="3" t="s">
        <v>42</v>
      </c>
      <c r="AR159" s="3" t="s">
        <v>43</v>
      </c>
      <c r="AS159" s="3" t="s">
        <v>44</v>
      </c>
      <c r="AT159" s="3" t="s">
        <v>45</v>
      </c>
      <c r="AU159" s="3" t="s">
        <v>46</v>
      </c>
      <c r="AV159" s="3" t="s">
        <v>47</v>
      </c>
      <c r="AW159" s="3" t="s">
        <v>48</v>
      </c>
      <c r="AX159" s="3" t="s">
        <v>49</v>
      </c>
      <c r="AY159" s="3" t="s">
        <v>50</v>
      </c>
      <c r="AZ159" s="3" t="s">
        <v>51</v>
      </c>
      <c r="BA159" s="3" t="s">
        <v>52</v>
      </c>
      <c r="BB159" s="3" t="s">
        <v>53</v>
      </c>
      <c r="BC159" s="3" t="s">
        <v>54</v>
      </c>
      <c r="BD159" s="3" t="s">
        <v>55</v>
      </c>
      <c r="BE159" s="3" t="s">
        <v>56</v>
      </c>
      <c r="BF159" s="3" t="s">
        <v>57</v>
      </c>
      <c r="BG159" s="3" t="s">
        <v>58</v>
      </c>
      <c r="BH159" s="3" t="s">
        <v>59</v>
      </c>
      <c r="BI159" s="3" t="s">
        <v>60</v>
      </c>
      <c r="BJ159" s="4" t="s">
        <v>61</v>
      </c>
    </row>
    <row r="160" spans="1:62" x14ac:dyDescent="0.3">
      <c r="A160" s="5" t="s">
        <v>1</v>
      </c>
      <c r="B160" s="6">
        <f>IF(AND(Distances!BO105=0,Distances!EA105=0),ROUNDUP(B158+'Délai intermédiaire'!C105/24,0),0)</f>
        <v>1</v>
      </c>
      <c r="C160" s="7">
        <f>IF(AND(Distances!BP105=0,Distances!EB105=0),ROUNDUP(C158+'Délai intermédiaire'!D105/24,0),0)</f>
        <v>3</v>
      </c>
      <c r="D160" s="7">
        <f>IF(AND(Distances!BQ105=0,Distances!EC105=0),ROUNDUP(D158+'Délai intermédiaire'!E105/24,0),0)</f>
        <v>0</v>
      </c>
      <c r="E160" s="7">
        <f>IF(AND(Distances!BR105=0,Distances!ED105=0),ROUNDUP(E158+'Délai intermédiaire'!F105/24,0),0)</f>
        <v>7</v>
      </c>
      <c r="F160" s="7">
        <f>IF(AND(Distances!BS105=0,Distances!EE105=0),ROUNDUP(F158+'Délai intermédiaire'!G105/24,0),0)</f>
        <v>0</v>
      </c>
      <c r="G160" s="7">
        <f>IF(AND(Distances!BT105=0,Distances!EF105=0),ROUNDUP(G158+'Délai intermédiaire'!H105/24,0),0)</f>
        <v>0</v>
      </c>
      <c r="H160" s="7">
        <f>IF(AND(Distances!BU105=0,Distances!EG105=0),ROUNDUP(H158+'Délai intermédiaire'!I105/24,0),0)</f>
        <v>11</v>
      </c>
      <c r="I160" s="7">
        <f>IF(AND(Distances!BV105=0,Distances!EH105=0),ROUNDUP(I158+'Délai intermédiaire'!J105/24,0),0)</f>
        <v>9</v>
      </c>
      <c r="J160" s="7">
        <f>IF(AND(Distances!BW105=0,Distances!EI105=0),ROUNDUP(J158+'Délai intermédiaire'!K105/24,0),0)</f>
        <v>0</v>
      </c>
      <c r="K160" s="7">
        <f>IF(AND(Distances!BX105=0,Distances!EJ105=0),ROUNDUP(K158+'Délai intermédiaire'!L105/24,0),0)</f>
        <v>7</v>
      </c>
      <c r="L160" s="7">
        <f>IF(AND(Distances!BY105=0,Distances!EK105=0),ROUNDUP(L158+'Délai intermédiaire'!M105/24,0),0)</f>
        <v>0</v>
      </c>
      <c r="M160" s="7">
        <f>IF(AND(Distances!BZ105=0,Distances!EL105=0),ROUNDUP(M158+'Délai intermédiaire'!N105/24,0),0)</f>
        <v>12</v>
      </c>
      <c r="N160" s="7">
        <f>IF(AND(Distances!CA105=0,Distances!EM105=0),ROUNDUP(N158+'Délai intermédiaire'!O105/24,0),0)</f>
        <v>0</v>
      </c>
      <c r="O160" s="8">
        <f>IF(AND(Distances!CB105=0,Distances!EN105=0),ROUNDUP(O158+'Délai intermédiaire'!P105/24,0),0)</f>
        <v>0</v>
      </c>
      <c r="P160" s="8">
        <f>IF(AND(Distances!CC105=0,Distances!EO105=0),ROUNDUP(P158+'Délai intermédiaire'!Q105/24,0),0)</f>
        <v>0</v>
      </c>
      <c r="Q160" s="8">
        <f>IF(AND(Distances!CD105=0,Distances!EP105=0),ROUNDUP(Q158+'Délai intermédiaire'!R105/24,0),0)</f>
        <v>8</v>
      </c>
      <c r="R160" s="8">
        <f>IF(AND(Distances!CE105=0,Distances!EQ105=0),ROUNDUP(R158+'Délai intermédiaire'!S105/24,0),0)</f>
        <v>8</v>
      </c>
      <c r="S160" s="8">
        <f>IF(AND(Distances!CF105=0,Distances!ER105=0),ROUNDUP(S158+'Délai intermédiaire'!T105/24,0),0)</f>
        <v>9</v>
      </c>
      <c r="T160" s="8">
        <f>IF(AND(Distances!CG105=0,Distances!ES105=0),ROUNDUP(T158+'Délai intermédiaire'!U105/24,0),0)</f>
        <v>0</v>
      </c>
      <c r="U160" s="8">
        <f>IF(AND(Distances!CH105=0,Distances!ET105=0),ROUNDUP(U158+'Délai intermédiaire'!V105/24,0),0)</f>
        <v>0</v>
      </c>
      <c r="V160" s="8">
        <f>IF(AND(Distances!CI105=0,Distances!EU105=0),ROUNDUP(V158+'Délai intermédiaire'!W105/24,0),0)</f>
        <v>0</v>
      </c>
      <c r="W160" s="8">
        <f>IF(AND(Distances!CJ105=0,Distances!EV105=0),ROUNDUP(W158+'Délai intermédiaire'!X105/24,0),0)</f>
        <v>9</v>
      </c>
      <c r="X160" s="8">
        <f>IF(AND(Distances!CK105=0,Distances!EW105=0),ROUNDUP(X158+'Délai intermédiaire'!Y105/24,0),0)</f>
        <v>0</v>
      </c>
      <c r="Y160" s="8">
        <f>IF(AND(Distances!CL105=0,Distances!EX105=0),ROUNDUP(Y158+'Délai intermédiaire'!Z105/24,0),0)</f>
        <v>0</v>
      </c>
      <c r="Z160" s="8">
        <f>IF(AND(Distances!CM105=0,Distances!EY105=0),ROUNDUP(Z158+'Délai intermédiaire'!AA105/24,0),0)</f>
        <v>0</v>
      </c>
      <c r="AA160" s="8">
        <f>IF(AND(Distances!CN105=0,Distances!EZ105=0),ROUNDUP(AA158+'Délai intermédiaire'!AB105/24,0),0)</f>
        <v>0</v>
      </c>
      <c r="AB160" s="8">
        <f>IF(AND(Distances!CO105=0,Distances!FA105=0),ROUNDUP(AB158+'Délai intermédiaire'!AC105/24,0),0)</f>
        <v>0</v>
      </c>
      <c r="AC160" s="8">
        <f>IF(AND(Distances!CP105=0,Distances!FB105=0),ROUNDUP(AC158+'Délai intermédiaire'!AD105/24,0),0)</f>
        <v>9</v>
      </c>
      <c r="AD160" s="8">
        <f>IF(AND(Distances!CQ105=0,Distances!FC105=0),ROUNDUP(AD158+'Délai intermédiaire'!AE105/24,0),0)</f>
        <v>10</v>
      </c>
      <c r="AE160" s="8">
        <f>IF(AND(Distances!CR105=0,Distances!FD105=0),ROUNDUP(AE158+'Délai intermédiaire'!AF105/24,0),0)</f>
        <v>0</v>
      </c>
      <c r="AF160" s="8">
        <f>IF(AND(Distances!CS105=0,Distances!FE105=0),ROUNDUP(AF158+'Délai intermédiaire'!AG105/24,0),0)</f>
        <v>0</v>
      </c>
      <c r="AG160" s="8">
        <f>IF(AND(Distances!CT105=0,Distances!FF105=0),ROUNDUP(AG158+'Délai intermédiaire'!AH105/24,0),0)</f>
        <v>0</v>
      </c>
      <c r="AH160" s="8">
        <f>IF(AND(Distances!CU105=0,Distances!FG105=0),ROUNDUP(AH158+'Délai intermédiaire'!AI105/24,0),0)</f>
        <v>0</v>
      </c>
      <c r="AI160" s="8">
        <f>IF(AND(Distances!CV105=0,Distances!FH105=0),ROUNDUP(AI158+'Délai intermédiaire'!AJ105/24,0),0)</f>
        <v>21</v>
      </c>
      <c r="AJ160" s="8">
        <f>IF(AND(Distances!CW105=0,Distances!FI105=0),ROUNDUP(AJ158+'Délai intermédiaire'!AK105/24,0),0)</f>
        <v>0</v>
      </c>
      <c r="AK160" s="8">
        <f>IF(AND(Distances!CX105=0,Distances!FJ105=0),ROUNDUP(AK158+'Délai intermédiaire'!AL105/24,0),0)</f>
        <v>19</v>
      </c>
      <c r="AL160" s="8">
        <f>IF(AND(Distances!CY105=0,Distances!FK105=0),ROUNDUP(AL158+'Délai intermédiaire'!AM105/24,0),0)</f>
        <v>17</v>
      </c>
      <c r="AM160" s="8">
        <f>IF(AND(Distances!CZ105=0,Distances!FL105=0),ROUNDUP(AM158+'Délai intermédiaire'!AN105/24,0),0)</f>
        <v>17</v>
      </c>
      <c r="AN160" s="8">
        <f>IF(AND(Distances!DA105=0,Distances!FM105=0),ROUNDUP(AN158+'Délai intermédiaire'!AO105/24,0),0)</f>
        <v>0</v>
      </c>
      <c r="AO160" s="8">
        <f>IF(AND(Distances!DB105=0,Distances!FN105=0),ROUNDUP(AO158+'Délai intermédiaire'!AP105/24,0),0)</f>
        <v>18</v>
      </c>
      <c r="AP160" s="8">
        <f>IF(AND(Distances!DC105=0,Distances!FO105=0),ROUNDUP(AP158+'Délai intermédiaire'!AQ105/24,0),0)</f>
        <v>18</v>
      </c>
      <c r="AQ160" s="8">
        <f>IF(AND(Distances!DD105=0,Distances!FP105=0),ROUNDUP(AQ158+'Délai intermédiaire'!AR105/24,0),0)</f>
        <v>21</v>
      </c>
      <c r="AR160" s="8">
        <f>IF(AND(Distances!DE105=0,Distances!FQ105=0),ROUNDUP(AR158+'Délai intermédiaire'!AS105/24,0),0)</f>
        <v>17</v>
      </c>
      <c r="AS160" s="8">
        <f>IF(AND(Distances!DF105=0,Distances!FR105=0),ROUNDUP(AS158+'Délai intermédiaire'!AT105/24,0),0)</f>
        <v>0</v>
      </c>
      <c r="AT160" s="8">
        <f>IF(AND(Distances!DG105=0,Distances!FS105=0),ROUNDUP(AT158+'Délai intermédiaire'!AU105/24,0),0)</f>
        <v>0</v>
      </c>
      <c r="AU160" s="8">
        <f>IF(AND(Distances!DH105=0,Distances!FT105=0),ROUNDUP(AU158+'Délai intermédiaire'!AV105/24,0),0)</f>
        <v>0</v>
      </c>
      <c r="AV160" s="8">
        <f>IF(AND(Distances!DI105=0,Distances!FU105=0),ROUNDUP(AV158+'Délai intermédiaire'!AW105/24,0),0)</f>
        <v>0</v>
      </c>
      <c r="AW160" s="8">
        <f>IF(AND(Distances!DJ105=0,Distances!FV105=0),ROUNDUP(AW158+'Délai intermédiaire'!AX105/24,0),0)</f>
        <v>0</v>
      </c>
      <c r="AX160" s="8">
        <f>IF(AND(Distances!DK105=0,Distances!FW105=0),ROUNDUP(AX158+'Délai intermédiaire'!AY105/24,0),0)</f>
        <v>19</v>
      </c>
      <c r="AY160" s="8">
        <f>IF(AND(Distances!DL105=0,Distances!FX105=0),ROUNDUP(AY158+'Délai intermédiaire'!AZ105/24,0),0)</f>
        <v>2</v>
      </c>
      <c r="AZ160" s="8">
        <f>IF(AND(Distances!DM105=0,Distances!FY105=0),ROUNDUP(AZ158+'Délai intermédiaire'!BA105/24,0),0)</f>
        <v>0</v>
      </c>
      <c r="BA160" s="8">
        <f>IF(AND(Distances!DN105=0,Distances!FZ105=0),ROUNDUP(BA158+'Délai intermédiaire'!BB105/24,0),0)</f>
        <v>23</v>
      </c>
      <c r="BB160" s="8">
        <f>IF(AND(Distances!DO105=0,Distances!GA105=0),ROUNDUP(BB158+'Délai intermédiaire'!BC105/24,0),0)</f>
        <v>11</v>
      </c>
      <c r="BC160" s="8">
        <f>IF(AND(Distances!DP105=0,Distances!GB105=0),ROUNDUP(BC158+'Délai intermédiaire'!BD105/24,0),0)</f>
        <v>21</v>
      </c>
      <c r="BD160" s="8">
        <f>IF(AND(Distances!DQ105=0,Distances!GC105=0),ROUNDUP(BD158+'Délai intermédiaire'!BE105/24,0),0)</f>
        <v>0</v>
      </c>
      <c r="BE160" s="8">
        <f>IF(AND(Distances!DR105=0,Distances!GD105=0),ROUNDUP(BE158+'Délai intermédiaire'!BF105/24,0),0)</f>
        <v>20</v>
      </c>
      <c r="BF160" s="8">
        <f>IF(AND(Distances!DS105=0,Distances!GE105=0),ROUNDUP(BF158+'Délai intermédiaire'!BG105/24,0),0)</f>
        <v>0</v>
      </c>
      <c r="BG160" s="8">
        <f>IF(AND(Distances!DT105=0,Distances!GF105=0),ROUNDUP(BG158+'Délai intermédiaire'!BH105/24,0),0)</f>
        <v>0</v>
      </c>
      <c r="BH160" s="8">
        <f>IF(AND(Distances!DU105=0,Distances!GG105=0),ROUNDUP(BH158+'Délai intermédiaire'!BI105/24,0),0)</f>
        <v>0</v>
      </c>
      <c r="BI160" s="8">
        <f>IF(AND(Distances!DV105=0,Distances!GH105=0),ROUNDUP(BI158+'Délai intermédiaire'!BJ105/24,0),0)</f>
        <v>0</v>
      </c>
      <c r="BJ160" s="9">
        <f>IF(AND(Distances!DW105=0,Distances!GI105=0),ROUNDUP(BJ158+'Délai intermédiaire'!BK105/24,0),0)</f>
        <v>0</v>
      </c>
    </row>
    <row r="161" spans="1:62" x14ac:dyDescent="0.3">
      <c r="A161" s="10" t="s">
        <v>2</v>
      </c>
      <c r="B161" s="11">
        <f>IF(AND(Distances!BO106=0,Distances!EA106=0),ROUNDUP(B158+'Délai intermédiaire'!C106/24,0),0)</f>
        <v>3</v>
      </c>
      <c r="C161" s="12">
        <f>IF(AND(Distances!BP106=0,Distances!EB106=0),ROUNDUP(C158+'Délai intermédiaire'!D106/24,0),0)</f>
        <v>1</v>
      </c>
      <c r="D161" s="13">
        <f>IF(AND(Distances!BQ106=0,Distances!EC106=0),ROUNDUP(D158+'Délai intermédiaire'!E106/24,0),0)</f>
        <v>0</v>
      </c>
      <c r="E161" s="13">
        <f>IF(AND(Distances!BR106=0,Distances!ED106=0),ROUNDUP(E158+'Délai intermédiaire'!F106/24,0),0)</f>
        <v>9</v>
      </c>
      <c r="F161" s="13">
        <f>IF(AND(Distances!BS106=0,Distances!EE106=0),ROUNDUP(F158+'Délai intermédiaire'!G106/24,0),0)</f>
        <v>0</v>
      </c>
      <c r="G161" s="13">
        <f>IF(AND(Distances!BT106=0,Distances!EF106=0),ROUNDUP(G158+'Délai intermédiaire'!H106/24,0),0)</f>
        <v>0</v>
      </c>
      <c r="H161" s="13">
        <f>IF(AND(Distances!BU106=0,Distances!EG106=0),ROUNDUP(H158+'Délai intermédiaire'!I106/24,0),0)</f>
        <v>11</v>
      </c>
      <c r="I161" s="13">
        <f>IF(AND(Distances!BV106=0,Distances!EH106=0),ROUNDUP(I158+'Délai intermédiaire'!J106/24,0),0)</f>
        <v>9</v>
      </c>
      <c r="J161" s="13">
        <f>IF(AND(Distances!BW106=0,Distances!EI106=0),ROUNDUP(J158+'Délai intermédiaire'!K106/24,0),0)</f>
        <v>0</v>
      </c>
      <c r="K161" s="13">
        <f>IF(AND(Distances!BX106=0,Distances!EJ106=0),ROUNDUP(K158+'Délai intermédiaire'!L106/24,0),0)</f>
        <v>8</v>
      </c>
      <c r="L161" s="13">
        <f>IF(AND(Distances!BY106=0,Distances!EK106=0),ROUNDUP(L158+'Délai intermédiaire'!M106/24,0),0)</f>
        <v>0</v>
      </c>
      <c r="M161" s="13">
        <f>IF(AND(Distances!BZ106=0,Distances!EL106=0),ROUNDUP(M158+'Délai intermédiaire'!N106/24,0),0)</f>
        <v>12</v>
      </c>
      <c r="N161" s="13">
        <f>IF(AND(Distances!CA106=0,Distances!EM106=0),ROUNDUP(N158+'Délai intermédiaire'!O106/24,0),0)</f>
        <v>0</v>
      </c>
      <c r="O161" s="14">
        <f>IF(AND(Distances!CB106=0,Distances!EN106=0),ROUNDUP(O158+'Délai intermédiaire'!P106/24,0),0)</f>
        <v>0</v>
      </c>
      <c r="P161" s="14">
        <f>IF(AND(Distances!CC106=0,Distances!EO106=0),ROUNDUP(P158+'Délai intermédiaire'!Q106/24,0),0)</f>
        <v>0</v>
      </c>
      <c r="Q161" s="14">
        <f>IF(AND(Distances!CD106=0,Distances!EP106=0),ROUNDUP(Q158+'Délai intermédiaire'!R106/24,0),0)</f>
        <v>10</v>
      </c>
      <c r="R161" s="14">
        <f>IF(AND(Distances!CE106=0,Distances!EQ106=0),ROUNDUP(R158+'Délai intermédiaire'!S106/24,0),0)</f>
        <v>9</v>
      </c>
      <c r="S161" s="14">
        <f>IF(AND(Distances!CF106=0,Distances!ER106=0),ROUNDUP(S158+'Délai intermédiaire'!T106/24,0),0)</f>
        <v>10</v>
      </c>
      <c r="T161" s="14">
        <f>IF(AND(Distances!CG106=0,Distances!ES106=0),ROUNDUP(T158+'Délai intermédiaire'!U106/24,0),0)</f>
        <v>0</v>
      </c>
      <c r="U161" s="14">
        <f>IF(AND(Distances!CH106=0,Distances!ET106=0),ROUNDUP(U158+'Délai intermédiaire'!V106/24,0),0)</f>
        <v>0</v>
      </c>
      <c r="V161" s="14">
        <f>IF(AND(Distances!CI106=0,Distances!EU106=0),ROUNDUP(V158+'Délai intermédiaire'!W106/24,0),0)</f>
        <v>0</v>
      </c>
      <c r="W161" s="14">
        <f>IF(AND(Distances!CJ106=0,Distances!EV106=0),ROUNDUP(W158+'Délai intermédiaire'!X106/24,0),0)</f>
        <v>10</v>
      </c>
      <c r="X161" s="14">
        <f>IF(AND(Distances!CK106=0,Distances!EW106=0),ROUNDUP(X158+'Délai intermédiaire'!Y106/24,0),0)</f>
        <v>0</v>
      </c>
      <c r="Y161" s="14">
        <f>IF(AND(Distances!CL106=0,Distances!EX106=0),ROUNDUP(Y158+'Délai intermédiaire'!Z106/24,0),0)</f>
        <v>0</v>
      </c>
      <c r="Z161" s="14">
        <f>IF(AND(Distances!CM106=0,Distances!EY106=0),ROUNDUP(Z158+'Délai intermédiaire'!AA106/24,0),0)</f>
        <v>0</v>
      </c>
      <c r="AA161" s="14">
        <f>IF(AND(Distances!CN106=0,Distances!EZ106=0),ROUNDUP(AA158+'Délai intermédiaire'!AB106/24,0),0)</f>
        <v>0</v>
      </c>
      <c r="AB161" s="14">
        <f>IF(AND(Distances!CO106=0,Distances!FA106=0),ROUNDUP(AB158+'Délai intermédiaire'!AC106/24,0),0)</f>
        <v>0</v>
      </c>
      <c r="AC161" s="14">
        <f>IF(AND(Distances!CP106=0,Distances!FB106=0),ROUNDUP(AC158+'Délai intermédiaire'!AD106/24,0),0)</f>
        <v>10</v>
      </c>
      <c r="AD161" s="14">
        <f>IF(AND(Distances!CQ106=0,Distances!FC106=0),ROUNDUP(AD158+'Délai intermédiaire'!AE106/24,0),0)</f>
        <v>12</v>
      </c>
      <c r="AE161" s="14">
        <f>IF(AND(Distances!CR106=0,Distances!FD106=0),ROUNDUP(AE158+'Délai intermédiaire'!AF106/24,0),0)</f>
        <v>0</v>
      </c>
      <c r="AF161" s="14">
        <f>IF(AND(Distances!CS106=0,Distances!FE106=0),ROUNDUP(AF158+'Délai intermédiaire'!AG106/24,0),0)</f>
        <v>0</v>
      </c>
      <c r="AG161" s="14">
        <f>IF(AND(Distances!CT106=0,Distances!FF106=0),ROUNDUP(AG158+'Délai intermédiaire'!AH106/24,0),0)</f>
        <v>0</v>
      </c>
      <c r="AH161" s="14">
        <f>IF(AND(Distances!CU106=0,Distances!FG106=0),ROUNDUP(AH158+'Délai intermédiaire'!AI106/24,0),0)</f>
        <v>0</v>
      </c>
      <c r="AI161" s="14">
        <f>IF(AND(Distances!CV106=0,Distances!FH106=0),ROUNDUP(AI158+'Délai intermédiaire'!AJ106/24,0),0)</f>
        <v>22</v>
      </c>
      <c r="AJ161" s="14">
        <f>IF(AND(Distances!CW106=0,Distances!FI106=0),ROUNDUP(AJ158+'Délai intermédiaire'!AK106/24,0),0)</f>
        <v>0</v>
      </c>
      <c r="AK161" s="14">
        <f>IF(AND(Distances!CX106=0,Distances!FJ106=0),ROUNDUP(AK158+'Délai intermédiaire'!AL106/24,0),0)</f>
        <v>21</v>
      </c>
      <c r="AL161" s="14">
        <f>IF(AND(Distances!CY106=0,Distances!FK106=0),ROUNDUP(AL158+'Délai intermédiaire'!AM106/24,0),0)</f>
        <v>17</v>
      </c>
      <c r="AM161" s="14">
        <f>IF(AND(Distances!CZ106=0,Distances!FL106=0),ROUNDUP(AM158+'Délai intermédiaire'!AN106/24,0),0)</f>
        <v>18</v>
      </c>
      <c r="AN161" s="14">
        <f>IF(AND(Distances!DA106=0,Distances!FM106=0),ROUNDUP(AN158+'Délai intermédiaire'!AO106/24,0),0)</f>
        <v>0</v>
      </c>
      <c r="AO161" s="14">
        <f>IF(AND(Distances!DB106=0,Distances!FN106=0),ROUNDUP(AO158+'Délai intermédiaire'!AP106/24,0),0)</f>
        <v>19</v>
      </c>
      <c r="AP161" s="14">
        <f>IF(AND(Distances!DC106=0,Distances!FO106=0),ROUNDUP(AP158+'Délai intermédiaire'!AQ106/24,0),0)</f>
        <v>18</v>
      </c>
      <c r="AQ161" s="14">
        <f>IF(AND(Distances!DD106=0,Distances!FP106=0),ROUNDUP(AQ158+'Délai intermédiaire'!AR106/24,0),0)</f>
        <v>21</v>
      </c>
      <c r="AR161" s="14">
        <f>IF(AND(Distances!DE106=0,Distances!FQ106=0),ROUNDUP(AR158+'Délai intermédiaire'!AS106/24,0),0)</f>
        <v>19</v>
      </c>
      <c r="AS161" s="14">
        <f>IF(AND(Distances!DF106=0,Distances!FR106=0),ROUNDUP(AS158+'Délai intermédiaire'!AT106/24,0),0)</f>
        <v>0</v>
      </c>
      <c r="AT161" s="14">
        <f>IF(AND(Distances!DG106=0,Distances!FS106=0),ROUNDUP(AT158+'Délai intermédiaire'!AU106/24,0),0)</f>
        <v>0</v>
      </c>
      <c r="AU161" s="14">
        <f>IF(AND(Distances!DH106=0,Distances!FT106=0),ROUNDUP(AU158+'Délai intermédiaire'!AV106/24,0),0)</f>
        <v>0</v>
      </c>
      <c r="AV161" s="14">
        <f>IF(AND(Distances!DI106=0,Distances!FU106=0),ROUNDUP(AV158+'Délai intermédiaire'!AW106/24,0),0)</f>
        <v>0</v>
      </c>
      <c r="AW161" s="14">
        <f>IF(AND(Distances!DJ106=0,Distances!FV106=0),ROUNDUP(AW158+'Délai intermédiaire'!AX106/24,0),0)</f>
        <v>0</v>
      </c>
      <c r="AX161" s="14">
        <f>IF(AND(Distances!DK106=0,Distances!FW106=0),ROUNDUP(AX158+'Délai intermédiaire'!AY106/24,0),0)</f>
        <v>19</v>
      </c>
      <c r="AY161" s="14">
        <f>IF(AND(Distances!DL106=0,Distances!FX106=0),ROUNDUP(AY158+'Délai intermédiaire'!AZ106/24,0),0)</f>
        <v>2</v>
      </c>
      <c r="AZ161" s="14">
        <f>IF(AND(Distances!DM106=0,Distances!FY106=0),ROUNDUP(AZ158+'Délai intermédiaire'!BA106/24,0),0)</f>
        <v>0</v>
      </c>
      <c r="BA161" s="14">
        <f>IF(AND(Distances!DN106=0,Distances!FZ106=0),ROUNDUP(BA158+'Délai intermédiaire'!BB106/24,0),0)</f>
        <v>23</v>
      </c>
      <c r="BB161" s="14">
        <f>IF(AND(Distances!DO106=0,Distances!GA106=0),ROUNDUP(BB158+'Délai intermédiaire'!BC106/24,0),0)</f>
        <v>12</v>
      </c>
      <c r="BC161" s="14">
        <f>IF(AND(Distances!DP106=0,Distances!GB106=0),ROUNDUP(BC158+'Délai intermédiaire'!BD106/24,0),0)</f>
        <v>21</v>
      </c>
      <c r="BD161" s="14">
        <f>IF(AND(Distances!DQ106=0,Distances!GC106=0),ROUNDUP(BD158+'Délai intermédiaire'!BE106/24,0),0)</f>
        <v>0</v>
      </c>
      <c r="BE161" s="14">
        <f>IF(AND(Distances!DR106=0,Distances!GD106=0),ROUNDUP(BE158+'Délai intermédiaire'!BF106/24,0),0)</f>
        <v>20</v>
      </c>
      <c r="BF161" s="14">
        <f>IF(AND(Distances!DS106=0,Distances!GE106=0),ROUNDUP(BF158+'Délai intermédiaire'!BG106/24,0),0)</f>
        <v>0</v>
      </c>
      <c r="BG161" s="14">
        <f>IF(AND(Distances!DT106=0,Distances!GF106=0),ROUNDUP(BG158+'Délai intermédiaire'!BH106/24,0),0)</f>
        <v>0</v>
      </c>
      <c r="BH161" s="14">
        <f>IF(AND(Distances!DU106=0,Distances!GG106=0),ROUNDUP(BH158+'Délai intermédiaire'!BI106/24,0),0)</f>
        <v>0</v>
      </c>
      <c r="BI161" s="14">
        <f>IF(AND(Distances!DV106=0,Distances!GH106=0),ROUNDUP(BI158+'Délai intermédiaire'!BJ106/24,0),0)</f>
        <v>0</v>
      </c>
      <c r="BJ161" s="15">
        <f>IF(AND(Distances!DW106=0,Distances!GI106=0),ROUNDUP(BJ158+'Délai intermédiaire'!BK106/24,0),0)</f>
        <v>0</v>
      </c>
    </row>
    <row r="162" spans="1:62" x14ac:dyDescent="0.3">
      <c r="A162" s="10" t="s">
        <v>3</v>
      </c>
      <c r="B162" s="11">
        <f>IF(AND(Distances!BO107=0,Distances!EA107=0),ROUNDUP(B158+'Délai intermédiaire'!C107/24,0),0)</f>
        <v>0</v>
      </c>
      <c r="C162" s="13">
        <f>IF(AND(Distances!BP107=0,Distances!EB107=0),ROUNDUP(C158+'Délai intermédiaire'!D107/24,0),0)</f>
        <v>0</v>
      </c>
      <c r="D162" s="12">
        <f>IF(AND(Distances!BQ107=0,Distances!EC107=0),ROUNDUP(D158+'Délai intermédiaire'!E107/24,0),0)</f>
        <v>1</v>
      </c>
      <c r="E162" s="13">
        <f>IF(AND(Distances!BR107=0,Distances!ED107=0),ROUNDUP(E158+'Délai intermédiaire'!F107/24,0),0)</f>
        <v>0</v>
      </c>
      <c r="F162" s="13">
        <f>IF(AND(Distances!BS107=0,Distances!EE107=0),ROUNDUP(F158+'Délai intermédiaire'!G107/24,0),0)</f>
        <v>0</v>
      </c>
      <c r="G162" s="13">
        <f>IF(AND(Distances!BT107=0,Distances!EF107=0),ROUNDUP(G158+'Délai intermédiaire'!H107/24,0),0)</f>
        <v>0</v>
      </c>
      <c r="H162" s="13">
        <f>IF(AND(Distances!BU107=0,Distances!EG107=0),ROUNDUP(H158+'Délai intermédiaire'!I107/24,0),0)</f>
        <v>0</v>
      </c>
      <c r="I162" s="13">
        <f>IF(AND(Distances!BV107=0,Distances!EH107=0),ROUNDUP(I158+'Délai intermédiaire'!J107/24,0),0)</f>
        <v>0</v>
      </c>
      <c r="J162" s="13">
        <f>IF(AND(Distances!BW107=0,Distances!EI107=0),ROUNDUP(J158+'Délai intermédiaire'!K107/24,0),0)</f>
        <v>0</v>
      </c>
      <c r="K162" s="13">
        <f>IF(AND(Distances!BX107=0,Distances!EJ107=0),ROUNDUP(K158+'Délai intermédiaire'!L107/24,0),0)</f>
        <v>0</v>
      </c>
      <c r="L162" s="13">
        <f>IF(AND(Distances!BY107=0,Distances!EK107=0),ROUNDUP(L158+'Délai intermédiaire'!M107/24,0),0)</f>
        <v>0</v>
      </c>
      <c r="M162" s="13">
        <f>IF(AND(Distances!BZ107=0,Distances!EL107=0),ROUNDUP(M158+'Délai intermédiaire'!N107/24,0),0)</f>
        <v>0</v>
      </c>
      <c r="N162" s="13">
        <f>IF(AND(Distances!CA107=0,Distances!EM107=0),ROUNDUP(N158+'Délai intermédiaire'!O107/24,0),0)</f>
        <v>0</v>
      </c>
      <c r="O162" s="14">
        <f>IF(AND(Distances!CB107=0,Distances!EN107=0),ROUNDUP(O158+'Délai intermédiaire'!P107/24,0),0)</f>
        <v>0</v>
      </c>
      <c r="P162" s="14">
        <f>IF(AND(Distances!CC107=0,Distances!EO107=0),ROUNDUP(P158+'Délai intermédiaire'!Q107/24,0),0)</f>
        <v>0</v>
      </c>
      <c r="Q162" s="14">
        <f>IF(AND(Distances!CD107=0,Distances!EP107=0),ROUNDUP(Q158+'Délai intermédiaire'!R107/24,0),0)</f>
        <v>0</v>
      </c>
      <c r="R162" s="14">
        <f>IF(AND(Distances!CE107=0,Distances!EQ107=0),ROUNDUP(R158+'Délai intermédiaire'!S107/24,0),0)</f>
        <v>0</v>
      </c>
      <c r="S162" s="14">
        <f>IF(AND(Distances!CF107=0,Distances!ER107=0),ROUNDUP(S158+'Délai intermédiaire'!T107/24,0),0)</f>
        <v>0</v>
      </c>
      <c r="T162" s="14">
        <f>IF(AND(Distances!CG107=0,Distances!ES107=0),ROUNDUP(T158+'Délai intermédiaire'!U107/24,0),0)</f>
        <v>0</v>
      </c>
      <c r="U162" s="14">
        <f>IF(AND(Distances!CH107=0,Distances!ET107=0),ROUNDUP(U158+'Délai intermédiaire'!V107/24,0),0)</f>
        <v>0</v>
      </c>
      <c r="V162" s="14">
        <f>IF(AND(Distances!CI107=0,Distances!EU107=0),ROUNDUP(V158+'Délai intermédiaire'!W107/24,0),0)</f>
        <v>0</v>
      </c>
      <c r="W162" s="14">
        <f>IF(AND(Distances!CJ107=0,Distances!EV107=0),ROUNDUP(W158+'Délai intermédiaire'!X107/24,0),0)</f>
        <v>0</v>
      </c>
      <c r="X162" s="14">
        <f>IF(AND(Distances!CK107=0,Distances!EW107=0),ROUNDUP(X158+'Délai intermédiaire'!Y107/24,0),0)</f>
        <v>0</v>
      </c>
      <c r="Y162" s="14">
        <f>IF(AND(Distances!CL107=0,Distances!EX107=0),ROUNDUP(Y158+'Délai intermédiaire'!Z107/24,0),0)</f>
        <v>0</v>
      </c>
      <c r="Z162" s="14">
        <f>IF(AND(Distances!CM107=0,Distances!EY107=0),ROUNDUP(Z158+'Délai intermédiaire'!AA107/24,0),0)</f>
        <v>0</v>
      </c>
      <c r="AA162" s="14">
        <f>IF(AND(Distances!CN107=0,Distances!EZ107=0),ROUNDUP(AA158+'Délai intermédiaire'!AB107/24,0),0)</f>
        <v>0</v>
      </c>
      <c r="AB162" s="14">
        <f>IF(AND(Distances!CO107=0,Distances!FA107=0),ROUNDUP(AB158+'Délai intermédiaire'!AC107/24,0),0)</f>
        <v>0</v>
      </c>
      <c r="AC162" s="14">
        <f>IF(AND(Distances!CP107=0,Distances!FB107=0),ROUNDUP(AC158+'Délai intermédiaire'!AD107/24,0),0)</f>
        <v>0</v>
      </c>
      <c r="AD162" s="14">
        <f>IF(AND(Distances!CQ107=0,Distances!FC107=0),ROUNDUP(AD158+'Délai intermédiaire'!AE107/24,0),0)</f>
        <v>0</v>
      </c>
      <c r="AE162" s="14">
        <f>IF(AND(Distances!CR107=0,Distances!FD107=0),ROUNDUP(AE158+'Délai intermédiaire'!AF107/24,0),0)</f>
        <v>0</v>
      </c>
      <c r="AF162" s="14">
        <f>IF(AND(Distances!CS107=0,Distances!FE107=0),ROUNDUP(AF158+'Délai intermédiaire'!AG107/24,0),0)</f>
        <v>0</v>
      </c>
      <c r="AG162" s="14">
        <f>IF(AND(Distances!CT107=0,Distances!FF107=0),ROUNDUP(AG158+'Délai intermédiaire'!AH107/24,0),0)</f>
        <v>0</v>
      </c>
      <c r="AH162" s="14">
        <f>IF(AND(Distances!CU107=0,Distances!FG107=0),ROUNDUP(AH158+'Délai intermédiaire'!AI107/24,0),0)</f>
        <v>0</v>
      </c>
      <c r="AI162" s="14">
        <f>IF(AND(Distances!CV107=0,Distances!FH107=0),ROUNDUP(AI158+'Délai intermédiaire'!AJ107/24,0),0)</f>
        <v>0</v>
      </c>
      <c r="AJ162" s="14">
        <f>IF(AND(Distances!CW107=0,Distances!FI107=0),ROUNDUP(AJ158+'Délai intermédiaire'!AK107/24,0),0)</f>
        <v>0</v>
      </c>
      <c r="AK162" s="14">
        <f>IF(AND(Distances!CX107=0,Distances!FJ107=0),ROUNDUP(AK158+'Délai intermédiaire'!AL107/24,0),0)</f>
        <v>0</v>
      </c>
      <c r="AL162" s="14">
        <f>IF(AND(Distances!CY107=0,Distances!FK107=0),ROUNDUP(AL158+'Délai intermédiaire'!AM107/24,0),0)</f>
        <v>0</v>
      </c>
      <c r="AM162" s="14">
        <f>IF(AND(Distances!CZ107=0,Distances!FL107=0),ROUNDUP(AM158+'Délai intermédiaire'!AN107/24,0),0)</f>
        <v>0</v>
      </c>
      <c r="AN162" s="14">
        <f>IF(AND(Distances!DA107=0,Distances!FM107=0),ROUNDUP(AN158+'Délai intermédiaire'!AO107/24,0),0)</f>
        <v>0</v>
      </c>
      <c r="AO162" s="14">
        <f>IF(AND(Distances!DB107=0,Distances!FN107=0),ROUNDUP(AO158+'Délai intermédiaire'!AP107/24,0),0)</f>
        <v>0</v>
      </c>
      <c r="AP162" s="14">
        <f>IF(AND(Distances!DC107=0,Distances!FO107=0),ROUNDUP(AP158+'Délai intermédiaire'!AQ107/24,0),0)</f>
        <v>0</v>
      </c>
      <c r="AQ162" s="14">
        <f>IF(AND(Distances!DD107=0,Distances!FP107=0),ROUNDUP(AQ158+'Délai intermédiaire'!AR107/24,0),0)</f>
        <v>0</v>
      </c>
      <c r="AR162" s="14">
        <f>IF(AND(Distances!DE107=0,Distances!FQ107=0),ROUNDUP(AR158+'Délai intermédiaire'!AS107/24,0),0)</f>
        <v>0</v>
      </c>
      <c r="AS162" s="14">
        <f>IF(AND(Distances!DF107=0,Distances!FR107=0),ROUNDUP(AS158+'Délai intermédiaire'!AT107/24,0),0)</f>
        <v>0</v>
      </c>
      <c r="AT162" s="14">
        <f>IF(AND(Distances!DG107=0,Distances!FS107=0),ROUNDUP(AT158+'Délai intermédiaire'!AU107/24,0),0)</f>
        <v>0</v>
      </c>
      <c r="AU162" s="14">
        <f>IF(AND(Distances!DH107=0,Distances!FT107=0),ROUNDUP(AU158+'Délai intermédiaire'!AV107/24,0),0)</f>
        <v>0</v>
      </c>
      <c r="AV162" s="14">
        <f>IF(AND(Distances!DI107=0,Distances!FU107=0),ROUNDUP(AV158+'Délai intermédiaire'!AW107/24,0),0)</f>
        <v>0</v>
      </c>
      <c r="AW162" s="14">
        <f>IF(AND(Distances!DJ107=0,Distances!FV107=0),ROUNDUP(AW158+'Délai intermédiaire'!AX107/24,0),0)</f>
        <v>0</v>
      </c>
      <c r="AX162" s="14">
        <f>IF(AND(Distances!DK107=0,Distances!FW107=0),ROUNDUP(AX158+'Délai intermédiaire'!AY107/24,0),0)</f>
        <v>0</v>
      </c>
      <c r="AY162" s="14">
        <f>IF(AND(Distances!DL107=0,Distances!FX107=0),ROUNDUP(AY158+'Délai intermédiaire'!AZ107/24,0),0)</f>
        <v>0</v>
      </c>
      <c r="AZ162" s="14">
        <f>IF(AND(Distances!DM107=0,Distances!FY107=0),ROUNDUP(AZ158+'Délai intermédiaire'!BA107/24,0),0)</f>
        <v>0</v>
      </c>
      <c r="BA162" s="14">
        <f>IF(AND(Distances!DN107=0,Distances!FZ107=0),ROUNDUP(BA158+'Délai intermédiaire'!BB107/24,0),0)</f>
        <v>0</v>
      </c>
      <c r="BB162" s="14">
        <f>IF(AND(Distances!DO107=0,Distances!GA107=0),ROUNDUP(BB158+'Délai intermédiaire'!BC107/24,0),0)</f>
        <v>0</v>
      </c>
      <c r="BC162" s="14">
        <f>IF(AND(Distances!DP107=0,Distances!GB107=0),ROUNDUP(BC158+'Délai intermédiaire'!BD107/24,0),0)</f>
        <v>0</v>
      </c>
      <c r="BD162" s="14">
        <f>IF(AND(Distances!DQ107=0,Distances!GC107=0),ROUNDUP(BD158+'Délai intermédiaire'!BE107/24,0),0)</f>
        <v>0</v>
      </c>
      <c r="BE162" s="14">
        <f>IF(AND(Distances!DR107=0,Distances!GD107=0),ROUNDUP(BE158+'Délai intermédiaire'!BF107/24,0),0)</f>
        <v>0</v>
      </c>
      <c r="BF162" s="14">
        <f>IF(AND(Distances!DS107=0,Distances!GE107=0),ROUNDUP(BF158+'Délai intermédiaire'!BG107/24,0),0)</f>
        <v>0</v>
      </c>
      <c r="BG162" s="14">
        <f>IF(AND(Distances!DT107=0,Distances!GF107=0),ROUNDUP(BG158+'Délai intermédiaire'!BH107/24,0),0)</f>
        <v>0</v>
      </c>
      <c r="BH162" s="14">
        <f>IF(AND(Distances!DU107=0,Distances!GG107=0),ROUNDUP(BH158+'Délai intermédiaire'!BI107/24,0),0)</f>
        <v>0</v>
      </c>
      <c r="BI162" s="14">
        <f>IF(AND(Distances!DV107=0,Distances!GH107=0),ROUNDUP(BI158+'Délai intermédiaire'!BJ107/24,0),0)</f>
        <v>0</v>
      </c>
      <c r="BJ162" s="15">
        <f>IF(AND(Distances!DW107=0,Distances!GI107=0),ROUNDUP(BJ158+'Délai intermédiaire'!BK107/24,0),0)</f>
        <v>0</v>
      </c>
    </row>
    <row r="163" spans="1:62" x14ac:dyDescent="0.3">
      <c r="A163" s="10" t="s">
        <v>4</v>
      </c>
      <c r="B163" s="11">
        <f>IF(AND(Distances!BO108=0,Distances!EA108=0),ROUNDUP(B158+'Délai intermédiaire'!C108/24,0),0)</f>
        <v>7</v>
      </c>
      <c r="C163" s="13">
        <f>IF(AND(Distances!BP108=0,Distances!EB108=0),ROUNDUP(C158+'Délai intermédiaire'!D108/24,0),0)</f>
        <v>9</v>
      </c>
      <c r="D163" s="13">
        <f>IF(AND(Distances!BQ108=0,Distances!EC108=0),ROUNDUP(D158+'Délai intermédiaire'!E108/24,0),0)</f>
        <v>0</v>
      </c>
      <c r="E163" s="12">
        <f>IF(AND(Distances!BR108=0,Distances!ED108=0),ROUNDUP(E158+'Délai intermédiaire'!F108/24,0),0)</f>
        <v>1</v>
      </c>
      <c r="F163" s="13">
        <f>IF(AND(Distances!BS108=0,Distances!EE108=0),ROUNDUP(F158+'Délai intermédiaire'!G108/24,0),0)</f>
        <v>0</v>
      </c>
      <c r="G163" s="13">
        <f>IF(AND(Distances!BT108=0,Distances!EF108=0),ROUNDUP(G158+'Délai intermédiaire'!H108/24,0),0)</f>
        <v>0</v>
      </c>
      <c r="H163" s="13">
        <f>IF(AND(Distances!BU108=0,Distances!EG108=0),ROUNDUP(H158+'Délai intermédiaire'!I108/24,0),0)</f>
        <v>16</v>
      </c>
      <c r="I163" s="13">
        <f>IF(AND(Distances!BV108=0,Distances!EH108=0),ROUNDUP(I158+'Délai intermédiaire'!J108/24,0),0)</f>
        <v>14</v>
      </c>
      <c r="J163" s="13">
        <f>IF(AND(Distances!BW108=0,Distances!EI108=0),ROUNDUP(J158+'Délai intermédiaire'!K108/24,0),0)</f>
        <v>0</v>
      </c>
      <c r="K163" s="13">
        <f>IF(AND(Distances!BX108=0,Distances!EJ108=0),ROUNDUP(K158+'Délai intermédiaire'!L108/24,0),0)</f>
        <v>4</v>
      </c>
      <c r="L163" s="13">
        <f>IF(AND(Distances!BY108=0,Distances!EK108=0),ROUNDUP(L158+'Délai intermédiaire'!M108/24,0),0)</f>
        <v>0</v>
      </c>
      <c r="M163" s="13">
        <f>IF(AND(Distances!BZ108=0,Distances!EL108=0),ROUNDUP(M158+'Délai intermédiaire'!N108/24,0),0)</f>
        <v>17</v>
      </c>
      <c r="N163" s="13">
        <f>IF(AND(Distances!CA108=0,Distances!EM108=0),ROUNDUP(N158+'Délai intermédiaire'!O108/24,0),0)</f>
        <v>0</v>
      </c>
      <c r="O163" s="14">
        <f>IF(AND(Distances!CB108=0,Distances!EN108=0),ROUNDUP(O158+'Délai intermédiaire'!P108/24,0),0)</f>
        <v>0</v>
      </c>
      <c r="P163" s="14">
        <f>IF(AND(Distances!CC108=0,Distances!EO108=0),ROUNDUP(P158+'Délai intermédiaire'!Q108/24,0),0)</f>
        <v>0</v>
      </c>
      <c r="Q163" s="14">
        <f>IF(AND(Distances!CD108=0,Distances!EP108=0),ROUNDUP(Q158+'Délai intermédiaire'!R108/24,0),0)</f>
        <v>9</v>
      </c>
      <c r="R163" s="14">
        <f>IF(AND(Distances!CE108=0,Distances!EQ108=0),ROUNDUP(R158+'Délai intermédiaire'!S108/24,0),0)</f>
        <v>9</v>
      </c>
      <c r="S163" s="14">
        <f>IF(AND(Distances!CF108=0,Distances!ER108=0),ROUNDUP(S158+'Délai intermédiaire'!T108/24,0),0)</f>
        <v>9</v>
      </c>
      <c r="T163" s="14">
        <f>IF(AND(Distances!CG108=0,Distances!ES108=0),ROUNDUP(T158+'Délai intermédiaire'!U108/24,0),0)</f>
        <v>0</v>
      </c>
      <c r="U163" s="14">
        <f>IF(AND(Distances!CH108=0,Distances!ET108=0),ROUNDUP(U158+'Délai intermédiaire'!V108/24,0),0)</f>
        <v>0</v>
      </c>
      <c r="V163" s="14">
        <f>IF(AND(Distances!CI108=0,Distances!EU108=0),ROUNDUP(V158+'Délai intermédiaire'!W108/24,0),0)</f>
        <v>0</v>
      </c>
      <c r="W163" s="14">
        <f>IF(AND(Distances!CJ108=0,Distances!EV108=0),ROUNDUP(W158+'Délai intermédiaire'!X108/24,0),0)</f>
        <v>9</v>
      </c>
      <c r="X163" s="14">
        <f>IF(AND(Distances!CK108=0,Distances!EW108=0),ROUNDUP(X158+'Délai intermédiaire'!Y108/24,0),0)</f>
        <v>0</v>
      </c>
      <c r="Y163" s="14">
        <f>IF(AND(Distances!CL108=0,Distances!EX108=0),ROUNDUP(Y158+'Délai intermédiaire'!Z108/24,0),0)</f>
        <v>0</v>
      </c>
      <c r="Z163" s="14">
        <f>IF(AND(Distances!CM108=0,Distances!EY108=0),ROUNDUP(Z158+'Délai intermédiaire'!AA108/24,0),0)</f>
        <v>0</v>
      </c>
      <c r="AA163" s="14">
        <f>IF(AND(Distances!CN108=0,Distances!EZ108=0),ROUNDUP(AA158+'Délai intermédiaire'!AB108/24,0),0)</f>
        <v>0</v>
      </c>
      <c r="AB163" s="14">
        <f>IF(AND(Distances!CO108=0,Distances!FA108=0),ROUNDUP(AB158+'Délai intermédiaire'!AC108/24,0),0)</f>
        <v>0</v>
      </c>
      <c r="AC163" s="14">
        <f>IF(AND(Distances!CP108=0,Distances!FB108=0),ROUNDUP(AC158+'Délai intermédiaire'!AD108/24,0),0)</f>
        <v>10</v>
      </c>
      <c r="AD163" s="14">
        <f>IF(AND(Distances!CQ108=0,Distances!FC108=0),ROUNDUP(AD158+'Délai intermédiaire'!AE108/24,0),0)</f>
        <v>11</v>
      </c>
      <c r="AE163" s="14">
        <f>IF(AND(Distances!CR108=0,Distances!FD108=0),ROUNDUP(AE158+'Délai intermédiaire'!AF108/24,0),0)</f>
        <v>0</v>
      </c>
      <c r="AF163" s="14">
        <f>IF(AND(Distances!CS108=0,Distances!FE108=0),ROUNDUP(AF158+'Délai intermédiaire'!AG108/24,0),0)</f>
        <v>0</v>
      </c>
      <c r="AG163" s="14">
        <f>IF(AND(Distances!CT108=0,Distances!FF108=0),ROUNDUP(AG158+'Délai intermédiaire'!AH108/24,0),0)</f>
        <v>0</v>
      </c>
      <c r="AH163" s="14">
        <f>IF(AND(Distances!CU108=0,Distances!FG108=0),ROUNDUP(AH158+'Délai intermédiaire'!AI108/24,0),0)</f>
        <v>0</v>
      </c>
      <c r="AI163" s="14">
        <f>IF(AND(Distances!CV108=0,Distances!FH108=0),ROUNDUP(AI158+'Délai intermédiaire'!AJ108/24,0),0)</f>
        <v>21</v>
      </c>
      <c r="AJ163" s="14">
        <f>IF(AND(Distances!CW108=0,Distances!FI108=0),ROUNDUP(AJ158+'Délai intermédiaire'!AK108/24,0),0)</f>
        <v>0</v>
      </c>
      <c r="AK163" s="14">
        <f>IF(AND(Distances!CX108=0,Distances!FJ108=0),ROUNDUP(AK158+'Délai intermédiaire'!AL108/24,0),0)</f>
        <v>20</v>
      </c>
      <c r="AL163" s="14">
        <f>IF(AND(Distances!CY108=0,Distances!FK108=0),ROUNDUP(AL158+'Délai intermédiaire'!AM108/24,0),0)</f>
        <v>22</v>
      </c>
      <c r="AM163" s="14">
        <f>IF(AND(Distances!CZ108=0,Distances!FL108=0),ROUNDUP(AM158+'Délai intermédiaire'!AN108/24,0),0)</f>
        <v>23</v>
      </c>
      <c r="AN163" s="14">
        <f>IF(AND(Distances!DA108=0,Distances!FM108=0),ROUNDUP(AN158+'Délai intermédiaire'!AO108/24,0),0)</f>
        <v>0</v>
      </c>
      <c r="AO163" s="14">
        <f>IF(AND(Distances!DB108=0,Distances!FN108=0),ROUNDUP(AO158+'Délai intermédiaire'!AP108/24,0),0)</f>
        <v>24</v>
      </c>
      <c r="AP163" s="14">
        <f>IF(AND(Distances!DC108=0,Distances!FO108=0),ROUNDUP(AP158+'Délai intermédiaire'!AQ108/24,0),0)</f>
        <v>23</v>
      </c>
      <c r="AQ163" s="14">
        <f>IF(AND(Distances!DD108=0,Distances!FP108=0),ROUNDUP(AQ158+'Délai intermédiaire'!AR108/24,0),0)</f>
        <v>24</v>
      </c>
      <c r="AR163" s="14">
        <f>IF(AND(Distances!DE108=0,Distances!FQ108=0),ROUNDUP(AR158+'Délai intermédiaire'!AS108/24,0),0)</f>
        <v>18</v>
      </c>
      <c r="AS163" s="14">
        <f>IF(AND(Distances!DF108=0,Distances!FR108=0),ROUNDUP(AS158+'Délai intermédiaire'!AT108/24,0),0)</f>
        <v>0</v>
      </c>
      <c r="AT163" s="14">
        <f>IF(AND(Distances!DG108=0,Distances!FS108=0),ROUNDUP(AT158+'Délai intermédiaire'!AU108/24,0),0)</f>
        <v>0</v>
      </c>
      <c r="AU163" s="14">
        <f>IF(AND(Distances!DH108=0,Distances!FT108=0),ROUNDUP(AU158+'Délai intermédiaire'!AV108/24,0),0)</f>
        <v>0</v>
      </c>
      <c r="AV163" s="14">
        <f>IF(AND(Distances!DI108=0,Distances!FU108=0),ROUNDUP(AV158+'Délai intermédiaire'!AW108/24,0),0)</f>
        <v>0</v>
      </c>
      <c r="AW163" s="14">
        <f>IF(AND(Distances!DJ108=0,Distances!FV108=0),ROUNDUP(AW158+'Délai intermédiaire'!AX108/24,0),0)</f>
        <v>0</v>
      </c>
      <c r="AX163" s="14">
        <f>IF(AND(Distances!DK108=0,Distances!FW108=0),ROUNDUP(AX158+'Délai intermédiaire'!AY108/24,0),0)</f>
        <v>24</v>
      </c>
      <c r="AY163" s="14">
        <f>IF(AND(Distances!DL108=0,Distances!FX108=0),ROUNDUP(AY158+'Délai intermédiaire'!AZ108/24,0),0)</f>
        <v>2</v>
      </c>
      <c r="AZ163" s="14">
        <f>IF(AND(Distances!DM108=0,Distances!FY108=0),ROUNDUP(AZ158+'Délai intermédiaire'!BA108/24,0),0)</f>
        <v>0</v>
      </c>
      <c r="BA163" s="14">
        <f>IF(AND(Distances!DN108=0,Distances!FZ108=0),ROUNDUP(BA158+'Délai intermédiaire'!BB108/24,0),0)</f>
        <v>23</v>
      </c>
      <c r="BB163" s="14">
        <f>IF(AND(Distances!DO108=0,Distances!GA108=0),ROUNDUP(BB158+'Délai intermédiaire'!BC108/24,0),0)</f>
        <v>11</v>
      </c>
      <c r="BC163" s="14">
        <f>IF(AND(Distances!DP108=0,Distances!GB108=0),ROUNDUP(BC158+'Délai intermédiaire'!BD108/24,0),0)</f>
        <v>24</v>
      </c>
      <c r="BD163" s="14">
        <f>IF(AND(Distances!DQ108=0,Distances!GC108=0),ROUNDUP(BD158+'Délai intermédiaire'!BE108/24,0),0)</f>
        <v>0</v>
      </c>
      <c r="BE163" s="14">
        <f>IF(AND(Distances!DR108=0,Distances!GD108=0),ROUNDUP(BE158+'Délai intermédiaire'!BF108/24,0),0)</f>
        <v>25</v>
      </c>
      <c r="BF163" s="14">
        <f>IF(AND(Distances!DS108=0,Distances!GE108=0),ROUNDUP(BF158+'Délai intermédiaire'!BG108/24,0),0)</f>
        <v>0</v>
      </c>
      <c r="BG163" s="14">
        <f>IF(AND(Distances!DT108=0,Distances!GF108=0),ROUNDUP(BG158+'Délai intermédiaire'!BH108/24,0),0)</f>
        <v>0</v>
      </c>
      <c r="BH163" s="14">
        <f>IF(AND(Distances!DU108=0,Distances!GG108=0),ROUNDUP(BH158+'Délai intermédiaire'!BI108/24,0),0)</f>
        <v>0</v>
      </c>
      <c r="BI163" s="14">
        <f>IF(AND(Distances!DV108=0,Distances!GH108=0),ROUNDUP(BI158+'Délai intermédiaire'!BJ108/24,0),0)</f>
        <v>0</v>
      </c>
      <c r="BJ163" s="15">
        <f>IF(AND(Distances!DW108=0,Distances!GI108=0),ROUNDUP(BJ158+'Délai intermédiaire'!BK108/24,0),0)</f>
        <v>0</v>
      </c>
    </row>
    <row r="164" spans="1:62" x14ac:dyDescent="0.3">
      <c r="A164" s="10" t="s">
        <v>5</v>
      </c>
      <c r="B164" s="11">
        <f>IF(AND(Distances!BO109=0,Distances!EA109=0),ROUNDUP(B158+'Délai intermédiaire'!C109/24,0),0)</f>
        <v>0</v>
      </c>
      <c r="C164" s="13">
        <f>IF(AND(Distances!BP109=0,Distances!EB109=0),ROUNDUP(C158+'Délai intermédiaire'!D109/24,0),0)</f>
        <v>0</v>
      </c>
      <c r="D164" s="13">
        <f>IF(AND(Distances!BQ109=0,Distances!EC109=0),ROUNDUP(D158+'Délai intermédiaire'!E109/24,0),0)</f>
        <v>0</v>
      </c>
      <c r="E164" s="13">
        <f>IF(AND(Distances!BR109=0,Distances!ED109=0),ROUNDUP(E158+'Délai intermédiaire'!F109/24,0),0)</f>
        <v>0</v>
      </c>
      <c r="F164" s="12">
        <f>IF(AND(Distances!BS109=0,Distances!EE109=0),ROUNDUP(F158+'Délai intermédiaire'!G109/24,0),0)</f>
        <v>1</v>
      </c>
      <c r="G164" s="13">
        <f>IF(AND(Distances!BT109=0,Distances!EF109=0),ROUNDUP(G158+'Délai intermédiaire'!H109/24,0),0)</f>
        <v>0</v>
      </c>
      <c r="H164" s="13">
        <f>IF(AND(Distances!BU109=0,Distances!EG109=0),ROUNDUP(H158+'Délai intermédiaire'!I109/24,0),0)</f>
        <v>0</v>
      </c>
      <c r="I164" s="13">
        <f>IF(AND(Distances!BV109=0,Distances!EH109=0),ROUNDUP(I158+'Délai intermédiaire'!J109/24,0),0)</f>
        <v>0</v>
      </c>
      <c r="J164" s="13">
        <f>IF(AND(Distances!BW109=0,Distances!EI109=0),ROUNDUP(J158+'Délai intermédiaire'!K109/24,0),0)</f>
        <v>0</v>
      </c>
      <c r="K164" s="13">
        <f>IF(AND(Distances!BX109=0,Distances!EJ109=0),ROUNDUP(K158+'Délai intermédiaire'!L109/24,0),0)</f>
        <v>0</v>
      </c>
      <c r="L164" s="13">
        <f>IF(AND(Distances!BY109=0,Distances!EK109=0),ROUNDUP(L158+'Délai intermédiaire'!M109/24,0),0)</f>
        <v>0</v>
      </c>
      <c r="M164" s="13">
        <f>IF(AND(Distances!BZ109=0,Distances!EL109=0),ROUNDUP(M158+'Délai intermédiaire'!N109/24,0),0)</f>
        <v>0</v>
      </c>
      <c r="N164" s="13">
        <f>IF(AND(Distances!CA109=0,Distances!EM109=0),ROUNDUP(N158+'Délai intermédiaire'!O109/24,0),0)</f>
        <v>0</v>
      </c>
      <c r="O164" s="14">
        <f>IF(AND(Distances!CB109=0,Distances!EN109=0),ROUNDUP(O158+'Délai intermédiaire'!P109/24,0),0)</f>
        <v>0</v>
      </c>
      <c r="P164" s="14">
        <f>IF(AND(Distances!CC109=0,Distances!EO109=0),ROUNDUP(P158+'Délai intermédiaire'!Q109/24,0),0)</f>
        <v>0</v>
      </c>
      <c r="Q164" s="14">
        <f>IF(AND(Distances!CD109=0,Distances!EP109=0),ROUNDUP(Q158+'Délai intermédiaire'!R109/24,0),0)</f>
        <v>0</v>
      </c>
      <c r="R164" s="14">
        <f>IF(AND(Distances!CE109=0,Distances!EQ109=0),ROUNDUP(R158+'Délai intermédiaire'!S109/24,0),0)</f>
        <v>0</v>
      </c>
      <c r="S164" s="14">
        <f>IF(AND(Distances!CF109=0,Distances!ER109=0),ROUNDUP(S158+'Délai intermédiaire'!T109/24,0),0)</f>
        <v>0</v>
      </c>
      <c r="T164" s="14">
        <f>IF(AND(Distances!CG109=0,Distances!ES109=0),ROUNDUP(T158+'Délai intermédiaire'!U109/24,0),0)</f>
        <v>0</v>
      </c>
      <c r="U164" s="14">
        <f>IF(AND(Distances!CH109=0,Distances!ET109=0),ROUNDUP(U158+'Délai intermédiaire'!V109/24,0),0)</f>
        <v>0</v>
      </c>
      <c r="V164" s="14">
        <f>IF(AND(Distances!CI109=0,Distances!EU109=0),ROUNDUP(V158+'Délai intermédiaire'!W109/24,0),0)</f>
        <v>0</v>
      </c>
      <c r="W164" s="14">
        <f>IF(AND(Distances!CJ109=0,Distances!EV109=0),ROUNDUP(W158+'Délai intermédiaire'!X109/24,0),0)</f>
        <v>0</v>
      </c>
      <c r="X164" s="14">
        <f>IF(AND(Distances!CK109=0,Distances!EW109=0),ROUNDUP(X158+'Délai intermédiaire'!Y109/24,0),0)</f>
        <v>0</v>
      </c>
      <c r="Y164" s="14">
        <f>IF(AND(Distances!CL109=0,Distances!EX109=0),ROUNDUP(Y158+'Délai intermédiaire'!Z109/24,0),0)</f>
        <v>0</v>
      </c>
      <c r="Z164" s="14">
        <f>IF(AND(Distances!CM109=0,Distances!EY109=0),ROUNDUP(Z158+'Délai intermédiaire'!AA109/24,0),0)</f>
        <v>0</v>
      </c>
      <c r="AA164" s="14">
        <f>IF(AND(Distances!CN109=0,Distances!EZ109=0),ROUNDUP(AA158+'Délai intermédiaire'!AB109/24,0),0)</f>
        <v>0</v>
      </c>
      <c r="AB164" s="14">
        <f>IF(AND(Distances!CO109=0,Distances!FA109=0),ROUNDUP(AB158+'Délai intermédiaire'!AC109/24,0),0)</f>
        <v>0</v>
      </c>
      <c r="AC164" s="14">
        <f>IF(AND(Distances!CP109=0,Distances!FB109=0),ROUNDUP(AC158+'Délai intermédiaire'!AD109/24,0),0)</f>
        <v>0</v>
      </c>
      <c r="AD164" s="14">
        <f>IF(AND(Distances!CQ109=0,Distances!FC109=0),ROUNDUP(AD158+'Délai intermédiaire'!AE109/24,0),0)</f>
        <v>0</v>
      </c>
      <c r="AE164" s="14">
        <f>IF(AND(Distances!CR109=0,Distances!FD109=0),ROUNDUP(AE158+'Délai intermédiaire'!AF109/24,0),0)</f>
        <v>0</v>
      </c>
      <c r="AF164" s="14">
        <f>IF(AND(Distances!CS109=0,Distances!FE109=0),ROUNDUP(AF158+'Délai intermédiaire'!AG109/24,0),0)</f>
        <v>0</v>
      </c>
      <c r="AG164" s="14">
        <f>IF(AND(Distances!CT109=0,Distances!FF109=0),ROUNDUP(AG158+'Délai intermédiaire'!AH109/24,0),0)</f>
        <v>0</v>
      </c>
      <c r="AH164" s="14">
        <f>IF(AND(Distances!CU109=0,Distances!FG109=0),ROUNDUP(AH158+'Délai intermédiaire'!AI109/24,0),0)</f>
        <v>0</v>
      </c>
      <c r="AI164" s="14">
        <f>IF(AND(Distances!CV109=0,Distances!FH109=0),ROUNDUP(AI158+'Délai intermédiaire'!AJ109/24,0),0)</f>
        <v>0</v>
      </c>
      <c r="AJ164" s="14">
        <f>IF(AND(Distances!CW109=0,Distances!FI109=0),ROUNDUP(AJ158+'Délai intermédiaire'!AK109/24,0),0)</f>
        <v>0</v>
      </c>
      <c r="AK164" s="14">
        <f>IF(AND(Distances!CX109=0,Distances!FJ109=0),ROUNDUP(AK158+'Délai intermédiaire'!AL109/24,0),0)</f>
        <v>0</v>
      </c>
      <c r="AL164" s="14">
        <f>IF(AND(Distances!CY109=0,Distances!FK109=0),ROUNDUP(AL158+'Délai intermédiaire'!AM109/24,0),0)</f>
        <v>0</v>
      </c>
      <c r="AM164" s="14">
        <f>IF(AND(Distances!CZ109=0,Distances!FL109=0),ROUNDUP(AM158+'Délai intermédiaire'!AN109/24,0),0)</f>
        <v>0</v>
      </c>
      <c r="AN164" s="14">
        <f>IF(AND(Distances!DA109=0,Distances!FM109=0),ROUNDUP(AN158+'Délai intermédiaire'!AO109/24,0),0)</f>
        <v>0</v>
      </c>
      <c r="AO164" s="14">
        <f>IF(AND(Distances!DB109=0,Distances!FN109=0),ROUNDUP(AO158+'Délai intermédiaire'!AP109/24,0),0)</f>
        <v>0</v>
      </c>
      <c r="AP164" s="14">
        <f>IF(AND(Distances!DC109=0,Distances!FO109=0),ROUNDUP(AP158+'Délai intermédiaire'!AQ109/24,0),0)</f>
        <v>0</v>
      </c>
      <c r="AQ164" s="14">
        <f>IF(AND(Distances!DD109=0,Distances!FP109=0),ROUNDUP(AQ158+'Délai intermédiaire'!AR109/24,0),0)</f>
        <v>0</v>
      </c>
      <c r="AR164" s="14">
        <f>IF(AND(Distances!DE109=0,Distances!FQ109=0),ROUNDUP(AR158+'Délai intermédiaire'!AS109/24,0),0)</f>
        <v>0</v>
      </c>
      <c r="AS164" s="14">
        <f>IF(AND(Distances!DF109=0,Distances!FR109=0),ROUNDUP(AS158+'Délai intermédiaire'!AT109/24,0),0)</f>
        <v>0</v>
      </c>
      <c r="AT164" s="14">
        <f>IF(AND(Distances!DG109=0,Distances!FS109=0),ROUNDUP(AT158+'Délai intermédiaire'!AU109/24,0),0)</f>
        <v>0</v>
      </c>
      <c r="AU164" s="14">
        <f>IF(AND(Distances!DH109=0,Distances!FT109=0),ROUNDUP(AU158+'Délai intermédiaire'!AV109/24,0),0)</f>
        <v>0</v>
      </c>
      <c r="AV164" s="14">
        <f>IF(AND(Distances!DI109=0,Distances!FU109=0),ROUNDUP(AV158+'Délai intermédiaire'!AW109/24,0),0)</f>
        <v>0</v>
      </c>
      <c r="AW164" s="14">
        <f>IF(AND(Distances!DJ109=0,Distances!FV109=0),ROUNDUP(AW158+'Délai intermédiaire'!AX109/24,0),0)</f>
        <v>0</v>
      </c>
      <c r="AX164" s="14">
        <f>IF(AND(Distances!DK109=0,Distances!FW109=0),ROUNDUP(AX158+'Délai intermédiaire'!AY109/24,0),0)</f>
        <v>0</v>
      </c>
      <c r="AY164" s="14">
        <f>IF(AND(Distances!DL109=0,Distances!FX109=0),ROUNDUP(AY158+'Délai intermédiaire'!AZ109/24,0),0)</f>
        <v>0</v>
      </c>
      <c r="AZ164" s="14">
        <f>IF(AND(Distances!DM109=0,Distances!FY109=0),ROUNDUP(AZ158+'Délai intermédiaire'!BA109/24,0),0)</f>
        <v>0</v>
      </c>
      <c r="BA164" s="14">
        <f>IF(AND(Distances!DN109=0,Distances!FZ109=0),ROUNDUP(BA158+'Délai intermédiaire'!BB109/24,0),0)</f>
        <v>0</v>
      </c>
      <c r="BB164" s="14">
        <f>IF(AND(Distances!DO109=0,Distances!GA109=0),ROUNDUP(BB158+'Délai intermédiaire'!BC109/24,0),0)</f>
        <v>0</v>
      </c>
      <c r="BC164" s="14">
        <f>IF(AND(Distances!DP109=0,Distances!GB109=0),ROUNDUP(BC158+'Délai intermédiaire'!BD109/24,0),0)</f>
        <v>0</v>
      </c>
      <c r="BD164" s="14">
        <f>IF(AND(Distances!DQ109=0,Distances!GC109=0),ROUNDUP(BD158+'Délai intermédiaire'!BE109/24,0),0)</f>
        <v>0</v>
      </c>
      <c r="BE164" s="14">
        <f>IF(AND(Distances!DR109=0,Distances!GD109=0),ROUNDUP(BE158+'Délai intermédiaire'!BF109/24,0),0)</f>
        <v>0</v>
      </c>
      <c r="BF164" s="14">
        <f>IF(AND(Distances!DS109=0,Distances!GE109=0),ROUNDUP(BF158+'Délai intermédiaire'!BG109/24,0),0)</f>
        <v>0</v>
      </c>
      <c r="BG164" s="14">
        <f>IF(AND(Distances!DT109=0,Distances!GF109=0),ROUNDUP(BG158+'Délai intermédiaire'!BH109/24,0),0)</f>
        <v>0</v>
      </c>
      <c r="BH164" s="14">
        <f>IF(AND(Distances!DU109=0,Distances!GG109=0),ROUNDUP(BH158+'Délai intermédiaire'!BI109/24,0),0)</f>
        <v>0</v>
      </c>
      <c r="BI164" s="14">
        <f>IF(AND(Distances!DV109=0,Distances!GH109=0),ROUNDUP(BI158+'Délai intermédiaire'!BJ109/24,0),0)</f>
        <v>0</v>
      </c>
      <c r="BJ164" s="15">
        <f>IF(AND(Distances!DW109=0,Distances!GI109=0),ROUNDUP(BJ158+'Délai intermédiaire'!BK109/24,0),0)</f>
        <v>0</v>
      </c>
    </row>
    <row r="165" spans="1:62" x14ac:dyDescent="0.3">
      <c r="A165" s="10" t="s">
        <v>6</v>
      </c>
      <c r="B165" s="11">
        <f>IF(AND(Distances!BO110=0,Distances!EA110=0),ROUNDUP(B158+'Délai intermédiaire'!C110/24,0),0)</f>
        <v>0</v>
      </c>
      <c r="C165" s="13">
        <f>IF(AND(Distances!BP110=0,Distances!EB110=0),ROUNDUP(C158+'Délai intermédiaire'!D110/24,0),0)</f>
        <v>0</v>
      </c>
      <c r="D165" s="13">
        <f>IF(AND(Distances!BQ110=0,Distances!EC110=0),ROUNDUP(D158+'Délai intermédiaire'!E110/24,0),0)</f>
        <v>0</v>
      </c>
      <c r="E165" s="13">
        <f>IF(AND(Distances!BR110=0,Distances!ED110=0),ROUNDUP(E158+'Délai intermédiaire'!F110/24,0),0)</f>
        <v>0</v>
      </c>
      <c r="F165" s="13">
        <f>IF(AND(Distances!BS110=0,Distances!EE110=0),ROUNDUP(F158+'Délai intermédiaire'!G110/24,0),0)</f>
        <v>0</v>
      </c>
      <c r="G165" s="12">
        <f>IF(AND(Distances!BT110=0,Distances!EF110=0),ROUNDUP(G158+'Délai intermédiaire'!H110/24,0),0)</f>
        <v>1</v>
      </c>
      <c r="H165" s="13">
        <f>IF(AND(Distances!BU110=0,Distances!EG110=0),ROUNDUP(H158+'Délai intermédiaire'!I110/24,0),0)</f>
        <v>0</v>
      </c>
      <c r="I165" s="13">
        <f>IF(AND(Distances!BV110=0,Distances!EH110=0),ROUNDUP(I158+'Délai intermédiaire'!J110/24,0),0)</f>
        <v>0</v>
      </c>
      <c r="J165" s="13">
        <f>IF(AND(Distances!BW110=0,Distances!EI110=0),ROUNDUP(J158+'Délai intermédiaire'!K110/24,0),0)</f>
        <v>0</v>
      </c>
      <c r="K165" s="13">
        <f>IF(AND(Distances!BX110=0,Distances!EJ110=0),ROUNDUP(K158+'Délai intermédiaire'!L110/24,0),0)</f>
        <v>0</v>
      </c>
      <c r="L165" s="13">
        <f>IF(AND(Distances!BY110=0,Distances!EK110=0),ROUNDUP(L158+'Délai intermédiaire'!M110/24,0),0)</f>
        <v>0</v>
      </c>
      <c r="M165" s="13">
        <f>IF(AND(Distances!BZ110=0,Distances!EL110=0),ROUNDUP(M158+'Délai intermédiaire'!N110/24,0),0)</f>
        <v>0</v>
      </c>
      <c r="N165" s="13">
        <f>IF(AND(Distances!CA110=0,Distances!EM110=0),ROUNDUP(N158+'Délai intermédiaire'!O110/24,0),0)</f>
        <v>0</v>
      </c>
      <c r="O165" s="14">
        <f>IF(AND(Distances!CB110=0,Distances!EN110=0),ROUNDUP(O158+'Délai intermédiaire'!P110/24,0),0)</f>
        <v>0</v>
      </c>
      <c r="P165" s="14">
        <f>IF(AND(Distances!CC110=0,Distances!EO110=0),ROUNDUP(P158+'Délai intermédiaire'!Q110/24,0),0)</f>
        <v>0</v>
      </c>
      <c r="Q165" s="14">
        <f>IF(AND(Distances!CD110=0,Distances!EP110=0),ROUNDUP(Q158+'Délai intermédiaire'!R110/24,0),0)</f>
        <v>0</v>
      </c>
      <c r="R165" s="14">
        <f>IF(AND(Distances!CE110=0,Distances!EQ110=0),ROUNDUP(R158+'Délai intermédiaire'!S110/24,0),0)</f>
        <v>0</v>
      </c>
      <c r="S165" s="14">
        <f>IF(AND(Distances!CF110=0,Distances!ER110=0),ROUNDUP(S158+'Délai intermédiaire'!T110/24,0),0)</f>
        <v>0</v>
      </c>
      <c r="T165" s="14">
        <f>IF(AND(Distances!CG110=0,Distances!ES110=0),ROUNDUP(T158+'Délai intermédiaire'!U110/24,0),0)</f>
        <v>0</v>
      </c>
      <c r="U165" s="14">
        <f>IF(AND(Distances!CH110=0,Distances!ET110=0),ROUNDUP(U158+'Délai intermédiaire'!V110/24,0),0)</f>
        <v>0</v>
      </c>
      <c r="V165" s="14">
        <f>IF(AND(Distances!CI110=0,Distances!EU110=0),ROUNDUP(V158+'Délai intermédiaire'!W110/24,0),0)</f>
        <v>0</v>
      </c>
      <c r="W165" s="14">
        <f>IF(AND(Distances!CJ110=0,Distances!EV110=0),ROUNDUP(W158+'Délai intermédiaire'!X110/24,0),0)</f>
        <v>0</v>
      </c>
      <c r="X165" s="14">
        <f>IF(AND(Distances!CK110=0,Distances!EW110=0),ROUNDUP(X158+'Délai intermédiaire'!Y110/24,0),0)</f>
        <v>0</v>
      </c>
      <c r="Y165" s="14">
        <f>IF(AND(Distances!CL110=0,Distances!EX110=0),ROUNDUP(Y158+'Délai intermédiaire'!Z110/24,0),0)</f>
        <v>0</v>
      </c>
      <c r="Z165" s="14">
        <f>IF(AND(Distances!CM110=0,Distances!EY110=0),ROUNDUP(Z158+'Délai intermédiaire'!AA110/24,0),0)</f>
        <v>0</v>
      </c>
      <c r="AA165" s="14">
        <f>IF(AND(Distances!CN110=0,Distances!EZ110=0),ROUNDUP(AA158+'Délai intermédiaire'!AB110/24,0),0)</f>
        <v>0</v>
      </c>
      <c r="AB165" s="14">
        <f>IF(AND(Distances!CO110=0,Distances!FA110=0),ROUNDUP(AB158+'Délai intermédiaire'!AC110/24,0),0)</f>
        <v>0</v>
      </c>
      <c r="AC165" s="14">
        <f>IF(AND(Distances!CP110=0,Distances!FB110=0),ROUNDUP(AC158+'Délai intermédiaire'!AD110/24,0),0)</f>
        <v>0</v>
      </c>
      <c r="AD165" s="14">
        <f>IF(AND(Distances!CQ110=0,Distances!FC110=0),ROUNDUP(AD158+'Délai intermédiaire'!AE110/24,0),0)</f>
        <v>0</v>
      </c>
      <c r="AE165" s="14">
        <f>IF(AND(Distances!CR110=0,Distances!FD110=0),ROUNDUP(AE158+'Délai intermédiaire'!AF110/24,0),0)</f>
        <v>0</v>
      </c>
      <c r="AF165" s="14">
        <f>IF(AND(Distances!CS110=0,Distances!FE110=0),ROUNDUP(AF158+'Délai intermédiaire'!AG110/24,0),0)</f>
        <v>0</v>
      </c>
      <c r="AG165" s="14">
        <f>IF(AND(Distances!CT110=0,Distances!FF110=0),ROUNDUP(AG158+'Délai intermédiaire'!AH110/24,0),0)</f>
        <v>0</v>
      </c>
      <c r="AH165" s="14">
        <f>IF(AND(Distances!CU110=0,Distances!FG110=0),ROUNDUP(AH158+'Délai intermédiaire'!AI110/24,0),0)</f>
        <v>0</v>
      </c>
      <c r="AI165" s="14">
        <f>IF(AND(Distances!CV110=0,Distances!FH110=0),ROUNDUP(AI158+'Délai intermédiaire'!AJ110/24,0),0)</f>
        <v>0</v>
      </c>
      <c r="AJ165" s="14">
        <f>IF(AND(Distances!CW110=0,Distances!FI110=0),ROUNDUP(AJ158+'Délai intermédiaire'!AK110/24,0),0)</f>
        <v>0</v>
      </c>
      <c r="AK165" s="14">
        <f>IF(AND(Distances!CX110=0,Distances!FJ110=0),ROUNDUP(AK158+'Délai intermédiaire'!AL110/24,0),0)</f>
        <v>0</v>
      </c>
      <c r="AL165" s="14">
        <f>IF(AND(Distances!CY110=0,Distances!FK110=0),ROUNDUP(AL158+'Délai intermédiaire'!AM110/24,0),0)</f>
        <v>0</v>
      </c>
      <c r="AM165" s="14">
        <f>IF(AND(Distances!CZ110=0,Distances!FL110=0),ROUNDUP(AM158+'Délai intermédiaire'!AN110/24,0),0)</f>
        <v>0</v>
      </c>
      <c r="AN165" s="14">
        <f>IF(AND(Distances!DA110=0,Distances!FM110=0),ROUNDUP(AN158+'Délai intermédiaire'!AO110/24,0),0)</f>
        <v>0</v>
      </c>
      <c r="AO165" s="14">
        <f>IF(AND(Distances!DB110=0,Distances!FN110=0),ROUNDUP(AO158+'Délai intermédiaire'!AP110/24,0),0)</f>
        <v>0</v>
      </c>
      <c r="AP165" s="14">
        <f>IF(AND(Distances!DC110=0,Distances!FO110=0),ROUNDUP(AP158+'Délai intermédiaire'!AQ110/24,0),0)</f>
        <v>0</v>
      </c>
      <c r="AQ165" s="14">
        <f>IF(AND(Distances!DD110=0,Distances!FP110=0),ROUNDUP(AQ158+'Délai intermédiaire'!AR110/24,0),0)</f>
        <v>0</v>
      </c>
      <c r="AR165" s="14">
        <f>IF(AND(Distances!DE110=0,Distances!FQ110=0),ROUNDUP(AR158+'Délai intermédiaire'!AS110/24,0),0)</f>
        <v>0</v>
      </c>
      <c r="AS165" s="14">
        <f>IF(AND(Distances!DF110=0,Distances!FR110=0),ROUNDUP(AS158+'Délai intermédiaire'!AT110/24,0),0)</f>
        <v>0</v>
      </c>
      <c r="AT165" s="14">
        <f>IF(AND(Distances!DG110=0,Distances!FS110=0),ROUNDUP(AT158+'Délai intermédiaire'!AU110/24,0),0)</f>
        <v>0</v>
      </c>
      <c r="AU165" s="14">
        <f>IF(AND(Distances!DH110=0,Distances!FT110=0),ROUNDUP(AU158+'Délai intermédiaire'!AV110/24,0),0)</f>
        <v>0</v>
      </c>
      <c r="AV165" s="14">
        <f>IF(AND(Distances!DI110=0,Distances!FU110=0),ROUNDUP(AV158+'Délai intermédiaire'!AW110/24,0),0)</f>
        <v>0</v>
      </c>
      <c r="AW165" s="14">
        <f>IF(AND(Distances!DJ110=0,Distances!FV110=0),ROUNDUP(AW158+'Délai intermédiaire'!AX110/24,0),0)</f>
        <v>0</v>
      </c>
      <c r="AX165" s="14">
        <f>IF(AND(Distances!DK110=0,Distances!FW110=0),ROUNDUP(AX158+'Délai intermédiaire'!AY110/24,0),0)</f>
        <v>0</v>
      </c>
      <c r="AY165" s="14">
        <f>IF(AND(Distances!DL110=0,Distances!FX110=0),ROUNDUP(AY158+'Délai intermédiaire'!AZ110/24,0),0)</f>
        <v>0</v>
      </c>
      <c r="AZ165" s="14">
        <f>IF(AND(Distances!DM110=0,Distances!FY110=0),ROUNDUP(AZ158+'Délai intermédiaire'!BA110/24,0),0)</f>
        <v>0</v>
      </c>
      <c r="BA165" s="14">
        <f>IF(AND(Distances!DN110=0,Distances!FZ110=0),ROUNDUP(BA158+'Délai intermédiaire'!BB110/24,0),0)</f>
        <v>0</v>
      </c>
      <c r="BB165" s="14">
        <f>IF(AND(Distances!DO110=0,Distances!GA110=0),ROUNDUP(BB158+'Délai intermédiaire'!BC110/24,0),0)</f>
        <v>0</v>
      </c>
      <c r="BC165" s="14">
        <f>IF(AND(Distances!DP110=0,Distances!GB110=0),ROUNDUP(BC158+'Délai intermédiaire'!BD110/24,0),0)</f>
        <v>0</v>
      </c>
      <c r="BD165" s="14">
        <f>IF(AND(Distances!DQ110=0,Distances!GC110=0),ROUNDUP(BD158+'Délai intermédiaire'!BE110/24,0),0)</f>
        <v>0</v>
      </c>
      <c r="BE165" s="14">
        <f>IF(AND(Distances!DR110=0,Distances!GD110=0),ROUNDUP(BE158+'Délai intermédiaire'!BF110/24,0),0)</f>
        <v>0</v>
      </c>
      <c r="BF165" s="14">
        <f>IF(AND(Distances!DS110=0,Distances!GE110=0),ROUNDUP(BF158+'Délai intermédiaire'!BG110/24,0),0)</f>
        <v>0</v>
      </c>
      <c r="BG165" s="14">
        <f>IF(AND(Distances!DT110=0,Distances!GF110=0),ROUNDUP(BG158+'Délai intermédiaire'!BH110/24,0),0)</f>
        <v>0</v>
      </c>
      <c r="BH165" s="14">
        <f>IF(AND(Distances!DU110=0,Distances!GG110=0),ROUNDUP(BH158+'Délai intermédiaire'!BI110/24,0),0)</f>
        <v>0</v>
      </c>
      <c r="BI165" s="14">
        <f>IF(AND(Distances!DV110=0,Distances!GH110=0),ROUNDUP(BI158+'Délai intermédiaire'!BJ110/24,0),0)</f>
        <v>0</v>
      </c>
      <c r="BJ165" s="15">
        <f>IF(AND(Distances!DW110=0,Distances!GI110=0),ROUNDUP(BJ158+'Délai intermédiaire'!BK110/24,0),0)</f>
        <v>0</v>
      </c>
    </row>
    <row r="166" spans="1:62" x14ac:dyDescent="0.3">
      <c r="A166" s="10" t="s">
        <v>63</v>
      </c>
      <c r="B166" s="11">
        <f>IF(AND(Distances!BO111=0,Distances!EA111=0),ROUNDUP(B158+'Délai intermédiaire'!C111/24,0),0)</f>
        <v>11</v>
      </c>
      <c r="C166" s="13">
        <f>IF(AND(Distances!BP111=0,Distances!EB111=0),ROUNDUP(C158+'Délai intermédiaire'!D111/24,0),0)</f>
        <v>11</v>
      </c>
      <c r="D166" s="13">
        <f>IF(AND(Distances!BQ111=0,Distances!EC111=0),ROUNDUP(D158+'Délai intermédiaire'!E111/24,0),0)</f>
        <v>0</v>
      </c>
      <c r="E166" s="13">
        <f>IF(AND(Distances!BR111=0,Distances!ED111=0),ROUNDUP(E158+'Délai intermédiaire'!F111/24,0),0)</f>
        <v>16</v>
      </c>
      <c r="F166" s="13">
        <f>IF(AND(Distances!BS111=0,Distances!EE111=0),ROUNDUP(F158+'Délai intermédiaire'!G111/24,0),0)</f>
        <v>0</v>
      </c>
      <c r="G166" s="13">
        <f>IF(AND(Distances!BT111=0,Distances!EF111=0),ROUNDUP(G158+'Délai intermédiaire'!H111/24,0),0)</f>
        <v>0</v>
      </c>
      <c r="H166" s="12">
        <f>IF(AND(Distances!BU111=0,Distances!EG111=0),ROUNDUP(H158+'Délai intermédiaire'!I111/24,0),0)</f>
        <v>1</v>
      </c>
      <c r="I166" s="13">
        <f>IF(AND(Distances!BV111=0,Distances!EH111=0),ROUNDUP(I158+'Délai intermédiaire'!J111/24,0),0)</f>
        <v>3</v>
      </c>
      <c r="J166" s="13">
        <f>IF(AND(Distances!BW111=0,Distances!EI111=0),ROUNDUP(J158+'Délai intermédiaire'!K111/24,0),0)</f>
        <v>0</v>
      </c>
      <c r="K166" s="13">
        <f>IF(AND(Distances!BX111=0,Distances!EJ111=0),ROUNDUP(K158+'Délai intermédiaire'!L111/24,0),0)</f>
        <v>15</v>
      </c>
      <c r="L166" s="13">
        <f>IF(AND(Distances!BY111=0,Distances!EK111=0),ROUNDUP(L158+'Délai intermédiaire'!M111/24,0),0)</f>
        <v>0</v>
      </c>
      <c r="M166" s="13">
        <f>IF(AND(Distances!BZ111=0,Distances!EL111=0),ROUNDUP(M158+'Délai intermédiaire'!N111/24,0),0)</f>
        <v>3</v>
      </c>
      <c r="N166" s="13">
        <f>IF(AND(Distances!CA111=0,Distances!EM111=0),ROUNDUP(N158+'Délai intermédiaire'!O111/24,0),0)</f>
        <v>0</v>
      </c>
      <c r="O166" s="14">
        <f>IF(AND(Distances!CB111=0,Distances!EN111=0),ROUNDUP(O158+'Délai intermédiaire'!P111/24,0),0)</f>
        <v>0</v>
      </c>
      <c r="P166" s="14">
        <f>IF(AND(Distances!CC111=0,Distances!EO111=0),ROUNDUP(P158+'Délai intermédiaire'!Q111/24,0),0)</f>
        <v>0</v>
      </c>
      <c r="Q166" s="14">
        <f>IF(AND(Distances!CD111=0,Distances!EP111=0),ROUNDUP(Q158+'Délai intermédiaire'!R111/24,0),0)</f>
        <v>17</v>
      </c>
      <c r="R166" s="14">
        <f>IF(AND(Distances!CE111=0,Distances!EQ111=0),ROUNDUP(R158+'Délai intermédiaire'!S111/24,0),0)</f>
        <v>16</v>
      </c>
      <c r="S166" s="14">
        <f>IF(AND(Distances!CF111=0,Distances!ER111=0),ROUNDUP(S158+'Délai intermédiaire'!T111/24,0),0)</f>
        <v>17</v>
      </c>
      <c r="T166" s="14">
        <f>IF(AND(Distances!CG111=0,Distances!ES111=0),ROUNDUP(T158+'Délai intermédiaire'!U111/24,0),0)</f>
        <v>0</v>
      </c>
      <c r="U166" s="14">
        <f>IF(AND(Distances!CH111=0,Distances!ET111=0),ROUNDUP(U158+'Délai intermédiaire'!V111/24,0),0)</f>
        <v>0</v>
      </c>
      <c r="V166" s="14">
        <f>IF(AND(Distances!CI111=0,Distances!EU111=0),ROUNDUP(V158+'Délai intermédiaire'!W111/24,0),0)</f>
        <v>0</v>
      </c>
      <c r="W166" s="14">
        <f>IF(AND(Distances!CJ111=0,Distances!EV111=0),ROUNDUP(W158+'Délai intermédiaire'!X111/24,0),0)</f>
        <v>17</v>
      </c>
      <c r="X166" s="14">
        <f>IF(AND(Distances!CK111=0,Distances!EW111=0),ROUNDUP(X158+'Délai intermédiaire'!Y111/24,0),0)</f>
        <v>0</v>
      </c>
      <c r="Y166" s="14">
        <f>IF(AND(Distances!CL111=0,Distances!EX111=0),ROUNDUP(Y158+'Délai intermédiaire'!Z111/24,0),0)</f>
        <v>0</v>
      </c>
      <c r="Z166" s="14">
        <f>IF(AND(Distances!CM111=0,Distances!EY111=0),ROUNDUP(Z158+'Délai intermédiaire'!AA111/24,0),0)</f>
        <v>0</v>
      </c>
      <c r="AA166" s="14">
        <f>IF(AND(Distances!CN111=0,Distances!EZ111=0),ROUNDUP(AA158+'Délai intermédiaire'!AB111/24,0),0)</f>
        <v>0</v>
      </c>
      <c r="AB166" s="14">
        <f>IF(AND(Distances!CO111=0,Distances!FA111=0),ROUNDUP(AB158+'Délai intermédiaire'!AC111/24,0),0)</f>
        <v>0</v>
      </c>
      <c r="AC166" s="14">
        <f>IF(AND(Distances!CP111=0,Distances!FB111=0),ROUNDUP(AC158+'Délai intermédiaire'!AD111/24,0),0)</f>
        <v>17</v>
      </c>
      <c r="AD166" s="14">
        <f>IF(AND(Distances!CQ111=0,Distances!FC111=0),ROUNDUP(AD158+'Délai intermédiaire'!AE111/24,0),0)</f>
        <v>19</v>
      </c>
      <c r="AE166" s="14">
        <f>IF(AND(Distances!CR111=0,Distances!FD111=0),ROUNDUP(AE158+'Délai intermédiaire'!AF111/24,0),0)</f>
        <v>0</v>
      </c>
      <c r="AF166" s="14">
        <f>IF(AND(Distances!CS111=0,Distances!FE111=0),ROUNDUP(AF158+'Délai intermédiaire'!AG111/24,0),0)</f>
        <v>0</v>
      </c>
      <c r="AG166" s="14">
        <f>IF(AND(Distances!CT111=0,Distances!FF111=0),ROUNDUP(AG158+'Délai intermédiaire'!AH111/24,0),0)</f>
        <v>0</v>
      </c>
      <c r="AH166" s="14">
        <f>IF(AND(Distances!CU111=0,Distances!FG111=0),ROUNDUP(AH158+'Délai intermédiaire'!AI111/24,0),0)</f>
        <v>0</v>
      </c>
      <c r="AI166" s="14">
        <f>IF(AND(Distances!CV111=0,Distances!FH111=0),ROUNDUP(AI158+'Délai intermédiaire'!AJ111/24,0),0)</f>
        <v>18</v>
      </c>
      <c r="AJ166" s="14">
        <f>IF(AND(Distances!CW111=0,Distances!FI111=0),ROUNDUP(AJ158+'Délai intermédiaire'!AK111/24,0),0)</f>
        <v>0</v>
      </c>
      <c r="AK166" s="14">
        <f>IF(AND(Distances!CX111=0,Distances!FJ111=0),ROUNDUP(AK158+'Délai intermédiaire'!AL111/24,0),0)</f>
        <v>17</v>
      </c>
      <c r="AL166" s="14">
        <f>IF(AND(Distances!CY111=0,Distances!FK111=0),ROUNDUP(AL158+'Délai intermédiaire'!AM111/24,0),0)</f>
        <v>9</v>
      </c>
      <c r="AM166" s="14">
        <f>IF(AND(Distances!CZ111=0,Distances!FL111=0),ROUNDUP(AM158+'Délai intermédiaire'!AN111/24,0),0)</f>
        <v>9</v>
      </c>
      <c r="AN166" s="14">
        <f>IF(AND(Distances!DA111=0,Distances!FM111=0),ROUNDUP(AN158+'Délai intermédiaire'!AO111/24,0),0)</f>
        <v>0</v>
      </c>
      <c r="AO166" s="14">
        <f>IF(AND(Distances!DB111=0,Distances!FN111=0),ROUNDUP(AO158+'Délai intermédiaire'!AP111/24,0),0)</f>
        <v>15</v>
      </c>
      <c r="AP166" s="14">
        <f>IF(AND(Distances!DC111=0,Distances!FO111=0),ROUNDUP(AP158+'Délai intermédiaire'!AQ111/24,0),0)</f>
        <v>14</v>
      </c>
      <c r="AQ166" s="14">
        <f>IF(AND(Distances!DD111=0,Distances!FP111=0),ROUNDUP(AQ158+'Délai intermédiaire'!AR111/24,0),0)</f>
        <v>17</v>
      </c>
      <c r="AR166" s="14">
        <f>IF(AND(Distances!DE111=0,Distances!FQ111=0),ROUNDUP(AR158+'Délai intermédiaire'!AS111/24,0),0)</f>
        <v>21</v>
      </c>
      <c r="AS166" s="14">
        <f>IF(AND(Distances!DF111=0,Distances!FR111=0),ROUNDUP(AS158+'Délai intermédiaire'!AT111/24,0),0)</f>
        <v>0</v>
      </c>
      <c r="AT166" s="14">
        <f>IF(AND(Distances!DG111=0,Distances!FS111=0),ROUNDUP(AT158+'Délai intermédiaire'!AU111/24,0),0)</f>
        <v>0</v>
      </c>
      <c r="AU166" s="14">
        <f>IF(AND(Distances!DH111=0,Distances!FT111=0),ROUNDUP(AU158+'Délai intermédiaire'!AV111/24,0),0)</f>
        <v>0</v>
      </c>
      <c r="AV166" s="14">
        <f>IF(AND(Distances!DI111=0,Distances!FU111=0),ROUNDUP(AV158+'Délai intermédiaire'!AW111/24,0),0)</f>
        <v>0</v>
      </c>
      <c r="AW166" s="14">
        <f>IF(AND(Distances!DJ111=0,Distances!FV111=0),ROUNDUP(AW158+'Délai intermédiaire'!AX111/24,0),0)</f>
        <v>0</v>
      </c>
      <c r="AX166" s="14">
        <f>IF(AND(Distances!DK111=0,Distances!FW111=0),ROUNDUP(AX158+'Délai intermédiaire'!AY111/24,0),0)</f>
        <v>11</v>
      </c>
      <c r="AY166" s="14">
        <f>IF(AND(Distances!DL111=0,Distances!FX111=0),ROUNDUP(AY158+'Délai intermédiaire'!AZ111/24,0),0)</f>
        <v>2</v>
      </c>
      <c r="AZ166" s="14">
        <f>IF(AND(Distances!DM111=0,Distances!FY111=0),ROUNDUP(AZ158+'Délai intermédiaire'!BA111/24,0),0)</f>
        <v>0</v>
      </c>
      <c r="BA166" s="14">
        <f>IF(AND(Distances!DN111=0,Distances!FZ111=0),ROUNDUP(BA158+'Délai intermédiaire'!BB111/24,0),0)</f>
        <v>15</v>
      </c>
      <c r="BB166" s="14">
        <f>IF(AND(Distances!DO111=0,Distances!GA111=0),ROUNDUP(BB158+'Délai intermédiaire'!BC111/24,0),0)</f>
        <v>19</v>
      </c>
      <c r="BC166" s="14">
        <f>IF(AND(Distances!DP111=0,Distances!GB111=0),ROUNDUP(BC158+'Délai intermédiaire'!BD111/24,0),0)</f>
        <v>12</v>
      </c>
      <c r="BD166" s="14">
        <f>IF(AND(Distances!DQ111=0,Distances!GC111=0),ROUNDUP(BD158+'Délai intermédiaire'!BE111/24,0),0)</f>
        <v>0</v>
      </c>
      <c r="BE166" s="14">
        <f>IF(AND(Distances!DR111=0,Distances!GD111=0),ROUNDUP(BE158+'Délai intermédiaire'!BF111/24,0),0)</f>
        <v>11</v>
      </c>
      <c r="BF166" s="14">
        <f>IF(AND(Distances!DS111=0,Distances!GE111=0),ROUNDUP(BF158+'Délai intermédiaire'!BG111/24,0),0)</f>
        <v>0</v>
      </c>
      <c r="BG166" s="14">
        <f>IF(AND(Distances!DT111=0,Distances!GF111=0),ROUNDUP(BG158+'Délai intermédiaire'!BH111/24,0),0)</f>
        <v>0</v>
      </c>
      <c r="BH166" s="14">
        <f>IF(AND(Distances!DU111=0,Distances!GG111=0),ROUNDUP(BH158+'Délai intermédiaire'!BI111/24,0),0)</f>
        <v>0</v>
      </c>
      <c r="BI166" s="14">
        <f>IF(AND(Distances!DV111=0,Distances!GH111=0),ROUNDUP(BI158+'Délai intermédiaire'!BJ111/24,0),0)</f>
        <v>0</v>
      </c>
      <c r="BJ166" s="15">
        <f>IF(AND(Distances!DW111=0,Distances!GI111=0),ROUNDUP(BJ158+'Délai intermédiaire'!BK111/24,0),0)</f>
        <v>0</v>
      </c>
    </row>
    <row r="167" spans="1:62" x14ac:dyDescent="0.3">
      <c r="A167" s="10" t="s">
        <v>8</v>
      </c>
      <c r="B167" s="11">
        <f>IF(AND(Distances!BO112=0,Distances!EA112=0),ROUNDUP(B158+'Délai intermédiaire'!C112/24,0),0)</f>
        <v>9</v>
      </c>
      <c r="C167" s="13">
        <f>IF(AND(Distances!BP112=0,Distances!EB112=0),ROUNDUP(C158+'Délai intermédiaire'!D112/24,0),0)</f>
        <v>9</v>
      </c>
      <c r="D167" s="13">
        <f>IF(AND(Distances!BQ112=0,Distances!EC112=0),ROUNDUP(D158+'Délai intermédiaire'!E112/24,0),0)</f>
        <v>0</v>
      </c>
      <c r="E167" s="13">
        <f>IF(AND(Distances!BR112=0,Distances!ED112=0),ROUNDUP(E158+'Délai intermédiaire'!F112/24,0),0)</f>
        <v>14</v>
      </c>
      <c r="F167" s="13">
        <f>IF(AND(Distances!BS112=0,Distances!EE112=0),ROUNDUP(F158+'Délai intermédiaire'!G112/24,0),0)</f>
        <v>0</v>
      </c>
      <c r="G167" s="13">
        <f>IF(AND(Distances!BT112=0,Distances!EF112=0),ROUNDUP(G158+'Délai intermédiaire'!H112/24,0),0)</f>
        <v>0</v>
      </c>
      <c r="H167" s="13">
        <f>IF(AND(Distances!BU112=0,Distances!EG112=0),ROUNDUP(H158+'Délai intermédiaire'!I112/24,0),0)</f>
        <v>3</v>
      </c>
      <c r="I167" s="12">
        <f>IF(AND(Distances!BV112=0,Distances!EH112=0),ROUNDUP(I158+'Délai intermédiaire'!J112/24,0),0)</f>
        <v>1</v>
      </c>
      <c r="J167" s="13">
        <f>IF(AND(Distances!BW112=0,Distances!EI112=0),ROUNDUP(J158+'Délai intermédiaire'!K112/24,0),0)</f>
        <v>0</v>
      </c>
      <c r="K167" s="13">
        <f>IF(AND(Distances!BX112=0,Distances!EJ112=0),ROUNDUP(K158+'Délai intermédiaire'!L112/24,0),0)</f>
        <v>13</v>
      </c>
      <c r="L167" s="13">
        <f>IF(AND(Distances!BY112=0,Distances!EK112=0),ROUNDUP(L158+'Délai intermédiaire'!M112/24,0),0)</f>
        <v>0</v>
      </c>
      <c r="M167" s="13">
        <f>IF(AND(Distances!BZ112=0,Distances!EL112=0),ROUNDUP(M158+'Délai intermédiaire'!N112/24,0),0)</f>
        <v>4</v>
      </c>
      <c r="N167" s="13">
        <f>IF(AND(Distances!CA112=0,Distances!EM112=0),ROUNDUP(N158+'Délai intermédiaire'!O112/24,0),0)</f>
        <v>0</v>
      </c>
      <c r="O167" s="14">
        <f>IF(AND(Distances!CB112=0,Distances!EN112=0),ROUNDUP(O158+'Délai intermédiaire'!P112/24,0),0)</f>
        <v>0</v>
      </c>
      <c r="P167" s="14">
        <f>IF(AND(Distances!CC112=0,Distances!EO112=0),ROUNDUP(P158+'Délai intermédiaire'!Q112/24,0),0)</f>
        <v>0</v>
      </c>
      <c r="Q167" s="14">
        <f>IF(AND(Distances!CD112=0,Distances!EP112=0),ROUNDUP(Q158+'Délai intermédiaire'!R112/24,0),0)</f>
        <v>15</v>
      </c>
      <c r="R167" s="14">
        <f>IF(AND(Distances!CE112=0,Distances!EQ112=0),ROUNDUP(R158+'Délai intermédiaire'!S112/24,0),0)</f>
        <v>14</v>
      </c>
      <c r="S167" s="14">
        <f>IF(AND(Distances!CF112=0,Distances!ER112=0),ROUNDUP(S158+'Délai intermédiaire'!T112/24,0),0)</f>
        <v>15</v>
      </c>
      <c r="T167" s="14">
        <f>IF(AND(Distances!CG112=0,Distances!ES112=0),ROUNDUP(T158+'Délai intermédiaire'!U112/24,0),0)</f>
        <v>0</v>
      </c>
      <c r="U167" s="14">
        <f>IF(AND(Distances!CH112=0,Distances!ET112=0),ROUNDUP(U158+'Délai intermédiaire'!V112/24,0),0)</f>
        <v>0</v>
      </c>
      <c r="V167" s="14">
        <f>IF(AND(Distances!CI112=0,Distances!EU112=0),ROUNDUP(V158+'Délai intermédiaire'!W112/24,0),0)</f>
        <v>0</v>
      </c>
      <c r="W167" s="14">
        <f>IF(AND(Distances!CJ112=0,Distances!EV112=0),ROUNDUP(W158+'Délai intermédiaire'!X112/24,0),0)</f>
        <v>15</v>
      </c>
      <c r="X167" s="14">
        <f>IF(AND(Distances!CK112=0,Distances!EW112=0),ROUNDUP(X158+'Délai intermédiaire'!Y112/24,0),0)</f>
        <v>0</v>
      </c>
      <c r="Y167" s="14">
        <f>IF(AND(Distances!CL112=0,Distances!EX112=0),ROUNDUP(Y158+'Délai intermédiaire'!Z112/24,0),0)</f>
        <v>0</v>
      </c>
      <c r="Z167" s="14">
        <f>IF(AND(Distances!CM112=0,Distances!EY112=0),ROUNDUP(Z158+'Délai intermédiaire'!AA112/24,0),0)</f>
        <v>0</v>
      </c>
      <c r="AA167" s="14">
        <f>IF(AND(Distances!CN112=0,Distances!EZ112=0),ROUNDUP(AA158+'Délai intermédiaire'!AB112/24,0),0)</f>
        <v>0</v>
      </c>
      <c r="AB167" s="14">
        <f>IF(AND(Distances!CO112=0,Distances!FA112=0),ROUNDUP(AB158+'Délai intermédiaire'!AC112/24,0),0)</f>
        <v>0</v>
      </c>
      <c r="AC167" s="14">
        <f>IF(AND(Distances!CP112=0,Distances!FB112=0),ROUNDUP(AC158+'Délai intermédiaire'!AD112/24,0),0)</f>
        <v>15</v>
      </c>
      <c r="AD167" s="14">
        <f>IF(AND(Distances!CQ112=0,Distances!FC112=0),ROUNDUP(AD158+'Délai intermédiaire'!AE112/24,0),0)</f>
        <v>17</v>
      </c>
      <c r="AE167" s="14">
        <f>IF(AND(Distances!CR112=0,Distances!FD112=0),ROUNDUP(AE158+'Délai intermédiaire'!AF112/24,0),0)</f>
        <v>0</v>
      </c>
      <c r="AF167" s="14">
        <f>IF(AND(Distances!CS112=0,Distances!FE112=0),ROUNDUP(AF158+'Délai intermédiaire'!AG112/24,0),0)</f>
        <v>0</v>
      </c>
      <c r="AG167" s="14">
        <f>IF(AND(Distances!CT112=0,Distances!FF112=0),ROUNDUP(AG158+'Délai intermédiaire'!AH112/24,0),0)</f>
        <v>0</v>
      </c>
      <c r="AH167" s="14">
        <f>IF(AND(Distances!CU112=0,Distances!FG112=0),ROUNDUP(AH158+'Délai intermédiaire'!AI112/24,0),0)</f>
        <v>0</v>
      </c>
      <c r="AI167" s="14">
        <f>IF(AND(Distances!CV112=0,Distances!FH112=0),ROUNDUP(AI158+'Délai intermédiaire'!AJ112/24,0),0)</f>
        <v>19</v>
      </c>
      <c r="AJ167" s="14">
        <f>IF(AND(Distances!CW112=0,Distances!FI112=0),ROUNDUP(AJ158+'Délai intermédiaire'!AK112/24,0),0)</f>
        <v>0</v>
      </c>
      <c r="AK167" s="14">
        <f>IF(AND(Distances!CX112=0,Distances!FJ112=0),ROUNDUP(AK158+'Délai intermédiaire'!AL112/24,0),0)</f>
        <v>19</v>
      </c>
      <c r="AL167" s="14">
        <f>IF(AND(Distances!CY112=0,Distances!FK112=0),ROUNDUP(AL158+'Délai intermédiaire'!AM112/24,0),0)</f>
        <v>10</v>
      </c>
      <c r="AM167" s="14">
        <f>IF(AND(Distances!CZ112=0,Distances!FL112=0),ROUNDUP(AM158+'Délai intermédiaire'!AN112/24,0),0)</f>
        <v>10</v>
      </c>
      <c r="AN167" s="14">
        <f>IF(AND(Distances!DA112=0,Distances!FM112=0),ROUNDUP(AN158+'Délai intermédiaire'!AO112/24,0),0)</f>
        <v>0</v>
      </c>
      <c r="AO167" s="14">
        <f>IF(AND(Distances!DB112=0,Distances!FN112=0),ROUNDUP(AO158+'Délai intermédiaire'!AP112/24,0),0)</f>
        <v>15</v>
      </c>
      <c r="AP167" s="14">
        <f>IF(AND(Distances!DC112=0,Distances!FO112=0),ROUNDUP(AP158+'Délai intermédiaire'!AQ112/24,0),0)</f>
        <v>14</v>
      </c>
      <c r="AQ167" s="14">
        <f>IF(AND(Distances!DD112=0,Distances!FP112=0),ROUNDUP(AQ158+'Délai intermédiaire'!AR112/24,0),0)</f>
        <v>17</v>
      </c>
      <c r="AR167" s="14">
        <f>IF(AND(Distances!DE112=0,Distances!FQ112=0),ROUNDUP(AR158+'Délai intermédiaire'!AS112/24,0),0)</f>
        <v>22</v>
      </c>
      <c r="AS167" s="14">
        <f>IF(AND(Distances!DF112=0,Distances!FR112=0),ROUNDUP(AS158+'Délai intermédiaire'!AT112/24,0),0)</f>
        <v>0</v>
      </c>
      <c r="AT167" s="14">
        <f>IF(AND(Distances!DG112=0,Distances!FS112=0),ROUNDUP(AT158+'Délai intermédiaire'!AU112/24,0),0)</f>
        <v>0</v>
      </c>
      <c r="AU167" s="14">
        <f>IF(AND(Distances!DH112=0,Distances!FT112=0),ROUNDUP(AU158+'Délai intermédiaire'!AV112/24,0),0)</f>
        <v>0</v>
      </c>
      <c r="AV167" s="14">
        <f>IF(AND(Distances!DI112=0,Distances!FU112=0),ROUNDUP(AV158+'Délai intermédiaire'!AW112/24,0),0)</f>
        <v>0</v>
      </c>
      <c r="AW167" s="14">
        <f>IF(AND(Distances!DJ112=0,Distances!FV112=0),ROUNDUP(AW158+'Délai intermédiaire'!AX112/24,0),0)</f>
        <v>0</v>
      </c>
      <c r="AX167" s="14">
        <f>IF(AND(Distances!DK112=0,Distances!FW112=0),ROUNDUP(AX158+'Délai intermédiaire'!AY112/24,0),0)</f>
        <v>12</v>
      </c>
      <c r="AY167" s="14">
        <f>IF(AND(Distances!DL112=0,Distances!FX112=0),ROUNDUP(AY158+'Délai intermédiaire'!AZ112/24,0),0)</f>
        <v>2</v>
      </c>
      <c r="AZ167" s="14">
        <f>IF(AND(Distances!DM112=0,Distances!FY112=0),ROUNDUP(AZ158+'Délai intermédiaire'!BA112/24,0),0)</f>
        <v>0</v>
      </c>
      <c r="BA167" s="14">
        <f>IF(AND(Distances!DN112=0,Distances!FZ112=0),ROUNDUP(BA158+'Délai intermédiaire'!BB112/24,0),0)</f>
        <v>16</v>
      </c>
      <c r="BB167" s="14">
        <f>IF(AND(Distances!DO112=0,Distances!GA112=0),ROUNDUP(BB158+'Délai intermédiaire'!BC112/24,0),0)</f>
        <v>17</v>
      </c>
      <c r="BC167" s="14">
        <f>IF(AND(Distances!DP112=0,Distances!GB112=0),ROUNDUP(BC158+'Délai intermédiaire'!BD112/24,0),0)</f>
        <v>14</v>
      </c>
      <c r="BD167" s="14">
        <f>IF(AND(Distances!DQ112=0,Distances!GC112=0),ROUNDUP(BD158+'Délai intermédiaire'!BE112/24,0),0)</f>
        <v>0</v>
      </c>
      <c r="BE167" s="14">
        <f>IF(AND(Distances!DR112=0,Distances!GD112=0),ROUNDUP(BE158+'Délai intermédiaire'!BF112/24,0),0)</f>
        <v>12</v>
      </c>
      <c r="BF167" s="14">
        <f>IF(AND(Distances!DS112=0,Distances!GE112=0),ROUNDUP(BF158+'Délai intermédiaire'!BG112/24,0),0)</f>
        <v>0</v>
      </c>
      <c r="BG167" s="14">
        <f>IF(AND(Distances!DT112=0,Distances!GF112=0),ROUNDUP(BG158+'Délai intermédiaire'!BH112/24,0),0)</f>
        <v>0</v>
      </c>
      <c r="BH167" s="14">
        <f>IF(AND(Distances!DU112=0,Distances!GG112=0),ROUNDUP(BH158+'Délai intermédiaire'!BI112/24,0),0)</f>
        <v>0</v>
      </c>
      <c r="BI167" s="14">
        <f>IF(AND(Distances!DV112=0,Distances!GH112=0),ROUNDUP(BI158+'Délai intermédiaire'!BJ112/24,0),0)</f>
        <v>0</v>
      </c>
      <c r="BJ167" s="15">
        <f>IF(AND(Distances!DW112=0,Distances!GI112=0),ROUNDUP(BJ158+'Délai intermédiaire'!BK112/24,0),0)</f>
        <v>0</v>
      </c>
    </row>
    <row r="168" spans="1:62" x14ac:dyDescent="0.3">
      <c r="A168" s="10" t="s">
        <v>64</v>
      </c>
      <c r="B168" s="11">
        <f>IF(AND(Distances!BO113=0,Distances!EA113=0),ROUNDUP(B158+'Délai intermédiaire'!C113/24,0),0)</f>
        <v>0</v>
      </c>
      <c r="C168" s="13">
        <f>IF(AND(Distances!BP113=0,Distances!EB113=0),ROUNDUP(C158+'Délai intermédiaire'!D113/24,0),0)</f>
        <v>0</v>
      </c>
      <c r="D168" s="13">
        <f>IF(AND(Distances!BQ113=0,Distances!EC113=0),ROUNDUP(D158+'Délai intermédiaire'!E113/24,0),0)</f>
        <v>0</v>
      </c>
      <c r="E168" s="13">
        <f>IF(AND(Distances!BR113=0,Distances!ED113=0),ROUNDUP(E158+'Délai intermédiaire'!F113/24,0),0)</f>
        <v>0</v>
      </c>
      <c r="F168" s="13">
        <f>IF(AND(Distances!BS113=0,Distances!EE113=0),ROUNDUP(F158+'Délai intermédiaire'!G113/24,0),0)</f>
        <v>0</v>
      </c>
      <c r="G168" s="13">
        <f>IF(AND(Distances!BT113=0,Distances!EF113=0),ROUNDUP(G158+'Délai intermédiaire'!H113/24,0),0)</f>
        <v>0</v>
      </c>
      <c r="H168" s="13">
        <f>IF(AND(Distances!BU113=0,Distances!EG113=0),ROUNDUP(H158+'Délai intermédiaire'!I113/24,0),0)</f>
        <v>0</v>
      </c>
      <c r="I168" s="13">
        <f>IF(AND(Distances!BV113=0,Distances!EH113=0),ROUNDUP(I158+'Délai intermédiaire'!J113/24,0),0)</f>
        <v>0</v>
      </c>
      <c r="J168" s="12">
        <f>IF(AND(Distances!BW113=0,Distances!EI113=0),ROUNDUP(J158+'Délai intermédiaire'!K113/24,0),0)</f>
        <v>2</v>
      </c>
      <c r="K168" s="13">
        <f>IF(AND(Distances!BX113=0,Distances!EJ113=0),ROUNDUP(K158+'Délai intermédiaire'!L113/24,0),0)</f>
        <v>0</v>
      </c>
      <c r="L168" s="13">
        <f>IF(AND(Distances!BY113=0,Distances!EK113=0),ROUNDUP(L158+'Délai intermédiaire'!M113/24,0),0)</f>
        <v>0</v>
      </c>
      <c r="M168" s="13">
        <f>IF(AND(Distances!BZ113=0,Distances!EL113=0),ROUNDUP(M158+'Délai intermédiaire'!N113/24,0),0)</f>
        <v>0</v>
      </c>
      <c r="N168" s="13">
        <f>IF(AND(Distances!CA113=0,Distances!EM113=0),ROUNDUP(N158+'Délai intermédiaire'!O113/24,0),0)</f>
        <v>0</v>
      </c>
      <c r="O168" s="14">
        <f>IF(AND(Distances!CB113=0,Distances!EN113=0),ROUNDUP(O158+'Délai intermédiaire'!P113/24,0),0)</f>
        <v>0</v>
      </c>
      <c r="P168" s="14">
        <f>IF(AND(Distances!CC113=0,Distances!EO113=0),ROUNDUP(P158+'Délai intermédiaire'!Q113/24,0),0)</f>
        <v>0</v>
      </c>
      <c r="Q168" s="14">
        <f>IF(AND(Distances!CD113=0,Distances!EP113=0),ROUNDUP(Q158+'Délai intermédiaire'!R113/24,0),0)</f>
        <v>0</v>
      </c>
      <c r="R168" s="14">
        <f>IF(AND(Distances!CE113=0,Distances!EQ113=0),ROUNDUP(R158+'Délai intermédiaire'!S113/24,0),0)</f>
        <v>0</v>
      </c>
      <c r="S168" s="14">
        <f>IF(AND(Distances!CF113=0,Distances!ER113=0),ROUNDUP(S158+'Délai intermédiaire'!T113/24,0),0)</f>
        <v>0</v>
      </c>
      <c r="T168" s="14">
        <f>IF(AND(Distances!CG113=0,Distances!ES113=0),ROUNDUP(T158+'Délai intermédiaire'!U113/24,0),0)</f>
        <v>0</v>
      </c>
      <c r="U168" s="14">
        <f>IF(AND(Distances!CH113=0,Distances!ET113=0),ROUNDUP(U158+'Délai intermédiaire'!V113/24,0),0)</f>
        <v>0</v>
      </c>
      <c r="V168" s="14">
        <f>IF(AND(Distances!CI113=0,Distances!EU113=0),ROUNDUP(V158+'Délai intermédiaire'!W113/24,0),0)</f>
        <v>0</v>
      </c>
      <c r="W168" s="14">
        <f>IF(AND(Distances!CJ113=0,Distances!EV113=0),ROUNDUP(W158+'Délai intermédiaire'!X113/24,0),0)</f>
        <v>0</v>
      </c>
      <c r="X168" s="14">
        <f>IF(AND(Distances!CK113=0,Distances!EW113=0),ROUNDUP(X158+'Délai intermédiaire'!Y113/24,0),0)</f>
        <v>0</v>
      </c>
      <c r="Y168" s="14">
        <f>IF(AND(Distances!CL113=0,Distances!EX113=0),ROUNDUP(Y158+'Délai intermédiaire'!Z113/24,0),0)</f>
        <v>0</v>
      </c>
      <c r="Z168" s="14">
        <f>IF(AND(Distances!CM113=0,Distances!EY113=0),ROUNDUP(Z158+'Délai intermédiaire'!AA113/24,0),0)</f>
        <v>0</v>
      </c>
      <c r="AA168" s="14">
        <f>IF(AND(Distances!CN113=0,Distances!EZ113=0),ROUNDUP(AA158+'Délai intermédiaire'!AB113/24,0),0)</f>
        <v>0</v>
      </c>
      <c r="AB168" s="14">
        <f>IF(AND(Distances!CO113=0,Distances!FA113=0),ROUNDUP(AB158+'Délai intermédiaire'!AC113/24,0),0)</f>
        <v>0</v>
      </c>
      <c r="AC168" s="14">
        <f>IF(AND(Distances!CP113=0,Distances!FB113=0),ROUNDUP(AC158+'Délai intermédiaire'!AD113/24,0),0)</f>
        <v>0</v>
      </c>
      <c r="AD168" s="14">
        <f>IF(AND(Distances!CQ113=0,Distances!FC113=0),ROUNDUP(AD158+'Délai intermédiaire'!AE113/24,0),0)</f>
        <v>0</v>
      </c>
      <c r="AE168" s="14">
        <f>IF(AND(Distances!CR113=0,Distances!FD113=0),ROUNDUP(AE158+'Délai intermédiaire'!AF113/24,0),0)</f>
        <v>0</v>
      </c>
      <c r="AF168" s="14">
        <f>IF(AND(Distances!CS113=0,Distances!FE113=0),ROUNDUP(AF158+'Délai intermédiaire'!AG113/24,0),0)</f>
        <v>0</v>
      </c>
      <c r="AG168" s="14">
        <f>IF(AND(Distances!CT113=0,Distances!FF113=0),ROUNDUP(AG158+'Délai intermédiaire'!AH113/24,0),0)</f>
        <v>0</v>
      </c>
      <c r="AH168" s="14">
        <f>IF(AND(Distances!CU113=0,Distances!FG113=0),ROUNDUP(AH158+'Délai intermédiaire'!AI113/24,0),0)</f>
        <v>0</v>
      </c>
      <c r="AI168" s="14">
        <f>IF(AND(Distances!CV113=0,Distances!FH113=0),ROUNDUP(AI158+'Délai intermédiaire'!AJ113/24,0),0)</f>
        <v>0</v>
      </c>
      <c r="AJ168" s="14">
        <f>IF(AND(Distances!CW113=0,Distances!FI113=0),ROUNDUP(AJ158+'Délai intermédiaire'!AK113/24,0),0)</f>
        <v>0</v>
      </c>
      <c r="AK168" s="14">
        <f>IF(AND(Distances!CX113=0,Distances!FJ113=0),ROUNDUP(AK158+'Délai intermédiaire'!AL113/24,0),0)</f>
        <v>0</v>
      </c>
      <c r="AL168" s="14">
        <f>IF(AND(Distances!CY113=0,Distances!FK113=0),ROUNDUP(AL158+'Délai intermédiaire'!AM113/24,0),0)</f>
        <v>0</v>
      </c>
      <c r="AM168" s="14">
        <f>IF(AND(Distances!CZ113=0,Distances!FL113=0),ROUNDUP(AM158+'Délai intermédiaire'!AN113/24,0),0)</f>
        <v>0</v>
      </c>
      <c r="AN168" s="14">
        <f>IF(AND(Distances!DA113=0,Distances!FM113=0),ROUNDUP(AN158+'Délai intermédiaire'!AO113/24,0),0)</f>
        <v>0</v>
      </c>
      <c r="AO168" s="14">
        <f>IF(AND(Distances!DB113=0,Distances!FN113=0),ROUNDUP(AO158+'Délai intermédiaire'!AP113/24,0),0)</f>
        <v>0</v>
      </c>
      <c r="AP168" s="14">
        <f>IF(AND(Distances!DC113=0,Distances!FO113=0),ROUNDUP(AP158+'Délai intermédiaire'!AQ113/24,0),0)</f>
        <v>0</v>
      </c>
      <c r="AQ168" s="14">
        <f>IF(AND(Distances!DD113=0,Distances!FP113=0),ROUNDUP(AQ158+'Délai intermédiaire'!AR113/24,0),0)</f>
        <v>0</v>
      </c>
      <c r="AR168" s="14">
        <f>IF(AND(Distances!DE113=0,Distances!FQ113=0),ROUNDUP(AR158+'Délai intermédiaire'!AS113/24,0),0)</f>
        <v>0</v>
      </c>
      <c r="AS168" s="14">
        <f>IF(AND(Distances!DF113=0,Distances!FR113=0),ROUNDUP(AS158+'Délai intermédiaire'!AT113/24,0),0)</f>
        <v>0</v>
      </c>
      <c r="AT168" s="14">
        <f>IF(AND(Distances!DG113=0,Distances!FS113=0),ROUNDUP(AT158+'Délai intermédiaire'!AU113/24,0),0)</f>
        <v>0</v>
      </c>
      <c r="AU168" s="14">
        <f>IF(AND(Distances!DH113=0,Distances!FT113=0),ROUNDUP(AU158+'Délai intermédiaire'!AV113/24,0),0)</f>
        <v>0</v>
      </c>
      <c r="AV168" s="14">
        <f>IF(AND(Distances!DI113=0,Distances!FU113=0),ROUNDUP(AV158+'Délai intermédiaire'!AW113/24,0),0)</f>
        <v>0</v>
      </c>
      <c r="AW168" s="14">
        <f>IF(AND(Distances!DJ113=0,Distances!FV113=0),ROUNDUP(AW158+'Délai intermédiaire'!AX113/24,0),0)</f>
        <v>0</v>
      </c>
      <c r="AX168" s="14">
        <f>IF(AND(Distances!DK113=0,Distances!FW113=0),ROUNDUP(AX158+'Délai intermédiaire'!AY113/24,0),0)</f>
        <v>0</v>
      </c>
      <c r="AY168" s="14">
        <f>IF(AND(Distances!DL113=0,Distances!FX113=0),ROUNDUP(AY158+'Délai intermédiaire'!AZ113/24,0),0)</f>
        <v>0</v>
      </c>
      <c r="AZ168" s="14">
        <f>IF(AND(Distances!DM113=0,Distances!FY113=0),ROUNDUP(AZ158+'Délai intermédiaire'!BA113/24,0),0)</f>
        <v>0</v>
      </c>
      <c r="BA168" s="14">
        <f>IF(AND(Distances!DN113=0,Distances!FZ113=0),ROUNDUP(BA158+'Délai intermédiaire'!BB113/24,0),0)</f>
        <v>0</v>
      </c>
      <c r="BB168" s="14">
        <f>IF(AND(Distances!DO113=0,Distances!GA113=0),ROUNDUP(BB158+'Délai intermédiaire'!BC113/24,0),0)</f>
        <v>0</v>
      </c>
      <c r="BC168" s="14">
        <f>IF(AND(Distances!DP113=0,Distances!GB113=0),ROUNDUP(BC158+'Délai intermédiaire'!BD113/24,0),0)</f>
        <v>0</v>
      </c>
      <c r="BD168" s="14">
        <f>IF(AND(Distances!DQ113=0,Distances!GC113=0),ROUNDUP(BD158+'Délai intermédiaire'!BE113/24,0),0)</f>
        <v>0</v>
      </c>
      <c r="BE168" s="14">
        <f>IF(AND(Distances!DR113=0,Distances!GD113=0),ROUNDUP(BE158+'Délai intermédiaire'!BF113/24,0),0)</f>
        <v>0</v>
      </c>
      <c r="BF168" s="14">
        <f>IF(AND(Distances!DS113=0,Distances!GE113=0),ROUNDUP(BF158+'Délai intermédiaire'!BG113/24,0),0)</f>
        <v>0</v>
      </c>
      <c r="BG168" s="14">
        <f>IF(AND(Distances!DT113=0,Distances!GF113=0),ROUNDUP(BG158+'Délai intermédiaire'!BH113/24,0),0)</f>
        <v>0</v>
      </c>
      <c r="BH168" s="14">
        <f>IF(AND(Distances!DU113=0,Distances!GG113=0),ROUNDUP(BH158+'Délai intermédiaire'!BI113/24,0),0)</f>
        <v>0</v>
      </c>
      <c r="BI168" s="14">
        <f>IF(AND(Distances!DV113=0,Distances!GH113=0),ROUNDUP(BI158+'Délai intermédiaire'!BJ113/24,0),0)</f>
        <v>0</v>
      </c>
      <c r="BJ168" s="15">
        <f>IF(AND(Distances!DW113=0,Distances!GI113=0),ROUNDUP(BJ158+'Délai intermédiaire'!BK113/24,0),0)</f>
        <v>0</v>
      </c>
    </row>
    <row r="169" spans="1:62" x14ac:dyDescent="0.3">
      <c r="A169" s="10" t="s">
        <v>10</v>
      </c>
      <c r="B169" s="11">
        <f>IF(AND(Distances!BO114=0,Distances!EA114=0),ROUNDUP(B158+'Délai intermédiaire'!C114/24,0),0)</f>
        <v>6</v>
      </c>
      <c r="C169" s="13">
        <f>IF(AND(Distances!BP114=0,Distances!EB114=0),ROUNDUP(C158+'Délai intermédiaire'!D114/24,0),0)</f>
        <v>7</v>
      </c>
      <c r="D169" s="13">
        <f>IF(AND(Distances!BQ114=0,Distances!EC114=0),ROUNDUP(D158+'Délai intermédiaire'!E114/24,0),0)</f>
        <v>0</v>
      </c>
      <c r="E169" s="13">
        <f>IF(AND(Distances!BR114=0,Distances!ED114=0),ROUNDUP(E158+'Délai intermédiaire'!F114/24,0),0)</f>
        <v>3</v>
      </c>
      <c r="F169" s="13">
        <f>IF(AND(Distances!BS114=0,Distances!EE114=0),ROUNDUP(F158+'Délai intermédiaire'!G114/24,0),0)</f>
        <v>0</v>
      </c>
      <c r="G169" s="13">
        <f>IF(AND(Distances!BT114=0,Distances!EF114=0),ROUNDUP(G158+'Délai intermédiaire'!H114/24,0),0)</f>
        <v>0</v>
      </c>
      <c r="H169" s="13">
        <f>IF(AND(Distances!BU114=0,Distances!EG114=0),ROUNDUP(H158+'Délai intermédiaire'!I114/24,0),0)</f>
        <v>14</v>
      </c>
      <c r="I169" s="13">
        <f>IF(AND(Distances!BV114=0,Distances!EH114=0),ROUNDUP(I158+'Délai intermédiaire'!J114/24,0),0)</f>
        <v>12</v>
      </c>
      <c r="J169" s="13">
        <f>IF(AND(Distances!BW114=0,Distances!EI114=0),ROUNDUP(J158+'Délai intermédiaire'!K114/24,0),0)</f>
        <v>0</v>
      </c>
      <c r="K169" s="12">
        <f>IF(AND(Distances!BX114=0,Distances!EJ114=0),ROUNDUP(K158+'Délai intermédiaire'!L114/24,0),0)</f>
        <v>2</v>
      </c>
      <c r="L169" s="13">
        <f>IF(AND(Distances!BY114=0,Distances!EK114=0),ROUNDUP(L158+'Délai intermédiaire'!M114/24,0),0)</f>
        <v>0</v>
      </c>
      <c r="M169" s="13">
        <f>IF(AND(Distances!BZ114=0,Distances!EL114=0),ROUNDUP(M158+'Délai intermédiaire'!N114/24,0),0)</f>
        <v>15</v>
      </c>
      <c r="N169" s="13">
        <f>IF(AND(Distances!CA114=0,Distances!EM114=0),ROUNDUP(N158+'Délai intermédiaire'!O114/24,0),0)</f>
        <v>0</v>
      </c>
      <c r="O169" s="14">
        <f>IF(AND(Distances!CB114=0,Distances!EN114=0),ROUNDUP(O158+'Délai intermédiaire'!P114/24,0),0)</f>
        <v>0</v>
      </c>
      <c r="P169" s="14">
        <f>IF(AND(Distances!CC114=0,Distances!EO114=0),ROUNDUP(P158+'Délai intermédiaire'!Q114/24,0),0)</f>
        <v>0</v>
      </c>
      <c r="Q169" s="14">
        <f>IF(AND(Distances!CD114=0,Distances!EP114=0),ROUNDUP(Q158+'Délai intermédiaire'!R114/24,0),0)</f>
        <v>7</v>
      </c>
      <c r="R169" s="14">
        <f>IF(AND(Distances!CE114=0,Distances!EQ114=0),ROUNDUP(R158+'Délai intermédiaire'!S114/24,0),0)</f>
        <v>7</v>
      </c>
      <c r="S169" s="14">
        <f>IF(AND(Distances!CF114=0,Distances!ER114=0),ROUNDUP(S158+'Délai intermédiaire'!T114/24,0),0)</f>
        <v>7</v>
      </c>
      <c r="T169" s="14">
        <f>IF(AND(Distances!CG114=0,Distances!ES114=0),ROUNDUP(T158+'Délai intermédiaire'!U114/24,0),0)</f>
        <v>0</v>
      </c>
      <c r="U169" s="14">
        <f>IF(AND(Distances!CH114=0,Distances!ET114=0),ROUNDUP(U158+'Délai intermédiaire'!V114/24,0),0)</f>
        <v>0</v>
      </c>
      <c r="V169" s="14">
        <f>IF(AND(Distances!CI114=0,Distances!EU114=0),ROUNDUP(V158+'Délai intermédiaire'!W114/24,0),0)</f>
        <v>0</v>
      </c>
      <c r="W169" s="14">
        <f>IF(AND(Distances!CJ114=0,Distances!EV114=0),ROUNDUP(W158+'Délai intermédiaire'!X114/24,0),0)</f>
        <v>7</v>
      </c>
      <c r="X169" s="14">
        <f>IF(AND(Distances!CK114=0,Distances!EW114=0),ROUNDUP(X158+'Délai intermédiaire'!Y114/24,0),0)</f>
        <v>0</v>
      </c>
      <c r="Y169" s="14">
        <f>IF(AND(Distances!CL114=0,Distances!EX114=0),ROUNDUP(Y158+'Délai intermédiaire'!Z114/24,0),0)</f>
        <v>0</v>
      </c>
      <c r="Z169" s="14">
        <f>IF(AND(Distances!CM114=0,Distances!EY114=0),ROUNDUP(Z158+'Délai intermédiaire'!AA114/24,0),0)</f>
        <v>0</v>
      </c>
      <c r="AA169" s="14">
        <f>IF(AND(Distances!CN114=0,Distances!EZ114=0),ROUNDUP(AA158+'Délai intermédiaire'!AB114/24,0),0)</f>
        <v>0</v>
      </c>
      <c r="AB169" s="14">
        <f>IF(AND(Distances!CO114=0,Distances!FA114=0),ROUNDUP(AB158+'Délai intermédiaire'!AC114/24,0),0)</f>
        <v>0</v>
      </c>
      <c r="AC169" s="14">
        <f>IF(AND(Distances!CP114=0,Distances!FB114=0),ROUNDUP(AC158+'Délai intermédiaire'!AD114/24,0),0)</f>
        <v>8</v>
      </c>
      <c r="AD169" s="14">
        <f>IF(AND(Distances!CQ114=0,Distances!FC114=0),ROUNDUP(AD158+'Délai intermédiaire'!AE114/24,0),0)</f>
        <v>9</v>
      </c>
      <c r="AE169" s="14">
        <f>IF(AND(Distances!CR114=0,Distances!FD114=0),ROUNDUP(AE158+'Délai intermédiaire'!AF114/24,0),0)</f>
        <v>0</v>
      </c>
      <c r="AF169" s="14">
        <f>IF(AND(Distances!CS114=0,Distances!FE114=0),ROUNDUP(AF158+'Délai intermédiaire'!AG114/24,0),0)</f>
        <v>0</v>
      </c>
      <c r="AG169" s="14">
        <f>IF(AND(Distances!CT114=0,Distances!FF114=0),ROUNDUP(AG158+'Délai intermédiaire'!AH114/24,0),0)</f>
        <v>0</v>
      </c>
      <c r="AH169" s="14">
        <f>IF(AND(Distances!CU114=0,Distances!FG114=0),ROUNDUP(AH158+'Délai intermédiaire'!AI114/24,0),0)</f>
        <v>0</v>
      </c>
      <c r="AI169" s="14">
        <f>IF(AND(Distances!CV114=0,Distances!FH114=0),ROUNDUP(AI158+'Délai intermédiaire'!AJ114/24,0),0)</f>
        <v>19</v>
      </c>
      <c r="AJ169" s="14">
        <f>IF(AND(Distances!CW114=0,Distances!FI114=0),ROUNDUP(AJ158+'Délai intermédiaire'!AK114/24,0),0)</f>
        <v>0</v>
      </c>
      <c r="AK169" s="14">
        <f>IF(AND(Distances!CX114=0,Distances!FJ114=0),ROUNDUP(AK158+'Délai intermédiaire'!AL114/24,0),0)</f>
        <v>18</v>
      </c>
      <c r="AL169" s="14">
        <f>IF(AND(Distances!CY114=0,Distances!FK114=0),ROUNDUP(AL158+'Délai intermédiaire'!AM114/24,0),0)</f>
        <v>20</v>
      </c>
      <c r="AM169" s="14">
        <f>IF(AND(Distances!CZ114=0,Distances!FL114=0),ROUNDUP(AM158+'Délai intermédiaire'!AN114/24,0),0)</f>
        <v>21</v>
      </c>
      <c r="AN169" s="14">
        <f>IF(AND(Distances!DA114=0,Distances!FM114=0),ROUNDUP(AN158+'Délai intermédiaire'!AO114/24,0),0)</f>
        <v>0</v>
      </c>
      <c r="AO169" s="14">
        <f>IF(AND(Distances!DB114=0,Distances!FN114=0),ROUNDUP(AO158+'Délai intermédiaire'!AP114/24,0),0)</f>
        <v>22</v>
      </c>
      <c r="AP169" s="14">
        <f>IF(AND(Distances!DC114=0,Distances!FO114=0),ROUNDUP(AP158+'Délai intermédiaire'!AQ114/24,0),0)</f>
        <v>21</v>
      </c>
      <c r="AQ169" s="14">
        <f>IF(AND(Distances!DD114=0,Distances!FP114=0),ROUNDUP(AQ158+'Délai intermédiaire'!AR114/24,0),0)</f>
        <v>22</v>
      </c>
      <c r="AR169" s="14">
        <f>IF(AND(Distances!DE114=0,Distances!FQ114=0),ROUNDUP(AR158+'Délai intermédiaire'!AS114/24,0),0)</f>
        <v>16</v>
      </c>
      <c r="AS169" s="14">
        <f>IF(AND(Distances!DF114=0,Distances!FR114=0),ROUNDUP(AS158+'Délai intermédiaire'!AT114/24,0),0)</f>
        <v>0</v>
      </c>
      <c r="AT169" s="14">
        <f>IF(AND(Distances!DG114=0,Distances!FS114=0),ROUNDUP(AT158+'Délai intermédiaire'!AU114/24,0),0)</f>
        <v>0</v>
      </c>
      <c r="AU169" s="14">
        <f>IF(AND(Distances!DH114=0,Distances!FT114=0),ROUNDUP(AU158+'Délai intermédiaire'!AV114/24,0),0)</f>
        <v>0</v>
      </c>
      <c r="AV169" s="14">
        <f>IF(AND(Distances!DI114=0,Distances!FU114=0),ROUNDUP(AV158+'Délai intermédiaire'!AW114/24,0),0)</f>
        <v>0</v>
      </c>
      <c r="AW169" s="14">
        <f>IF(AND(Distances!DJ114=0,Distances!FV114=0),ROUNDUP(AW158+'Délai intermédiaire'!AX114/24,0),0)</f>
        <v>0</v>
      </c>
      <c r="AX169" s="14">
        <f>IF(AND(Distances!DK114=0,Distances!FW114=0),ROUNDUP(AX158+'Délai intermédiaire'!AY114/24,0),0)</f>
        <v>23</v>
      </c>
      <c r="AY169" s="14">
        <f>IF(AND(Distances!DL114=0,Distances!FX114=0),ROUNDUP(AY158+'Délai intermédiaire'!AZ114/24,0),0)</f>
        <v>2</v>
      </c>
      <c r="AZ169" s="14">
        <f>IF(AND(Distances!DM114=0,Distances!FY114=0),ROUNDUP(AZ158+'Délai intermédiaire'!BA114/24,0),0)</f>
        <v>0</v>
      </c>
      <c r="BA169" s="14">
        <f>IF(AND(Distances!DN114=0,Distances!FZ114=0),ROUNDUP(BA158+'Délai intermédiaire'!BB114/24,0),0)</f>
        <v>21</v>
      </c>
      <c r="BB169" s="14">
        <f>IF(AND(Distances!DO114=0,Distances!GA114=0),ROUNDUP(BB158+'Délai intermédiaire'!BC114/24,0),0)</f>
        <v>9</v>
      </c>
      <c r="BC169" s="14">
        <f>IF(AND(Distances!DP114=0,Distances!GB114=0),ROUNDUP(BC158+'Délai intermédiaire'!BD114/24,0),0)</f>
        <v>23</v>
      </c>
      <c r="BD169" s="14">
        <f>IF(AND(Distances!DQ114=0,Distances!GC114=0),ROUNDUP(BD158+'Délai intermédiaire'!BE114/24,0),0)</f>
        <v>0</v>
      </c>
      <c r="BE169" s="14">
        <f>IF(AND(Distances!DR114=0,Distances!GD114=0),ROUNDUP(BE158+'Délai intermédiaire'!BF114/24,0),0)</f>
        <v>23</v>
      </c>
      <c r="BF169" s="14">
        <f>IF(AND(Distances!DS114=0,Distances!GE114=0),ROUNDUP(BF158+'Délai intermédiaire'!BG114/24,0),0)</f>
        <v>0</v>
      </c>
      <c r="BG169" s="14">
        <f>IF(AND(Distances!DT114=0,Distances!GF114=0),ROUNDUP(BG158+'Délai intermédiaire'!BH114/24,0),0)</f>
        <v>0</v>
      </c>
      <c r="BH169" s="14">
        <f>IF(AND(Distances!DU114=0,Distances!GG114=0),ROUNDUP(BH158+'Délai intermédiaire'!BI114/24,0),0)</f>
        <v>0</v>
      </c>
      <c r="BI169" s="14">
        <f>IF(AND(Distances!DV114=0,Distances!GH114=0),ROUNDUP(BI158+'Délai intermédiaire'!BJ114/24,0),0)</f>
        <v>0</v>
      </c>
      <c r="BJ169" s="15">
        <f>IF(AND(Distances!DW114=0,Distances!GI114=0),ROUNDUP(BJ158+'Délai intermédiaire'!BK114/24,0),0)</f>
        <v>0</v>
      </c>
    </row>
    <row r="170" spans="1:62" x14ac:dyDescent="0.3">
      <c r="A170" s="10" t="s">
        <v>11</v>
      </c>
      <c r="B170" s="11">
        <f>IF(AND(Distances!BO115=0,Distances!EA115=0),ROUNDUP(B158+'Délai intermédiaire'!C115/24,0),0)</f>
        <v>0</v>
      </c>
      <c r="C170" s="13">
        <f>IF(AND(Distances!BP115=0,Distances!EB115=0),ROUNDUP(C158+'Délai intermédiaire'!D115/24,0),0)</f>
        <v>0</v>
      </c>
      <c r="D170" s="13">
        <f>IF(AND(Distances!BQ115=0,Distances!EC115=0),ROUNDUP(D158+'Délai intermédiaire'!E115/24,0),0)</f>
        <v>0</v>
      </c>
      <c r="E170" s="13">
        <f>IF(AND(Distances!BR115=0,Distances!ED115=0),ROUNDUP(E158+'Délai intermédiaire'!F115/24,0),0)</f>
        <v>0</v>
      </c>
      <c r="F170" s="13">
        <f>IF(AND(Distances!BS115=0,Distances!EE115=0),ROUNDUP(F158+'Délai intermédiaire'!G115/24,0),0)</f>
        <v>0</v>
      </c>
      <c r="G170" s="13">
        <f>IF(AND(Distances!BT115=0,Distances!EF115=0),ROUNDUP(G158+'Délai intermédiaire'!H115/24,0),0)</f>
        <v>0</v>
      </c>
      <c r="H170" s="13">
        <f>IF(AND(Distances!BU115=0,Distances!EG115=0),ROUNDUP(H158+'Délai intermédiaire'!I115/24,0),0)</f>
        <v>0</v>
      </c>
      <c r="I170" s="13">
        <f>IF(AND(Distances!BV115=0,Distances!EH115=0),ROUNDUP(I158+'Délai intermédiaire'!J115/24,0),0)</f>
        <v>0</v>
      </c>
      <c r="J170" s="13">
        <f>IF(AND(Distances!BW115=0,Distances!EI115=0),ROUNDUP(J158+'Délai intermédiaire'!K115/24,0),0)</f>
        <v>0</v>
      </c>
      <c r="K170" s="13">
        <f>IF(AND(Distances!BX115=0,Distances!EJ115=0),ROUNDUP(K158+'Délai intermédiaire'!L115/24,0),0)</f>
        <v>0</v>
      </c>
      <c r="L170" s="12">
        <f>IF(AND(Distances!BY115=0,Distances!EK115=0),ROUNDUP(L158+'Délai intermédiaire'!M115/24,0),0)</f>
        <v>2</v>
      </c>
      <c r="M170" s="13">
        <f>IF(AND(Distances!BZ115=0,Distances!EL115=0),ROUNDUP(M158+'Délai intermédiaire'!N115/24,0),0)</f>
        <v>0</v>
      </c>
      <c r="N170" s="13">
        <f>IF(AND(Distances!CA115=0,Distances!EM115=0),ROUNDUP(N158+'Délai intermédiaire'!O115/24,0),0)</f>
        <v>0</v>
      </c>
      <c r="O170" s="14">
        <f>IF(AND(Distances!CB115=0,Distances!EN115=0),ROUNDUP(O158+'Délai intermédiaire'!P115/24,0),0)</f>
        <v>0</v>
      </c>
      <c r="P170" s="14">
        <f>IF(AND(Distances!CC115=0,Distances!EO115=0),ROUNDUP(P158+'Délai intermédiaire'!Q115/24,0),0)</f>
        <v>0</v>
      </c>
      <c r="Q170" s="14">
        <f>IF(AND(Distances!CD115=0,Distances!EP115=0),ROUNDUP(Q158+'Délai intermédiaire'!R115/24,0),0)</f>
        <v>0</v>
      </c>
      <c r="R170" s="14">
        <f>IF(AND(Distances!CE115=0,Distances!EQ115=0),ROUNDUP(R158+'Délai intermédiaire'!S115/24,0),0)</f>
        <v>0</v>
      </c>
      <c r="S170" s="14">
        <f>IF(AND(Distances!CF115=0,Distances!ER115=0),ROUNDUP(S158+'Délai intermédiaire'!T115/24,0),0)</f>
        <v>0</v>
      </c>
      <c r="T170" s="14">
        <f>IF(AND(Distances!CG115=0,Distances!ES115=0),ROUNDUP(T158+'Délai intermédiaire'!U115/24,0),0)</f>
        <v>0</v>
      </c>
      <c r="U170" s="14">
        <f>IF(AND(Distances!CH115=0,Distances!ET115=0),ROUNDUP(U158+'Délai intermédiaire'!V115/24,0),0)</f>
        <v>0</v>
      </c>
      <c r="V170" s="14">
        <f>IF(AND(Distances!CI115=0,Distances!EU115=0),ROUNDUP(V158+'Délai intermédiaire'!W115/24,0),0)</f>
        <v>0</v>
      </c>
      <c r="W170" s="14">
        <f>IF(AND(Distances!CJ115=0,Distances!EV115=0),ROUNDUP(W158+'Délai intermédiaire'!X115/24,0),0)</f>
        <v>0</v>
      </c>
      <c r="X170" s="14">
        <f>IF(AND(Distances!CK115=0,Distances!EW115=0),ROUNDUP(X158+'Délai intermédiaire'!Y115/24,0),0)</f>
        <v>0</v>
      </c>
      <c r="Y170" s="14">
        <f>IF(AND(Distances!CL115=0,Distances!EX115=0),ROUNDUP(Y158+'Délai intermédiaire'!Z115/24,0),0)</f>
        <v>0</v>
      </c>
      <c r="Z170" s="14">
        <f>IF(AND(Distances!CM115=0,Distances!EY115=0),ROUNDUP(Z158+'Délai intermédiaire'!AA115/24,0),0)</f>
        <v>0</v>
      </c>
      <c r="AA170" s="14">
        <f>IF(AND(Distances!CN115=0,Distances!EZ115=0),ROUNDUP(AA158+'Délai intermédiaire'!AB115/24,0),0)</f>
        <v>0</v>
      </c>
      <c r="AB170" s="14">
        <f>IF(AND(Distances!CO115=0,Distances!FA115=0),ROUNDUP(AB158+'Délai intermédiaire'!AC115/24,0),0)</f>
        <v>0</v>
      </c>
      <c r="AC170" s="14">
        <f>IF(AND(Distances!CP115=0,Distances!FB115=0),ROUNDUP(AC158+'Délai intermédiaire'!AD115/24,0),0)</f>
        <v>0</v>
      </c>
      <c r="AD170" s="14">
        <f>IF(AND(Distances!CQ115=0,Distances!FC115=0),ROUNDUP(AD158+'Délai intermédiaire'!AE115/24,0),0)</f>
        <v>0</v>
      </c>
      <c r="AE170" s="14">
        <f>IF(AND(Distances!CR115=0,Distances!FD115=0),ROUNDUP(AE158+'Délai intermédiaire'!AF115/24,0),0)</f>
        <v>0</v>
      </c>
      <c r="AF170" s="14">
        <f>IF(AND(Distances!CS115=0,Distances!FE115=0),ROUNDUP(AF158+'Délai intermédiaire'!AG115/24,0),0)</f>
        <v>0</v>
      </c>
      <c r="AG170" s="14">
        <f>IF(AND(Distances!CT115=0,Distances!FF115=0),ROUNDUP(AG158+'Délai intermédiaire'!AH115/24,0),0)</f>
        <v>0</v>
      </c>
      <c r="AH170" s="14">
        <f>IF(AND(Distances!CU115=0,Distances!FG115=0),ROUNDUP(AH158+'Délai intermédiaire'!AI115/24,0),0)</f>
        <v>0</v>
      </c>
      <c r="AI170" s="14">
        <f>IF(AND(Distances!CV115=0,Distances!FH115=0),ROUNDUP(AI158+'Délai intermédiaire'!AJ115/24,0),0)</f>
        <v>0</v>
      </c>
      <c r="AJ170" s="14">
        <f>IF(AND(Distances!CW115=0,Distances!FI115=0),ROUNDUP(AJ158+'Délai intermédiaire'!AK115/24,0),0)</f>
        <v>0</v>
      </c>
      <c r="AK170" s="14">
        <f>IF(AND(Distances!CX115=0,Distances!FJ115=0),ROUNDUP(AK158+'Délai intermédiaire'!AL115/24,0),0)</f>
        <v>0</v>
      </c>
      <c r="AL170" s="14">
        <f>IF(AND(Distances!CY115=0,Distances!FK115=0),ROUNDUP(AL158+'Délai intermédiaire'!AM115/24,0),0)</f>
        <v>0</v>
      </c>
      <c r="AM170" s="14">
        <f>IF(AND(Distances!CZ115=0,Distances!FL115=0),ROUNDUP(AM158+'Délai intermédiaire'!AN115/24,0),0)</f>
        <v>0</v>
      </c>
      <c r="AN170" s="14">
        <f>IF(AND(Distances!DA115=0,Distances!FM115=0),ROUNDUP(AN158+'Délai intermédiaire'!AO115/24,0),0)</f>
        <v>0</v>
      </c>
      <c r="AO170" s="14">
        <f>IF(AND(Distances!DB115=0,Distances!FN115=0),ROUNDUP(AO158+'Délai intermédiaire'!AP115/24,0),0)</f>
        <v>0</v>
      </c>
      <c r="AP170" s="14">
        <f>IF(AND(Distances!DC115=0,Distances!FO115=0),ROUNDUP(AP158+'Délai intermédiaire'!AQ115/24,0),0)</f>
        <v>0</v>
      </c>
      <c r="AQ170" s="14">
        <f>IF(AND(Distances!DD115=0,Distances!FP115=0),ROUNDUP(AQ158+'Délai intermédiaire'!AR115/24,0),0)</f>
        <v>0</v>
      </c>
      <c r="AR170" s="14">
        <f>IF(AND(Distances!DE115=0,Distances!FQ115=0),ROUNDUP(AR158+'Délai intermédiaire'!AS115/24,0),0)</f>
        <v>0</v>
      </c>
      <c r="AS170" s="14">
        <f>IF(AND(Distances!DF115=0,Distances!FR115=0),ROUNDUP(AS158+'Délai intermédiaire'!AT115/24,0),0)</f>
        <v>0</v>
      </c>
      <c r="AT170" s="14">
        <f>IF(AND(Distances!DG115=0,Distances!FS115=0),ROUNDUP(AT158+'Délai intermédiaire'!AU115/24,0),0)</f>
        <v>0</v>
      </c>
      <c r="AU170" s="14">
        <f>IF(AND(Distances!DH115=0,Distances!FT115=0),ROUNDUP(AU158+'Délai intermédiaire'!AV115/24,0),0)</f>
        <v>0</v>
      </c>
      <c r="AV170" s="14">
        <f>IF(AND(Distances!DI115=0,Distances!FU115=0),ROUNDUP(AV158+'Délai intermédiaire'!AW115/24,0),0)</f>
        <v>0</v>
      </c>
      <c r="AW170" s="14">
        <f>IF(AND(Distances!DJ115=0,Distances!FV115=0),ROUNDUP(AW158+'Délai intermédiaire'!AX115/24,0),0)</f>
        <v>0</v>
      </c>
      <c r="AX170" s="14">
        <f>IF(AND(Distances!DK115=0,Distances!FW115=0),ROUNDUP(AX158+'Délai intermédiaire'!AY115/24,0),0)</f>
        <v>0</v>
      </c>
      <c r="AY170" s="14">
        <f>IF(AND(Distances!DL115=0,Distances!FX115=0),ROUNDUP(AY158+'Délai intermédiaire'!AZ115/24,0),0)</f>
        <v>0</v>
      </c>
      <c r="AZ170" s="14">
        <f>IF(AND(Distances!DM115=0,Distances!FY115=0),ROUNDUP(AZ158+'Délai intermédiaire'!BA115/24,0),0)</f>
        <v>0</v>
      </c>
      <c r="BA170" s="14">
        <f>IF(AND(Distances!DN115=0,Distances!FZ115=0),ROUNDUP(BA158+'Délai intermédiaire'!BB115/24,0),0)</f>
        <v>0</v>
      </c>
      <c r="BB170" s="14">
        <f>IF(AND(Distances!DO115=0,Distances!GA115=0),ROUNDUP(BB158+'Délai intermédiaire'!BC115/24,0),0)</f>
        <v>0</v>
      </c>
      <c r="BC170" s="14">
        <f>IF(AND(Distances!DP115=0,Distances!GB115=0),ROUNDUP(BC158+'Délai intermédiaire'!BD115/24,0),0)</f>
        <v>0</v>
      </c>
      <c r="BD170" s="14">
        <f>IF(AND(Distances!DQ115=0,Distances!GC115=0),ROUNDUP(BD158+'Délai intermédiaire'!BE115/24,0),0)</f>
        <v>0</v>
      </c>
      <c r="BE170" s="14">
        <f>IF(AND(Distances!DR115=0,Distances!GD115=0),ROUNDUP(BE158+'Délai intermédiaire'!BF115/24,0),0)</f>
        <v>0</v>
      </c>
      <c r="BF170" s="14">
        <f>IF(AND(Distances!DS115=0,Distances!GE115=0),ROUNDUP(BF158+'Délai intermédiaire'!BG115/24,0),0)</f>
        <v>0</v>
      </c>
      <c r="BG170" s="14">
        <f>IF(AND(Distances!DT115=0,Distances!GF115=0),ROUNDUP(BG158+'Délai intermédiaire'!BH115/24,0),0)</f>
        <v>0</v>
      </c>
      <c r="BH170" s="14">
        <f>IF(AND(Distances!DU115=0,Distances!GG115=0),ROUNDUP(BH158+'Délai intermédiaire'!BI115/24,0),0)</f>
        <v>0</v>
      </c>
      <c r="BI170" s="14">
        <f>IF(AND(Distances!DV115=0,Distances!GH115=0),ROUNDUP(BI158+'Délai intermédiaire'!BJ115/24,0),0)</f>
        <v>0</v>
      </c>
      <c r="BJ170" s="15">
        <f>IF(AND(Distances!DW115=0,Distances!GI115=0),ROUNDUP(BJ158+'Délai intermédiaire'!BK115/24,0),0)</f>
        <v>0</v>
      </c>
    </row>
    <row r="171" spans="1:62" x14ac:dyDescent="0.3">
      <c r="A171" s="10" t="s">
        <v>12</v>
      </c>
      <c r="B171" s="11">
        <f>IF(AND(Distances!BO116=0,Distances!EA116=0),ROUNDUP(B158+'Délai intermédiaire'!C116/24,0),0)</f>
        <v>11</v>
      </c>
      <c r="C171" s="13">
        <f>IF(AND(Distances!BP116=0,Distances!EB116=0),ROUNDUP(C158+'Délai intermédiaire'!D116/24,0),0)</f>
        <v>11</v>
      </c>
      <c r="D171" s="13">
        <f>IF(AND(Distances!BQ116=0,Distances!EC116=0),ROUNDUP(D158+'Délai intermédiaire'!E116/24,0),0)</f>
        <v>0</v>
      </c>
      <c r="E171" s="13">
        <f>IF(AND(Distances!BR116=0,Distances!ED116=0),ROUNDUP(E158+'Délai intermédiaire'!F116/24,0),0)</f>
        <v>16</v>
      </c>
      <c r="F171" s="13">
        <f>IF(AND(Distances!BS116=0,Distances!EE116=0),ROUNDUP(F158+'Délai intermédiaire'!G116/24,0),0)</f>
        <v>0</v>
      </c>
      <c r="G171" s="13">
        <f>IF(AND(Distances!BT116=0,Distances!EF116=0),ROUNDUP(G158+'Délai intermédiaire'!H116/24,0),0)</f>
        <v>0</v>
      </c>
      <c r="H171" s="13">
        <f>IF(AND(Distances!BU116=0,Distances!EG116=0),ROUNDUP(H158+'Délai intermédiaire'!I116/24,0),0)</f>
        <v>2</v>
      </c>
      <c r="I171" s="13">
        <f>IF(AND(Distances!BV116=0,Distances!EH116=0),ROUNDUP(I158+'Délai intermédiaire'!J116/24,0),0)</f>
        <v>3</v>
      </c>
      <c r="J171" s="13">
        <f>IF(AND(Distances!BW116=0,Distances!EI116=0),ROUNDUP(J158+'Délai intermédiaire'!K116/24,0),0)</f>
        <v>0</v>
      </c>
      <c r="K171" s="13">
        <f>IF(AND(Distances!BX116=0,Distances!EJ116=0),ROUNDUP(K158+'Délai intermédiaire'!L116/24,0),0)</f>
        <v>15</v>
      </c>
      <c r="L171" s="13">
        <f>IF(AND(Distances!BY116=0,Distances!EK116=0),ROUNDUP(L158+'Délai intermédiaire'!M116/24,0),0)</f>
        <v>0</v>
      </c>
      <c r="M171" s="12">
        <f>IF(AND(Distances!BZ116=0,Distances!EL116=0),ROUNDUP(M158+'Délai intermédiaire'!N116/24,0),0)</f>
        <v>2</v>
      </c>
      <c r="N171" s="13">
        <f>IF(AND(Distances!CA116=0,Distances!EM116=0),ROUNDUP(N158+'Délai intermédiaire'!O116/24,0),0)</f>
        <v>0</v>
      </c>
      <c r="O171" s="14">
        <f>IF(AND(Distances!CB116=0,Distances!EN116=0),ROUNDUP(O158+'Délai intermédiaire'!P116/24,0),0)</f>
        <v>0</v>
      </c>
      <c r="P171" s="14">
        <f>IF(AND(Distances!CC116=0,Distances!EO116=0),ROUNDUP(P158+'Délai intermédiaire'!Q116/24,0),0)</f>
        <v>0</v>
      </c>
      <c r="Q171" s="14">
        <f>IF(AND(Distances!CD116=0,Distances!EP116=0),ROUNDUP(Q158+'Délai intermédiaire'!R116/24,0),0)</f>
        <v>17</v>
      </c>
      <c r="R171" s="14">
        <f>IF(AND(Distances!CE116=0,Distances!EQ116=0),ROUNDUP(R158+'Délai intermédiaire'!S116/24,0),0)</f>
        <v>16</v>
      </c>
      <c r="S171" s="14">
        <f>IF(AND(Distances!CF116=0,Distances!ER116=0),ROUNDUP(S158+'Délai intermédiaire'!T116/24,0),0)</f>
        <v>17</v>
      </c>
      <c r="T171" s="14">
        <f>IF(AND(Distances!CG116=0,Distances!ES116=0),ROUNDUP(T158+'Délai intermédiaire'!U116/24,0),0)</f>
        <v>0</v>
      </c>
      <c r="U171" s="14">
        <f>IF(AND(Distances!CH116=0,Distances!ET116=0),ROUNDUP(U158+'Délai intermédiaire'!V116/24,0),0)</f>
        <v>0</v>
      </c>
      <c r="V171" s="14">
        <f>IF(AND(Distances!CI116=0,Distances!EU116=0),ROUNDUP(V158+'Délai intermédiaire'!W116/24,0),0)</f>
        <v>0</v>
      </c>
      <c r="W171" s="14">
        <f>IF(AND(Distances!CJ116=0,Distances!EV116=0),ROUNDUP(W158+'Délai intermédiaire'!X116/24,0),0)</f>
        <v>17</v>
      </c>
      <c r="X171" s="14">
        <f>IF(AND(Distances!CK116=0,Distances!EW116=0),ROUNDUP(X158+'Délai intermédiaire'!Y116/24,0),0)</f>
        <v>0</v>
      </c>
      <c r="Y171" s="14">
        <f>IF(AND(Distances!CL116=0,Distances!EX116=0),ROUNDUP(Y158+'Délai intermédiaire'!Z116/24,0),0)</f>
        <v>0</v>
      </c>
      <c r="Z171" s="14">
        <f>IF(AND(Distances!CM116=0,Distances!EY116=0),ROUNDUP(Z158+'Délai intermédiaire'!AA116/24,0),0)</f>
        <v>0</v>
      </c>
      <c r="AA171" s="14">
        <f>IF(AND(Distances!CN116=0,Distances!EZ116=0),ROUNDUP(AA158+'Délai intermédiaire'!AB116/24,0),0)</f>
        <v>0</v>
      </c>
      <c r="AB171" s="14">
        <f>IF(AND(Distances!CO116=0,Distances!FA116=0),ROUNDUP(AB158+'Délai intermédiaire'!AC116/24,0),0)</f>
        <v>0</v>
      </c>
      <c r="AC171" s="14">
        <f>IF(AND(Distances!CP116=0,Distances!FB116=0),ROUNDUP(AC158+'Délai intermédiaire'!AD116/24,0),0)</f>
        <v>17</v>
      </c>
      <c r="AD171" s="14">
        <f>IF(AND(Distances!CQ116=0,Distances!FC116=0),ROUNDUP(AD158+'Délai intermédiaire'!AE116/24,0),0)</f>
        <v>19</v>
      </c>
      <c r="AE171" s="14">
        <f>IF(AND(Distances!CR116=0,Distances!FD116=0),ROUNDUP(AE158+'Délai intermédiaire'!AF116/24,0),0)</f>
        <v>0</v>
      </c>
      <c r="AF171" s="14">
        <f>IF(AND(Distances!CS116=0,Distances!FE116=0),ROUNDUP(AF158+'Délai intermédiaire'!AG116/24,0),0)</f>
        <v>0</v>
      </c>
      <c r="AG171" s="14">
        <f>IF(AND(Distances!CT116=0,Distances!FF116=0),ROUNDUP(AG158+'Délai intermédiaire'!AH116/24,0),0)</f>
        <v>0</v>
      </c>
      <c r="AH171" s="14">
        <f>IF(AND(Distances!CU116=0,Distances!FG116=0),ROUNDUP(AH158+'Délai intermédiaire'!AI116/24,0),0)</f>
        <v>0</v>
      </c>
      <c r="AI171" s="14">
        <f>IF(AND(Distances!CV116=0,Distances!FH116=0),ROUNDUP(AI158+'Délai intermédiaire'!AJ116/24,0),0)</f>
        <v>18</v>
      </c>
      <c r="AJ171" s="14">
        <f>IF(AND(Distances!CW116=0,Distances!FI116=0),ROUNDUP(AJ158+'Délai intermédiaire'!AK116/24,0),0)</f>
        <v>0</v>
      </c>
      <c r="AK171" s="14">
        <f>IF(AND(Distances!CX116=0,Distances!FJ116=0),ROUNDUP(AK158+'Délai intermédiaire'!AL116/24,0),0)</f>
        <v>18</v>
      </c>
      <c r="AL171" s="14">
        <f>IF(AND(Distances!CY116=0,Distances!FK116=0),ROUNDUP(AL158+'Délai intermédiaire'!AM116/24,0),0)</f>
        <v>9</v>
      </c>
      <c r="AM171" s="14">
        <f>IF(AND(Distances!CZ116=0,Distances!FL116=0),ROUNDUP(AM158+'Délai intermédiaire'!AN116/24,0),0)</f>
        <v>9</v>
      </c>
      <c r="AN171" s="14">
        <f>IF(AND(Distances!DA116=0,Distances!FM116=0),ROUNDUP(AN158+'Délai intermédiaire'!AO116/24,0),0)</f>
        <v>0</v>
      </c>
      <c r="AO171" s="14">
        <f>IF(AND(Distances!DB116=0,Distances!FN116=0),ROUNDUP(AO158+'Délai intermédiaire'!AP116/24,0),0)</f>
        <v>15</v>
      </c>
      <c r="AP171" s="14">
        <f>IF(AND(Distances!DC116=0,Distances!FO116=0),ROUNDUP(AP158+'Délai intermédiaire'!AQ116/24,0),0)</f>
        <v>14</v>
      </c>
      <c r="AQ171" s="14">
        <f>IF(AND(Distances!DD116=0,Distances!FP116=0),ROUNDUP(AQ158+'Délai intermédiaire'!AR116/24,0),0)</f>
        <v>17</v>
      </c>
      <c r="AR171" s="14">
        <f>IF(AND(Distances!DE116=0,Distances!FQ116=0),ROUNDUP(AR158+'Délai intermédiaire'!AS116/24,0),0)</f>
        <v>21</v>
      </c>
      <c r="AS171" s="14">
        <f>IF(AND(Distances!DF116=0,Distances!FR116=0),ROUNDUP(AS158+'Délai intermédiaire'!AT116/24,0),0)</f>
        <v>0</v>
      </c>
      <c r="AT171" s="14">
        <f>IF(AND(Distances!DG116=0,Distances!FS116=0),ROUNDUP(AT158+'Délai intermédiaire'!AU116/24,0),0)</f>
        <v>0</v>
      </c>
      <c r="AU171" s="14">
        <f>IF(AND(Distances!DH116=0,Distances!FT116=0),ROUNDUP(AU158+'Délai intermédiaire'!AV116/24,0),0)</f>
        <v>0</v>
      </c>
      <c r="AV171" s="14">
        <f>IF(AND(Distances!DI116=0,Distances!FU116=0),ROUNDUP(AV158+'Délai intermédiaire'!AW116/24,0),0)</f>
        <v>0</v>
      </c>
      <c r="AW171" s="14">
        <f>IF(AND(Distances!DJ116=0,Distances!FV116=0),ROUNDUP(AW158+'Délai intermédiaire'!AX116/24,0),0)</f>
        <v>0</v>
      </c>
      <c r="AX171" s="14">
        <f>IF(AND(Distances!DK116=0,Distances!FW116=0),ROUNDUP(AX158+'Délai intermédiaire'!AY116/24,0),0)</f>
        <v>11</v>
      </c>
      <c r="AY171" s="14">
        <f>IF(AND(Distances!DL116=0,Distances!FX116=0),ROUNDUP(AY158+'Délai intermédiaire'!AZ116/24,0),0)</f>
        <v>2</v>
      </c>
      <c r="AZ171" s="14">
        <f>IF(AND(Distances!DM116=0,Distances!FY116=0),ROUNDUP(AZ158+'Délai intermédiaire'!BA116/24,0),0)</f>
        <v>0</v>
      </c>
      <c r="BA171" s="14">
        <f>IF(AND(Distances!DN116=0,Distances!FZ116=0),ROUNDUP(BA158+'Délai intermédiaire'!BB116/24,0),0)</f>
        <v>15</v>
      </c>
      <c r="BB171" s="14">
        <f>IF(AND(Distances!DO116=0,Distances!GA116=0),ROUNDUP(BB158+'Délai intermédiaire'!BC116/24,0),0)</f>
        <v>19</v>
      </c>
      <c r="BC171" s="14">
        <f>IF(AND(Distances!DP116=0,Distances!GB116=0),ROUNDUP(BC158+'Délai intermédiaire'!BD116/24,0),0)</f>
        <v>12</v>
      </c>
      <c r="BD171" s="14">
        <f>IF(AND(Distances!DQ116=0,Distances!GC116=0),ROUNDUP(BD158+'Délai intermédiaire'!BE116/24,0),0)</f>
        <v>0</v>
      </c>
      <c r="BE171" s="14">
        <f>IF(AND(Distances!DR116=0,Distances!GD116=0),ROUNDUP(BE158+'Délai intermédiaire'!BF116/24,0),0)</f>
        <v>11</v>
      </c>
      <c r="BF171" s="14">
        <f>IF(AND(Distances!DS116=0,Distances!GE116=0),ROUNDUP(BF158+'Délai intermédiaire'!BG116/24,0),0)</f>
        <v>0</v>
      </c>
      <c r="BG171" s="14">
        <f>IF(AND(Distances!DT116=0,Distances!GF116=0),ROUNDUP(BG158+'Délai intermédiaire'!BH116/24,0),0)</f>
        <v>0</v>
      </c>
      <c r="BH171" s="14">
        <f>IF(AND(Distances!DU116=0,Distances!GG116=0),ROUNDUP(BH158+'Délai intermédiaire'!BI116/24,0),0)</f>
        <v>0</v>
      </c>
      <c r="BI171" s="14">
        <f>IF(AND(Distances!DV116=0,Distances!GH116=0),ROUNDUP(BI158+'Délai intermédiaire'!BJ116/24,0),0)</f>
        <v>0</v>
      </c>
      <c r="BJ171" s="15">
        <f>IF(AND(Distances!DW116=0,Distances!GI116=0),ROUNDUP(BJ158+'Délai intermédiaire'!BK116/24,0),0)</f>
        <v>0</v>
      </c>
    </row>
    <row r="172" spans="1:62" x14ac:dyDescent="0.3">
      <c r="A172" s="10" t="s">
        <v>13</v>
      </c>
      <c r="B172" s="11">
        <f>IF(AND(Distances!BO117=0,Distances!EA117=0),ROUNDUP(B158+'Délai intermédiaire'!C117/24,0),0)</f>
        <v>0</v>
      </c>
      <c r="C172" s="13">
        <f>IF(AND(Distances!BP117=0,Distances!EB117=0),ROUNDUP(C158+'Délai intermédiaire'!D117/24,0),0)</f>
        <v>0</v>
      </c>
      <c r="D172" s="13">
        <f>IF(AND(Distances!BQ117=0,Distances!EC117=0),ROUNDUP(D158+'Délai intermédiaire'!E117/24,0),0)</f>
        <v>0</v>
      </c>
      <c r="E172" s="13">
        <f>IF(AND(Distances!BR117=0,Distances!ED117=0),ROUNDUP(E158+'Délai intermédiaire'!F117/24,0),0)</f>
        <v>0</v>
      </c>
      <c r="F172" s="13">
        <f>IF(AND(Distances!BS117=0,Distances!EE117=0),ROUNDUP(F158+'Délai intermédiaire'!G117/24,0),0)</f>
        <v>0</v>
      </c>
      <c r="G172" s="13">
        <f>IF(AND(Distances!BT117=0,Distances!EF117=0),ROUNDUP(G158+'Délai intermédiaire'!H117/24,0),0)</f>
        <v>0</v>
      </c>
      <c r="H172" s="13">
        <f>IF(AND(Distances!BU117=0,Distances!EG117=0),ROUNDUP(H158+'Délai intermédiaire'!I117/24,0),0)</f>
        <v>0</v>
      </c>
      <c r="I172" s="13">
        <f>IF(AND(Distances!BV117=0,Distances!EH117=0),ROUNDUP(I158+'Délai intermédiaire'!J117/24,0),0)</f>
        <v>0</v>
      </c>
      <c r="J172" s="13">
        <f>IF(AND(Distances!BW117=0,Distances!EI117=0),ROUNDUP(J158+'Délai intermédiaire'!K117/24,0),0)</f>
        <v>0</v>
      </c>
      <c r="K172" s="13">
        <f>IF(AND(Distances!BX117=0,Distances!EJ117=0),ROUNDUP(K158+'Délai intermédiaire'!L117/24,0),0)</f>
        <v>0</v>
      </c>
      <c r="L172" s="13">
        <f>IF(AND(Distances!BY117=0,Distances!EK117=0),ROUNDUP(L158+'Délai intermédiaire'!M117/24,0),0)</f>
        <v>0</v>
      </c>
      <c r="M172" s="13">
        <f>IF(AND(Distances!BZ117=0,Distances!EL117=0),ROUNDUP(M158+'Délai intermédiaire'!N117/24,0),0)</f>
        <v>0</v>
      </c>
      <c r="N172" s="12">
        <f>IF(AND(Distances!CA117=0,Distances!EM117=0),ROUNDUP(N158+'Délai intermédiaire'!O117/24,0),0)</f>
        <v>2</v>
      </c>
      <c r="O172" s="14">
        <f>IF(AND(Distances!CB117=0,Distances!EN117=0),ROUNDUP(O158+'Délai intermédiaire'!P117/24,0),0)</f>
        <v>0</v>
      </c>
      <c r="P172" s="14">
        <f>IF(AND(Distances!CC117=0,Distances!EO117=0),ROUNDUP(P158+'Délai intermédiaire'!Q117/24,0),0)</f>
        <v>0</v>
      </c>
      <c r="Q172" s="14">
        <f>IF(AND(Distances!CD117=0,Distances!EP117=0),ROUNDUP(Q158+'Délai intermédiaire'!R117/24,0),0)</f>
        <v>0</v>
      </c>
      <c r="R172" s="14">
        <f>IF(AND(Distances!CE117=0,Distances!EQ117=0),ROUNDUP(R158+'Délai intermédiaire'!S117/24,0),0)</f>
        <v>0</v>
      </c>
      <c r="S172" s="14">
        <f>IF(AND(Distances!CF117=0,Distances!ER117=0),ROUNDUP(S158+'Délai intermédiaire'!T117/24,0),0)</f>
        <v>0</v>
      </c>
      <c r="T172" s="14">
        <f>IF(AND(Distances!CG117=0,Distances!ES117=0),ROUNDUP(T158+'Délai intermédiaire'!U117/24,0),0)</f>
        <v>0</v>
      </c>
      <c r="U172" s="14">
        <f>IF(AND(Distances!CH117=0,Distances!ET117=0),ROUNDUP(U158+'Délai intermédiaire'!V117/24,0),0)</f>
        <v>0</v>
      </c>
      <c r="V172" s="14">
        <f>IF(AND(Distances!CI117=0,Distances!EU117=0),ROUNDUP(V158+'Délai intermédiaire'!W117/24,0),0)</f>
        <v>0</v>
      </c>
      <c r="W172" s="14">
        <f>IF(AND(Distances!CJ117=0,Distances!EV117=0),ROUNDUP(W158+'Délai intermédiaire'!X117/24,0),0)</f>
        <v>0</v>
      </c>
      <c r="X172" s="14">
        <f>IF(AND(Distances!CK117=0,Distances!EW117=0),ROUNDUP(X158+'Délai intermédiaire'!Y117/24,0),0)</f>
        <v>0</v>
      </c>
      <c r="Y172" s="14">
        <f>IF(AND(Distances!CL117=0,Distances!EX117=0),ROUNDUP(Y158+'Délai intermédiaire'!Z117/24,0),0)</f>
        <v>0</v>
      </c>
      <c r="Z172" s="14">
        <f>IF(AND(Distances!CM117=0,Distances!EY117=0),ROUNDUP(Z158+'Délai intermédiaire'!AA117/24,0),0)</f>
        <v>0</v>
      </c>
      <c r="AA172" s="14">
        <f>IF(AND(Distances!CN117=0,Distances!EZ117=0),ROUNDUP(AA158+'Délai intermédiaire'!AB117/24,0),0)</f>
        <v>0</v>
      </c>
      <c r="AB172" s="14">
        <f>IF(AND(Distances!CO117=0,Distances!FA117=0),ROUNDUP(AB158+'Délai intermédiaire'!AC117/24,0),0)</f>
        <v>0</v>
      </c>
      <c r="AC172" s="14">
        <f>IF(AND(Distances!CP117=0,Distances!FB117=0),ROUNDUP(AC158+'Délai intermédiaire'!AD117/24,0),0)</f>
        <v>0</v>
      </c>
      <c r="AD172" s="14">
        <f>IF(AND(Distances!CQ117=0,Distances!FC117=0),ROUNDUP(AD158+'Délai intermédiaire'!AE117/24,0),0)</f>
        <v>0</v>
      </c>
      <c r="AE172" s="14">
        <f>IF(AND(Distances!CR117=0,Distances!FD117=0),ROUNDUP(AE158+'Délai intermédiaire'!AF117/24,0),0)</f>
        <v>0</v>
      </c>
      <c r="AF172" s="14">
        <f>IF(AND(Distances!CS117=0,Distances!FE117=0),ROUNDUP(AF158+'Délai intermédiaire'!AG117/24,0),0)</f>
        <v>0</v>
      </c>
      <c r="AG172" s="14">
        <f>IF(AND(Distances!CT117=0,Distances!FF117=0),ROUNDUP(AG158+'Délai intermédiaire'!AH117/24,0),0)</f>
        <v>0</v>
      </c>
      <c r="AH172" s="14">
        <f>IF(AND(Distances!CU117=0,Distances!FG117=0),ROUNDUP(AH158+'Délai intermédiaire'!AI117/24,0),0)</f>
        <v>0</v>
      </c>
      <c r="AI172" s="14">
        <f>IF(AND(Distances!CV117=0,Distances!FH117=0),ROUNDUP(AI158+'Délai intermédiaire'!AJ117/24,0),0)</f>
        <v>0</v>
      </c>
      <c r="AJ172" s="14">
        <f>IF(AND(Distances!CW117=0,Distances!FI117=0),ROUNDUP(AJ158+'Délai intermédiaire'!AK117/24,0),0)</f>
        <v>0</v>
      </c>
      <c r="AK172" s="14">
        <f>IF(AND(Distances!CX117=0,Distances!FJ117=0),ROUNDUP(AK158+'Délai intermédiaire'!AL117/24,0),0)</f>
        <v>0</v>
      </c>
      <c r="AL172" s="14">
        <f>IF(AND(Distances!CY117=0,Distances!FK117=0),ROUNDUP(AL158+'Délai intermédiaire'!AM117/24,0),0)</f>
        <v>0</v>
      </c>
      <c r="AM172" s="14">
        <f>IF(AND(Distances!CZ117=0,Distances!FL117=0),ROUNDUP(AM158+'Délai intermédiaire'!AN117/24,0),0)</f>
        <v>0</v>
      </c>
      <c r="AN172" s="14">
        <f>IF(AND(Distances!DA117=0,Distances!FM117=0),ROUNDUP(AN158+'Délai intermédiaire'!AO117/24,0),0)</f>
        <v>0</v>
      </c>
      <c r="AO172" s="14">
        <f>IF(AND(Distances!DB117=0,Distances!FN117=0),ROUNDUP(AO158+'Délai intermédiaire'!AP117/24,0),0)</f>
        <v>0</v>
      </c>
      <c r="AP172" s="14">
        <f>IF(AND(Distances!DC117=0,Distances!FO117=0),ROUNDUP(AP158+'Délai intermédiaire'!AQ117/24,0),0)</f>
        <v>0</v>
      </c>
      <c r="AQ172" s="14">
        <f>IF(AND(Distances!DD117=0,Distances!FP117=0),ROUNDUP(AQ158+'Délai intermédiaire'!AR117/24,0),0)</f>
        <v>0</v>
      </c>
      <c r="AR172" s="14">
        <f>IF(AND(Distances!DE117=0,Distances!FQ117=0),ROUNDUP(AR158+'Délai intermédiaire'!AS117/24,0),0)</f>
        <v>0</v>
      </c>
      <c r="AS172" s="14">
        <f>IF(AND(Distances!DF117=0,Distances!FR117=0),ROUNDUP(AS158+'Délai intermédiaire'!AT117/24,0),0)</f>
        <v>0</v>
      </c>
      <c r="AT172" s="14">
        <f>IF(AND(Distances!DG117=0,Distances!FS117=0),ROUNDUP(AT158+'Délai intermédiaire'!AU117/24,0),0)</f>
        <v>0</v>
      </c>
      <c r="AU172" s="14">
        <f>IF(AND(Distances!DH117=0,Distances!FT117=0),ROUNDUP(AU158+'Délai intermédiaire'!AV117/24,0),0)</f>
        <v>0</v>
      </c>
      <c r="AV172" s="14">
        <f>IF(AND(Distances!DI117=0,Distances!FU117=0),ROUNDUP(AV158+'Délai intermédiaire'!AW117/24,0),0)</f>
        <v>0</v>
      </c>
      <c r="AW172" s="14">
        <f>IF(AND(Distances!DJ117=0,Distances!FV117=0),ROUNDUP(AW158+'Délai intermédiaire'!AX117/24,0),0)</f>
        <v>0</v>
      </c>
      <c r="AX172" s="14">
        <f>IF(AND(Distances!DK117=0,Distances!FW117=0),ROUNDUP(AX158+'Délai intermédiaire'!AY117/24,0),0)</f>
        <v>0</v>
      </c>
      <c r="AY172" s="14">
        <f>IF(AND(Distances!DL117=0,Distances!FX117=0),ROUNDUP(AY158+'Délai intermédiaire'!AZ117/24,0),0)</f>
        <v>0</v>
      </c>
      <c r="AZ172" s="14">
        <f>IF(AND(Distances!DM117=0,Distances!FY117=0),ROUNDUP(AZ158+'Délai intermédiaire'!BA117/24,0),0)</f>
        <v>0</v>
      </c>
      <c r="BA172" s="14">
        <f>IF(AND(Distances!DN117=0,Distances!FZ117=0),ROUNDUP(BA158+'Délai intermédiaire'!BB117/24,0),0)</f>
        <v>0</v>
      </c>
      <c r="BB172" s="14">
        <f>IF(AND(Distances!DO117=0,Distances!GA117=0),ROUNDUP(BB158+'Délai intermédiaire'!BC117/24,0),0)</f>
        <v>0</v>
      </c>
      <c r="BC172" s="14">
        <f>IF(AND(Distances!DP117=0,Distances!GB117=0),ROUNDUP(BC158+'Délai intermédiaire'!BD117/24,0),0)</f>
        <v>0</v>
      </c>
      <c r="BD172" s="14">
        <f>IF(AND(Distances!DQ117=0,Distances!GC117=0),ROUNDUP(BD158+'Délai intermédiaire'!BE117/24,0),0)</f>
        <v>0</v>
      </c>
      <c r="BE172" s="14">
        <f>IF(AND(Distances!DR117=0,Distances!GD117=0),ROUNDUP(BE158+'Délai intermédiaire'!BF117/24,0),0)</f>
        <v>0</v>
      </c>
      <c r="BF172" s="14">
        <f>IF(AND(Distances!DS117=0,Distances!GE117=0),ROUNDUP(BF158+'Délai intermédiaire'!BG117/24,0),0)</f>
        <v>0</v>
      </c>
      <c r="BG172" s="14">
        <f>IF(AND(Distances!DT117=0,Distances!GF117=0),ROUNDUP(BG158+'Délai intermédiaire'!BH117/24,0),0)</f>
        <v>0</v>
      </c>
      <c r="BH172" s="14">
        <f>IF(AND(Distances!DU117=0,Distances!GG117=0),ROUNDUP(BH158+'Délai intermédiaire'!BI117/24,0),0)</f>
        <v>0</v>
      </c>
      <c r="BI172" s="14">
        <f>IF(AND(Distances!DV117=0,Distances!GH117=0),ROUNDUP(BI158+'Délai intermédiaire'!BJ117/24,0),0)</f>
        <v>0</v>
      </c>
      <c r="BJ172" s="15">
        <f>IF(AND(Distances!DW117=0,Distances!GI117=0),ROUNDUP(BJ158+'Délai intermédiaire'!BK117/24,0),0)</f>
        <v>0</v>
      </c>
    </row>
    <row r="173" spans="1:62" x14ac:dyDescent="0.3">
      <c r="A173" s="10" t="s">
        <v>14</v>
      </c>
      <c r="B173" s="16">
        <f>IF(AND(Distances!BO118=0,Distances!EA118=0),ROUNDUP(B158+'Délai intermédiaire'!C118/24,0),0)</f>
        <v>0</v>
      </c>
      <c r="C173" s="14">
        <f>IF(AND(Distances!BP118=0,Distances!EB118=0),ROUNDUP(C158+'Délai intermédiaire'!D118/24,0),0)</f>
        <v>0</v>
      </c>
      <c r="D173" s="14">
        <f>IF(AND(Distances!BQ118=0,Distances!EC118=0),ROUNDUP(D158+'Délai intermédiaire'!E118/24,0),0)</f>
        <v>0</v>
      </c>
      <c r="E173" s="14">
        <f>IF(AND(Distances!BR118=0,Distances!ED118=0),ROUNDUP(E158+'Délai intermédiaire'!F118/24,0),0)</f>
        <v>0</v>
      </c>
      <c r="F173" s="14">
        <f>IF(AND(Distances!BS118=0,Distances!EE118=0),ROUNDUP(F158+'Délai intermédiaire'!G118/24,0),0)</f>
        <v>0</v>
      </c>
      <c r="G173" s="14">
        <f>IF(AND(Distances!BT118=0,Distances!EF118=0),ROUNDUP(G158+'Délai intermédiaire'!H118/24,0),0)</f>
        <v>0</v>
      </c>
      <c r="H173" s="14">
        <f>IF(AND(Distances!BU118=0,Distances!EG118=0),ROUNDUP(H158+'Délai intermédiaire'!I118/24,0),0)</f>
        <v>0</v>
      </c>
      <c r="I173" s="14">
        <f>IF(AND(Distances!BV118=0,Distances!EH118=0),ROUNDUP(I158+'Délai intermédiaire'!J118/24,0),0)</f>
        <v>0</v>
      </c>
      <c r="J173" s="14">
        <f>IF(AND(Distances!BW118=0,Distances!EI118=0),ROUNDUP(J158+'Délai intermédiaire'!K118/24,0),0)</f>
        <v>0</v>
      </c>
      <c r="K173" s="14">
        <f>IF(AND(Distances!BX118=0,Distances!EJ118=0),ROUNDUP(K158+'Délai intermédiaire'!L118/24,0),0)</f>
        <v>0</v>
      </c>
      <c r="L173" s="14">
        <f>IF(AND(Distances!BY118=0,Distances!EK118=0),ROUNDUP(L158+'Délai intermédiaire'!M118/24,0),0)</f>
        <v>0</v>
      </c>
      <c r="M173" s="14">
        <f>IF(AND(Distances!BZ118=0,Distances!EL118=0),ROUNDUP(M158+'Délai intermédiaire'!N118/24,0),0)</f>
        <v>0</v>
      </c>
      <c r="N173" s="14">
        <f>IF(AND(Distances!CA118=0,Distances!EM118=0),ROUNDUP(N158+'Délai intermédiaire'!O118/24,0),0)</f>
        <v>0</v>
      </c>
      <c r="O173" s="12">
        <f>IF(AND(Distances!CB118=0,Distances!EN118=0),ROUNDUP(O158+'Délai intermédiaire'!P118/24,0),0)</f>
        <v>2</v>
      </c>
      <c r="P173" s="13">
        <f>IF(AND(Distances!CC118=0,Distances!EO118=0),ROUNDUP(P158+'Délai intermédiaire'!Q118/24,0),0)</f>
        <v>0</v>
      </c>
      <c r="Q173" s="14">
        <f>IF(AND(Distances!CD118=0,Distances!EP118=0),ROUNDUP(Q158+'Délai intermédiaire'!R118/24,0),0)</f>
        <v>0</v>
      </c>
      <c r="R173" s="14">
        <f>IF(AND(Distances!CE118=0,Distances!EQ118=0),ROUNDUP(R158+'Délai intermédiaire'!S118/24,0),0)</f>
        <v>0</v>
      </c>
      <c r="S173" s="14">
        <f>IF(AND(Distances!CF118=0,Distances!ER118=0),ROUNDUP(S158+'Délai intermédiaire'!T118/24,0),0)</f>
        <v>0</v>
      </c>
      <c r="T173" s="14">
        <f>IF(AND(Distances!CG118=0,Distances!ES118=0),ROUNDUP(T158+'Délai intermédiaire'!U118/24,0),0)</f>
        <v>0</v>
      </c>
      <c r="U173" s="14">
        <f>IF(AND(Distances!CH118=0,Distances!ET118=0),ROUNDUP(U158+'Délai intermédiaire'!V118/24,0),0)</f>
        <v>0</v>
      </c>
      <c r="V173" s="14">
        <f>IF(AND(Distances!CI118=0,Distances!EU118=0),ROUNDUP(V158+'Délai intermédiaire'!W118/24,0),0)</f>
        <v>0</v>
      </c>
      <c r="W173" s="14">
        <f>IF(AND(Distances!CJ118=0,Distances!EV118=0),ROUNDUP(W158+'Délai intermédiaire'!X118/24,0),0)</f>
        <v>0</v>
      </c>
      <c r="X173" s="14">
        <f>IF(AND(Distances!CK118=0,Distances!EW118=0),ROUNDUP(X158+'Délai intermédiaire'!Y118/24,0),0)</f>
        <v>0</v>
      </c>
      <c r="Y173" s="14">
        <f>IF(AND(Distances!CL118=0,Distances!EX118=0),ROUNDUP(Y158+'Délai intermédiaire'!Z118/24,0),0)</f>
        <v>0</v>
      </c>
      <c r="Z173" s="14">
        <f>IF(AND(Distances!CM118=0,Distances!EY118=0),ROUNDUP(Z158+'Délai intermédiaire'!AA118/24,0),0)</f>
        <v>0</v>
      </c>
      <c r="AA173" s="14">
        <f>IF(AND(Distances!CN118=0,Distances!EZ118=0),ROUNDUP(AA158+'Délai intermédiaire'!AB118/24,0),0)</f>
        <v>0</v>
      </c>
      <c r="AB173" s="14">
        <f>IF(AND(Distances!CO118=0,Distances!FA118=0),ROUNDUP(AB158+'Délai intermédiaire'!AC118/24,0),0)</f>
        <v>0</v>
      </c>
      <c r="AC173" s="14">
        <f>IF(AND(Distances!CP118=0,Distances!FB118=0),ROUNDUP(AC158+'Délai intermédiaire'!AD118/24,0),0)</f>
        <v>0</v>
      </c>
      <c r="AD173" s="14">
        <f>IF(AND(Distances!CQ118=0,Distances!FC118=0),ROUNDUP(AD158+'Délai intermédiaire'!AE118/24,0),0)</f>
        <v>0</v>
      </c>
      <c r="AE173" s="14">
        <f>IF(AND(Distances!CR118=0,Distances!FD118=0),ROUNDUP(AE158+'Délai intermédiaire'!AF118/24,0),0)</f>
        <v>0</v>
      </c>
      <c r="AF173" s="14">
        <f>IF(AND(Distances!CS118=0,Distances!FE118=0),ROUNDUP(AF158+'Délai intermédiaire'!AG118/24,0),0)</f>
        <v>0</v>
      </c>
      <c r="AG173" s="14">
        <f>IF(AND(Distances!CT118=0,Distances!FF118=0),ROUNDUP(AG158+'Délai intermédiaire'!AH118/24,0),0)</f>
        <v>0</v>
      </c>
      <c r="AH173" s="14">
        <f>IF(AND(Distances!CU118=0,Distances!FG118=0),ROUNDUP(AH158+'Délai intermédiaire'!AI118/24,0),0)</f>
        <v>0</v>
      </c>
      <c r="AI173" s="14">
        <f>IF(AND(Distances!CV118=0,Distances!FH118=0),ROUNDUP(AI158+'Délai intermédiaire'!AJ118/24,0),0)</f>
        <v>0</v>
      </c>
      <c r="AJ173" s="14">
        <f>IF(AND(Distances!CW118=0,Distances!FI118=0),ROUNDUP(AJ158+'Délai intermédiaire'!AK118/24,0),0)</f>
        <v>0</v>
      </c>
      <c r="AK173" s="14">
        <f>IF(AND(Distances!CX118=0,Distances!FJ118=0),ROUNDUP(AK158+'Délai intermédiaire'!AL118/24,0),0)</f>
        <v>0</v>
      </c>
      <c r="AL173" s="14">
        <f>IF(AND(Distances!CY118=0,Distances!FK118=0),ROUNDUP(AL158+'Délai intermédiaire'!AM118/24,0),0)</f>
        <v>0</v>
      </c>
      <c r="AM173" s="14">
        <f>IF(AND(Distances!CZ118=0,Distances!FL118=0),ROUNDUP(AM158+'Délai intermédiaire'!AN118/24,0),0)</f>
        <v>0</v>
      </c>
      <c r="AN173" s="14">
        <f>IF(AND(Distances!DA118=0,Distances!FM118=0),ROUNDUP(AN158+'Délai intermédiaire'!AO118/24,0),0)</f>
        <v>0</v>
      </c>
      <c r="AO173" s="14">
        <f>IF(AND(Distances!DB118=0,Distances!FN118=0),ROUNDUP(AO158+'Délai intermédiaire'!AP118/24,0),0)</f>
        <v>0</v>
      </c>
      <c r="AP173" s="14">
        <f>IF(AND(Distances!DC118=0,Distances!FO118=0),ROUNDUP(AP158+'Délai intermédiaire'!AQ118/24,0),0)</f>
        <v>0</v>
      </c>
      <c r="AQ173" s="14">
        <f>IF(AND(Distances!DD118=0,Distances!FP118=0),ROUNDUP(AQ158+'Délai intermédiaire'!AR118/24,0),0)</f>
        <v>0</v>
      </c>
      <c r="AR173" s="14">
        <f>IF(AND(Distances!DE118=0,Distances!FQ118=0),ROUNDUP(AR158+'Délai intermédiaire'!AS118/24,0),0)</f>
        <v>0</v>
      </c>
      <c r="AS173" s="14">
        <f>IF(AND(Distances!DF118=0,Distances!FR118=0),ROUNDUP(AS158+'Délai intermédiaire'!AT118/24,0),0)</f>
        <v>0</v>
      </c>
      <c r="AT173" s="14">
        <f>IF(AND(Distances!DG118=0,Distances!FS118=0),ROUNDUP(AT158+'Délai intermédiaire'!AU118/24,0),0)</f>
        <v>0</v>
      </c>
      <c r="AU173" s="14">
        <f>IF(AND(Distances!DH118=0,Distances!FT118=0),ROUNDUP(AU158+'Délai intermédiaire'!AV118/24,0),0)</f>
        <v>0</v>
      </c>
      <c r="AV173" s="14">
        <f>IF(AND(Distances!DI118=0,Distances!FU118=0),ROUNDUP(AV158+'Délai intermédiaire'!AW118/24,0),0)</f>
        <v>0</v>
      </c>
      <c r="AW173" s="14">
        <f>IF(AND(Distances!DJ118=0,Distances!FV118=0),ROUNDUP(AW158+'Délai intermédiaire'!AX118/24,0),0)</f>
        <v>0</v>
      </c>
      <c r="AX173" s="14">
        <f>IF(AND(Distances!DK118=0,Distances!FW118=0),ROUNDUP(AX158+'Délai intermédiaire'!AY118/24,0),0)</f>
        <v>0</v>
      </c>
      <c r="AY173" s="14">
        <f>IF(AND(Distances!DL118=0,Distances!FX118=0),ROUNDUP(AY158+'Délai intermédiaire'!AZ118/24,0),0)</f>
        <v>0</v>
      </c>
      <c r="AZ173" s="14">
        <f>IF(AND(Distances!DM118=0,Distances!FY118=0),ROUNDUP(AZ158+'Délai intermédiaire'!BA118/24,0),0)</f>
        <v>0</v>
      </c>
      <c r="BA173" s="14">
        <f>IF(AND(Distances!DN118=0,Distances!FZ118=0),ROUNDUP(BA158+'Délai intermédiaire'!BB118/24,0),0)</f>
        <v>0</v>
      </c>
      <c r="BB173" s="14">
        <f>IF(AND(Distances!DO118=0,Distances!GA118=0),ROUNDUP(BB158+'Délai intermédiaire'!BC118/24,0),0)</f>
        <v>0</v>
      </c>
      <c r="BC173" s="14">
        <f>IF(AND(Distances!DP118=0,Distances!GB118=0),ROUNDUP(BC158+'Délai intermédiaire'!BD118/24,0),0)</f>
        <v>0</v>
      </c>
      <c r="BD173" s="14">
        <f>IF(AND(Distances!DQ118=0,Distances!GC118=0),ROUNDUP(BD158+'Délai intermédiaire'!BE118/24,0),0)</f>
        <v>0</v>
      </c>
      <c r="BE173" s="14">
        <f>IF(AND(Distances!DR118=0,Distances!GD118=0),ROUNDUP(BE158+'Délai intermédiaire'!BF118/24,0),0)</f>
        <v>0</v>
      </c>
      <c r="BF173" s="14">
        <f>IF(AND(Distances!DS118=0,Distances!GE118=0),ROUNDUP(BF158+'Délai intermédiaire'!BG118/24,0),0)</f>
        <v>0</v>
      </c>
      <c r="BG173" s="14">
        <f>IF(AND(Distances!DT118=0,Distances!GF118=0),ROUNDUP(BG158+'Délai intermédiaire'!BH118/24,0),0)</f>
        <v>0</v>
      </c>
      <c r="BH173" s="12">
        <f>IF(AND(Distances!DU118=0,Distances!GG118=0),ROUNDUP(BH158+'Délai intermédiaire'!BI118/24,0),0)</f>
        <v>0</v>
      </c>
      <c r="BI173" s="12">
        <f>IF(AND(Distances!DV118=0,Distances!GH118=0),ROUNDUP(BI158+'Délai intermédiaire'!BJ118/24,0),0)</f>
        <v>0</v>
      </c>
      <c r="BJ173" s="17">
        <f>IF(AND(Distances!DW118=0,Distances!GI118=0),ROUNDUP(BJ158+'Délai intermédiaire'!BK118/24,0),0)</f>
        <v>0</v>
      </c>
    </row>
    <row r="174" spans="1:62" x14ac:dyDescent="0.3">
      <c r="A174" s="10" t="s">
        <v>15</v>
      </c>
      <c r="B174" s="16">
        <f>IF(AND(Distances!BO119=0,Distances!EA119=0),ROUNDUP(B158+'Délai intermédiaire'!C119/24,0),0)</f>
        <v>0</v>
      </c>
      <c r="C174" s="14">
        <f>IF(AND(Distances!BP119=0,Distances!EB119=0),ROUNDUP(C158+'Délai intermédiaire'!D119/24,0),0)</f>
        <v>0</v>
      </c>
      <c r="D174" s="14">
        <f>IF(AND(Distances!BQ119=0,Distances!EC119=0),ROUNDUP(D158+'Délai intermédiaire'!E119/24,0),0)</f>
        <v>0</v>
      </c>
      <c r="E174" s="14">
        <f>IF(AND(Distances!BR119=0,Distances!ED119=0),ROUNDUP(E158+'Délai intermédiaire'!F119/24,0),0)</f>
        <v>0</v>
      </c>
      <c r="F174" s="14">
        <f>IF(AND(Distances!BS119=0,Distances!EE119=0),ROUNDUP(F158+'Délai intermédiaire'!G119/24,0),0)</f>
        <v>0</v>
      </c>
      <c r="G174" s="14">
        <f>IF(AND(Distances!BT119=0,Distances!EF119=0),ROUNDUP(G158+'Délai intermédiaire'!H119/24,0),0)</f>
        <v>0</v>
      </c>
      <c r="H174" s="14">
        <f>IF(AND(Distances!BU119=0,Distances!EG119=0),ROUNDUP(H158+'Délai intermédiaire'!I119/24,0),0)</f>
        <v>0</v>
      </c>
      <c r="I174" s="14">
        <f>IF(AND(Distances!BV119=0,Distances!EH119=0),ROUNDUP(I158+'Délai intermédiaire'!J119/24,0),0)</f>
        <v>0</v>
      </c>
      <c r="J174" s="14">
        <f>IF(AND(Distances!BW119=0,Distances!EI119=0),ROUNDUP(J158+'Délai intermédiaire'!K119/24,0),0)</f>
        <v>0</v>
      </c>
      <c r="K174" s="14">
        <f>IF(AND(Distances!BX119=0,Distances!EJ119=0),ROUNDUP(K158+'Délai intermédiaire'!L119/24,0),0)</f>
        <v>0</v>
      </c>
      <c r="L174" s="14">
        <f>IF(AND(Distances!BY119=0,Distances!EK119=0),ROUNDUP(L158+'Délai intermédiaire'!M119/24,0),0)</f>
        <v>0</v>
      </c>
      <c r="M174" s="14">
        <f>IF(AND(Distances!BZ119=0,Distances!EL119=0),ROUNDUP(M158+'Délai intermédiaire'!N119/24,0),0)</f>
        <v>0</v>
      </c>
      <c r="N174" s="14">
        <f>IF(AND(Distances!CA119=0,Distances!EM119=0),ROUNDUP(N158+'Délai intermédiaire'!O119/24,0),0)</f>
        <v>0</v>
      </c>
      <c r="O174" s="13">
        <f>IF(AND(Distances!CB119=0,Distances!EN119=0),ROUNDUP(O158+'Délai intermédiaire'!P119/24,0),0)</f>
        <v>0</v>
      </c>
      <c r="P174" s="12">
        <f>IF(AND(Distances!CC119=0,Distances!EO119=0),ROUNDUP(P158+'Délai intermédiaire'!Q119/24,0),0)</f>
        <v>2</v>
      </c>
      <c r="Q174" s="14">
        <f>IF(AND(Distances!CD119=0,Distances!EP119=0),ROUNDUP(Q158+'Délai intermédiaire'!R119/24,0),0)</f>
        <v>0</v>
      </c>
      <c r="R174" s="14">
        <f>IF(AND(Distances!CE119=0,Distances!EQ119=0),ROUNDUP(R158+'Délai intermédiaire'!S119/24,0),0)</f>
        <v>0</v>
      </c>
      <c r="S174" s="14">
        <f>IF(AND(Distances!CF119=0,Distances!ER119=0),ROUNDUP(S158+'Délai intermédiaire'!T119/24,0),0)</f>
        <v>0</v>
      </c>
      <c r="T174" s="14">
        <f>IF(AND(Distances!CG119=0,Distances!ES119=0),ROUNDUP(T158+'Délai intermédiaire'!U119/24,0),0)</f>
        <v>0</v>
      </c>
      <c r="U174" s="14">
        <f>IF(AND(Distances!CH119=0,Distances!ET119=0),ROUNDUP(U158+'Délai intermédiaire'!V119/24,0),0)</f>
        <v>0</v>
      </c>
      <c r="V174" s="14">
        <f>IF(AND(Distances!CI119=0,Distances!EU119=0),ROUNDUP(V158+'Délai intermédiaire'!W119/24,0),0)</f>
        <v>0</v>
      </c>
      <c r="W174" s="14">
        <f>IF(AND(Distances!CJ119=0,Distances!EV119=0),ROUNDUP(W158+'Délai intermédiaire'!X119/24,0),0)</f>
        <v>0</v>
      </c>
      <c r="X174" s="14">
        <f>IF(AND(Distances!CK119=0,Distances!EW119=0),ROUNDUP(X158+'Délai intermédiaire'!Y119/24,0),0)</f>
        <v>0</v>
      </c>
      <c r="Y174" s="14">
        <f>IF(AND(Distances!CL119=0,Distances!EX119=0),ROUNDUP(Y158+'Délai intermédiaire'!Z119/24,0),0)</f>
        <v>0</v>
      </c>
      <c r="Z174" s="14">
        <f>IF(AND(Distances!CM119=0,Distances!EY119=0),ROUNDUP(Z158+'Délai intermédiaire'!AA119/24,0),0)</f>
        <v>0</v>
      </c>
      <c r="AA174" s="14">
        <f>IF(AND(Distances!CN119=0,Distances!EZ119=0),ROUNDUP(AA158+'Délai intermédiaire'!AB119/24,0),0)</f>
        <v>0</v>
      </c>
      <c r="AB174" s="14">
        <f>IF(AND(Distances!CO119=0,Distances!FA119=0),ROUNDUP(AB158+'Délai intermédiaire'!AC119/24,0),0)</f>
        <v>0</v>
      </c>
      <c r="AC174" s="14">
        <f>IF(AND(Distances!CP119=0,Distances!FB119=0),ROUNDUP(AC158+'Délai intermédiaire'!AD119/24,0),0)</f>
        <v>0</v>
      </c>
      <c r="AD174" s="14">
        <f>IF(AND(Distances!CQ119=0,Distances!FC119=0),ROUNDUP(AD158+'Délai intermédiaire'!AE119/24,0),0)</f>
        <v>0</v>
      </c>
      <c r="AE174" s="14">
        <f>IF(AND(Distances!CR119=0,Distances!FD119=0),ROUNDUP(AE158+'Délai intermédiaire'!AF119/24,0),0)</f>
        <v>0</v>
      </c>
      <c r="AF174" s="14">
        <f>IF(AND(Distances!CS119=0,Distances!FE119=0),ROUNDUP(AF158+'Délai intermédiaire'!AG119/24,0),0)</f>
        <v>0</v>
      </c>
      <c r="AG174" s="14">
        <f>IF(AND(Distances!CT119=0,Distances!FF119=0),ROUNDUP(AG158+'Délai intermédiaire'!AH119/24,0),0)</f>
        <v>0</v>
      </c>
      <c r="AH174" s="14">
        <f>IF(AND(Distances!CU119=0,Distances!FG119=0),ROUNDUP(AH158+'Délai intermédiaire'!AI119/24,0),0)</f>
        <v>0</v>
      </c>
      <c r="AI174" s="14">
        <f>IF(AND(Distances!CV119=0,Distances!FH119=0),ROUNDUP(AI158+'Délai intermédiaire'!AJ119/24,0),0)</f>
        <v>0</v>
      </c>
      <c r="AJ174" s="14">
        <f>IF(AND(Distances!CW119=0,Distances!FI119=0),ROUNDUP(AJ158+'Délai intermédiaire'!AK119/24,0),0)</f>
        <v>0</v>
      </c>
      <c r="AK174" s="14">
        <f>IF(AND(Distances!CX119=0,Distances!FJ119=0),ROUNDUP(AK158+'Délai intermédiaire'!AL119/24,0),0)</f>
        <v>0</v>
      </c>
      <c r="AL174" s="14">
        <f>IF(AND(Distances!CY119=0,Distances!FK119=0),ROUNDUP(AL158+'Délai intermédiaire'!AM119/24,0),0)</f>
        <v>0</v>
      </c>
      <c r="AM174" s="14">
        <f>IF(AND(Distances!CZ119=0,Distances!FL119=0),ROUNDUP(AM158+'Délai intermédiaire'!AN119/24,0),0)</f>
        <v>0</v>
      </c>
      <c r="AN174" s="14">
        <f>IF(AND(Distances!DA119=0,Distances!FM119=0),ROUNDUP(AN158+'Délai intermédiaire'!AO119/24,0),0)</f>
        <v>0</v>
      </c>
      <c r="AO174" s="14">
        <f>IF(AND(Distances!DB119=0,Distances!FN119=0),ROUNDUP(AO158+'Délai intermédiaire'!AP119/24,0),0)</f>
        <v>0</v>
      </c>
      <c r="AP174" s="14">
        <f>IF(AND(Distances!DC119=0,Distances!FO119=0),ROUNDUP(AP158+'Délai intermédiaire'!AQ119/24,0),0)</f>
        <v>0</v>
      </c>
      <c r="AQ174" s="14">
        <f>IF(AND(Distances!DD119=0,Distances!FP119=0),ROUNDUP(AQ158+'Délai intermédiaire'!AR119/24,0),0)</f>
        <v>0</v>
      </c>
      <c r="AR174" s="14">
        <f>IF(AND(Distances!DE119=0,Distances!FQ119=0),ROUNDUP(AR158+'Délai intermédiaire'!AS119/24,0),0)</f>
        <v>0</v>
      </c>
      <c r="AS174" s="14">
        <f>IF(AND(Distances!DF119=0,Distances!FR119=0),ROUNDUP(AS158+'Délai intermédiaire'!AT119/24,0),0)</f>
        <v>0</v>
      </c>
      <c r="AT174" s="14">
        <f>IF(AND(Distances!DG119=0,Distances!FS119=0),ROUNDUP(AT158+'Délai intermédiaire'!AU119/24,0),0)</f>
        <v>0</v>
      </c>
      <c r="AU174" s="14">
        <f>IF(AND(Distances!DH119=0,Distances!FT119=0),ROUNDUP(AU158+'Délai intermédiaire'!AV119/24,0),0)</f>
        <v>0</v>
      </c>
      <c r="AV174" s="14">
        <f>IF(AND(Distances!DI119=0,Distances!FU119=0),ROUNDUP(AV158+'Délai intermédiaire'!AW119/24,0),0)</f>
        <v>0</v>
      </c>
      <c r="AW174" s="14">
        <f>IF(AND(Distances!DJ119=0,Distances!FV119=0),ROUNDUP(AW158+'Délai intermédiaire'!AX119/24,0),0)</f>
        <v>0</v>
      </c>
      <c r="AX174" s="14">
        <f>IF(AND(Distances!DK119=0,Distances!FW119=0),ROUNDUP(AX158+'Délai intermédiaire'!AY119/24,0),0)</f>
        <v>0</v>
      </c>
      <c r="AY174" s="14">
        <f>IF(AND(Distances!DL119=0,Distances!FX119=0),ROUNDUP(AY158+'Délai intermédiaire'!AZ119/24,0),0)</f>
        <v>0</v>
      </c>
      <c r="AZ174" s="14">
        <f>IF(AND(Distances!DM119=0,Distances!FY119=0),ROUNDUP(AZ158+'Délai intermédiaire'!BA119/24,0),0)</f>
        <v>0</v>
      </c>
      <c r="BA174" s="14">
        <f>IF(AND(Distances!DN119=0,Distances!FZ119=0),ROUNDUP(BA158+'Délai intermédiaire'!BB119/24,0),0)</f>
        <v>0</v>
      </c>
      <c r="BB174" s="14">
        <f>IF(AND(Distances!DO119=0,Distances!GA119=0),ROUNDUP(BB158+'Délai intermédiaire'!BC119/24,0),0)</f>
        <v>0</v>
      </c>
      <c r="BC174" s="14">
        <f>IF(AND(Distances!DP119=0,Distances!GB119=0),ROUNDUP(BC158+'Délai intermédiaire'!BD119/24,0),0)</f>
        <v>0</v>
      </c>
      <c r="BD174" s="14">
        <f>IF(AND(Distances!DQ119=0,Distances!GC119=0),ROUNDUP(BD158+'Délai intermédiaire'!BE119/24,0),0)</f>
        <v>0</v>
      </c>
      <c r="BE174" s="14">
        <f>IF(AND(Distances!DR119=0,Distances!GD119=0),ROUNDUP(BE158+'Délai intermédiaire'!BF119/24,0),0)</f>
        <v>0</v>
      </c>
      <c r="BF174" s="14">
        <f>IF(AND(Distances!DS119=0,Distances!GE119=0),ROUNDUP(BF158+'Délai intermédiaire'!BG119/24,0),0)</f>
        <v>0</v>
      </c>
      <c r="BG174" s="14">
        <f>IF(AND(Distances!DT119=0,Distances!GF119=0),ROUNDUP(BG158+'Délai intermédiaire'!BH119/24,0),0)</f>
        <v>0</v>
      </c>
      <c r="BH174" s="13">
        <f>IF(AND(Distances!DU119=0,Distances!GG119=0),ROUNDUP(BH158+'Délai intermédiaire'!BI119/24,0),0)</f>
        <v>0</v>
      </c>
      <c r="BI174" s="13">
        <f>IF(AND(Distances!DV119=0,Distances!GH119=0),ROUNDUP(BI158+'Délai intermédiaire'!BJ119/24,0),0)</f>
        <v>0</v>
      </c>
      <c r="BJ174" s="18">
        <f>IF(AND(Distances!DW119=0,Distances!GI119=0),ROUNDUP(BJ158+'Délai intermédiaire'!BK119/24,0),0)</f>
        <v>0</v>
      </c>
    </row>
    <row r="175" spans="1:62" x14ac:dyDescent="0.3">
      <c r="A175" s="10" t="s">
        <v>16</v>
      </c>
      <c r="B175" s="16">
        <f>IF(AND(Distances!BO120=0,Distances!EA120=0),ROUNDUP(B158+'Délai intermédiaire'!C120/24,0),0)</f>
        <v>8</v>
      </c>
      <c r="C175" s="14">
        <f>IF(AND(Distances!BP120=0,Distances!EB120=0),ROUNDUP(C158+'Délai intermédiaire'!D120/24,0),0)</f>
        <v>10</v>
      </c>
      <c r="D175" s="14">
        <f>IF(AND(Distances!BQ120=0,Distances!EC120=0),ROUNDUP(D158+'Délai intermédiaire'!E120/24,0),0)</f>
        <v>0</v>
      </c>
      <c r="E175" s="14">
        <f>IF(AND(Distances!BR120=0,Distances!ED120=0),ROUNDUP(E158+'Délai intermédiaire'!F120/24,0),0)</f>
        <v>9</v>
      </c>
      <c r="F175" s="14">
        <f>IF(AND(Distances!BS120=0,Distances!EE120=0),ROUNDUP(F158+'Délai intermédiaire'!G120/24,0),0)</f>
        <v>0</v>
      </c>
      <c r="G175" s="14">
        <f>IF(AND(Distances!BT120=0,Distances!EF120=0),ROUNDUP(G158+'Délai intermédiaire'!H120/24,0),0)</f>
        <v>0</v>
      </c>
      <c r="H175" s="14">
        <f>IF(AND(Distances!BU120=0,Distances!EG120=0),ROUNDUP(H158+'Délai intermédiaire'!I120/24,0),0)</f>
        <v>17</v>
      </c>
      <c r="I175" s="14">
        <f>IF(AND(Distances!BV120=0,Distances!EH120=0),ROUNDUP(I158+'Délai intermédiaire'!J120/24,0),0)</f>
        <v>15</v>
      </c>
      <c r="J175" s="14">
        <f>IF(AND(Distances!BW120=0,Distances!EI120=0),ROUNDUP(J158+'Délai intermédiaire'!K120/24,0),0)</f>
        <v>0</v>
      </c>
      <c r="K175" s="14">
        <f>IF(AND(Distances!BX120=0,Distances!EJ120=0),ROUNDUP(K158+'Délai intermédiaire'!L120/24,0),0)</f>
        <v>8</v>
      </c>
      <c r="L175" s="14">
        <f>IF(AND(Distances!BY120=0,Distances!EK120=0),ROUNDUP(L158+'Délai intermédiaire'!M120/24,0),0)</f>
        <v>0</v>
      </c>
      <c r="M175" s="14">
        <f>IF(AND(Distances!BZ120=0,Distances!EL120=0),ROUNDUP(M158+'Délai intermédiaire'!N120/24,0),0)</f>
        <v>18</v>
      </c>
      <c r="N175" s="14">
        <f>IF(AND(Distances!CA120=0,Distances!EM120=0),ROUNDUP(N158+'Délai intermédiaire'!O120/24,0),0)</f>
        <v>0</v>
      </c>
      <c r="O175" s="14">
        <f>IF(AND(Distances!CB120=0,Distances!EN120=0),ROUNDUP(O158+'Délai intermédiaire'!P120/24,0),0)</f>
        <v>0</v>
      </c>
      <c r="P175" s="14">
        <f>IF(AND(Distances!CC120=0,Distances!EO120=0),ROUNDUP(P158+'Délai intermédiaire'!Q120/24,0),0)</f>
        <v>0</v>
      </c>
      <c r="Q175" s="12">
        <f>IF(AND(Distances!CD120=0,Distances!EP120=0),ROUNDUP(Q158+'Délai intermédiaire'!R120/24,0),0)</f>
        <v>1</v>
      </c>
      <c r="R175" s="13">
        <f>IF(AND(Distances!CE120=0,Distances!EQ120=0),ROUNDUP(R158+'Délai intermédiaire'!S120/24,0),0)</f>
        <v>3</v>
      </c>
      <c r="S175" s="13">
        <f>IF(AND(Distances!CF120=0,Distances!ER120=0),ROUNDUP(S158+'Délai intermédiaire'!T120/24,0),0)</f>
        <v>2</v>
      </c>
      <c r="T175" s="13">
        <f>IF(AND(Distances!CG120=0,Distances!ES120=0),ROUNDUP(T158+'Délai intermédiaire'!U120/24,0),0)</f>
        <v>0</v>
      </c>
      <c r="U175" s="13">
        <f>IF(AND(Distances!CH120=0,Distances!ET120=0),ROUNDUP(U158+'Délai intermédiaire'!V120/24,0),0)</f>
        <v>0</v>
      </c>
      <c r="V175" s="13">
        <f>IF(AND(Distances!CI120=0,Distances!EU120=0),ROUNDUP(V158+'Délai intermédiaire'!W120/24,0),0)</f>
        <v>0</v>
      </c>
      <c r="W175" s="13">
        <f>IF(AND(Distances!CJ120=0,Distances!EV120=0),ROUNDUP(W158+'Délai intermédiaire'!X120/24,0),0)</f>
        <v>2</v>
      </c>
      <c r="X175" s="13">
        <f>IF(AND(Distances!CK120=0,Distances!EW120=0),ROUNDUP(X158+'Délai intermédiaire'!Y120/24,0),0)</f>
        <v>0</v>
      </c>
      <c r="Y175" s="13">
        <f>IF(AND(Distances!CL120=0,Distances!EX120=0),ROUNDUP(Y158+'Délai intermédiaire'!Z120/24,0),0)</f>
        <v>0</v>
      </c>
      <c r="Z175" s="13">
        <f>IF(AND(Distances!CM120=0,Distances!EY120=0),ROUNDUP(Z158+'Délai intermédiaire'!AA120/24,0),0)</f>
        <v>0</v>
      </c>
      <c r="AA175" s="13">
        <f>IF(AND(Distances!CN120=0,Distances!EZ120=0),ROUNDUP(AA158+'Délai intermédiaire'!AB120/24,0),0)</f>
        <v>0</v>
      </c>
      <c r="AB175" s="13">
        <f>IF(AND(Distances!CO120=0,Distances!FA120=0),ROUNDUP(AB158+'Délai intermédiaire'!AC120/24,0),0)</f>
        <v>0</v>
      </c>
      <c r="AC175" s="13">
        <f>IF(AND(Distances!CP120=0,Distances!FB120=0),ROUNDUP(AC158+'Délai intermédiaire'!AD120/24,0),0)</f>
        <v>5</v>
      </c>
      <c r="AD175" s="13">
        <f>IF(AND(Distances!CQ120=0,Distances!FC120=0),ROUNDUP(AD158+'Délai intermédiaire'!AE120/24,0),0)</f>
        <v>4</v>
      </c>
      <c r="AE175" s="13">
        <f>IF(AND(Distances!CR120=0,Distances!FD120=0),ROUNDUP(AE158+'Délai intermédiaire'!AF120/24,0),0)</f>
        <v>0</v>
      </c>
      <c r="AF175" s="13">
        <f>IF(AND(Distances!CS120=0,Distances!FE120=0),ROUNDUP(AF158+'Délai intermédiaire'!AG120/24,0),0)</f>
        <v>0</v>
      </c>
      <c r="AG175" s="13">
        <f>IF(AND(Distances!CT120=0,Distances!FF120=0),ROUNDUP(AG158+'Délai intermédiaire'!AH120/24,0),0)</f>
        <v>0</v>
      </c>
      <c r="AH175" s="14">
        <f>IF(AND(Distances!CU120=0,Distances!FG120=0),ROUNDUP(AH158+'Délai intermédiaire'!AI120/24,0),0)</f>
        <v>0</v>
      </c>
      <c r="AI175" s="14">
        <f>IF(AND(Distances!CV120=0,Distances!FH120=0),ROUNDUP(AI158+'Délai intermédiaire'!AJ120/24,0),0)</f>
        <v>17</v>
      </c>
      <c r="AJ175" s="14">
        <f>IF(AND(Distances!CW120=0,Distances!FI120=0),ROUNDUP(AJ158+'Délai intermédiaire'!AK120/24,0),0)</f>
        <v>0</v>
      </c>
      <c r="AK175" s="14">
        <f>IF(AND(Distances!CX120=0,Distances!FJ120=0),ROUNDUP(AK158+'Délai intermédiaire'!AL120/24,0),0)</f>
        <v>16</v>
      </c>
      <c r="AL175" s="14">
        <f>IF(AND(Distances!CY120=0,Distances!FK120=0),ROUNDUP(AL158+'Délai intermédiaire'!AM120/24,0),0)</f>
        <v>21</v>
      </c>
      <c r="AM175" s="14">
        <f>IF(AND(Distances!CZ120=0,Distances!FL120=0),ROUNDUP(AM158+'Délai intermédiaire'!AN120/24,0),0)</f>
        <v>21</v>
      </c>
      <c r="AN175" s="14">
        <f>IF(AND(Distances!DA120=0,Distances!FM120=0),ROUNDUP(AN158+'Délai intermédiaire'!AO120/24,0),0)</f>
        <v>0</v>
      </c>
      <c r="AO175" s="14">
        <f>IF(AND(Distances!DB120=0,Distances!FN120=0),ROUNDUP(AO158+'Délai intermédiaire'!AP120/24,0),0)</f>
        <v>22</v>
      </c>
      <c r="AP175" s="14">
        <f>IF(AND(Distances!DC120=0,Distances!FO120=0),ROUNDUP(AP158+'Délai intermédiaire'!AQ120/24,0),0)</f>
        <v>23</v>
      </c>
      <c r="AQ175" s="14">
        <f>IF(AND(Distances!DD120=0,Distances!FP120=0),ROUNDUP(AQ158+'Délai intermédiaire'!AR120/24,0),0)</f>
        <v>20</v>
      </c>
      <c r="AR175" s="14">
        <f>IF(AND(Distances!DE120=0,Distances!FQ120=0),ROUNDUP(AR158+'Délai intermédiaire'!AS120/24,0),0)</f>
        <v>14</v>
      </c>
      <c r="AS175" s="14">
        <f>IF(AND(Distances!DF120=0,Distances!FR120=0),ROUNDUP(AS158+'Délai intermédiaire'!AT120/24,0),0)</f>
        <v>0</v>
      </c>
      <c r="AT175" s="14">
        <f>IF(AND(Distances!DG120=0,Distances!FS120=0),ROUNDUP(AT158+'Délai intermédiaire'!AU120/24,0),0)</f>
        <v>0</v>
      </c>
      <c r="AU175" s="14">
        <f>IF(AND(Distances!DH120=0,Distances!FT120=0),ROUNDUP(AU158+'Délai intermédiaire'!AV120/24,0),0)</f>
        <v>0</v>
      </c>
      <c r="AV175" s="14">
        <f>IF(AND(Distances!DI120=0,Distances!FU120=0),ROUNDUP(AV158+'Délai intermédiaire'!AW120/24,0),0)</f>
        <v>0</v>
      </c>
      <c r="AW175" s="14">
        <f>IF(AND(Distances!DJ120=0,Distances!FV120=0),ROUNDUP(AW158+'Délai intermédiaire'!AX120/24,0),0)</f>
        <v>0</v>
      </c>
      <c r="AX175" s="14">
        <f>IF(AND(Distances!DK120=0,Distances!FW120=0),ROUNDUP(AX158+'Délai intermédiaire'!AY120/24,0),0)</f>
        <v>24</v>
      </c>
      <c r="AY175" s="14">
        <f>IF(AND(Distances!DL120=0,Distances!FX120=0),ROUNDUP(AY158+'Délai intermédiaire'!AZ120/24,0),0)</f>
        <v>2</v>
      </c>
      <c r="AZ175" s="14">
        <f>IF(AND(Distances!DM120=0,Distances!FY120=0),ROUNDUP(AZ158+'Délai intermédiaire'!BA120/24,0),0)</f>
        <v>0</v>
      </c>
      <c r="BA175" s="14">
        <f>IF(AND(Distances!DN120=0,Distances!FZ120=0),ROUNDUP(BA158+'Délai intermédiaire'!BB120/24,0),0)</f>
        <v>19</v>
      </c>
      <c r="BB175" s="13">
        <f>IF(AND(Distances!DO120=0,Distances!GA120=0),ROUNDUP(BB158+'Délai intermédiaire'!BC120/24,0),0)</f>
        <v>4</v>
      </c>
      <c r="BC175" s="14">
        <f>IF(AND(Distances!DP120=0,Distances!GB120=0),ROUNDUP(BC158+'Délai intermédiaire'!BD120/24,0),0)</f>
        <v>20</v>
      </c>
      <c r="BD175" s="14">
        <f>IF(AND(Distances!DQ120=0,Distances!GC120=0),ROUNDUP(BD158+'Délai intermédiaire'!BE120/24,0),0)</f>
        <v>0</v>
      </c>
      <c r="BE175" s="14">
        <f>IF(AND(Distances!DR120=0,Distances!GD120=0),ROUNDUP(BE158+'Délai intermédiaire'!BF120/24,0),0)</f>
        <v>21</v>
      </c>
      <c r="BF175" s="13">
        <f>IF(AND(Distances!DS120=0,Distances!GE120=0),ROUNDUP(BF158+'Délai intermédiaire'!BG120/24,0),0)</f>
        <v>0</v>
      </c>
      <c r="BG175" s="13">
        <f>IF(AND(Distances!DT120=0,Distances!GF120=0),ROUNDUP(BG158+'Délai intermédiaire'!BH120/24,0),0)</f>
        <v>0</v>
      </c>
      <c r="BH175" s="14">
        <f>IF(AND(Distances!DU120=0,Distances!GG120=0),ROUNDUP(BH158+'Délai intermédiaire'!BI120/24,0),0)</f>
        <v>0</v>
      </c>
      <c r="BI175" s="14">
        <f>IF(AND(Distances!DV120=0,Distances!GH120=0),ROUNDUP(BI158+'Délai intermédiaire'!BJ120/24,0),0)</f>
        <v>0</v>
      </c>
      <c r="BJ175" s="15">
        <f>IF(AND(Distances!DW120=0,Distances!GI120=0),ROUNDUP(BJ158+'Délai intermédiaire'!BK120/24,0),0)</f>
        <v>0</v>
      </c>
    </row>
    <row r="176" spans="1:62" x14ac:dyDescent="0.3">
      <c r="A176" s="10" t="s">
        <v>17</v>
      </c>
      <c r="B176" s="16">
        <f>IF(AND(Distances!BO121=0,Distances!EA121=0),ROUNDUP(B158+'Délai intermédiaire'!C121/24,0),0)</f>
        <v>8</v>
      </c>
      <c r="C176" s="14">
        <f>IF(AND(Distances!BP121=0,Distances!EB121=0),ROUNDUP(C158+'Délai intermédiaire'!D121/24,0),0)</f>
        <v>9</v>
      </c>
      <c r="D176" s="14">
        <f>IF(AND(Distances!BQ121=0,Distances!EC121=0),ROUNDUP(D158+'Délai intermédiaire'!E121/24,0),0)</f>
        <v>0</v>
      </c>
      <c r="E176" s="14">
        <f>IF(AND(Distances!BR121=0,Distances!ED121=0),ROUNDUP(E158+'Délai intermédiaire'!F121/24,0),0)</f>
        <v>9</v>
      </c>
      <c r="F176" s="14">
        <f>IF(AND(Distances!BS121=0,Distances!EE121=0),ROUNDUP(F158+'Délai intermédiaire'!G121/24,0),0)</f>
        <v>0</v>
      </c>
      <c r="G176" s="14">
        <f>IF(AND(Distances!BT121=0,Distances!EF121=0),ROUNDUP(G158+'Délai intermédiaire'!H121/24,0),0)</f>
        <v>0</v>
      </c>
      <c r="H176" s="14">
        <f>IF(AND(Distances!BU121=0,Distances!EG121=0),ROUNDUP(H158+'Délai intermédiaire'!I121/24,0),0)</f>
        <v>16</v>
      </c>
      <c r="I176" s="14">
        <f>IF(AND(Distances!BV121=0,Distances!EH121=0),ROUNDUP(I158+'Délai intermédiaire'!J121/24,0),0)</f>
        <v>14</v>
      </c>
      <c r="J176" s="14">
        <f>IF(AND(Distances!BW121=0,Distances!EI121=0),ROUNDUP(J158+'Délai intermédiaire'!K121/24,0),0)</f>
        <v>0</v>
      </c>
      <c r="K176" s="14">
        <f>IF(AND(Distances!BX121=0,Distances!EJ121=0),ROUNDUP(K158+'Délai intermédiaire'!L121/24,0),0)</f>
        <v>8</v>
      </c>
      <c r="L176" s="14">
        <f>IF(AND(Distances!BY121=0,Distances!EK121=0),ROUNDUP(L158+'Délai intermédiaire'!M121/24,0),0)</f>
        <v>0</v>
      </c>
      <c r="M176" s="14">
        <f>IF(AND(Distances!BZ121=0,Distances!EL121=0),ROUNDUP(M158+'Délai intermédiaire'!N121/24,0),0)</f>
        <v>17</v>
      </c>
      <c r="N176" s="14">
        <f>IF(AND(Distances!CA121=0,Distances!EM121=0),ROUNDUP(N158+'Délai intermédiaire'!O121/24,0),0)</f>
        <v>0</v>
      </c>
      <c r="O176" s="14">
        <f>IF(AND(Distances!CB121=0,Distances!EN121=0),ROUNDUP(O158+'Délai intermédiaire'!P121/24,0),0)</f>
        <v>0</v>
      </c>
      <c r="P176" s="14">
        <f>IF(AND(Distances!CC121=0,Distances!EO121=0),ROUNDUP(P158+'Délai intermédiaire'!Q121/24,0),0)</f>
        <v>0</v>
      </c>
      <c r="Q176" s="13">
        <f>IF(AND(Distances!CD121=0,Distances!EP121=0),ROUNDUP(Q158+'Délai intermédiaire'!R121/24,0),0)</f>
        <v>3</v>
      </c>
      <c r="R176" s="12">
        <f>IF(AND(Distances!CE121=0,Distances!EQ121=0),ROUNDUP(R158+'Délai intermédiaire'!S121/24,0),0)</f>
        <v>1</v>
      </c>
      <c r="S176" s="13">
        <f>IF(AND(Distances!CF121=0,Distances!ER121=0),ROUNDUP(S158+'Délai intermédiaire'!T121/24,0),0)</f>
        <v>3</v>
      </c>
      <c r="T176" s="13">
        <f>IF(AND(Distances!CG121=0,Distances!ES121=0),ROUNDUP(T158+'Délai intermédiaire'!U121/24,0),0)</f>
        <v>0</v>
      </c>
      <c r="U176" s="13">
        <f>IF(AND(Distances!CH121=0,Distances!ET121=0),ROUNDUP(U158+'Délai intermédiaire'!V121/24,0),0)</f>
        <v>0</v>
      </c>
      <c r="V176" s="13">
        <f>IF(AND(Distances!CI121=0,Distances!EU121=0),ROUNDUP(V158+'Délai intermédiaire'!W121/24,0),0)</f>
        <v>0</v>
      </c>
      <c r="W176" s="13">
        <f>IF(AND(Distances!CJ121=0,Distances!EV121=0),ROUNDUP(W158+'Délai intermédiaire'!X121/24,0),0)</f>
        <v>3</v>
      </c>
      <c r="X176" s="13">
        <f>IF(AND(Distances!CK121=0,Distances!EW121=0),ROUNDUP(X158+'Délai intermédiaire'!Y121/24,0),0)</f>
        <v>0</v>
      </c>
      <c r="Y176" s="13">
        <f>IF(AND(Distances!CL121=0,Distances!EX121=0),ROUNDUP(Y158+'Délai intermédiaire'!Z121/24,0),0)</f>
        <v>0</v>
      </c>
      <c r="Z176" s="13">
        <f>IF(AND(Distances!CM121=0,Distances!EY121=0),ROUNDUP(Z158+'Délai intermédiaire'!AA121/24,0),0)</f>
        <v>0</v>
      </c>
      <c r="AA176" s="13">
        <f>IF(AND(Distances!CN121=0,Distances!EZ121=0),ROUNDUP(AA158+'Délai intermédiaire'!AB121/24,0),0)</f>
        <v>0</v>
      </c>
      <c r="AB176" s="13">
        <f>IF(AND(Distances!CO121=0,Distances!FA121=0),ROUNDUP(AB158+'Délai intermédiaire'!AC121/24,0),0)</f>
        <v>0</v>
      </c>
      <c r="AC176" s="13">
        <f>IF(AND(Distances!CP121=0,Distances!FB121=0),ROUNDUP(AC158+'Délai intermédiaire'!AD121/24,0),0)</f>
        <v>5</v>
      </c>
      <c r="AD176" s="13">
        <f>IF(AND(Distances!CQ121=0,Distances!FC121=0),ROUNDUP(AD158+'Délai intermédiaire'!AE121/24,0),0)</f>
        <v>5</v>
      </c>
      <c r="AE176" s="13">
        <f>IF(AND(Distances!CR121=0,Distances!FD121=0),ROUNDUP(AE158+'Délai intermédiaire'!AF121/24,0),0)</f>
        <v>0</v>
      </c>
      <c r="AF176" s="13">
        <f>IF(AND(Distances!CS121=0,Distances!FE121=0),ROUNDUP(AF158+'Délai intermédiaire'!AG121/24,0),0)</f>
        <v>0</v>
      </c>
      <c r="AG176" s="13">
        <f>IF(AND(Distances!CT121=0,Distances!FF121=0),ROUNDUP(AG158+'Délai intermédiaire'!AH121/24,0),0)</f>
        <v>0</v>
      </c>
      <c r="AH176" s="14">
        <f>IF(AND(Distances!CU121=0,Distances!FG121=0),ROUNDUP(AH158+'Délai intermédiaire'!AI121/24,0),0)</f>
        <v>0</v>
      </c>
      <c r="AI176" s="14">
        <f>IF(AND(Distances!CV121=0,Distances!FH121=0),ROUNDUP(AI158+'Délai intermédiaire'!AJ121/24,0),0)</f>
        <v>16</v>
      </c>
      <c r="AJ176" s="14">
        <f>IF(AND(Distances!CW121=0,Distances!FI121=0),ROUNDUP(AJ158+'Délai intermédiaire'!AK121/24,0),0)</f>
        <v>0</v>
      </c>
      <c r="AK176" s="14">
        <f>IF(AND(Distances!CX121=0,Distances!FJ121=0),ROUNDUP(AK158+'Délai intermédiaire'!AL121/24,0),0)</f>
        <v>15</v>
      </c>
      <c r="AL176" s="14">
        <f>IF(AND(Distances!CY121=0,Distances!FK121=0),ROUNDUP(AL158+'Délai intermédiaire'!AM121/24,0),0)</f>
        <v>21</v>
      </c>
      <c r="AM176" s="14">
        <f>IF(AND(Distances!CZ121=0,Distances!FL121=0),ROUNDUP(AM158+'Délai intermédiaire'!AN121/24,0),0)</f>
        <v>20</v>
      </c>
      <c r="AN176" s="14">
        <f>IF(AND(Distances!DA121=0,Distances!FM121=0),ROUNDUP(AN158+'Délai intermédiaire'!AO121/24,0),0)</f>
        <v>0</v>
      </c>
      <c r="AO176" s="14">
        <f>IF(AND(Distances!DB121=0,Distances!FN121=0),ROUNDUP(AO158+'Délai intermédiaire'!AP121/24,0),0)</f>
        <v>22</v>
      </c>
      <c r="AP176" s="14">
        <f>IF(AND(Distances!DC121=0,Distances!FO121=0),ROUNDUP(AP158+'Délai intermédiaire'!AQ121/24,0),0)</f>
        <v>22</v>
      </c>
      <c r="AQ176" s="14">
        <f>IF(AND(Distances!DD121=0,Distances!FP121=0),ROUNDUP(AQ158+'Délai intermédiaire'!AR121/24,0),0)</f>
        <v>19</v>
      </c>
      <c r="AR176" s="14">
        <f>IF(AND(Distances!DE121=0,Distances!FQ121=0),ROUNDUP(AR158+'Délai intermédiaire'!AS121/24,0),0)</f>
        <v>13</v>
      </c>
      <c r="AS176" s="14">
        <f>IF(AND(Distances!DF121=0,Distances!FR121=0),ROUNDUP(AS158+'Délai intermédiaire'!AT121/24,0),0)</f>
        <v>0</v>
      </c>
      <c r="AT176" s="14">
        <f>IF(AND(Distances!DG121=0,Distances!FS121=0),ROUNDUP(AT158+'Délai intermédiaire'!AU121/24,0),0)</f>
        <v>0</v>
      </c>
      <c r="AU176" s="14">
        <f>IF(AND(Distances!DH121=0,Distances!FT121=0),ROUNDUP(AU158+'Délai intermédiaire'!AV121/24,0),0)</f>
        <v>0</v>
      </c>
      <c r="AV176" s="14">
        <f>IF(AND(Distances!DI121=0,Distances!FU121=0),ROUNDUP(AV158+'Délai intermédiaire'!AW121/24,0),0)</f>
        <v>0</v>
      </c>
      <c r="AW176" s="14">
        <f>IF(AND(Distances!DJ121=0,Distances!FV121=0),ROUNDUP(AW158+'Délai intermédiaire'!AX121/24,0),0)</f>
        <v>0</v>
      </c>
      <c r="AX176" s="14">
        <f>IF(AND(Distances!DK121=0,Distances!FW121=0),ROUNDUP(AX158+'Délai intermédiaire'!AY121/24,0),0)</f>
        <v>23</v>
      </c>
      <c r="AY176" s="14">
        <f>IF(AND(Distances!DL121=0,Distances!FX121=0),ROUNDUP(AY158+'Délai intermédiaire'!AZ121/24,0),0)</f>
        <v>2</v>
      </c>
      <c r="AZ176" s="14">
        <f>IF(AND(Distances!DM121=0,Distances!FY121=0),ROUNDUP(AZ158+'Délai intermédiaire'!BA121/24,0),0)</f>
        <v>0</v>
      </c>
      <c r="BA176" s="14">
        <f>IF(AND(Distances!DN121=0,Distances!FZ121=0),ROUNDUP(BA158+'Délai intermédiaire'!BB121/24,0),0)</f>
        <v>18</v>
      </c>
      <c r="BB176" s="13">
        <f>IF(AND(Distances!DO121=0,Distances!GA121=0),ROUNDUP(BB158+'Délai intermédiaire'!BC121/24,0),0)</f>
        <v>5</v>
      </c>
      <c r="BC176" s="14">
        <f>IF(AND(Distances!DP121=0,Distances!GB121=0),ROUNDUP(BC158+'Délai intermédiaire'!BD121/24,0),0)</f>
        <v>19</v>
      </c>
      <c r="BD176" s="14">
        <f>IF(AND(Distances!DQ121=0,Distances!GC121=0),ROUNDUP(BD158+'Délai intermédiaire'!BE121/24,0),0)</f>
        <v>0</v>
      </c>
      <c r="BE176" s="14">
        <f>IF(AND(Distances!DR121=0,Distances!GD121=0),ROUNDUP(BE158+'Délai intermédiaire'!BF121/24,0),0)</f>
        <v>21</v>
      </c>
      <c r="BF176" s="13">
        <f>IF(AND(Distances!DS121=0,Distances!GE121=0),ROUNDUP(BF158+'Délai intermédiaire'!BG121/24,0),0)</f>
        <v>0</v>
      </c>
      <c r="BG176" s="13">
        <f>IF(AND(Distances!DT121=0,Distances!GF121=0),ROUNDUP(BG158+'Délai intermédiaire'!BH121/24,0),0)</f>
        <v>0</v>
      </c>
      <c r="BH176" s="14">
        <f>IF(AND(Distances!DU121=0,Distances!GG121=0),ROUNDUP(BH158+'Délai intermédiaire'!BI121/24,0),0)</f>
        <v>0</v>
      </c>
      <c r="BI176" s="14">
        <f>IF(AND(Distances!DV121=0,Distances!GH121=0),ROUNDUP(BI158+'Délai intermédiaire'!BJ121/24,0),0)</f>
        <v>0</v>
      </c>
      <c r="BJ176" s="15">
        <f>IF(AND(Distances!DW121=0,Distances!GI121=0),ROUNDUP(BJ158+'Délai intermédiaire'!BK121/24,0),0)</f>
        <v>0</v>
      </c>
    </row>
    <row r="177" spans="1:62" x14ac:dyDescent="0.3">
      <c r="A177" s="10" t="s">
        <v>18</v>
      </c>
      <c r="B177" s="16">
        <f>IF(AND(Distances!BO122=0,Distances!EA122=0),ROUNDUP(B158+'Délai intermédiaire'!C122/24,0),0)</f>
        <v>9</v>
      </c>
      <c r="C177" s="14">
        <f>IF(AND(Distances!BP122=0,Distances!EB122=0),ROUNDUP(C158+'Délai intermédiaire'!D122/24,0),0)</f>
        <v>10</v>
      </c>
      <c r="D177" s="14">
        <f>IF(AND(Distances!BQ122=0,Distances!EC122=0),ROUNDUP(D158+'Délai intermédiaire'!E122/24,0),0)</f>
        <v>0</v>
      </c>
      <c r="E177" s="14">
        <f>IF(AND(Distances!BR122=0,Distances!ED122=0),ROUNDUP(E158+'Délai intermédiaire'!F122/24,0),0)</f>
        <v>9</v>
      </c>
      <c r="F177" s="14">
        <f>IF(AND(Distances!BS122=0,Distances!EE122=0),ROUNDUP(F158+'Délai intermédiaire'!G122/24,0),0)</f>
        <v>0</v>
      </c>
      <c r="G177" s="14">
        <f>IF(AND(Distances!BT122=0,Distances!EF122=0),ROUNDUP(G158+'Délai intermédiaire'!H122/24,0),0)</f>
        <v>0</v>
      </c>
      <c r="H177" s="14">
        <f>IF(AND(Distances!BU122=0,Distances!EG122=0),ROUNDUP(H158+'Délai intermédiaire'!I122/24,0),0)</f>
        <v>17</v>
      </c>
      <c r="I177" s="14">
        <f>IF(AND(Distances!BV122=0,Distances!EH122=0),ROUNDUP(I158+'Délai intermédiaire'!J122/24,0),0)</f>
        <v>15</v>
      </c>
      <c r="J177" s="14">
        <f>IF(AND(Distances!BW122=0,Distances!EI122=0),ROUNDUP(J158+'Délai intermédiaire'!K122/24,0),0)</f>
        <v>0</v>
      </c>
      <c r="K177" s="14">
        <f>IF(AND(Distances!BX122=0,Distances!EJ122=0),ROUNDUP(K158+'Délai intermédiaire'!L122/24,0),0)</f>
        <v>8</v>
      </c>
      <c r="L177" s="14">
        <f>IF(AND(Distances!BY122=0,Distances!EK122=0),ROUNDUP(L158+'Délai intermédiaire'!M122/24,0),0)</f>
        <v>0</v>
      </c>
      <c r="M177" s="14">
        <f>IF(AND(Distances!BZ122=0,Distances!EL122=0),ROUNDUP(M158+'Délai intermédiaire'!N122/24,0),0)</f>
        <v>18</v>
      </c>
      <c r="N177" s="14">
        <f>IF(AND(Distances!CA122=0,Distances!EM122=0),ROUNDUP(N158+'Délai intermédiaire'!O122/24,0),0)</f>
        <v>0</v>
      </c>
      <c r="O177" s="14">
        <f>IF(AND(Distances!CB122=0,Distances!EN122=0),ROUNDUP(O158+'Délai intermédiaire'!P122/24,0),0)</f>
        <v>0</v>
      </c>
      <c r="P177" s="14">
        <f>IF(AND(Distances!CC122=0,Distances!EO122=0),ROUNDUP(P158+'Délai intermédiaire'!Q122/24,0),0)</f>
        <v>0</v>
      </c>
      <c r="Q177" s="13">
        <f>IF(AND(Distances!CD122=0,Distances!EP122=0),ROUNDUP(Q158+'Délai intermédiaire'!R122/24,0),0)</f>
        <v>2</v>
      </c>
      <c r="R177" s="13">
        <f>IF(AND(Distances!CE122=0,Distances!EQ122=0),ROUNDUP(R158+'Délai intermédiaire'!S122/24,0),0)</f>
        <v>3</v>
      </c>
      <c r="S177" s="12">
        <f>IF(AND(Distances!CF122=0,Distances!ER122=0),ROUNDUP(S158+'Délai intermédiaire'!T122/24,0),0)</f>
        <v>1</v>
      </c>
      <c r="T177" s="13">
        <f>IF(AND(Distances!CG122=0,Distances!ES122=0),ROUNDUP(T158+'Délai intermédiaire'!U122/24,0),0)</f>
        <v>0</v>
      </c>
      <c r="U177" s="13">
        <f>IF(AND(Distances!CH122=0,Distances!ET122=0),ROUNDUP(U158+'Délai intermédiaire'!V122/24,0),0)</f>
        <v>0</v>
      </c>
      <c r="V177" s="13">
        <f>IF(AND(Distances!CI122=0,Distances!EU122=0),ROUNDUP(V158+'Délai intermédiaire'!W122/24,0),0)</f>
        <v>0</v>
      </c>
      <c r="W177" s="13">
        <f>IF(AND(Distances!CJ122=0,Distances!EV122=0),ROUNDUP(W158+'Délai intermédiaire'!X122/24,0),0)</f>
        <v>2</v>
      </c>
      <c r="X177" s="13">
        <f>IF(AND(Distances!CK122=0,Distances!EW122=0),ROUNDUP(X158+'Délai intermédiaire'!Y122/24,0),0)</f>
        <v>0</v>
      </c>
      <c r="Y177" s="13">
        <f>IF(AND(Distances!CL122=0,Distances!EX122=0),ROUNDUP(Y158+'Délai intermédiaire'!Z122/24,0),0)</f>
        <v>0</v>
      </c>
      <c r="Z177" s="13">
        <f>IF(AND(Distances!CM122=0,Distances!EY122=0),ROUNDUP(Z158+'Délai intermédiaire'!AA122/24,0),0)</f>
        <v>0</v>
      </c>
      <c r="AA177" s="13">
        <f>IF(AND(Distances!CN122=0,Distances!EZ122=0),ROUNDUP(AA158+'Délai intermédiaire'!AB122/24,0),0)</f>
        <v>0</v>
      </c>
      <c r="AB177" s="13">
        <f>IF(AND(Distances!CO122=0,Distances!FA122=0),ROUNDUP(AB158+'Délai intermédiaire'!AC122/24,0),0)</f>
        <v>0</v>
      </c>
      <c r="AC177" s="13">
        <f>IF(AND(Distances!CP122=0,Distances!FB122=0),ROUNDUP(AC158+'Délai intermédiaire'!AD122/24,0),0)</f>
        <v>5</v>
      </c>
      <c r="AD177" s="13">
        <f>IF(AND(Distances!CQ122=0,Distances!FC122=0),ROUNDUP(AD158+'Délai intermédiaire'!AE122/24,0),0)</f>
        <v>4</v>
      </c>
      <c r="AE177" s="13">
        <f>IF(AND(Distances!CR122=0,Distances!FD122=0),ROUNDUP(AE158+'Délai intermédiaire'!AF122/24,0),0)</f>
        <v>0</v>
      </c>
      <c r="AF177" s="13">
        <f>IF(AND(Distances!CS122=0,Distances!FE122=0),ROUNDUP(AF158+'Délai intermédiaire'!AG122/24,0),0)</f>
        <v>0</v>
      </c>
      <c r="AG177" s="13">
        <f>IF(AND(Distances!CT122=0,Distances!FF122=0),ROUNDUP(AG158+'Délai intermédiaire'!AH122/24,0),0)</f>
        <v>0</v>
      </c>
      <c r="AH177" s="14">
        <f>IF(AND(Distances!CU122=0,Distances!FG122=0),ROUNDUP(AH158+'Délai intermédiaire'!AI122/24,0),0)</f>
        <v>0</v>
      </c>
      <c r="AI177" s="14">
        <f>IF(AND(Distances!CV122=0,Distances!FH122=0),ROUNDUP(AI158+'Délai intermédiaire'!AJ122/24,0),0)</f>
        <v>16</v>
      </c>
      <c r="AJ177" s="14">
        <f>IF(AND(Distances!CW122=0,Distances!FI122=0),ROUNDUP(AJ158+'Délai intermédiaire'!AK122/24,0),0)</f>
        <v>0</v>
      </c>
      <c r="AK177" s="14">
        <f>IF(AND(Distances!CX122=0,Distances!FJ122=0),ROUNDUP(AK158+'Délai intermédiaire'!AL122/24,0),0)</f>
        <v>15</v>
      </c>
      <c r="AL177" s="14">
        <f>IF(AND(Distances!CY122=0,Distances!FK122=0),ROUNDUP(AL158+'Délai intermédiaire'!AM122/24,0),0)</f>
        <v>21</v>
      </c>
      <c r="AM177" s="14">
        <f>IF(AND(Distances!CZ122=0,Distances!FL122=0),ROUNDUP(AM158+'Délai intermédiaire'!AN122/24,0),0)</f>
        <v>20</v>
      </c>
      <c r="AN177" s="14">
        <f>IF(AND(Distances!DA122=0,Distances!FM122=0),ROUNDUP(AN158+'Délai intermédiaire'!AO122/24,0),0)</f>
        <v>0</v>
      </c>
      <c r="AO177" s="14">
        <f>IF(AND(Distances!DB122=0,Distances!FN122=0),ROUNDUP(AO158+'Délai intermédiaire'!AP122/24,0),0)</f>
        <v>22</v>
      </c>
      <c r="AP177" s="14">
        <f>IF(AND(Distances!DC122=0,Distances!FO122=0),ROUNDUP(AP158+'Délai intermédiaire'!AQ122/24,0),0)</f>
        <v>22</v>
      </c>
      <c r="AQ177" s="14">
        <f>IF(AND(Distances!DD122=0,Distances!FP122=0),ROUNDUP(AQ158+'Délai intermédiaire'!AR122/24,0),0)</f>
        <v>19</v>
      </c>
      <c r="AR177" s="14">
        <f>IF(AND(Distances!DE122=0,Distances!FQ122=0),ROUNDUP(AR158+'Délai intermédiaire'!AS122/24,0),0)</f>
        <v>13</v>
      </c>
      <c r="AS177" s="14">
        <f>IF(AND(Distances!DF122=0,Distances!FR122=0),ROUNDUP(AS158+'Délai intermédiaire'!AT122/24,0),0)</f>
        <v>0</v>
      </c>
      <c r="AT177" s="14">
        <f>IF(AND(Distances!DG122=0,Distances!FS122=0),ROUNDUP(AT158+'Délai intermédiaire'!AU122/24,0),0)</f>
        <v>0</v>
      </c>
      <c r="AU177" s="14">
        <f>IF(AND(Distances!DH122=0,Distances!FT122=0),ROUNDUP(AU158+'Délai intermédiaire'!AV122/24,0),0)</f>
        <v>0</v>
      </c>
      <c r="AV177" s="14">
        <f>IF(AND(Distances!DI122=0,Distances!FU122=0),ROUNDUP(AV158+'Délai intermédiaire'!AW122/24,0),0)</f>
        <v>0</v>
      </c>
      <c r="AW177" s="14">
        <f>IF(AND(Distances!DJ122=0,Distances!FV122=0),ROUNDUP(AW158+'Délai intermédiaire'!AX122/24,0),0)</f>
        <v>0</v>
      </c>
      <c r="AX177" s="14">
        <f>IF(AND(Distances!DK122=0,Distances!FW122=0),ROUNDUP(AX158+'Délai intermédiaire'!AY122/24,0),0)</f>
        <v>23</v>
      </c>
      <c r="AY177" s="14">
        <f>IF(AND(Distances!DL122=0,Distances!FX122=0),ROUNDUP(AY158+'Délai intermédiaire'!AZ122/24,0),0)</f>
        <v>2</v>
      </c>
      <c r="AZ177" s="14">
        <f>IF(AND(Distances!DM122=0,Distances!FY122=0),ROUNDUP(AZ158+'Délai intermédiaire'!BA122/24,0),0)</f>
        <v>0</v>
      </c>
      <c r="BA177" s="14">
        <f>IF(AND(Distances!DN122=0,Distances!FZ122=0),ROUNDUP(BA158+'Délai intermédiaire'!BB122/24,0),0)</f>
        <v>18</v>
      </c>
      <c r="BB177" s="13">
        <f>IF(AND(Distances!DO122=0,Distances!GA122=0),ROUNDUP(BB158+'Délai intermédiaire'!BC122/24,0),0)</f>
        <v>4</v>
      </c>
      <c r="BC177" s="14">
        <f>IF(AND(Distances!DP122=0,Distances!GB122=0),ROUNDUP(BC158+'Délai intermédiaire'!BD122/24,0),0)</f>
        <v>19</v>
      </c>
      <c r="BD177" s="14">
        <f>IF(AND(Distances!DQ122=0,Distances!GC122=0),ROUNDUP(BD158+'Délai intermédiaire'!BE122/24,0),0)</f>
        <v>0</v>
      </c>
      <c r="BE177" s="14">
        <f>IF(AND(Distances!DR122=0,Distances!GD122=0),ROUNDUP(BE158+'Délai intermédiaire'!BF122/24,0),0)</f>
        <v>21</v>
      </c>
      <c r="BF177" s="13">
        <f>IF(AND(Distances!DS122=0,Distances!GE122=0),ROUNDUP(BF158+'Délai intermédiaire'!BG122/24,0),0)</f>
        <v>0</v>
      </c>
      <c r="BG177" s="13">
        <f>IF(AND(Distances!DT122=0,Distances!GF122=0),ROUNDUP(BG158+'Délai intermédiaire'!BH122/24,0),0)</f>
        <v>0</v>
      </c>
      <c r="BH177" s="14">
        <f>IF(AND(Distances!DU122=0,Distances!GG122=0),ROUNDUP(BH158+'Délai intermédiaire'!BI122/24,0),0)</f>
        <v>0</v>
      </c>
      <c r="BI177" s="14">
        <f>IF(AND(Distances!DV122=0,Distances!GH122=0),ROUNDUP(BI158+'Délai intermédiaire'!BJ122/24,0),0)</f>
        <v>0</v>
      </c>
      <c r="BJ177" s="15">
        <f>IF(AND(Distances!DW122=0,Distances!GI122=0),ROUNDUP(BJ158+'Délai intermédiaire'!BK122/24,0),0)</f>
        <v>0</v>
      </c>
    </row>
    <row r="178" spans="1:62" x14ac:dyDescent="0.3">
      <c r="A178" s="10" t="s">
        <v>19</v>
      </c>
      <c r="B178" s="16">
        <f>IF(AND(Distances!BO123=0,Distances!EA123=0),ROUNDUP(B158+'Délai intermédiaire'!C123/24,0),0)</f>
        <v>0</v>
      </c>
      <c r="C178" s="14">
        <f>IF(AND(Distances!BP123=0,Distances!EB123=0),ROUNDUP(C158+'Délai intermédiaire'!D123/24,0),0)</f>
        <v>0</v>
      </c>
      <c r="D178" s="14">
        <f>IF(AND(Distances!BQ123=0,Distances!EC123=0),ROUNDUP(D158+'Délai intermédiaire'!E123/24,0),0)</f>
        <v>0</v>
      </c>
      <c r="E178" s="14">
        <f>IF(AND(Distances!BR123=0,Distances!ED123=0),ROUNDUP(E158+'Délai intermédiaire'!F123/24,0),0)</f>
        <v>0</v>
      </c>
      <c r="F178" s="14">
        <f>IF(AND(Distances!BS123=0,Distances!EE123=0),ROUNDUP(F158+'Délai intermédiaire'!G123/24,0),0)</f>
        <v>0</v>
      </c>
      <c r="G178" s="14">
        <f>IF(AND(Distances!BT123=0,Distances!EF123=0),ROUNDUP(G158+'Délai intermédiaire'!H123/24,0),0)</f>
        <v>0</v>
      </c>
      <c r="H178" s="14">
        <f>IF(AND(Distances!BU123=0,Distances!EG123=0),ROUNDUP(H158+'Délai intermédiaire'!I123/24,0),0)</f>
        <v>0</v>
      </c>
      <c r="I178" s="14">
        <f>IF(AND(Distances!BV123=0,Distances!EH123=0),ROUNDUP(I158+'Délai intermédiaire'!J123/24,0),0)</f>
        <v>0</v>
      </c>
      <c r="J178" s="14">
        <f>IF(AND(Distances!BW123=0,Distances!EI123=0),ROUNDUP(J158+'Délai intermédiaire'!K123/24,0),0)</f>
        <v>0</v>
      </c>
      <c r="K178" s="14">
        <f>IF(AND(Distances!BX123=0,Distances!EJ123=0),ROUNDUP(K158+'Délai intermédiaire'!L123/24,0),0)</f>
        <v>0</v>
      </c>
      <c r="L178" s="14">
        <f>IF(AND(Distances!BY123=0,Distances!EK123=0),ROUNDUP(L158+'Délai intermédiaire'!M123/24,0),0)</f>
        <v>0</v>
      </c>
      <c r="M178" s="14">
        <f>IF(AND(Distances!BZ123=0,Distances!EL123=0),ROUNDUP(M158+'Délai intermédiaire'!N123/24,0),0)</f>
        <v>0</v>
      </c>
      <c r="N178" s="14">
        <f>IF(AND(Distances!CA123=0,Distances!EM123=0),ROUNDUP(N158+'Délai intermédiaire'!O123/24,0),0)</f>
        <v>0</v>
      </c>
      <c r="O178" s="14">
        <f>IF(AND(Distances!CB123=0,Distances!EN123=0),ROUNDUP(O158+'Délai intermédiaire'!P123/24,0),0)</f>
        <v>0</v>
      </c>
      <c r="P178" s="14">
        <f>IF(AND(Distances!CC123=0,Distances!EO123=0),ROUNDUP(P158+'Délai intermédiaire'!Q123/24,0),0)</f>
        <v>0</v>
      </c>
      <c r="Q178" s="13">
        <f>IF(AND(Distances!CD123=0,Distances!EP123=0),ROUNDUP(Q158+'Délai intermédiaire'!R123/24,0),0)</f>
        <v>0</v>
      </c>
      <c r="R178" s="13">
        <f>IF(AND(Distances!CE123=0,Distances!EQ123=0),ROUNDUP(R158+'Délai intermédiaire'!S123/24,0),0)</f>
        <v>0</v>
      </c>
      <c r="S178" s="13">
        <f>IF(AND(Distances!CF123=0,Distances!ER123=0),ROUNDUP(S158+'Délai intermédiaire'!T123/24,0),0)</f>
        <v>0</v>
      </c>
      <c r="T178" s="12">
        <f>IF(AND(Distances!CG123=0,Distances!ES123=0),ROUNDUP(T158+'Délai intermédiaire'!U123/24,0),0)</f>
        <v>1</v>
      </c>
      <c r="U178" s="13">
        <f>IF(AND(Distances!CH123=0,Distances!ET123=0),ROUNDUP(U158+'Délai intermédiaire'!V123/24,0),0)</f>
        <v>0</v>
      </c>
      <c r="V178" s="13">
        <f>IF(AND(Distances!CI123=0,Distances!EU123=0),ROUNDUP(V158+'Délai intermédiaire'!W123/24,0),0)</f>
        <v>0</v>
      </c>
      <c r="W178" s="13">
        <f>IF(AND(Distances!CJ123=0,Distances!EV123=0),ROUNDUP(W158+'Délai intermédiaire'!X123/24,0),0)</f>
        <v>0</v>
      </c>
      <c r="X178" s="13">
        <f>IF(AND(Distances!CK123=0,Distances!EW123=0),ROUNDUP(X158+'Délai intermédiaire'!Y123/24,0),0)</f>
        <v>0</v>
      </c>
      <c r="Y178" s="13">
        <f>IF(AND(Distances!CL123=0,Distances!EX123=0),ROUNDUP(Y158+'Délai intermédiaire'!Z123/24,0),0)</f>
        <v>0</v>
      </c>
      <c r="Z178" s="13">
        <f>IF(AND(Distances!CM123=0,Distances!EY123=0),ROUNDUP(Z158+'Délai intermédiaire'!AA123/24,0),0)</f>
        <v>0</v>
      </c>
      <c r="AA178" s="13">
        <f>IF(AND(Distances!CN123=0,Distances!EZ123=0),ROUNDUP(AA158+'Délai intermédiaire'!AB123/24,0),0)</f>
        <v>0</v>
      </c>
      <c r="AB178" s="13">
        <f>IF(AND(Distances!CO123=0,Distances!FA123=0),ROUNDUP(AB158+'Délai intermédiaire'!AC123/24,0),0)</f>
        <v>0</v>
      </c>
      <c r="AC178" s="13">
        <f>IF(AND(Distances!CP123=0,Distances!FB123=0),ROUNDUP(AC158+'Délai intermédiaire'!AD123/24,0),0)</f>
        <v>0</v>
      </c>
      <c r="AD178" s="13">
        <f>IF(AND(Distances!CQ123=0,Distances!FC123=0),ROUNDUP(AD158+'Délai intermédiaire'!AE123/24,0),0)</f>
        <v>0</v>
      </c>
      <c r="AE178" s="13">
        <f>IF(AND(Distances!CR123=0,Distances!FD123=0),ROUNDUP(AE158+'Délai intermédiaire'!AF123/24,0),0)</f>
        <v>0</v>
      </c>
      <c r="AF178" s="13">
        <f>IF(AND(Distances!CS123=0,Distances!FE123=0),ROUNDUP(AF158+'Délai intermédiaire'!AG123/24,0),0)</f>
        <v>0</v>
      </c>
      <c r="AG178" s="13">
        <f>IF(AND(Distances!CT123=0,Distances!FF123=0),ROUNDUP(AG158+'Délai intermédiaire'!AH123/24,0),0)</f>
        <v>0</v>
      </c>
      <c r="AH178" s="14">
        <f>IF(AND(Distances!CU123=0,Distances!FG123=0),ROUNDUP(AH158+'Délai intermédiaire'!AI123/24,0),0)</f>
        <v>0</v>
      </c>
      <c r="AI178" s="14">
        <f>IF(AND(Distances!CV123=0,Distances!FH123=0),ROUNDUP(AI158+'Délai intermédiaire'!AJ123/24,0),0)</f>
        <v>0</v>
      </c>
      <c r="AJ178" s="14">
        <f>IF(AND(Distances!CW123=0,Distances!FI123=0),ROUNDUP(AJ158+'Délai intermédiaire'!AK123/24,0),0)</f>
        <v>0</v>
      </c>
      <c r="AK178" s="14">
        <f>IF(AND(Distances!CX123=0,Distances!FJ123=0),ROUNDUP(AK158+'Délai intermédiaire'!AL123/24,0),0)</f>
        <v>0</v>
      </c>
      <c r="AL178" s="14">
        <f>IF(AND(Distances!CY123=0,Distances!FK123=0),ROUNDUP(AL158+'Délai intermédiaire'!AM123/24,0),0)</f>
        <v>0</v>
      </c>
      <c r="AM178" s="14">
        <f>IF(AND(Distances!CZ123=0,Distances!FL123=0),ROUNDUP(AM158+'Délai intermédiaire'!AN123/24,0),0)</f>
        <v>0</v>
      </c>
      <c r="AN178" s="14">
        <f>IF(AND(Distances!DA123=0,Distances!FM123=0),ROUNDUP(AN158+'Délai intermédiaire'!AO123/24,0),0)</f>
        <v>0</v>
      </c>
      <c r="AO178" s="14">
        <f>IF(AND(Distances!DB123=0,Distances!FN123=0),ROUNDUP(AO158+'Délai intermédiaire'!AP123/24,0),0)</f>
        <v>0</v>
      </c>
      <c r="AP178" s="14">
        <f>IF(AND(Distances!DC123=0,Distances!FO123=0),ROUNDUP(AP158+'Délai intermédiaire'!AQ123/24,0),0)</f>
        <v>0</v>
      </c>
      <c r="AQ178" s="14">
        <f>IF(AND(Distances!DD123=0,Distances!FP123=0),ROUNDUP(AQ158+'Délai intermédiaire'!AR123/24,0),0)</f>
        <v>0</v>
      </c>
      <c r="AR178" s="14">
        <f>IF(AND(Distances!DE123=0,Distances!FQ123=0),ROUNDUP(AR158+'Délai intermédiaire'!AS123/24,0),0)</f>
        <v>0</v>
      </c>
      <c r="AS178" s="14">
        <f>IF(AND(Distances!DF123=0,Distances!FR123=0),ROUNDUP(AS158+'Délai intermédiaire'!AT123/24,0),0)</f>
        <v>0</v>
      </c>
      <c r="AT178" s="14">
        <f>IF(AND(Distances!DG123=0,Distances!FS123=0),ROUNDUP(AT158+'Délai intermédiaire'!AU123/24,0),0)</f>
        <v>0</v>
      </c>
      <c r="AU178" s="14">
        <f>IF(AND(Distances!DH123=0,Distances!FT123=0),ROUNDUP(AU158+'Délai intermédiaire'!AV123/24,0),0)</f>
        <v>0</v>
      </c>
      <c r="AV178" s="14">
        <f>IF(AND(Distances!DI123=0,Distances!FU123=0),ROUNDUP(AV158+'Délai intermédiaire'!AW123/24,0),0)</f>
        <v>0</v>
      </c>
      <c r="AW178" s="14">
        <f>IF(AND(Distances!DJ123=0,Distances!FV123=0),ROUNDUP(AW158+'Délai intermédiaire'!AX123/24,0),0)</f>
        <v>0</v>
      </c>
      <c r="AX178" s="14">
        <f>IF(AND(Distances!DK123=0,Distances!FW123=0),ROUNDUP(AX158+'Délai intermédiaire'!AY123/24,0),0)</f>
        <v>0</v>
      </c>
      <c r="AY178" s="14">
        <f>IF(AND(Distances!DL123=0,Distances!FX123=0),ROUNDUP(AY158+'Délai intermédiaire'!AZ123/24,0),0)</f>
        <v>0</v>
      </c>
      <c r="AZ178" s="14">
        <f>IF(AND(Distances!DM123=0,Distances!FY123=0),ROUNDUP(AZ158+'Délai intermédiaire'!BA123/24,0),0)</f>
        <v>0</v>
      </c>
      <c r="BA178" s="14">
        <f>IF(AND(Distances!DN123=0,Distances!FZ123=0),ROUNDUP(BA158+'Délai intermédiaire'!BB123/24,0),0)</f>
        <v>0</v>
      </c>
      <c r="BB178" s="13">
        <f>IF(AND(Distances!DO123=0,Distances!GA123=0),ROUNDUP(BB158+'Délai intermédiaire'!BC123/24,0),0)</f>
        <v>0</v>
      </c>
      <c r="BC178" s="14">
        <f>IF(AND(Distances!DP123=0,Distances!GB123=0),ROUNDUP(BC158+'Délai intermédiaire'!BD123/24,0),0)</f>
        <v>0</v>
      </c>
      <c r="BD178" s="14">
        <f>IF(AND(Distances!DQ123=0,Distances!GC123=0),ROUNDUP(BD158+'Délai intermédiaire'!BE123/24,0),0)</f>
        <v>0</v>
      </c>
      <c r="BE178" s="14">
        <f>IF(AND(Distances!DR123=0,Distances!GD123=0),ROUNDUP(BE158+'Délai intermédiaire'!BF123/24,0),0)</f>
        <v>0</v>
      </c>
      <c r="BF178" s="13">
        <f>IF(AND(Distances!DS123=0,Distances!GE123=0),ROUNDUP(BF158+'Délai intermédiaire'!BG123/24,0),0)</f>
        <v>0</v>
      </c>
      <c r="BG178" s="13">
        <f>IF(AND(Distances!DT123=0,Distances!GF123=0),ROUNDUP(BG158+'Délai intermédiaire'!BH123/24,0),0)</f>
        <v>0</v>
      </c>
      <c r="BH178" s="14">
        <f>IF(AND(Distances!DU123=0,Distances!GG123=0),ROUNDUP(BH158+'Délai intermédiaire'!BI123/24,0),0)</f>
        <v>0</v>
      </c>
      <c r="BI178" s="14">
        <f>IF(AND(Distances!DV123=0,Distances!GH123=0),ROUNDUP(BI158+'Délai intermédiaire'!BJ123/24,0),0)</f>
        <v>0</v>
      </c>
      <c r="BJ178" s="15">
        <f>IF(AND(Distances!DW123=0,Distances!GI123=0),ROUNDUP(BJ158+'Délai intermédiaire'!BK123/24,0),0)</f>
        <v>0</v>
      </c>
    </row>
    <row r="179" spans="1:62" x14ac:dyDescent="0.3">
      <c r="A179" s="10" t="s">
        <v>20</v>
      </c>
      <c r="B179" s="16">
        <f>IF(AND(Distances!BO124=0,Distances!EA124=0),ROUNDUP(B158+'Délai intermédiaire'!C124/24,0),0)</f>
        <v>0</v>
      </c>
      <c r="C179" s="14">
        <f>IF(AND(Distances!BP124=0,Distances!EB124=0),ROUNDUP(C158+'Délai intermédiaire'!D124/24,0),0)</f>
        <v>0</v>
      </c>
      <c r="D179" s="14">
        <f>IF(AND(Distances!BQ124=0,Distances!EC124=0),ROUNDUP(D158+'Délai intermédiaire'!E124/24,0),0)</f>
        <v>0</v>
      </c>
      <c r="E179" s="14">
        <f>IF(AND(Distances!BR124=0,Distances!ED124=0),ROUNDUP(E158+'Délai intermédiaire'!F124/24,0),0)</f>
        <v>0</v>
      </c>
      <c r="F179" s="14">
        <f>IF(AND(Distances!BS124=0,Distances!EE124=0),ROUNDUP(F158+'Délai intermédiaire'!G124/24,0),0)</f>
        <v>0</v>
      </c>
      <c r="G179" s="14">
        <f>IF(AND(Distances!BT124=0,Distances!EF124=0),ROUNDUP(G158+'Délai intermédiaire'!H124/24,0),0)</f>
        <v>0</v>
      </c>
      <c r="H179" s="14">
        <f>IF(AND(Distances!BU124=0,Distances!EG124=0),ROUNDUP(H158+'Délai intermédiaire'!I124/24,0),0)</f>
        <v>0</v>
      </c>
      <c r="I179" s="14">
        <f>IF(AND(Distances!BV124=0,Distances!EH124=0),ROUNDUP(I158+'Délai intermédiaire'!J124/24,0),0)</f>
        <v>0</v>
      </c>
      <c r="J179" s="14">
        <f>IF(AND(Distances!BW124=0,Distances!EI124=0),ROUNDUP(J158+'Délai intermédiaire'!K124/24,0),0)</f>
        <v>0</v>
      </c>
      <c r="K179" s="14">
        <f>IF(AND(Distances!BX124=0,Distances!EJ124=0),ROUNDUP(K158+'Délai intermédiaire'!L124/24,0),0)</f>
        <v>0</v>
      </c>
      <c r="L179" s="14">
        <f>IF(AND(Distances!BY124=0,Distances!EK124=0),ROUNDUP(L158+'Délai intermédiaire'!M124/24,0),0)</f>
        <v>0</v>
      </c>
      <c r="M179" s="14">
        <f>IF(AND(Distances!BZ124=0,Distances!EL124=0),ROUNDUP(M158+'Délai intermédiaire'!N124/24,0),0)</f>
        <v>0</v>
      </c>
      <c r="N179" s="14">
        <f>IF(AND(Distances!CA124=0,Distances!EM124=0),ROUNDUP(N158+'Délai intermédiaire'!O124/24,0),0)</f>
        <v>0</v>
      </c>
      <c r="O179" s="14">
        <f>IF(AND(Distances!CB124=0,Distances!EN124=0),ROUNDUP(O158+'Délai intermédiaire'!P124/24,0),0)</f>
        <v>0</v>
      </c>
      <c r="P179" s="14">
        <f>IF(AND(Distances!CC124=0,Distances!EO124=0),ROUNDUP(P158+'Délai intermédiaire'!Q124/24,0),0)</f>
        <v>0</v>
      </c>
      <c r="Q179" s="13">
        <f>IF(AND(Distances!CD124=0,Distances!EP124=0),ROUNDUP(Q158+'Délai intermédiaire'!R124/24,0),0)</f>
        <v>0</v>
      </c>
      <c r="R179" s="13">
        <f>IF(AND(Distances!CE124=0,Distances!EQ124=0),ROUNDUP(R158+'Délai intermédiaire'!S124/24,0),0)</f>
        <v>0</v>
      </c>
      <c r="S179" s="13">
        <f>IF(AND(Distances!CF124=0,Distances!ER124=0),ROUNDUP(S158+'Délai intermédiaire'!T124/24,0),0)</f>
        <v>0</v>
      </c>
      <c r="T179" s="13">
        <f>IF(AND(Distances!CG124=0,Distances!ES124=0),ROUNDUP(T158+'Délai intermédiaire'!U124/24,0),0)</f>
        <v>0</v>
      </c>
      <c r="U179" s="12">
        <f>IF(AND(Distances!CH124=0,Distances!ET124=0),ROUNDUP(U158+'Délai intermédiaire'!V124/24,0),0)</f>
        <v>1</v>
      </c>
      <c r="V179" s="13">
        <f>IF(AND(Distances!CI124=0,Distances!EU124=0),ROUNDUP(V158+'Délai intermédiaire'!W124/24,0),0)</f>
        <v>0</v>
      </c>
      <c r="W179" s="13">
        <f>IF(AND(Distances!CJ124=0,Distances!EV124=0),ROUNDUP(W158+'Délai intermédiaire'!X124/24,0),0)</f>
        <v>0</v>
      </c>
      <c r="X179" s="13">
        <f>IF(AND(Distances!CK124=0,Distances!EW124=0),ROUNDUP(X158+'Délai intermédiaire'!Y124/24,0),0)</f>
        <v>0</v>
      </c>
      <c r="Y179" s="13">
        <f>IF(AND(Distances!CL124=0,Distances!EX124=0),ROUNDUP(Y158+'Délai intermédiaire'!Z124/24,0),0)</f>
        <v>0</v>
      </c>
      <c r="Z179" s="13">
        <f>IF(AND(Distances!CM124=0,Distances!EY124=0),ROUNDUP(Z158+'Délai intermédiaire'!AA124/24,0),0)</f>
        <v>0</v>
      </c>
      <c r="AA179" s="13">
        <f>IF(AND(Distances!CN124=0,Distances!EZ124=0),ROUNDUP(AA158+'Délai intermédiaire'!AB124/24,0),0)</f>
        <v>0</v>
      </c>
      <c r="AB179" s="13">
        <f>IF(AND(Distances!CO124=0,Distances!FA124=0),ROUNDUP(AB158+'Délai intermédiaire'!AC124/24,0),0)</f>
        <v>0</v>
      </c>
      <c r="AC179" s="13">
        <f>IF(AND(Distances!CP124=0,Distances!FB124=0),ROUNDUP(AC158+'Délai intermédiaire'!AD124/24,0),0)</f>
        <v>0</v>
      </c>
      <c r="AD179" s="13">
        <f>IF(AND(Distances!CQ124=0,Distances!FC124=0),ROUNDUP(AD158+'Délai intermédiaire'!AE124/24,0),0)</f>
        <v>0</v>
      </c>
      <c r="AE179" s="13">
        <f>IF(AND(Distances!CR124=0,Distances!FD124=0),ROUNDUP(AE158+'Délai intermédiaire'!AF124/24,0),0)</f>
        <v>0</v>
      </c>
      <c r="AF179" s="13">
        <f>IF(AND(Distances!CS124=0,Distances!FE124=0),ROUNDUP(AF158+'Délai intermédiaire'!AG124/24,0),0)</f>
        <v>0</v>
      </c>
      <c r="AG179" s="13">
        <f>IF(AND(Distances!CT124=0,Distances!FF124=0),ROUNDUP(AG158+'Délai intermédiaire'!AH124/24,0),0)</f>
        <v>0</v>
      </c>
      <c r="AH179" s="14">
        <f>IF(AND(Distances!CU124=0,Distances!FG124=0),ROUNDUP(AH158+'Délai intermédiaire'!AI124/24,0),0)</f>
        <v>0</v>
      </c>
      <c r="AI179" s="14">
        <f>IF(AND(Distances!CV124=0,Distances!FH124=0),ROUNDUP(AI158+'Délai intermédiaire'!AJ124/24,0),0)</f>
        <v>0</v>
      </c>
      <c r="AJ179" s="14">
        <f>IF(AND(Distances!CW124=0,Distances!FI124=0),ROUNDUP(AJ158+'Délai intermédiaire'!AK124/24,0),0)</f>
        <v>0</v>
      </c>
      <c r="AK179" s="14">
        <f>IF(AND(Distances!CX124=0,Distances!FJ124=0),ROUNDUP(AK158+'Délai intermédiaire'!AL124/24,0),0)</f>
        <v>0</v>
      </c>
      <c r="AL179" s="14">
        <f>IF(AND(Distances!CY124=0,Distances!FK124=0),ROUNDUP(AL158+'Délai intermédiaire'!AM124/24,0),0)</f>
        <v>0</v>
      </c>
      <c r="AM179" s="14">
        <f>IF(AND(Distances!CZ124=0,Distances!FL124=0),ROUNDUP(AM158+'Délai intermédiaire'!AN124/24,0),0)</f>
        <v>0</v>
      </c>
      <c r="AN179" s="14">
        <f>IF(AND(Distances!DA124=0,Distances!FM124=0),ROUNDUP(AN158+'Délai intermédiaire'!AO124/24,0),0)</f>
        <v>0</v>
      </c>
      <c r="AO179" s="14">
        <f>IF(AND(Distances!DB124=0,Distances!FN124=0),ROUNDUP(AO158+'Délai intermédiaire'!AP124/24,0),0)</f>
        <v>0</v>
      </c>
      <c r="AP179" s="14">
        <f>IF(AND(Distances!DC124=0,Distances!FO124=0),ROUNDUP(AP158+'Délai intermédiaire'!AQ124/24,0),0)</f>
        <v>0</v>
      </c>
      <c r="AQ179" s="14">
        <f>IF(AND(Distances!DD124=0,Distances!FP124=0),ROUNDUP(AQ158+'Délai intermédiaire'!AR124/24,0),0)</f>
        <v>0</v>
      </c>
      <c r="AR179" s="14">
        <f>IF(AND(Distances!DE124=0,Distances!FQ124=0),ROUNDUP(AR158+'Délai intermédiaire'!AS124/24,0),0)</f>
        <v>0</v>
      </c>
      <c r="AS179" s="14">
        <f>IF(AND(Distances!DF124=0,Distances!FR124=0),ROUNDUP(AS158+'Délai intermédiaire'!AT124/24,0),0)</f>
        <v>0</v>
      </c>
      <c r="AT179" s="14">
        <f>IF(AND(Distances!DG124=0,Distances!FS124=0),ROUNDUP(AT158+'Délai intermédiaire'!AU124/24,0),0)</f>
        <v>0</v>
      </c>
      <c r="AU179" s="14">
        <f>IF(AND(Distances!DH124=0,Distances!FT124=0),ROUNDUP(AU158+'Délai intermédiaire'!AV124/24,0),0)</f>
        <v>0</v>
      </c>
      <c r="AV179" s="14">
        <f>IF(AND(Distances!DI124=0,Distances!FU124=0),ROUNDUP(AV158+'Délai intermédiaire'!AW124/24,0),0)</f>
        <v>0</v>
      </c>
      <c r="AW179" s="14">
        <f>IF(AND(Distances!DJ124=0,Distances!FV124=0),ROUNDUP(AW158+'Délai intermédiaire'!AX124/24,0),0)</f>
        <v>0</v>
      </c>
      <c r="AX179" s="14">
        <f>IF(AND(Distances!DK124=0,Distances!FW124=0),ROUNDUP(AX158+'Délai intermédiaire'!AY124/24,0),0)</f>
        <v>0</v>
      </c>
      <c r="AY179" s="14">
        <f>IF(AND(Distances!DL124=0,Distances!FX124=0),ROUNDUP(AY158+'Délai intermédiaire'!AZ124/24,0),0)</f>
        <v>0</v>
      </c>
      <c r="AZ179" s="14">
        <f>IF(AND(Distances!DM124=0,Distances!FY124=0),ROUNDUP(AZ158+'Délai intermédiaire'!BA124/24,0),0)</f>
        <v>0</v>
      </c>
      <c r="BA179" s="14">
        <f>IF(AND(Distances!DN124=0,Distances!FZ124=0),ROUNDUP(BA158+'Délai intermédiaire'!BB124/24,0),0)</f>
        <v>0</v>
      </c>
      <c r="BB179" s="13">
        <f>IF(AND(Distances!DO124=0,Distances!GA124=0),ROUNDUP(BB158+'Délai intermédiaire'!BC124/24,0),0)</f>
        <v>0</v>
      </c>
      <c r="BC179" s="14">
        <f>IF(AND(Distances!DP124=0,Distances!GB124=0),ROUNDUP(BC158+'Délai intermédiaire'!BD124/24,0),0)</f>
        <v>0</v>
      </c>
      <c r="BD179" s="14">
        <f>IF(AND(Distances!DQ124=0,Distances!GC124=0),ROUNDUP(BD158+'Délai intermédiaire'!BE124/24,0),0)</f>
        <v>0</v>
      </c>
      <c r="BE179" s="14">
        <f>IF(AND(Distances!DR124=0,Distances!GD124=0),ROUNDUP(BE158+'Délai intermédiaire'!BF124/24,0),0)</f>
        <v>0</v>
      </c>
      <c r="BF179" s="13">
        <f>IF(AND(Distances!DS124=0,Distances!GE124=0),ROUNDUP(BF158+'Délai intermédiaire'!BG124/24,0),0)</f>
        <v>0</v>
      </c>
      <c r="BG179" s="13">
        <f>IF(AND(Distances!DT124=0,Distances!GF124=0),ROUNDUP(BG158+'Délai intermédiaire'!BH124/24,0),0)</f>
        <v>0</v>
      </c>
      <c r="BH179" s="14">
        <f>IF(AND(Distances!DU124=0,Distances!GG124=0),ROUNDUP(BH158+'Délai intermédiaire'!BI124/24,0),0)</f>
        <v>0</v>
      </c>
      <c r="BI179" s="14">
        <f>IF(AND(Distances!DV124=0,Distances!GH124=0),ROUNDUP(BI158+'Délai intermédiaire'!BJ124/24,0),0)</f>
        <v>0</v>
      </c>
      <c r="BJ179" s="15">
        <f>IF(AND(Distances!DW124=0,Distances!GI124=0),ROUNDUP(BJ158+'Délai intermédiaire'!BK124/24,0),0)</f>
        <v>0</v>
      </c>
    </row>
    <row r="180" spans="1:62" x14ac:dyDescent="0.3">
      <c r="A180" s="10" t="s">
        <v>21</v>
      </c>
      <c r="B180" s="16">
        <f>IF(AND(Distances!BO125=0,Distances!EA125=0),ROUNDUP(B158+'Délai intermédiaire'!C125/24,0),0)</f>
        <v>0</v>
      </c>
      <c r="C180" s="14">
        <f>IF(AND(Distances!BP125=0,Distances!EB125=0),ROUNDUP(C158+'Délai intermédiaire'!D125/24,0),0)</f>
        <v>0</v>
      </c>
      <c r="D180" s="14">
        <f>IF(AND(Distances!BQ125=0,Distances!EC125=0),ROUNDUP(D158+'Délai intermédiaire'!E125/24,0),0)</f>
        <v>0</v>
      </c>
      <c r="E180" s="14">
        <f>IF(AND(Distances!BR125=0,Distances!ED125=0),ROUNDUP(E158+'Délai intermédiaire'!F125/24,0),0)</f>
        <v>0</v>
      </c>
      <c r="F180" s="14">
        <f>IF(AND(Distances!BS125=0,Distances!EE125=0),ROUNDUP(F158+'Délai intermédiaire'!G125/24,0),0)</f>
        <v>0</v>
      </c>
      <c r="G180" s="14">
        <f>IF(AND(Distances!BT125=0,Distances!EF125=0),ROUNDUP(G158+'Délai intermédiaire'!H125/24,0),0)</f>
        <v>0</v>
      </c>
      <c r="H180" s="14">
        <f>IF(AND(Distances!BU125=0,Distances!EG125=0),ROUNDUP(H158+'Délai intermédiaire'!I125/24,0),0)</f>
        <v>0</v>
      </c>
      <c r="I180" s="14">
        <f>IF(AND(Distances!BV125=0,Distances!EH125=0),ROUNDUP(I158+'Délai intermédiaire'!J125/24,0),0)</f>
        <v>0</v>
      </c>
      <c r="J180" s="14">
        <f>IF(AND(Distances!BW125=0,Distances!EI125=0),ROUNDUP(J158+'Délai intermédiaire'!K125/24,0),0)</f>
        <v>0</v>
      </c>
      <c r="K180" s="14">
        <f>IF(AND(Distances!BX125=0,Distances!EJ125=0),ROUNDUP(K158+'Délai intermédiaire'!L125/24,0),0)</f>
        <v>0</v>
      </c>
      <c r="L180" s="14">
        <f>IF(AND(Distances!BY125=0,Distances!EK125=0),ROUNDUP(L158+'Délai intermédiaire'!M125/24,0),0)</f>
        <v>0</v>
      </c>
      <c r="M180" s="14">
        <f>IF(AND(Distances!BZ125=0,Distances!EL125=0),ROUNDUP(M158+'Délai intermédiaire'!N125/24,0),0)</f>
        <v>0</v>
      </c>
      <c r="N180" s="14">
        <f>IF(AND(Distances!CA125=0,Distances!EM125=0),ROUNDUP(N158+'Délai intermédiaire'!O125/24,0),0)</f>
        <v>0</v>
      </c>
      <c r="O180" s="14">
        <f>IF(AND(Distances!CB125=0,Distances!EN125=0),ROUNDUP(O158+'Délai intermédiaire'!P125/24,0),0)</f>
        <v>0</v>
      </c>
      <c r="P180" s="14">
        <f>IF(AND(Distances!CC125=0,Distances!EO125=0),ROUNDUP(P158+'Délai intermédiaire'!Q125/24,0),0)</f>
        <v>0</v>
      </c>
      <c r="Q180" s="13">
        <f>IF(AND(Distances!CD125=0,Distances!EP125=0),ROUNDUP(Q158+'Délai intermédiaire'!R125/24,0),0)</f>
        <v>0</v>
      </c>
      <c r="R180" s="13">
        <f>IF(AND(Distances!CE125=0,Distances!EQ125=0),ROUNDUP(R158+'Délai intermédiaire'!S125/24,0),0)</f>
        <v>0</v>
      </c>
      <c r="S180" s="13">
        <f>IF(AND(Distances!CF125=0,Distances!ER125=0),ROUNDUP(S158+'Délai intermédiaire'!T125/24,0),0)</f>
        <v>0</v>
      </c>
      <c r="T180" s="13">
        <f>IF(AND(Distances!CG125=0,Distances!ES125=0),ROUNDUP(T158+'Délai intermédiaire'!U125/24,0),0)</f>
        <v>0</v>
      </c>
      <c r="U180" s="13">
        <f>IF(AND(Distances!CH125=0,Distances!ET125=0),ROUNDUP(U158+'Délai intermédiaire'!V125/24,0),0)</f>
        <v>0</v>
      </c>
      <c r="V180" s="12">
        <f>IF(AND(Distances!CI125=0,Distances!EU125=0),ROUNDUP(V158+'Délai intermédiaire'!W125/24,0),0)</f>
        <v>1</v>
      </c>
      <c r="W180" s="13">
        <f>IF(AND(Distances!CJ125=0,Distances!EV125=0),ROUNDUP(W158+'Délai intermédiaire'!X125/24,0),0)</f>
        <v>0</v>
      </c>
      <c r="X180" s="13">
        <f>IF(AND(Distances!CK125=0,Distances!EW125=0),ROUNDUP(X158+'Délai intermédiaire'!Y125/24,0),0)</f>
        <v>0</v>
      </c>
      <c r="Y180" s="13">
        <f>IF(AND(Distances!CL125=0,Distances!EX125=0),ROUNDUP(Y158+'Délai intermédiaire'!Z125/24,0),0)</f>
        <v>0</v>
      </c>
      <c r="Z180" s="13">
        <f>IF(AND(Distances!CM125=0,Distances!EY125=0),ROUNDUP(Z158+'Délai intermédiaire'!AA125/24,0),0)</f>
        <v>0</v>
      </c>
      <c r="AA180" s="13">
        <f>IF(AND(Distances!CN125=0,Distances!EZ125=0),ROUNDUP(AA158+'Délai intermédiaire'!AB125/24,0),0)</f>
        <v>0</v>
      </c>
      <c r="AB180" s="13">
        <f>IF(AND(Distances!CO125=0,Distances!FA125=0),ROUNDUP(AB158+'Délai intermédiaire'!AC125/24,0),0)</f>
        <v>0</v>
      </c>
      <c r="AC180" s="13">
        <f>IF(AND(Distances!CP125=0,Distances!FB125=0),ROUNDUP(AC158+'Délai intermédiaire'!AD125/24,0),0)</f>
        <v>0</v>
      </c>
      <c r="AD180" s="13">
        <f>IF(AND(Distances!CQ125=0,Distances!FC125=0),ROUNDUP(AD158+'Délai intermédiaire'!AE125/24,0),0)</f>
        <v>0</v>
      </c>
      <c r="AE180" s="13">
        <f>IF(AND(Distances!CR125=0,Distances!FD125=0),ROUNDUP(AE158+'Délai intermédiaire'!AF125/24,0),0)</f>
        <v>0</v>
      </c>
      <c r="AF180" s="13">
        <f>IF(AND(Distances!CS125=0,Distances!FE125=0),ROUNDUP(AF158+'Délai intermédiaire'!AG125/24,0),0)</f>
        <v>0</v>
      </c>
      <c r="AG180" s="13">
        <f>IF(AND(Distances!CT125=0,Distances!FF125=0),ROUNDUP(AG158+'Délai intermédiaire'!AH125/24,0),0)</f>
        <v>0</v>
      </c>
      <c r="AH180" s="14">
        <f>IF(AND(Distances!CU125=0,Distances!FG125=0),ROUNDUP(AH158+'Délai intermédiaire'!AI125/24,0),0)</f>
        <v>0</v>
      </c>
      <c r="AI180" s="14">
        <f>IF(AND(Distances!CV125=0,Distances!FH125=0),ROUNDUP(AI158+'Délai intermédiaire'!AJ125/24,0),0)</f>
        <v>0</v>
      </c>
      <c r="AJ180" s="14">
        <f>IF(AND(Distances!CW125=0,Distances!FI125=0),ROUNDUP(AJ158+'Délai intermédiaire'!AK125/24,0),0)</f>
        <v>0</v>
      </c>
      <c r="AK180" s="14">
        <f>IF(AND(Distances!CX125=0,Distances!FJ125=0),ROUNDUP(AK158+'Délai intermédiaire'!AL125/24,0),0)</f>
        <v>0</v>
      </c>
      <c r="AL180" s="14">
        <f>IF(AND(Distances!CY125=0,Distances!FK125=0),ROUNDUP(AL158+'Délai intermédiaire'!AM125/24,0),0)</f>
        <v>0</v>
      </c>
      <c r="AM180" s="14">
        <f>IF(AND(Distances!CZ125=0,Distances!FL125=0),ROUNDUP(AM158+'Délai intermédiaire'!AN125/24,0),0)</f>
        <v>0</v>
      </c>
      <c r="AN180" s="14">
        <f>IF(AND(Distances!DA125=0,Distances!FM125=0),ROUNDUP(AN158+'Délai intermédiaire'!AO125/24,0),0)</f>
        <v>0</v>
      </c>
      <c r="AO180" s="14">
        <f>IF(AND(Distances!DB125=0,Distances!FN125=0),ROUNDUP(AO158+'Délai intermédiaire'!AP125/24,0),0)</f>
        <v>0</v>
      </c>
      <c r="AP180" s="14">
        <f>IF(AND(Distances!DC125=0,Distances!FO125=0),ROUNDUP(AP158+'Délai intermédiaire'!AQ125/24,0),0)</f>
        <v>0</v>
      </c>
      <c r="AQ180" s="14">
        <f>IF(AND(Distances!DD125=0,Distances!FP125=0),ROUNDUP(AQ158+'Délai intermédiaire'!AR125/24,0),0)</f>
        <v>0</v>
      </c>
      <c r="AR180" s="14">
        <f>IF(AND(Distances!DE125=0,Distances!FQ125=0),ROUNDUP(AR158+'Délai intermédiaire'!AS125/24,0),0)</f>
        <v>0</v>
      </c>
      <c r="AS180" s="14">
        <f>IF(AND(Distances!DF125=0,Distances!FR125=0),ROUNDUP(AS158+'Délai intermédiaire'!AT125/24,0),0)</f>
        <v>0</v>
      </c>
      <c r="AT180" s="14">
        <f>IF(AND(Distances!DG125=0,Distances!FS125=0),ROUNDUP(AT158+'Délai intermédiaire'!AU125/24,0),0)</f>
        <v>0</v>
      </c>
      <c r="AU180" s="14">
        <f>IF(AND(Distances!DH125=0,Distances!FT125=0),ROUNDUP(AU158+'Délai intermédiaire'!AV125/24,0),0)</f>
        <v>0</v>
      </c>
      <c r="AV180" s="14">
        <f>IF(AND(Distances!DI125=0,Distances!FU125=0),ROUNDUP(AV158+'Délai intermédiaire'!AW125/24,0),0)</f>
        <v>0</v>
      </c>
      <c r="AW180" s="14">
        <f>IF(AND(Distances!DJ125=0,Distances!FV125=0),ROUNDUP(AW158+'Délai intermédiaire'!AX125/24,0),0)</f>
        <v>0</v>
      </c>
      <c r="AX180" s="14">
        <f>IF(AND(Distances!DK125=0,Distances!FW125=0),ROUNDUP(AX158+'Délai intermédiaire'!AY125/24,0),0)</f>
        <v>0</v>
      </c>
      <c r="AY180" s="14">
        <f>IF(AND(Distances!DL125=0,Distances!FX125=0),ROUNDUP(AY158+'Délai intermédiaire'!AZ125/24,0),0)</f>
        <v>0</v>
      </c>
      <c r="AZ180" s="14">
        <f>IF(AND(Distances!DM125=0,Distances!FY125=0),ROUNDUP(AZ158+'Délai intermédiaire'!BA125/24,0),0)</f>
        <v>0</v>
      </c>
      <c r="BA180" s="14">
        <f>IF(AND(Distances!DN125=0,Distances!FZ125=0),ROUNDUP(BA158+'Délai intermédiaire'!BB125/24,0),0)</f>
        <v>0</v>
      </c>
      <c r="BB180" s="13">
        <f>IF(AND(Distances!DO125=0,Distances!GA125=0),ROUNDUP(BB158+'Délai intermédiaire'!BC125/24,0),0)</f>
        <v>0</v>
      </c>
      <c r="BC180" s="14">
        <f>IF(AND(Distances!DP125=0,Distances!GB125=0),ROUNDUP(BC158+'Délai intermédiaire'!BD125/24,0),0)</f>
        <v>0</v>
      </c>
      <c r="BD180" s="14">
        <f>IF(AND(Distances!DQ125=0,Distances!GC125=0),ROUNDUP(BD158+'Délai intermédiaire'!BE125/24,0),0)</f>
        <v>0</v>
      </c>
      <c r="BE180" s="14">
        <f>IF(AND(Distances!DR125=0,Distances!GD125=0),ROUNDUP(BE158+'Délai intermédiaire'!BF125/24,0),0)</f>
        <v>0</v>
      </c>
      <c r="BF180" s="13">
        <f>IF(AND(Distances!DS125=0,Distances!GE125=0),ROUNDUP(BF158+'Délai intermédiaire'!BG125/24,0),0)</f>
        <v>0</v>
      </c>
      <c r="BG180" s="13">
        <f>IF(AND(Distances!DT125=0,Distances!GF125=0),ROUNDUP(BG158+'Délai intermédiaire'!BH125/24,0),0)</f>
        <v>0</v>
      </c>
      <c r="BH180" s="14">
        <f>IF(AND(Distances!DU125=0,Distances!GG125=0),ROUNDUP(BH158+'Délai intermédiaire'!BI125/24,0),0)</f>
        <v>0</v>
      </c>
      <c r="BI180" s="14">
        <f>IF(AND(Distances!DV125=0,Distances!GH125=0),ROUNDUP(BI158+'Délai intermédiaire'!BJ125/24,0),0)</f>
        <v>0</v>
      </c>
      <c r="BJ180" s="15">
        <f>IF(AND(Distances!DW125=0,Distances!GI125=0),ROUNDUP(BJ158+'Délai intermédiaire'!BK125/24,0),0)</f>
        <v>0</v>
      </c>
    </row>
    <row r="181" spans="1:62" x14ac:dyDescent="0.3">
      <c r="A181" s="10" t="s">
        <v>22</v>
      </c>
      <c r="B181" s="16">
        <f>IF(AND(Distances!BO126=0,Distances!EA126=0),ROUNDUP(B158+'Délai intermédiaire'!C126/24,0),0)</f>
        <v>9</v>
      </c>
      <c r="C181" s="14">
        <f>IF(AND(Distances!BP126=0,Distances!EB126=0),ROUNDUP(C158+'Délai intermédiaire'!D126/24,0),0)</f>
        <v>10</v>
      </c>
      <c r="D181" s="14">
        <f>IF(AND(Distances!BQ126=0,Distances!EC126=0),ROUNDUP(D158+'Délai intermédiaire'!E126/24,0),0)</f>
        <v>0</v>
      </c>
      <c r="E181" s="14">
        <f>IF(AND(Distances!BR126=0,Distances!ED126=0),ROUNDUP(E158+'Délai intermédiaire'!F126/24,0),0)</f>
        <v>9</v>
      </c>
      <c r="F181" s="14">
        <f>IF(AND(Distances!BS126=0,Distances!EE126=0),ROUNDUP(F158+'Délai intermédiaire'!G126/24,0),0)</f>
        <v>0</v>
      </c>
      <c r="G181" s="14">
        <f>IF(AND(Distances!BT126=0,Distances!EF126=0),ROUNDUP(G158+'Délai intermédiaire'!H126/24,0),0)</f>
        <v>0</v>
      </c>
      <c r="H181" s="14">
        <f>IF(AND(Distances!BU126=0,Distances!EG126=0),ROUNDUP(H158+'Délai intermédiaire'!I126/24,0),0)</f>
        <v>17</v>
      </c>
      <c r="I181" s="14">
        <f>IF(AND(Distances!BV126=0,Distances!EH126=0),ROUNDUP(I158+'Délai intermédiaire'!J126/24,0),0)</f>
        <v>15</v>
      </c>
      <c r="J181" s="14">
        <f>IF(AND(Distances!BW126=0,Distances!EI126=0),ROUNDUP(J158+'Délai intermédiaire'!K126/24,0),0)</f>
        <v>0</v>
      </c>
      <c r="K181" s="14">
        <f>IF(AND(Distances!BX126=0,Distances!EJ126=0),ROUNDUP(K158+'Délai intermédiaire'!L126/24,0),0)</f>
        <v>8</v>
      </c>
      <c r="L181" s="14">
        <f>IF(AND(Distances!BY126=0,Distances!EK126=0),ROUNDUP(L158+'Délai intermédiaire'!M126/24,0),0)</f>
        <v>0</v>
      </c>
      <c r="M181" s="14">
        <f>IF(AND(Distances!BZ126=0,Distances!EL126=0),ROUNDUP(M158+'Délai intermédiaire'!N126/24,0),0)</f>
        <v>18</v>
      </c>
      <c r="N181" s="14">
        <f>IF(AND(Distances!CA126=0,Distances!EM126=0),ROUNDUP(N158+'Délai intermédiaire'!O126/24,0),0)</f>
        <v>0</v>
      </c>
      <c r="O181" s="14">
        <f>IF(AND(Distances!CB126=0,Distances!EN126=0),ROUNDUP(O158+'Délai intermédiaire'!P126/24,0),0)</f>
        <v>0</v>
      </c>
      <c r="P181" s="14">
        <f>IF(AND(Distances!CC126=0,Distances!EO126=0),ROUNDUP(P158+'Délai intermédiaire'!Q126/24,0),0)</f>
        <v>0</v>
      </c>
      <c r="Q181" s="13">
        <f>IF(AND(Distances!CD126=0,Distances!EP126=0),ROUNDUP(Q158+'Délai intermédiaire'!R126/24,0),0)</f>
        <v>2</v>
      </c>
      <c r="R181" s="13">
        <f>IF(AND(Distances!CE126=0,Distances!EQ126=0),ROUNDUP(R158+'Délai intermédiaire'!S126/24,0),0)</f>
        <v>3</v>
      </c>
      <c r="S181" s="13">
        <f>IF(AND(Distances!CF126=0,Distances!ER126=0),ROUNDUP(S158+'Délai intermédiaire'!T126/24,0),0)</f>
        <v>2</v>
      </c>
      <c r="T181" s="13">
        <f>IF(AND(Distances!CG126=0,Distances!ES126=0),ROUNDUP(T158+'Délai intermédiaire'!U126/24,0),0)</f>
        <v>0</v>
      </c>
      <c r="U181" s="13">
        <f>IF(AND(Distances!CH126=0,Distances!ET126=0),ROUNDUP(U158+'Délai intermédiaire'!V126/24,0),0)</f>
        <v>0</v>
      </c>
      <c r="V181" s="13">
        <f>IF(AND(Distances!CI126=0,Distances!EU126=0),ROUNDUP(V158+'Délai intermédiaire'!W126/24,0),0)</f>
        <v>0</v>
      </c>
      <c r="W181" s="12">
        <f>IF(AND(Distances!CJ126=0,Distances!EV126=0),ROUNDUP(W158+'Délai intermédiaire'!X126/24,0),0)</f>
        <v>1</v>
      </c>
      <c r="X181" s="13">
        <f>IF(AND(Distances!CK126=0,Distances!EW126=0),ROUNDUP(X158+'Délai intermédiaire'!Y126/24,0),0)</f>
        <v>0</v>
      </c>
      <c r="Y181" s="13">
        <f>IF(AND(Distances!CL126=0,Distances!EX126=0),ROUNDUP(Y158+'Délai intermédiaire'!Z126/24,0),0)</f>
        <v>0</v>
      </c>
      <c r="Z181" s="13">
        <f>IF(AND(Distances!CM126=0,Distances!EY126=0),ROUNDUP(Z158+'Délai intermédiaire'!AA126/24,0),0)</f>
        <v>0</v>
      </c>
      <c r="AA181" s="13">
        <f>IF(AND(Distances!CN126=0,Distances!EZ126=0),ROUNDUP(AA158+'Délai intermédiaire'!AB126/24,0),0)</f>
        <v>0</v>
      </c>
      <c r="AB181" s="13">
        <f>IF(AND(Distances!CO126=0,Distances!FA126=0),ROUNDUP(AB158+'Délai intermédiaire'!AC126/24,0),0)</f>
        <v>0</v>
      </c>
      <c r="AC181" s="13">
        <f>IF(AND(Distances!CP126=0,Distances!FB126=0),ROUNDUP(AC158+'Délai intermédiaire'!AD126/24,0),0)</f>
        <v>5</v>
      </c>
      <c r="AD181" s="13">
        <f>IF(AND(Distances!CQ126=0,Distances!FC126=0),ROUNDUP(AD158+'Délai intermédiaire'!AE126/24,0),0)</f>
        <v>3</v>
      </c>
      <c r="AE181" s="13">
        <f>IF(AND(Distances!CR126=0,Distances!FD126=0),ROUNDUP(AE158+'Délai intermédiaire'!AF126/24,0),0)</f>
        <v>0</v>
      </c>
      <c r="AF181" s="13">
        <f>IF(AND(Distances!CS126=0,Distances!FE126=0),ROUNDUP(AF158+'Délai intermédiaire'!AG126/24,0),0)</f>
        <v>0</v>
      </c>
      <c r="AG181" s="13">
        <f>IF(AND(Distances!CT126=0,Distances!FF126=0),ROUNDUP(AG158+'Délai intermédiaire'!AH126/24,0),0)</f>
        <v>0</v>
      </c>
      <c r="AH181" s="14">
        <f>IF(AND(Distances!CU126=0,Distances!FG126=0),ROUNDUP(AH158+'Délai intermédiaire'!AI126/24,0),0)</f>
        <v>0</v>
      </c>
      <c r="AI181" s="14">
        <f>IF(AND(Distances!CV126=0,Distances!FH126=0),ROUNDUP(AI158+'Délai intermédiaire'!AJ126/24,0),0)</f>
        <v>17</v>
      </c>
      <c r="AJ181" s="14">
        <f>IF(AND(Distances!CW126=0,Distances!FI126=0),ROUNDUP(AJ158+'Délai intermédiaire'!AK126/24,0),0)</f>
        <v>0</v>
      </c>
      <c r="AK181" s="14">
        <f>IF(AND(Distances!CX126=0,Distances!FJ126=0),ROUNDUP(AK158+'Délai intermédiaire'!AL126/24,0),0)</f>
        <v>16</v>
      </c>
      <c r="AL181" s="14">
        <f>IF(AND(Distances!CY126=0,Distances!FK126=0),ROUNDUP(AL158+'Délai intermédiaire'!AM126/24,0),0)</f>
        <v>21</v>
      </c>
      <c r="AM181" s="14">
        <f>IF(AND(Distances!CZ126=0,Distances!FL126=0),ROUNDUP(AM158+'Délai intermédiaire'!AN126/24,0),0)</f>
        <v>21</v>
      </c>
      <c r="AN181" s="14">
        <f>IF(AND(Distances!DA126=0,Distances!FM126=0),ROUNDUP(AN158+'Délai intermédiaire'!AO126/24,0),0)</f>
        <v>0</v>
      </c>
      <c r="AO181" s="14">
        <f>IF(AND(Distances!DB126=0,Distances!FN126=0),ROUNDUP(AO158+'Délai intermédiaire'!AP126/24,0),0)</f>
        <v>22</v>
      </c>
      <c r="AP181" s="14">
        <f>IF(AND(Distances!DC126=0,Distances!FO126=0),ROUNDUP(AP158+'Délai intermédiaire'!AQ126/24,0),0)</f>
        <v>23</v>
      </c>
      <c r="AQ181" s="14">
        <f>IF(AND(Distances!DD126=0,Distances!FP126=0),ROUNDUP(AQ158+'Délai intermédiaire'!AR126/24,0),0)</f>
        <v>20</v>
      </c>
      <c r="AR181" s="14">
        <f>IF(AND(Distances!DE126=0,Distances!FQ126=0),ROUNDUP(AR158+'Délai intermédiaire'!AS126/24,0),0)</f>
        <v>14</v>
      </c>
      <c r="AS181" s="14">
        <f>IF(AND(Distances!DF126=0,Distances!FR126=0),ROUNDUP(AS158+'Délai intermédiaire'!AT126/24,0),0)</f>
        <v>0</v>
      </c>
      <c r="AT181" s="14">
        <f>IF(AND(Distances!DG126=0,Distances!FS126=0),ROUNDUP(AT158+'Délai intermédiaire'!AU126/24,0),0)</f>
        <v>0</v>
      </c>
      <c r="AU181" s="14">
        <f>IF(AND(Distances!DH126=0,Distances!FT126=0),ROUNDUP(AU158+'Délai intermédiaire'!AV126/24,0),0)</f>
        <v>0</v>
      </c>
      <c r="AV181" s="14">
        <f>IF(AND(Distances!DI126=0,Distances!FU126=0),ROUNDUP(AV158+'Délai intermédiaire'!AW126/24,0),0)</f>
        <v>0</v>
      </c>
      <c r="AW181" s="14">
        <f>IF(AND(Distances!DJ126=0,Distances!FV126=0),ROUNDUP(AW158+'Délai intermédiaire'!AX126/24,0),0)</f>
        <v>0</v>
      </c>
      <c r="AX181" s="14">
        <f>IF(AND(Distances!DK126=0,Distances!FW126=0),ROUNDUP(AX158+'Délai intermédiaire'!AY126/24,0),0)</f>
        <v>24</v>
      </c>
      <c r="AY181" s="14">
        <f>IF(AND(Distances!DL126=0,Distances!FX126=0),ROUNDUP(AY158+'Délai intermédiaire'!AZ126/24,0),0)</f>
        <v>2</v>
      </c>
      <c r="AZ181" s="14">
        <f>IF(AND(Distances!DM126=0,Distances!FY126=0),ROUNDUP(AZ158+'Délai intermédiaire'!BA126/24,0),0)</f>
        <v>0</v>
      </c>
      <c r="BA181" s="14">
        <f>IF(AND(Distances!DN126=0,Distances!FZ126=0),ROUNDUP(BA158+'Délai intermédiaire'!BB126/24,0),0)</f>
        <v>19</v>
      </c>
      <c r="BB181" s="12">
        <f>IF(AND(Distances!DO126=0,Distances!GA126=0),ROUNDUP(BB158+'Délai intermédiaire'!BC126/24,0),0)</f>
        <v>3</v>
      </c>
      <c r="BC181" s="14">
        <f>IF(AND(Distances!DP126=0,Distances!GB126=0),ROUNDUP(BC158+'Délai intermédiaire'!BD126/24,0),0)</f>
        <v>20</v>
      </c>
      <c r="BD181" s="14">
        <f>IF(AND(Distances!DQ126=0,Distances!GC126=0),ROUNDUP(BD158+'Délai intermédiaire'!BE126/24,0),0)</f>
        <v>0</v>
      </c>
      <c r="BE181" s="14">
        <f>IF(AND(Distances!DR126=0,Distances!GD126=0),ROUNDUP(BE158+'Délai intermédiaire'!BF126/24,0),0)</f>
        <v>21</v>
      </c>
      <c r="BF181" s="13">
        <f>IF(AND(Distances!DS126=0,Distances!GE126=0),ROUNDUP(BF158+'Délai intermédiaire'!BG126/24,0),0)</f>
        <v>0</v>
      </c>
      <c r="BG181" s="13">
        <f>IF(AND(Distances!DT126=0,Distances!GF126=0),ROUNDUP(BG158+'Délai intermédiaire'!BH126/24,0),0)</f>
        <v>0</v>
      </c>
      <c r="BH181" s="14">
        <f>IF(AND(Distances!DU126=0,Distances!GG126=0),ROUNDUP(BH158+'Délai intermédiaire'!BI126/24,0),0)</f>
        <v>0</v>
      </c>
      <c r="BI181" s="14">
        <f>IF(AND(Distances!DV126=0,Distances!GH126=0),ROUNDUP(BI158+'Délai intermédiaire'!BJ126/24,0),0)</f>
        <v>0</v>
      </c>
      <c r="BJ181" s="15">
        <f>IF(AND(Distances!DW126=0,Distances!GI126=0),ROUNDUP(BJ158+'Délai intermédiaire'!BK126/24,0),0)</f>
        <v>0</v>
      </c>
    </row>
    <row r="182" spans="1:62" x14ac:dyDescent="0.3">
      <c r="A182" s="10" t="s">
        <v>23</v>
      </c>
      <c r="B182" s="16">
        <f>IF(AND(Distances!BO127=0,Distances!EA127=0),ROUNDUP(B158+'Délai intermédiaire'!C127/24,0),0)</f>
        <v>0</v>
      </c>
      <c r="C182" s="14">
        <f>IF(AND(Distances!BP127=0,Distances!EB127=0),ROUNDUP(C158+'Délai intermédiaire'!D127/24,0),0)</f>
        <v>0</v>
      </c>
      <c r="D182" s="14">
        <f>IF(AND(Distances!BQ127=0,Distances!EC127=0),ROUNDUP(D158+'Délai intermédiaire'!E127/24,0),0)</f>
        <v>0</v>
      </c>
      <c r="E182" s="14">
        <f>IF(AND(Distances!BR127=0,Distances!ED127=0),ROUNDUP(E158+'Délai intermédiaire'!F127/24,0),0)</f>
        <v>0</v>
      </c>
      <c r="F182" s="14">
        <f>IF(AND(Distances!BS127=0,Distances!EE127=0),ROUNDUP(F158+'Délai intermédiaire'!G127/24,0),0)</f>
        <v>0</v>
      </c>
      <c r="G182" s="14">
        <f>IF(AND(Distances!BT127=0,Distances!EF127=0),ROUNDUP(G158+'Délai intermédiaire'!H127/24,0),0)</f>
        <v>0</v>
      </c>
      <c r="H182" s="14">
        <f>IF(AND(Distances!BU127=0,Distances!EG127=0),ROUNDUP(H158+'Délai intermédiaire'!I127/24,0),0)</f>
        <v>0</v>
      </c>
      <c r="I182" s="14">
        <f>IF(AND(Distances!BV127=0,Distances!EH127=0),ROUNDUP(I158+'Délai intermédiaire'!J127/24,0),0)</f>
        <v>0</v>
      </c>
      <c r="J182" s="14">
        <f>IF(AND(Distances!BW127=0,Distances!EI127=0),ROUNDUP(J158+'Délai intermédiaire'!K127/24,0),0)</f>
        <v>0</v>
      </c>
      <c r="K182" s="14">
        <f>IF(AND(Distances!BX127=0,Distances!EJ127=0),ROUNDUP(K158+'Délai intermédiaire'!L127/24,0),0)</f>
        <v>0</v>
      </c>
      <c r="L182" s="14">
        <f>IF(AND(Distances!BY127=0,Distances!EK127=0),ROUNDUP(L158+'Délai intermédiaire'!M127/24,0),0)</f>
        <v>0</v>
      </c>
      <c r="M182" s="14">
        <f>IF(AND(Distances!BZ127=0,Distances!EL127=0),ROUNDUP(M158+'Délai intermédiaire'!N127/24,0),0)</f>
        <v>0</v>
      </c>
      <c r="N182" s="14">
        <f>IF(AND(Distances!CA127=0,Distances!EM127=0),ROUNDUP(N158+'Délai intermédiaire'!O127/24,0),0)</f>
        <v>0</v>
      </c>
      <c r="O182" s="14">
        <f>IF(AND(Distances!CB127=0,Distances!EN127=0),ROUNDUP(O158+'Délai intermédiaire'!P127/24,0),0)</f>
        <v>0</v>
      </c>
      <c r="P182" s="14">
        <f>IF(AND(Distances!CC127=0,Distances!EO127=0),ROUNDUP(P158+'Délai intermédiaire'!Q127/24,0),0)</f>
        <v>0</v>
      </c>
      <c r="Q182" s="13">
        <f>IF(AND(Distances!CD127=0,Distances!EP127=0),ROUNDUP(Q158+'Délai intermédiaire'!R127/24,0),0)</f>
        <v>0</v>
      </c>
      <c r="R182" s="13">
        <f>IF(AND(Distances!CE127=0,Distances!EQ127=0),ROUNDUP(R158+'Délai intermédiaire'!S127/24,0),0)</f>
        <v>0</v>
      </c>
      <c r="S182" s="13">
        <f>IF(AND(Distances!CF127=0,Distances!ER127=0),ROUNDUP(S158+'Délai intermédiaire'!T127/24,0),0)</f>
        <v>0</v>
      </c>
      <c r="T182" s="13">
        <f>IF(AND(Distances!CG127=0,Distances!ES127=0),ROUNDUP(T158+'Délai intermédiaire'!U127/24,0),0)</f>
        <v>0</v>
      </c>
      <c r="U182" s="13">
        <f>IF(AND(Distances!CH127=0,Distances!ET127=0),ROUNDUP(U158+'Délai intermédiaire'!V127/24,0),0)</f>
        <v>0</v>
      </c>
      <c r="V182" s="13">
        <f>IF(AND(Distances!CI127=0,Distances!EU127=0),ROUNDUP(V158+'Délai intermédiaire'!W127/24,0),0)</f>
        <v>0</v>
      </c>
      <c r="W182" s="13">
        <f>IF(AND(Distances!CJ127=0,Distances!EV127=0),ROUNDUP(W158+'Délai intermédiaire'!X127/24,0),0)</f>
        <v>0</v>
      </c>
      <c r="X182" s="12">
        <f>IF(AND(Distances!CK127=0,Distances!EW127=0),ROUNDUP(X158+'Délai intermédiaire'!Y127/24,0),0)</f>
        <v>1</v>
      </c>
      <c r="Y182" s="13">
        <f>IF(AND(Distances!CL127=0,Distances!EX127=0),ROUNDUP(Y158+'Délai intermédiaire'!Z127/24,0),0)</f>
        <v>0</v>
      </c>
      <c r="Z182" s="13">
        <f>IF(AND(Distances!CM127=0,Distances!EY127=0),ROUNDUP(Z158+'Délai intermédiaire'!AA127/24,0),0)</f>
        <v>0</v>
      </c>
      <c r="AA182" s="13">
        <f>IF(AND(Distances!CN127=0,Distances!EZ127=0),ROUNDUP(AA158+'Délai intermédiaire'!AB127/24,0),0)</f>
        <v>0</v>
      </c>
      <c r="AB182" s="13">
        <f>IF(AND(Distances!CO127=0,Distances!FA127=0),ROUNDUP(AB158+'Délai intermédiaire'!AC127/24,0),0)</f>
        <v>0</v>
      </c>
      <c r="AC182" s="13">
        <f>IF(AND(Distances!CP127=0,Distances!FB127=0),ROUNDUP(AC158+'Délai intermédiaire'!AD127/24,0),0)</f>
        <v>0</v>
      </c>
      <c r="AD182" s="13">
        <f>IF(AND(Distances!CQ127=0,Distances!FC127=0),ROUNDUP(AD158+'Délai intermédiaire'!AE127/24,0),0)</f>
        <v>0</v>
      </c>
      <c r="AE182" s="13">
        <f>IF(AND(Distances!CR127=0,Distances!FD127=0),ROUNDUP(AE158+'Délai intermédiaire'!AF127/24,0),0)</f>
        <v>0</v>
      </c>
      <c r="AF182" s="13">
        <f>IF(AND(Distances!CS127=0,Distances!FE127=0),ROUNDUP(AF158+'Délai intermédiaire'!AG127/24,0),0)</f>
        <v>0</v>
      </c>
      <c r="AG182" s="13">
        <f>IF(AND(Distances!CT127=0,Distances!FF127=0),ROUNDUP(AG158+'Délai intermédiaire'!AH127/24,0),0)</f>
        <v>0</v>
      </c>
      <c r="AH182" s="14">
        <f>IF(AND(Distances!CU127=0,Distances!FG127=0),ROUNDUP(AH158+'Délai intermédiaire'!AI127/24,0),0)</f>
        <v>0</v>
      </c>
      <c r="AI182" s="14">
        <f>IF(AND(Distances!CV127=0,Distances!FH127=0),ROUNDUP(AI158+'Délai intermédiaire'!AJ127/24,0),0)</f>
        <v>0</v>
      </c>
      <c r="AJ182" s="14">
        <f>IF(AND(Distances!CW127=0,Distances!FI127=0),ROUNDUP(AJ158+'Délai intermédiaire'!AK127/24,0),0)</f>
        <v>0</v>
      </c>
      <c r="AK182" s="14">
        <f>IF(AND(Distances!CX127=0,Distances!FJ127=0),ROUNDUP(AK158+'Délai intermédiaire'!AL127/24,0),0)</f>
        <v>0</v>
      </c>
      <c r="AL182" s="14">
        <f>IF(AND(Distances!CY127=0,Distances!FK127=0),ROUNDUP(AL158+'Délai intermédiaire'!AM127/24,0),0)</f>
        <v>0</v>
      </c>
      <c r="AM182" s="14">
        <f>IF(AND(Distances!CZ127=0,Distances!FL127=0),ROUNDUP(AM158+'Délai intermédiaire'!AN127/24,0),0)</f>
        <v>0</v>
      </c>
      <c r="AN182" s="14">
        <f>IF(AND(Distances!DA127=0,Distances!FM127=0),ROUNDUP(AN158+'Délai intermédiaire'!AO127/24,0),0)</f>
        <v>0</v>
      </c>
      <c r="AO182" s="14">
        <f>IF(AND(Distances!DB127=0,Distances!FN127=0),ROUNDUP(AO158+'Délai intermédiaire'!AP127/24,0),0)</f>
        <v>0</v>
      </c>
      <c r="AP182" s="14">
        <f>IF(AND(Distances!DC127=0,Distances!FO127=0),ROUNDUP(AP158+'Délai intermédiaire'!AQ127/24,0),0)</f>
        <v>0</v>
      </c>
      <c r="AQ182" s="14">
        <f>IF(AND(Distances!DD127=0,Distances!FP127=0),ROUNDUP(AQ158+'Délai intermédiaire'!AR127/24,0),0)</f>
        <v>0</v>
      </c>
      <c r="AR182" s="14">
        <f>IF(AND(Distances!DE127=0,Distances!FQ127=0),ROUNDUP(AR158+'Délai intermédiaire'!AS127/24,0),0)</f>
        <v>0</v>
      </c>
      <c r="AS182" s="14">
        <f>IF(AND(Distances!DF127=0,Distances!FR127=0),ROUNDUP(AS158+'Délai intermédiaire'!AT127/24,0),0)</f>
        <v>0</v>
      </c>
      <c r="AT182" s="14">
        <f>IF(AND(Distances!DG127=0,Distances!FS127=0),ROUNDUP(AT158+'Délai intermédiaire'!AU127/24,0),0)</f>
        <v>0</v>
      </c>
      <c r="AU182" s="14">
        <f>IF(AND(Distances!DH127=0,Distances!FT127=0),ROUNDUP(AU158+'Délai intermédiaire'!AV127/24,0),0)</f>
        <v>0</v>
      </c>
      <c r="AV182" s="14">
        <f>IF(AND(Distances!DI127=0,Distances!FU127=0),ROUNDUP(AV158+'Délai intermédiaire'!AW127/24,0),0)</f>
        <v>0</v>
      </c>
      <c r="AW182" s="14">
        <f>IF(AND(Distances!DJ127=0,Distances!FV127=0),ROUNDUP(AW158+'Délai intermédiaire'!AX127/24,0),0)</f>
        <v>0</v>
      </c>
      <c r="AX182" s="14">
        <f>IF(AND(Distances!DK127=0,Distances!FW127=0),ROUNDUP(AX158+'Délai intermédiaire'!AY127/24,0),0)</f>
        <v>0</v>
      </c>
      <c r="AY182" s="14">
        <f>IF(AND(Distances!DL127=0,Distances!FX127=0),ROUNDUP(AY158+'Délai intermédiaire'!AZ127/24,0),0)</f>
        <v>0</v>
      </c>
      <c r="AZ182" s="14">
        <f>IF(AND(Distances!DM127=0,Distances!FY127=0),ROUNDUP(AZ158+'Délai intermédiaire'!BA127/24,0),0)</f>
        <v>0</v>
      </c>
      <c r="BA182" s="14">
        <f>IF(AND(Distances!DN127=0,Distances!FZ127=0),ROUNDUP(BA158+'Délai intermédiaire'!BB127/24,0),0)</f>
        <v>0</v>
      </c>
      <c r="BB182" s="13">
        <f>IF(AND(Distances!DO127=0,Distances!GA127=0),ROUNDUP(BB158+'Délai intermédiaire'!BC127/24,0),0)</f>
        <v>0</v>
      </c>
      <c r="BC182" s="14">
        <f>IF(AND(Distances!DP127=0,Distances!GB127=0),ROUNDUP(BC158+'Délai intermédiaire'!BD127/24,0),0)</f>
        <v>0</v>
      </c>
      <c r="BD182" s="14">
        <f>IF(AND(Distances!DQ127=0,Distances!GC127=0),ROUNDUP(BD158+'Délai intermédiaire'!BE127/24,0),0)</f>
        <v>0</v>
      </c>
      <c r="BE182" s="14">
        <f>IF(AND(Distances!DR127=0,Distances!GD127=0),ROUNDUP(BE158+'Délai intermédiaire'!BF127/24,0),0)</f>
        <v>0</v>
      </c>
      <c r="BF182" s="13">
        <f>IF(AND(Distances!DS127=0,Distances!GE127=0),ROUNDUP(BF158+'Délai intermédiaire'!BG127/24,0),0)</f>
        <v>0</v>
      </c>
      <c r="BG182" s="13">
        <f>IF(AND(Distances!DT127=0,Distances!GF127=0),ROUNDUP(BG158+'Délai intermédiaire'!BH127/24,0),0)</f>
        <v>0</v>
      </c>
      <c r="BH182" s="14">
        <f>IF(AND(Distances!DU127=0,Distances!GG127=0),ROUNDUP(BH158+'Délai intermédiaire'!BI127/24,0),0)</f>
        <v>0</v>
      </c>
      <c r="BI182" s="14">
        <f>IF(AND(Distances!DV127=0,Distances!GH127=0),ROUNDUP(BI158+'Délai intermédiaire'!BJ127/24,0),0)</f>
        <v>0</v>
      </c>
      <c r="BJ182" s="15">
        <f>IF(AND(Distances!DW127=0,Distances!GI127=0),ROUNDUP(BJ158+'Délai intermédiaire'!BK127/24,0),0)</f>
        <v>0</v>
      </c>
    </row>
    <row r="183" spans="1:62" x14ac:dyDescent="0.3">
      <c r="A183" s="10" t="s">
        <v>24</v>
      </c>
      <c r="B183" s="16">
        <f>IF(AND(Distances!BO128=0,Distances!EA128=0),ROUNDUP(B158+'Délai intermédiaire'!C128/24,0),0)</f>
        <v>0</v>
      </c>
      <c r="C183" s="14">
        <f>IF(AND(Distances!BP128=0,Distances!EB128=0),ROUNDUP(C158+'Délai intermédiaire'!D128/24,0),0)</f>
        <v>0</v>
      </c>
      <c r="D183" s="14">
        <f>IF(AND(Distances!BQ128=0,Distances!EC128=0),ROUNDUP(D158+'Délai intermédiaire'!E128/24,0),0)</f>
        <v>0</v>
      </c>
      <c r="E183" s="14">
        <f>IF(AND(Distances!BR128=0,Distances!ED128=0),ROUNDUP(E158+'Délai intermédiaire'!F128/24,0),0)</f>
        <v>0</v>
      </c>
      <c r="F183" s="14">
        <f>IF(AND(Distances!BS128=0,Distances!EE128=0),ROUNDUP(F158+'Délai intermédiaire'!G128/24,0),0)</f>
        <v>0</v>
      </c>
      <c r="G183" s="14">
        <f>IF(AND(Distances!BT128=0,Distances!EF128=0),ROUNDUP(G158+'Délai intermédiaire'!H128/24,0),0)</f>
        <v>0</v>
      </c>
      <c r="H183" s="14">
        <f>IF(AND(Distances!BU128=0,Distances!EG128=0),ROUNDUP(H158+'Délai intermédiaire'!I128/24,0),0)</f>
        <v>0</v>
      </c>
      <c r="I183" s="14">
        <f>IF(AND(Distances!BV128=0,Distances!EH128=0),ROUNDUP(I158+'Délai intermédiaire'!J128/24,0),0)</f>
        <v>0</v>
      </c>
      <c r="J183" s="14">
        <f>IF(AND(Distances!BW128=0,Distances!EI128=0),ROUNDUP(J158+'Délai intermédiaire'!K128/24,0),0)</f>
        <v>0</v>
      </c>
      <c r="K183" s="14">
        <f>IF(AND(Distances!BX128=0,Distances!EJ128=0),ROUNDUP(K158+'Délai intermédiaire'!L128/24,0),0)</f>
        <v>0</v>
      </c>
      <c r="L183" s="14">
        <f>IF(AND(Distances!BY128=0,Distances!EK128=0),ROUNDUP(L158+'Délai intermédiaire'!M128/24,0),0)</f>
        <v>0</v>
      </c>
      <c r="M183" s="14">
        <f>IF(AND(Distances!BZ128=0,Distances!EL128=0),ROUNDUP(M158+'Délai intermédiaire'!N128/24,0),0)</f>
        <v>0</v>
      </c>
      <c r="N183" s="14">
        <f>IF(AND(Distances!CA128=0,Distances!EM128=0),ROUNDUP(N158+'Délai intermédiaire'!O128/24,0),0)</f>
        <v>0</v>
      </c>
      <c r="O183" s="14">
        <f>IF(AND(Distances!CB128=0,Distances!EN128=0),ROUNDUP(O158+'Délai intermédiaire'!P128/24,0),0)</f>
        <v>0</v>
      </c>
      <c r="P183" s="14">
        <f>IF(AND(Distances!CC128=0,Distances!EO128=0),ROUNDUP(P158+'Délai intermédiaire'!Q128/24,0),0)</f>
        <v>0</v>
      </c>
      <c r="Q183" s="13">
        <f>IF(AND(Distances!CD128=0,Distances!EP128=0),ROUNDUP(Q158+'Délai intermédiaire'!R128/24,0),0)</f>
        <v>0</v>
      </c>
      <c r="R183" s="13">
        <f>IF(AND(Distances!CE128=0,Distances!EQ128=0),ROUNDUP(R158+'Délai intermédiaire'!S128/24,0),0)</f>
        <v>0</v>
      </c>
      <c r="S183" s="13">
        <f>IF(AND(Distances!CF128=0,Distances!ER128=0),ROUNDUP(S158+'Délai intermédiaire'!T128/24,0),0)</f>
        <v>0</v>
      </c>
      <c r="T183" s="13">
        <f>IF(AND(Distances!CG128=0,Distances!ES128=0),ROUNDUP(T158+'Délai intermédiaire'!U128/24,0),0)</f>
        <v>0</v>
      </c>
      <c r="U183" s="13">
        <f>IF(AND(Distances!CH128=0,Distances!ET128=0),ROUNDUP(U158+'Délai intermédiaire'!V128/24,0),0)</f>
        <v>0</v>
      </c>
      <c r="V183" s="13">
        <f>IF(AND(Distances!CI128=0,Distances!EU128=0),ROUNDUP(V158+'Délai intermédiaire'!W128/24,0),0)</f>
        <v>0</v>
      </c>
      <c r="W183" s="13">
        <f>IF(AND(Distances!CJ128=0,Distances!EV128=0),ROUNDUP(W158+'Délai intermédiaire'!X128/24,0),0)</f>
        <v>0</v>
      </c>
      <c r="X183" s="13">
        <f>IF(AND(Distances!CK128=0,Distances!EW128=0),ROUNDUP(X158+'Délai intermédiaire'!Y128/24,0),0)</f>
        <v>0</v>
      </c>
      <c r="Y183" s="12">
        <f>IF(AND(Distances!CL128=0,Distances!EX128=0),ROUNDUP(Y158+'Délai intermédiaire'!Z128/24,0),0)</f>
        <v>1</v>
      </c>
      <c r="Z183" s="13">
        <f>IF(AND(Distances!CM128=0,Distances!EY128=0),ROUNDUP(Z158+'Délai intermédiaire'!AA128/24,0),0)</f>
        <v>0</v>
      </c>
      <c r="AA183" s="13">
        <f>IF(AND(Distances!CN128=0,Distances!EZ128=0),ROUNDUP(AA158+'Délai intermédiaire'!AB128/24,0),0)</f>
        <v>0</v>
      </c>
      <c r="AB183" s="13">
        <f>IF(AND(Distances!CO128=0,Distances!FA128=0),ROUNDUP(AB158+'Délai intermédiaire'!AC128/24,0),0)</f>
        <v>0</v>
      </c>
      <c r="AC183" s="13">
        <f>IF(AND(Distances!CP128=0,Distances!FB128=0),ROUNDUP(AC158+'Délai intermédiaire'!AD128/24,0),0)</f>
        <v>0</v>
      </c>
      <c r="AD183" s="13">
        <f>IF(AND(Distances!CQ128=0,Distances!FC128=0),ROUNDUP(AD158+'Délai intermédiaire'!AE128/24,0),0)</f>
        <v>0</v>
      </c>
      <c r="AE183" s="13">
        <f>IF(AND(Distances!CR128=0,Distances!FD128=0),ROUNDUP(AE158+'Délai intermédiaire'!AF128/24,0),0)</f>
        <v>0</v>
      </c>
      <c r="AF183" s="13">
        <f>IF(AND(Distances!CS128=0,Distances!FE128=0),ROUNDUP(AF158+'Délai intermédiaire'!AG128/24,0),0)</f>
        <v>0</v>
      </c>
      <c r="AG183" s="13">
        <f>IF(AND(Distances!CT128=0,Distances!FF128=0),ROUNDUP(AG158+'Délai intermédiaire'!AH128/24,0),0)</f>
        <v>0</v>
      </c>
      <c r="AH183" s="14">
        <f>IF(AND(Distances!CU128=0,Distances!FG128=0),ROUNDUP(AH158+'Délai intermédiaire'!AI128/24,0),0)</f>
        <v>0</v>
      </c>
      <c r="AI183" s="14">
        <f>IF(AND(Distances!CV128=0,Distances!FH128=0),ROUNDUP(AI158+'Délai intermédiaire'!AJ128/24,0),0)</f>
        <v>0</v>
      </c>
      <c r="AJ183" s="14">
        <f>IF(AND(Distances!CW128=0,Distances!FI128=0),ROUNDUP(AJ158+'Délai intermédiaire'!AK128/24,0),0)</f>
        <v>0</v>
      </c>
      <c r="AK183" s="14">
        <f>IF(AND(Distances!CX128=0,Distances!FJ128=0),ROUNDUP(AK158+'Délai intermédiaire'!AL128/24,0),0)</f>
        <v>0</v>
      </c>
      <c r="AL183" s="14">
        <f>IF(AND(Distances!CY128=0,Distances!FK128=0),ROUNDUP(AL158+'Délai intermédiaire'!AM128/24,0),0)</f>
        <v>0</v>
      </c>
      <c r="AM183" s="14">
        <f>IF(AND(Distances!CZ128=0,Distances!FL128=0),ROUNDUP(AM158+'Délai intermédiaire'!AN128/24,0),0)</f>
        <v>0</v>
      </c>
      <c r="AN183" s="14">
        <f>IF(AND(Distances!DA128=0,Distances!FM128=0),ROUNDUP(AN158+'Délai intermédiaire'!AO128/24,0),0)</f>
        <v>0</v>
      </c>
      <c r="AO183" s="14">
        <f>IF(AND(Distances!DB128=0,Distances!FN128=0),ROUNDUP(AO158+'Délai intermédiaire'!AP128/24,0),0)</f>
        <v>0</v>
      </c>
      <c r="AP183" s="14">
        <f>IF(AND(Distances!DC128=0,Distances!FO128=0),ROUNDUP(AP158+'Délai intermédiaire'!AQ128/24,0),0)</f>
        <v>0</v>
      </c>
      <c r="AQ183" s="14">
        <f>IF(AND(Distances!DD128=0,Distances!FP128=0),ROUNDUP(AQ158+'Délai intermédiaire'!AR128/24,0),0)</f>
        <v>0</v>
      </c>
      <c r="AR183" s="14">
        <f>IF(AND(Distances!DE128=0,Distances!FQ128=0),ROUNDUP(AR158+'Délai intermédiaire'!AS128/24,0),0)</f>
        <v>0</v>
      </c>
      <c r="AS183" s="14">
        <f>IF(AND(Distances!DF128=0,Distances!FR128=0),ROUNDUP(AS158+'Délai intermédiaire'!AT128/24,0),0)</f>
        <v>0</v>
      </c>
      <c r="AT183" s="14">
        <f>IF(AND(Distances!DG128=0,Distances!FS128=0),ROUNDUP(AT158+'Délai intermédiaire'!AU128/24,0),0)</f>
        <v>0</v>
      </c>
      <c r="AU183" s="14">
        <f>IF(AND(Distances!DH128=0,Distances!FT128=0),ROUNDUP(AU158+'Délai intermédiaire'!AV128/24,0),0)</f>
        <v>0</v>
      </c>
      <c r="AV183" s="14">
        <f>IF(AND(Distances!DI128=0,Distances!FU128=0),ROUNDUP(AV158+'Délai intermédiaire'!AW128/24,0),0)</f>
        <v>0</v>
      </c>
      <c r="AW183" s="14">
        <f>IF(AND(Distances!DJ128=0,Distances!FV128=0),ROUNDUP(AW158+'Délai intermédiaire'!AX128/24,0),0)</f>
        <v>0</v>
      </c>
      <c r="AX183" s="14">
        <f>IF(AND(Distances!DK128=0,Distances!FW128=0),ROUNDUP(AX158+'Délai intermédiaire'!AY128/24,0),0)</f>
        <v>0</v>
      </c>
      <c r="AY183" s="14">
        <f>IF(AND(Distances!DL128=0,Distances!FX128=0),ROUNDUP(AY158+'Délai intermédiaire'!AZ128/24,0),0)</f>
        <v>0</v>
      </c>
      <c r="AZ183" s="14">
        <f>IF(AND(Distances!DM128=0,Distances!FY128=0),ROUNDUP(AZ158+'Délai intermédiaire'!BA128/24,0),0)</f>
        <v>0</v>
      </c>
      <c r="BA183" s="14">
        <f>IF(AND(Distances!DN128=0,Distances!FZ128=0),ROUNDUP(BA158+'Délai intermédiaire'!BB128/24,0),0)</f>
        <v>0</v>
      </c>
      <c r="BB183" s="13">
        <f>IF(AND(Distances!DO128=0,Distances!GA128=0),ROUNDUP(BB158+'Délai intermédiaire'!BC128/24,0),0)</f>
        <v>0</v>
      </c>
      <c r="BC183" s="14">
        <f>IF(AND(Distances!DP128=0,Distances!GB128=0),ROUNDUP(BC158+'Délai intermédiaire'!BD128/24,0),0)</f>
        <v>0</v>
      </c>
      <c r="BD183" s="14">
        <f>IF(AND(Distances!DQ128=0,Distances!GC128=0),ROUNDUP(BD158+'Délai intermédiaire'!BE128/24,0),0)</f>
        <v>0</v>
      </c>
      <c r="BE183" s="14">
        <f>IF(AND(Distances!DR128=0,Distances!GD128=0),ROUNDUP(BE158+'Délai intermédiaire'!BF128/24,0),0)</f>
        <v>0</v>
      </c>
      <c r="BF183" s="13">
        <f>IF(AND(Distances!DS128=0,Distances!GE128=0),ROUNDUP(BF158+'Délai intermédiaire'!BG128/24,0),0)</f>
        <v>0</v>
      </c>
      <c r="BG183" s="13">
        <f>IF(AND(Distances!DT128=0,Distances!GF128=0),ROUNDUP(BG158+'Délai intermédiaire'!BH128/24,0),0)</f>
        <v>0</v>
      </c>
      <c r="BH183" s="14">
        <f>IF(AND(Distances!DU128=0,Distances!GG128=0),ROUNDUP(BH158+'Délai intermédiaire'!BI128/24,0),0)</f>
        <v>0</v>
      </c>
      <c r="BI183" s="14">
        <f>IF(AND(Distances!DV128=0,Distances!GH128=0),ROUNDUP(BI158+'Délai intermédiaire'!BJ128/24,0),0)</f>
        <v>0</v>
      </c>
      <c r="BJ183" s="15">
        <f>IF(AND(Distances!DW128=0,Distances!GI128=0),ROUNDUP(BJ158+'Délai intermédiaire'!BK128/24,0),0)</f>
        <v>0</v>
      </c>
    </row>
    <row r="184" spans="1:62" x14ac:dyDescent="0.3">
      <c r="A184" s="10" t="s">
        <v>25</v>
      </c>
      <c r="B184" s="16">
        <f>IF(AND(Distances!BO129=0,Distances!EA129=0),ROUNDUP(B158+'Délai intermédiaire'!C129/24,0),0)</f>
        <v>0</v>
      </c>
      <c r="C184" s="14">
        <f>IF(AND(Distances!BP129=0,Distances!EB129=0),ROUNDUP(C158+'Délai intermédiaire'!D129/24,0),0)</f>
        <v>0</v>
      </c>
      <c r="D184" s="14">
        <f>IF(AND(Distances!BQ129=0,Distances!EC129=0),ROUNDUP(D158+'Délai intermédiaire'!E129/24,0),0)</f>
        <v>0</v>
      </c>
      <c r="E184" s="14">
        <f>IF(AND(Distances!BR129=0,Distances!ED129=0),ROUNDUP(E158+'Délai intermédiaire'!F129/24,0),0)</f>
        <v>0</v>
      </c>
      <c r="F184" s="14">
        <f>IF(AND(Distances!BS129=0,Distances!EE129=0),ROUNDUP(F158+'Délai intermédiaire'!G129/24,0),0)</f>
        <v>0</v>
      </c>
      <c r="G184" s="14">
        <f>IF(AND(Distances!BT129=0,Distances!EF129=0),ROUNDUP(G158+'Délai intermédiaire'!H129/24,0),0)</f>
        <v>0</v>
      </c>
      <c r="H184" s="14">
        <f>IF(AND(Distances!BU129=0,Distances!EG129=0),ROUNDUP(H158+'Délai intermédiaire'!I129/24,0),0)</f>
        <v>0</v>
      </c>
      <c r="I184" s="14">
        <f>IF(AND(Distances!BV129=0,Distances!EH129=0),ROUNDUP(I158+'Délai intermédiaire'!J129/24,0),0)</f>
        <v>0</v>
      </c>
      <c r="J184" s="14">
        <f>IF(AND(Distances!BW129=0,Distances!EI129=0),ROUNDUP(J158+'Délai intermédiaire'!K129/24,0),0)</f>
        <v>0</v>
      </c>
      <c r="K184" s="14">
        <f>IF(AND(Distances!BX129=0,Distances!EJ129=0),ROUNDUP(K158+'Délai intermédiaire'!L129/24,0),0)</f>
        <v>0</v>
      </c>
      <c r="L184" s="14">
        <f>IF(AND(Distances!BY129=0,Distances!EK129=0),ROUNDUP(L158+'Délai intermédiaire'!M129/24,0),0)</f>
        <v>0</v>
      </c>
      <c r="M184" s="14">
        <f>IF(AND(Distances!BZ129=0,Distances!EL129=0),ROUNDUP(M158+'Délai intermédiaire'!N129/24,0),0)</f>
        <v>0</v>
      </c>
      <c r="N184" s="14">
        <f>IF(AND(Distances!CA129=0,Distances!EM129=0),ROUNDUP(N158+'Délai intermédiaire'!O129/24,0),0)</f>
        <v>0</v>
      </c>
      <c r="O184" s="14">
        <f>IF(AND(Distances!CB129=0,Distances!EN129=0),ROUNDUP(O158+'Délai intermédiaire'!P129/24,0),0)</f>
        <v>0</v>
      </c>
      <c r="P184" s="14">
        <f>IF(AND(Distances!CC129=0,Distances!EO129=0),ROUNDUP(P158+'Délai intermédiaire'!Q129/24,0),0)</f>
        <v>0</v>
      </c>
      <c r="Q184" s="13">
        <f>IF(AND(Distances!CD129=0,Distances!EP129=0),ROUNDUP(Q158+'Délai intermédiaire'!R129/24,0),0)</f>
        <v>0</v>
      </c>
      <c r="R184" s="13">
        <f>IF(AND(Distances!CE129=0,Distances!EQ129=0),ROUNDUP(R158+'Délai intermédiaire'!S129/24,0),0)</f>
        <v>0</v>
      </c>
      <c r="S184" s="13">
        <f>IF(AND(Distances!CF129=0,Distances!ER129=0),ROUNDUP(S158+'Délai intermédiaire'!T129/24,0),0)</f>
        <v>0</v>
      </c>
      <c r="T184" s="13">
        <f>IF(AND(Distances!CG129=0,Distances!ES129=0),ROUNDUP(T158+'Délai intermédiaire'!U129/24,0),0)</f>
        <v>0</v>
      </c>
      <c r="U184" s="13">
        <f>IF(AND(Distances!CH129=0,Distances!ET129=0),ROUNDUP(U158+'Délai intermédiaire'!V129/24,0),0)</f>
        <v>0</v>
      </c>
      <c r="V184" s="13">
        <f>IF(AND(Distances!CI129=0,Distances!EU129=0),ROUNDUP(V158+'Délai intermédiaire'!W129/24,0),0)</f>
        <v>0</v>
      </c>
      <c r="W184" s="13">
        <f>IF(AND(Distances!CJ129=0,Distances!EV129=0),ROUNDUP(W158+'Délai intermédiaire'!X129/24,0),0)</f>
        <v>0</v>
      </c>
      <c r="X184" s="13">
        <f>IF(AND(Distances!CK129=0,Distances!EW129=0),ROUNDUP(X158+'Délai intermédiaire'!Y129/24,0),0)</f>
        <v>0</v>
      </c>
      <c r="Y184" s="13">
        <f>IF(AND(Distances!CL129=0,Distances!EX129=0),ROUNDUP(Y158+'Délai intermédiaire'!Z129/24,0),0)</f>
        <v>0</v>
      </c>
      <c r="Z184" s="12">
        <f>IF(AND(Distances!CM129=0,Distances!EY129=0),ROUNDUP(Z158+'Délai intermédiaire'!AA129/24,0),0)</f>
        <v>2</v>
      </c>
      <c r="AA184" s="13">
        <f>IF(AND(Distances!CN129=0,Distances!EZ129=0),ROUNDUP(AA158+'Délai intermédiaire'!AB129/24,0),0)</f>
        <v>0</v>
      </c>
      <c r="AB184" s="13">
        <f>IF(AND(Distances!CO129=0,Distances!FA129=0),ROUNDUP(AB158+'Délai intermédiaire'!AC129/24,0),0)</f>
        <v>0</v>
      </c>
      <c r="AC184" s="13">
        <f>IF(AND(Distances!CP129=0,Distances!FB129=0),ROUNDUP(AC158+'Délai intermédiaire'!AD129/24,0),0)</f>
        <v>0</v>
      </c>
      <c r="AD184" s="13">
        <f>IF(AND(Distances!CQ129=0,Distances!FC129=0),ROUNDUP(AD158+'Délai intermédiaire'!AE129/24,0),0)</f>
        <v>0</v>
      </c>
      <c r="AE184" s="13">
        <f>IF(AND(Distances!CR129=0,Distances!FD129=0),ROUNDUP(AE158+'Délai intermédiaire'!AF129/24,0),0)</f>
        <v>0</v>
      </c>
      <c r="AF184" s="13">
        <f>IF(AND(Distances!CS129=0,Distances!FE129=0),ROUNDUP(AF158+'Délai intermédiaire'!AG129/24,0),0)</f>
        <v>0</v>
      </c>
      <c r="AG184" s="13">
        <f>IF(AND(Distances!CT129=0,Distances!FF129=0),ROUNDUP(AG158+'Délai intermédiaire'!AH129/24,0),0)</f>
        <v>0</v>
      </c>
      <c r="AH184" s="14">
        <f>IF(AND(Distances!CU129=0,Distances!FG129=0),ROUNDUP(AH158+'Délai intermédiaire'!AI129/24,0),0)</f>
        <v>0</v>
      </c>
      <c r="AI184" s="14">
        <f>IF(AND(Distances!CV129=0,Distances!FH129=0),ROUNDUP(AI158+'Délai intermédiaire'!AJ129/24,0),0)</f>
        <v>0</v>
      </c>
      <c r="AJ184" s="14">
        <f>IF(AND(Distances!CW129=0,Distances!FI129=0),ROUNDUP(AJ158+'Délai intermédiaire'!AK129/24,0),0)</f>
        <v>0</v>
      </c>
      <c r="AK184" s="14">
        <f>IF(AND(Distances!CX129=0,Distances!FJ129=0),ROUNDUP(AK158+'Délai intermédiaire'!AL129/24,0),0)</f>
        <v>0</v>
      </c>
      <c r="AL184" s="14">
        <f>IF(AND(Distances!CY129=0,Distances!FK129=0),ROUNDUP(AL158+'Délai intermédiaire'!AM129/24,0),0)</f>
        <v>0</v>
      </c>
      <c r="AM184" s="14">
        <f>IF(AND(Distances!CZ129=0,Distances!FL129=0),ROUNDUP(AM158+'Délai intermédiaire'!AN129/24,0),0)</f>
        <v>0</v>
      </c>
      <c r="AN184" s="14">
        <f>IF(AND(Distances!DA129=0,Distances!FM129=0),ROUNDUP(AN158+'Délai intermédiaire'!AO129/24,0),0)</f>
        <v>0</v>
      </c>
      <c r="AO184" s="14">
        <f>IF(AND(Distances!DB129=0,Distances!FN129=0),ROUNDUP(AO158+'Délai intermédiaire'!AP129/24,0),0)</f>
        <v>0</v>
      </c>
      <c r="AP184" s="14">
        <f>IF(AND(Distances!DC129=0,Distances!FO129=0),ROUNDUP(AP158+'Délai intermédiaire'!AQ129/24,0),0)</f>
        <v>0</v>
      </c>
      <c r="AQ184" s="14">
        <f>IF(AND(Distances!DD129=0,Distances!FP129=0),ROUNDUP(AQ158+'Délai intermédiaire'!AR129/24,0),0)</f>
        <v>0</v>
      </c>
      <c r="AR184" s="14">
        <f>IF(AND(Distances!DE129=0,Distances!FQ129=0),ROUNDUP(AR158+'Délai intermédiaire'!AS129/24,0),0)</f>
        <v>0</v>
      </c>
      <c r="AS184" s="14">
        <f>IF(AND(Distances!DF129=0,Distances!FR129=0),ROUNDUP(AS158+'Délai intermédiaire'!AT129/24,0),0)</f>
        <v>0</v>
      </c>
      <c r="AT184" s="14">
        <f>IF(AND(Distances!DG129=0,Distances!FS129=0),ROUNDUP(AT158+'Délai intermédiaire'!AU129/24,0),0)</f>
        <v>0</v>
      </c>
      <c r="AU184" s="14">
        <f>IF(AND(Distances!DH129=0,Distances!FT129=0),ROUNDUP(AU158+'Délai intermédiaire'!AV129/24,0),0)</f>
        <v>0</v>
      </c>
      <c r="AV184" s="14">
        <f>IF(AND(Distances!DI129=0,Distances!FU129=0),ROUNDUP(AV158+'Délai intermédiaire'!AW129/24,0),0)</f>
        <v>0</v>
      </c>
      <c r="AW184" s="14">
        <f>IF(AND(Distances!DJ129=0,Distances!FV129=0),ROUNDUP(AW158+'Délai intermédiaire'!AX129/24,0),0)</f>
        <v>0</v>
      </c>
      <c r="AX184" s="14">
        <f>IF(AND(Distances!DK129=0,Distances!FW129=0),ROUNDUP(AX158+'Délai intermédiaire'!AY129/24,0),0)</f>
        <v>0</v>
      </c>
      <c r="AY184" s="14">
        <f>IF(AND(Distances!DL129=0,Distances!FX129=0),ROUNDUP(AY158+'Délai intermédiaire'!AZ129/24,0),0)</f>
        <v>0</v>
      </c>
      <c r="AZ184" s="14">
        <f>IF(AND(Distances!DM129=0,Distances!FY129=0),ROUNDUP(AZ158+'Délai intermédiaire'!BA129/24,0),0)</f>
        <v>0</v>
      </c>
      <c r="BA184" s="14">
        <f>IF(AND(Distances!DN129=0,Distances!FZ129=0),ROUNDUP(BA158+'Délai intermédiaire'!BB129/24,0),0)</f>
        <v>0</v>
      </c>
      <c r="BB184" s="13">
        <f>IF(AND(Distances!DO129=0,Distances!GA129=0),ROUNDUP(BB158+'Délai intermédiaire'!BC129/24,0),0)</f>
        <v>0</v>
      </c>
      <c r="BC184" s="14">
        <f>IF(AND(Distances!DP129=0,Distances!GB129=0),ROUNDUP(BC158+'Délai intermédiaire'!BD129/24,0),0)</f>
        <v>0</v>
      </c>
      <c r="BD184" s="14">
        <f>IF(AND(Distances!DQ129=0,Distances!GC129=0),ROUNDUP(BD158+'Délai intermédiaire'!BE129/24,0),0)</f>
        <v>0</v>
      </c>
      <c r="BE184" s="14">
        <f>IF(AND(Distances!DR129=0,Distances!GD129=0),ROUNDUP(BE158+'Délai intermédiaire'!BF129/24,0),0)</f>
        <v>0</v>
      </c>
      <c r="BF184" s="13">
        <f>IF(AND(Distances!DS129=0,Distances!GE129=0),ROUNDUP(BF158+'Délai intermédiaire'!BG129/24,0),0)</f>
        <v>0</v>
      </c>
      <c r="BG184" s="13">
        <f>IF(AND(Distances!DT129=0,Distances!GF129=0),ROUNDUP(BG158+'Délai intermédiaire'!BH129/24,0),0)</f>
        <v>0</v>
      </c>
      <c r="BH184" s="14">
        <f>IF(AND(Distances!DU129=0,Distances!GG129=0),ROUNDUP(BH158+'Délai intermédiaire'!BI129/24,0),0)</f>
        <v>0</v>
      </c>
      <c r="BI184" s="14">
        <f>IF(AND(Distances!DV129=0,Distances!GH129=0),ROUNDUP(BI158+'Délai intermédiaire'!BJ129/24,0),0)</f>
        <v>0</v>
      </c>
      <c r="BJ184" s="15">
        <f>IF(AND(Distances!DW129=0,Distances!GI129=0),ROUNDUP(BJ158+'Délai intermédiaire'!BK129/24,0),0)</f>
        <v>0</v>
      </c>
    </row>
    <row r="185" spans="1:62" x14ac:dyDescent="0.3">
      <c r="A185" s="10" t="s">
        <v>26</v>
      </c>
      <c r="B185" s="16">
        <f>IF(AND(Distances!BO130=0,Distances!EA130=0),ROUNDUP(B158+'Délai intermédiaire'!C130/24,0),0)</f>
        <v>0</v>
      </c>
      <c r="C185" s="14">
        <f>IF(AND(Distances!BP130=0,Distances!EB130=0),ROUNDUP(C158+'Délai intermédiaire'!D130/24,0),0)</f>
        <v>0</v>
      </c>
      <c r="D185" s="14">
        <f>IF(AND(Distances!BQ130=0,Distances!EC130=0),ROUNDUP(D158+'Délai intermédiaire'!E130/24,0),0)</f>
        <v>0</v>
      </c>
      <c r="E185" s="14">
        <f>IF(AND(Distances!BR130=0,Distances!ED130=0),ROUNDUP(E158+'Délai intermédiaire'!F130/24,0),0)</f>
        <v>0</v>
      </c>
      <c r="F185" s="14">
        <f>IF(AND(Distances!BS130=0,Distances!EE130=0),ROUNDUP(F158+'Délai intermédiaire'!G130/24,0),0)</f>
        <v>0</v>
      </c>
      <c r="G185" s="14">
        <f>IF(AND(Distances!BT130=0,Distances!EF130=0),ROUNDUP(G158+'Délai intermédiaire'!H130/24,0),0)</f>
        <v>0</v>
      </c>
      <c r="H185" s="14">
        <f>IF(AND(Distances!BU130=0,Distances!EG130=0),ROUNDUP(H158+'Délai intermédiaire'!I130/24,0),0)</f>
        <v>0</v>
      </c>
      <c r="I185" s="14">
        <f>IF(AND(Distances!BV130=0,Distances!EH130=0),ROUNDUP(I158+'Délai intermédiaire'!J130/24,0),0)</f>
        <v>0</v>
      </c>
      <c r="J185" s="14">
        <f>IF(AND(Distances!BW130=0,Distances!EI130=0),ROUNDUP(J158+'Délai intermédiaire'!K130/24,0),0)</f>
        <v>0</v>
      </c>
      <c r="K185" s="14">
        <f>IF(AND(Distances!BX130=0,Distances!EJ130=0),ROUNDUP(K158+'Délai intermédiaire'!L130/24,0),0)</f>
        <v>0</v>
      </c>
      <c r="L185" s="14">
        <f>IF(AND(Distances!BY130=0,Distances!EK130=0),ROUNDUP(L158+'Délai intermédiaire'!M130/24,0),0)</f>
        <v>0</v>
      </c>
      <c r="M185" s="14">
        <f>IF(AND(Distances!BZ130=0,Distances!EL130=0),ROUNDUP(M158+'Délai intermédiaire'!N130/24,0),0)</f>
        <v>0</v>
      </c>
      <c r="N185" s="14">
        <f>IF(AND(Distances!CA130=0,Distances!EM130=0),ROUNDUP(N158+'Délai intermédiaire'!O130/24,0),0)</f>
        <v>0</v>
      </c>
      <c r="O185" s="14">
        <f>IF(AND(Distances!CB130=0,Distances!EN130=0),ROUNDUP(O158+'Délai intermédiaire'!P130/24,0),0)</f>
        <v>0</v>
      </c>
      <c r="P185" s="14">
        <f>IF(AND(Distances!CC130=0,Distances!EO130=0),ROUNDUP(P158+'Délai intermédiaire'!Q130/24,0),0)</f>
        <v>0</v>
      </c>
      <c r="Q185" s="13">
        <f>IF(AND(Distances!CD130=0,Distances!EP130=0),ROUNDUP(Q158+'Délai intermédiaire'!R130/24,0),0)</f>
        <v>0</v>
      </c>
      <c r="R185" s="13">
        <f>IF(AND(Distances!CE130=0,Distances!EQ130=0),ROUNDUP(R158+'Délai intermédiaire'!S130/24,0),0)</f>
        <v>0</v>
      </c>
      <c r="S185" s="13">
        <f>IF(AND(Distances!CF130=0,Distances!ER130=0),ROUNDUP(S158+'Délai intermédiaire'!T130/24,0),0)</f>
        <v>0</v>
      </c>
      <c r="T185" s="13">
        <f>IF(AND(Distances!CG130=0,Distances!ES130=0),ROUNDUP(T158+'Délai intermédiaire'!U130/24,0),0)</f>
        <v>0</v>
      </c>
      <c r="U185" s="13">
        <f>IF(AND(Distances!CH130=0,Distances!ET130=0),ROUNDUP(U158+'Délai intermédiaire'!V130/24,0),0)</f>
        <v>0</v>
      </c>
      <c r="V185" s="13">
        <f>IF(AND(Distances!CI130=0,Distances!EU130=0),ROUNDUP(V158+'Délai intermédiaire'!W130/24,0),0)</f>
        <v>0</v>
      </c>
      <c r="W185" s="13">
        <f>IF(AND(Distances!CJ130=0,Distances!EV130=0),ROUNDUP(W158+'Délai intermédiaire'!X130/24,0),0)</f>
        <v>0</v>
      </c>
      <c r="X185" s="13">
        <f>IF(AND(Distances!CK130=0,Distances!EW130=0),ROUNDUP(X158+'Délai intermédiaire'!Y130/24,0),0)</f>
        <v>0</v>
      </c>
      <c r="Y185" s="13">
        <f>IF(AND(Distances!CL130=0,Distances!EX130=0),ROUNDUP(Y158+'Délai intermédiaire'!Z130/24,0),0)</f>
        <v>0</v>
      </c>
      <c r="Z185" s="13">
        <f>IF(AND(Distances!CM130=0,Distances!EY130=0),ROUNDUP(Z158+'Délai intermédiaire'!AA130/24,0),0)</f>
        <v>0</v>
      </c>
      <c r="AA185" s="12">
        <f>IF(AND(Distances!CN130=0,Distances!EZ130=0),ROUNDUP(AA158+'Délai intermédiaire'!AB130/24,0),0)</f>
        <v>2</v>
      </c>
      <c r="AB185" s="13">
        <f>IF(AND(Distances!CO130=0,Distances!FA130=0),ROUNDUP(AB158+'Délai intermédiaire'!AC130/24,0),0)</f>
        <v>0</v>
      </c>
      <c r="AC185" s="13">
        <f>IF(AND(Distances!CP130=0,Distances!FB130=0),ROUNDUP(AC158+'Délai intermédiaire'!AD130/24,0),0)</f>
        <v>0</v>
      </c>
      <c r="AD185" s="13">
        <f>IF(AND(Distances!CQ130=0,Distances!FC130=0),ROUNDUP(AD158+'Délai intermédiaire'!AE130/24,0),0)</f>
        <v>0</v>
      </c>
      <c r="AE185" s="13">
        <f>IF(AND(Distances!CR130=0,Distances!FD130=0),ROUNDUP(AE158+'Délai intermédiaire'!AF130/24,0),0)</f>
        <v>0</v>
      </c>
      <c r="AF185" s="13">
        <f>IF(AND(Distances!CS130=0,Distances!FE130=0),ROUNDUP(AF158+'Délai intermédiaire'!AG130/24,0),0)</f>
        <v>0</v>
      </c>
      <c r="AG185" s="13">
        <f>IF(AND(Distances!CT130=0,Distances!FF130=0),ROUNDUP(AG158+'Délai intermédiaire'!AH130/24,0),0)</f>
        <v>0</v>
      </c>
      <c r="AH185" s="14">
        <f>IF(AND(Distances!CU130=0,Distances!FG130=0),ROUNDUP(AH158+'Délai intermédiaire'!AI130/24,0),0)</f>
        <v>0</v>
      </c>
      <c r="AI185" s="14">
        <f>IF(AND(Distances!CV130=0,Distances!FH130=0),ROUNDUP(AI158+'Délai intermédiaire'!AJ130/24,0),0)</f>
        <v>0</v>
      </c>
      <c r="AJ185" s="14">
        <f>IF(AND(Distances!CW130=0,Distances!FI130=0),ROUNDUP(AJ158+'Délai intermédiaire'!AK130/24,0),0)</f>
        <v>0</v>
      </c>
      <c r="AK185" s="14">
        <f>IF(AND(Distances!CX130=0,Distances!FJ130=0),ROUNDUP(AK158+'Délai intermédiaire'!AL130/24,0),0)</f>
        <v>0</v>
      </c>
      <c r="AL185" s="14">
        <f>IF(AND(Distances!CY130=0,Distances!FK130=0),ROUNDUP(AL158+'Délai intermédiaire'!AM130/24,0),0)</f>
        <v>0</v>
      </c>
      <c r="AM185" s="14">
        <f>IF(AND(Distances!CZ130=0,Distances!FL130=0),ROUNDUP(AM158+'Délai intermédiaire'!AN130/24,0),0)</f>
        <v>0</v>
      </c>
      <c r="AN185" s="14">
        <f>IF(AND(Distances!DA130=0,Distances!FM130=0),ROUNDUP(AN158+'Délai intermédiaire'!AO130/24,0),0)</f>
        <v>0</v>
      </c>
      <c r="AO185" s="14">
        <f>IF(AND(Distances!DB130=0,Distances!FN130=0),ROUNDUP(AO158+'Délai intermédiaire'!AP130/24,0),0)</f>
        <v>0</v>
      </c>
      <c r="AP185" s="14">
        <f>IF(AND(Distances!DC130=0,Distances!FO130=0),ROUNDUP(AP158+'Délai intermédiaire'!AQ130/24,0),0)</f>
        <v>0</v>
      </c>
      <c r="AQ185" s="14">
        <f>IF(AND(Distances!DD130=0,Distances!FP130=0),ROUNDUP(AQ158+'Délai intermédiaire'!AR130/24,0),0)</f>
        <v>0</v>
      </c>
      <c r="AR185" s="14">
        <f>IF(AND(Distances!DE130=0,Distances!FQ130=0),ROUNDUP(AR158+'Délai intermédiaire'!AS130/24,0),0)</f>
        <v>0</v>
      </c>
      <c r="AS185" s="14">
        <f>IF(AND(Distances!DF130=0,Distances!FR130=0),ROUNDUP(AS158+'Délai intermédiaire'!AT130/24,0),0)</f>
        <v>0</v>
      </c>
      <c r="AT185" s="14">
        <f>IF(AND(Distances!DG130=0,Distances!FS130=0),ROUNDUP(AT158+'Délai intermédiaire'!AU130/24,0),0)</f>
        <v>0</v>
      </c>
      <c r="AU185" s="14">
        <f>IF(AND(Distances!DH130=0,Distances!FT130=0),ROUNDUP(AU158+'Délai intermédiaire'!AV130/24,0),0)</f>
        <v>0</v>
      </c>
      <c r="AV185" s="14">
        <f>IF(AND(Distances!DI130=0,Distances!FU130=0),ROUNDUP(AV158+'Délai intermédiaire'!AW130/24,0),0)</f>
        <v>0</v>
      </c>
      <c r="AW185" s="14">
        <f>IF(AND(Distances!DJ130=0,Distances!FV130=0),ROUNDUP(AW158+'Délai intermédiaire'!AX130/24,0),0)</f>
        <v>0</v>
      </c>
      <c r="AX185" s="14">
        <f>IF(AND(Distances!DK130=0,Distances!FW130=0),ROUNDUP(AX158+'Délai intermédiaire'!AY130/24,0),0)</f>
        <v>0</v>
      </c>
      <c r="AY185" s="14">
        <f>IF(AND(Distances!DL130=0,Distances!FX130=0),ROUNDUP(AY158+'Délai intermédiaire'!AZ130/24,0),0)</f>
        <v>0</v>
      </c>
      <c r="AZ185" s="14">
        <f>IF(AND(Distances!DM130=0,Distances!FY130=0),ROUNDUP(AZ158+'Délai intermédiaire'!BA130/24,0),0)</f>
        <v>0</v>
      </c>
      <c r="BA185" s="14">
        <f>IF(AND(Distances!DN130=0,Distances!FZ130=0),ROUNDUP(BA158+'Délai intermédiaire'!BB130/24,0),0)</f>
        <v>0</v>
      </c>
      <c r="BB185" s="13">
        <f>IF(AND(Distances!DO130=0,Distances!GA130=0),ROUNDUP(BB158+'Délai intermédiaire'!BC130/24,0),0)</f>
        <v>0</v>
      </c>
      <c r="BC185" s="14">
        <f>IF(AND(Distances!DP130=0,Distances!GB130=0),ROUNDUP(BC158+'Délai intermédiaire'!BD130/24,0),0)</f>
        <v>0</v>
      </c>
      <c r="BD185" s="14">
        <f>IF(AND(Distances!DQ130=0,Distances!GC130=0),ROUNDUP(BD158+'Délai intermédiaire'!BE130/24,0),0)</f>
        <v>0</v>
      </c>
      <c r="BE185" s="14">
        <f>IF(AND(Distances!DR130=0,Distances!GD130=0),ROUNDUP(BE158+'Délai intermédiaire'!BF130/24,0),0)</f>
        <v>0</v>
      </c>
      <c r="BF185" s="13">
        <f>IF(AND(Distances!DS130=0,Distances!GE130=0),ROUNDUP(BF158+'Délai intermédiaire'!BG130/24,0),0)</f>
        <v>0</v>
      </c>
      <c r="BG185" s="13">
        <f>IF(AND(Distances!DT130=0,Distances!GF130=0),ROUNDUP(BG158+'Délai intermédiaire'!BH130/24,0),0)</f>
        <v>0</v>
      </c>
      <c r="BH185" s="14">
        <f>IF(AND(Distances!DU130=0,Distances!GG130=0),ROUNDUP(BH158+'Délai intermédiaire'!BI130/24,0),0)</f>
        <v>0</v>
      </c>
      <c r="BI185" s="14">
        <f>IF(AND(Distances!DV130=0,Distances!GH130=0),ROUNDUP(BI158+'Délai intermédiaire'!BJ130/24,0),0)</f>
        <v>0</v>
      </c>
      <c r="BJ185" s="15">
        <f>IF(AND(Distances!DW130=0,Distances!GI130=0),ROUNDUP(BJ158+'Délai intermédiaire'!BK130/24,0),0)</f>
        <v>0</v>
      </c>
    </row>
    <row r="186" spans="1:62" x14ac:dyDescent="0.3">
      <c r="A186" s="10" t="s">
        <v>27</v>
      </c>
      <c r="B186" s="16">
        <f>IF(AND(Distances!BO131=0,Distances!EA131=0),ROUNDUP(B158+'Délai intermédiaire'!C131/24,0),0)</f>
        <v>0</v>
      </c>
      <c r="C186" s="14">
        <f>IF(AND(Distances!BP131=0,Distances!EB131=0),ROUNDUP(C158+'Délai intermédiaire'!D131/24,0),0)</f>
        <v>0</v>
      </c>
      <c r="D186" s="14">
        <f>IF(AND(Distances!BQ131=0,Distances!EC131=0),ROUNDUP(D158+'Délai intermédiaire'!E131/24,0),0)</f>
        <v>0</v>
      </c>
      <c r="E186" s="14">
        <f>IF(AND(Distances!BR131=0,Distances!ED131=0),ROUNDUP(E158+'Délai intermédiaire'!F131/24,0),0)</f>
        <v>0</v>
      </c>
      <c r="F186" s="14">
        <f>IF(AND(Distances!BS131=0,Distances!EE131=0),ROUNDUP(F158+'Délai intermédiaire'!G131/24,0),0)</f>
        <v>0</v>
      </c>
      <c r="G186" s="14">
        <f>IF(AND(Distances!BT131=0,Distances!EF131=0),ROUNDUP(G158+'Délai intermédiaire'!H131/24,0),0)</f>
        <v>0</v>
      </c>
      <c r="H186" s="14">
        <f>IF(AND(Distances!BU131=0,Distances!EG131=0),ROUNDUP(H158+'Délai intermédiaire'!I131/24,0),0)</f>
        <v>0</v>
      </c>
      <c r="I186" s="14">
        <f>IF(AND(Distances!BV131=0,Distances!EH131=0),ROUNDUP(I158+'Délai intermédiaire'!J131/24,0),0)</f>
        <v>0</v>
      </c>
      <c r="J186" s="14">
        <f>IF(AND(Distances!BW131=0,Distances!EI131=0),ROUNDUP(J158+'Délai intermédiaire'!K131/24,0),0)</f>
        <v>0</v>
      </c>
      <c r="K186" s="14">
        <f>IF(AND(Distances!BX131=0,Distances!EJ131=0),ROUNDUP(K158+'Délai intermédiaire'!L131/24,0),0)</f>
        <v>0</v>
      </c>
      <c r="L186" s="14">
        <f>IF(AND(Distances!BY131=0,Distances!EK131=0),ROUNDUP(L158+'Délai intermédiaire'!M131/24,0),0)</f>
        <v>0</v>
      </c>
      <c r="M186" s="14">
        <f>IF(AND(Distances!BZ131=0,Distances!EL131=0),ROUNDUP(M158+'Délai intermédiaire'!N131/24,0),0)</f>
        <v>0</v>
      </c>
      <c r="N186" s="14">
        <f>IF(AND(Distances!CA131=0,Distances!EM131=0),ROUNDUP(N158+'Délai intermédiaire'!O131/24,0),0)</f>
        <v>0</v>
      </c>
      <c r="O186" s="14">
        <f>IF(AND(Distances!CB131=0,Distances!EN131=0),ROUNDUP(O158+'Délai intermédiaire'!P131/24,0),0)</f>
        <v>0</v>
      </c>
      <c r="P186" s="14">
        <f>IF(AND(Distances!CC131=0,Distances!EO131=0),ROUNDUP(P158+'Délai intermédiaire'!Q131/24,0),0)</f>
        <v>0</v>
      </c>
      <c r="Q186" s="13">
        <f>IF(AND(Distances!CD131=0,Distances!EP131=0),ROUNDUP(Q158+'Délai intermédiaire'!R131/24,0),0)</f>
        <v>0</v>
      </c>
      <c r="R186" s="13">
        <f>IF(AND(Distances!CE131=0,Distances!EQ131=0),ROUNDUP(R158+'Délai intermédiaire'!S131/24,0),0)</f>
        <v>0</v>
      </c>
      <c r="S186" s="13">
        <f>IF(AND(Distances!CF131=0,Distances!ER131=0),ROUNDUP(S158+'Délai intermédiaire'!T131/24,0),0)</f>
        <v>0</v>
      </c>
      <c r="T186" s="13">
        <f>IF(AND(Distances!CG131=0,Distances!ES131=0),ROUNDUP(T158+'Délai intermédiaire'!U131/24,0),0)</f>
        <v>0</v>
      </c>
      <c r="U186" s="13">
        <f>IF(AND(Distances!CH131=0,Distances!ET131=0),ROUNDUP(U158+'Délai intermédiaire'!V131/24,0),0)</f>
        <v>0</v>
      </c>
      <c r="V186" s="13">
        <f>IF(AND(Distances!CI131=0,Distances!EU131=0),ROUNDUP(V158+'Délai intermédiaire'!W131/24,0),0)</f>
        <v>0</v>
      </c>
      <c r="W186" s="13">
        <f>IF(AND(Distances!CJ131=0,Distances!EV131=0),ROUNDUP(W158+'Délai intermédiaire'!X131/24,0),0)</f>
        <v>0</v>
      </c>
      <c r="X186" s="13">
        <f>IF(AND(Distances!CK131=0,Distances!EW131=0),ROUNDUP(X158+'Délai intermédiaire'!Y131/24,0),0)</f>
        <v>0</v>
      </c>
      <c r="Y186" s="13">
        <f>IF(AND(Distances!CL131=0,Distances!EX131=0),ROUNDUP(Y158+'Délai intermédiaire'!Z131/24,0),0)</f>
        <v>0</v>
      </c>
      <c r="Z186" s="13">
        <f>IF(AND(Distances!CM131=0,Distances!EY131=0),ROUNDUP(Z158+'Délai intermédiaire'!AA131/24,0),0)</f>
        <v>0</v>
      </c>
      <c r="AA186" s="13">
        <f>IF(AND(Distances!CN131=0,Distances!EZ131=0),ROUNDUP(AA158+'Délai intermédiaire'!AB131/24,0),0)</f>
        <v>0</v>
      </c>
      <c r="AB186" s="12">
        <f>IF(AND(Distances!CO131=0,Distances!FA131=0),ROUNDUP(AB158+'Délai intermédiaire'!AC131/24,0),0)</f>
        <v>1</v>
      </c>
      <c r="AC186" s="13">
        <f>IF(AND(Distances!CP131=0,Distances!FB131=0),ROUNDUP(AC158+'Délai intermédiaire'!AD131/24,0),0)</f>
        <v>0</v>
      </c>
      <c r="AD186" s="13">
        <f>IF(AND(Distances!CQ131=0,Distances!FC131=0),ROUNDUP(AD158+'Délai intermédiaire'!AE131/24,0),0)</f>
        <v>0</v>
      </c>
      <c r="AE186" s="13">
        <f>IF(AND(Distances!CR131=0,Distances!FD131=0),ROUNDUP(AE158+'Délai intermédiaire'!AF131/24,0),0)</f>
        <v>0</v>
      </c>
      <c r="AF186" s="13">
        <f>IF(AND(Distances!CS131=0,Distances!FE131=0),ROUNDUP(AF158+'Délai intermédiaire'!AG131/24,0),0)</f>
        <v>0</v>
      </c>
      <c r="AG186" s="13">
        <f>IF(AND(Distances!CT131=0,Distances!FF131=0),ROUNDUP(AG158+'Délai intermédiaire'!AH131/24,0),0)</f>
        <v>0</v>
      </c>
      <c r="AH186" s="14">
        <f>IF(AND(Distances!CU131=0,Distances!FG131=0),ROUNDUP(AH158+'Délai intermédiaire'!AI131/24,0),0)</f>
        <v>0</v>
      </c>
      <c r="AI186" s="14">
        <f>IF(AND(Distances!CV131=0,Distances!FH131=0),ROUNDUP(AI158+'Délai intermédiaire'!AJ131/24,0),0)</f>
        <v>0</v>
      </c>
      <c r="AJ186" s="14">
        <f>IF(AND(Distances!CW131=0,Distances!FI131=0),ROUNDUP(AJ158+'Délai intermédiaire'!AK131/24,0),0)</f>
        <v>0</v>
      </c>
      <c r="AK186" s="14">
        <f>IF(AND(Distances!CX131=0,Distances!FJ131=0),ROUNDUP(AK158+'Délai intermédiaire'!AL131/24,0),0)</f>
        <v>0</v>
      </c>
      <c r="AL186" s="14">
        <f>IF(AND(Distances!CY131=0,Distances!FK131=0),ROUNDUP(AL158+'Délai intermédiaire'!AM131/24,0),0)</f>
        <v>0</v>
      </c>
      <c r="AM186" s="14">
        <f>IF(AND(Distances!CZ131=0,Distances!FL131=0),ROUNDUP(AM158+'Délai intermédiaire'!AN131/24,0),0)</f>
        <v>0</v>
      </c>
      <c r="AN186" s="14">
        <f>IF(AND(Distances!DA131=0,Distances!FM131=0),ROUNDUP(AN158+'Délai intermédiaire'!AO131/24,0),0)</f>
        <v>0</v>
      </c>
      <c r="AO186" s="14">
        <f>IF(AND(Distances!DB131=0,Distances!FN131=0),ROUNDUP(AO158+'Délai intermédiaire'!AP131/24,0),0)</f>
        <v>0</v>
      </c>
      <c r="AP186" s="14">
        <f>IF(AND(Distances!DC131=0,Distances!FO131=0),ROUNDUP(AP158+'Délai intermédiaire'!AQ131/24,0),0)</f>
        <v>0</v>
      </c>
      <c r="AQ186" s="14">
        <f>IF(AND(Distances!DD131=0,Distances!FP131=0),ROUNDUP(AQ158+'Délai intermédiaire'!AR131/24,0),0)</f>
        <v>0</v>
      </c>
      <c r="AR186" s="14">
        <f>IF(AND(Distances!DE131=0,Distances!FQ131=0),ROUNDUP(AR158+'Délai intermédiaire'!AS131/24,0),0)</f>
        <v>0</v>
      </c>
      <c r="AS186" s="14">
        <f>IF(AND(Distances!DF131=0,Distances!FR131=0),ROUNDUP(AS158+'Délai intermédiaire'!AT131/24,0),0)</f>
        <v>0</v>
      </c>
      <c r="AT186" s="14">
        <f>IF(AND(Distances!DG131=0,Distances!FS131=0),ROUNDUP(AT158+'Délai intermédiaire'!AU131/24,0),0)</f>
        <v>0</v>
      </c>
      <c r="AU186" s="14">
        <f>IF(AND(Distances!DH131=0,Distances!FT131=0),ROUNDUP(AU158+'Délai intermédiaire'!AV131/24,0),0)</f>
        <v>0</v>
      </c>
      <c r="AV186" s="14">
        <f>IF(AND(Distances!DI131=0,Distances!FU131=0),ROUNDUP(AV158+'Délai intermédiaire'!AW131/24,0),0)</f>
        <v>0</v>
      </c>
      <c r="AW186" s="14">
        <f>IF(AND(Distances!DJ131=0,Distances!FV131=0),ROUNDUP(AW158+'Délai intermédiaire'!AX131/24,0),0)</f>
        <v>0</v>
      </c>
      <c r="AX186" s="14">
        <f>IF(AND(Distances!DK131=0,Distances!FW131=0),ROUNDUP(AX158+'Délai intermédiaire'!AY131/24,0),0)</f>
        <v>0</v>
      </c>
      <c r="AY186" s="14">
        <f>IF(AND(Distances!DL131=0,Distances!FX131=0),ROUNDUP(AY158+'Délai intermédiaire'!AZ131/24,0),0)</f>
        <v>0</v>
      </c>
      <c r="AZ186" s="14">
        <f>IF(AND(Distances!DM131=0,Distances!FY131=0),ROUNDUP(AZ158+'Délai intermédiaire'!BA131/24,0),0)</f>
        <v>0</v>
      </c>
      <c r="BA186" s="14">
        <f>IF(AND(Distances!DN131=0,Distances!FZ131=0),ROUNDUP(BA158+'Délai intermédiaire'!BB131/24,0),0)</f>
        <v>0</v>
      </c>
      <c r="BB186" s="13">
        <f>IF(AND(Distances!DO131=0,Distances!GA131=0),ROUNDUP(BB158+'Délai intermédiaire'!BC131/24,0),0)</f>
        <v>0</v>
      </c>
      <c r="BC186" s="14">
        <f>IF(AND(Distances!DP131=0,Distances!GB131=0),ROUNDUP(BC158+'Délai intermédiaire'!BD131/24,0),0)</f>
        <v>0</v>
      </c>
      <c r="BD186" s="14">
        <f>IF(AND(Distances!DQ131=0,Distances!GC131=0),ROUNDUP(BD158+'Délai intermédiaire'!BE131/24,0),0)</f>
        <v>0</v>
      </c>
      <c r="BE186" s="14">
        <f>IF(AND(Distances!DR131=0,Distances!GD131=0),ROUNDUP(BE158+'Délai intermédiaire'!BF131/24,0),0)</f>
        <v>0</v>
      </c>
      <c r="BF186" s="13">
        <f>IF(AND(Distances!DS131=0,Distances!GE131=0),ROUNDUP(BF158+'Délai intermédiaire'!BG131/24,0),0)</f>
        <v>0</v>
      </c>
      <c r="BG186" s="13">
        <f>IF(AND(Distances!DT131=0,Distances!GF131=0),ROUNDUP(BG158+'Délai intermédiaire'!BH131/24,0),0)</f>
        <v>0</v>
      </c>
      <c r="BH186" s="14">
        <f>IF(AND(Distances!DU131=0,Distances!GG131=0),ROUNDUP(BH158+'Délai intermédiaire'!BI131/24,0),0)</f>
        <v>0</v>
      </c>
      <c r="BI186" s="14">
        <f>IF(AND(Distances!DV131=0,Distances!GH131=0),ROUNDUP(BI158+'Délai intermédiaire'!BJ131/24,0),0)</f>
        <v>0</v>
      </c>
      <c r="BJ186" s="15">
        <f>IF(AND(Distances!DW131=0,Distances!GI131=0),ROUNDUP(BJ158+'Délai intermédiaire'!BK131/24,0),0)</f>
        <v>0</v>
      </c>
    </row>
    <row r="187" spans="1:62" x14ac:dyDescent="0.3">
      <c r="A187" s="10" t="s">
        <v>65</v>
      </c>
      <c r="B187" s="16">
        <f>IF(AND(Distances!BO132=0,Distances!EA132=0),ROUNDUP(B158+'Délai intermédiaire'!C132/24,0),0)</f>
        <v>9</v>
      </c>
      <c r="C187" s="14">
        <f>IF(AND(Distances!BP132=0,Distances!EB132=0),ROUNDUP(C158+'Délai intermédiaire'!D132/24,0),0)</f>
        <v>10</v>
      </c>
      <c r="D187" s="14">
        <f>IF(AND(Distances!BQ132=0,Distances!EC132=0),ROUNDUP(D158+'Délai intermédiaire'!E132/24,0),0)</f>
        <v>0</v>
      </c>
      <c r="E187" s="14">
        <f>IF(AND(Distances!BR132=0,Distances!ED132=0),ROUNDUP(E158+'Délai intermédiaire'!F132/24,0),0)</f>
        <v>10</v>
      </c>
      <c r="F187" s="14">
        <f>IF(AND(Distances!BS132=0,Distances!EE132=0),ROUNDUP(F158+'Délai intermédiaire'!G132/24,0),0)</f>
        <v>0</v>
      </c>
      <c r="G187" s="14">
        <f>IF(AND(Distances!BT132=0,Distances!EF132=0),ROUNDUP(G158+'Délai intermédiaire'!H132/24,0),0)</f>
        <v>0</v>
      </c>
      <c r="H187" s="14">
        <f>IF(AND(Distances!BU132=0,Distances!EG132=0),ROUNDUP(H158+'Délai intermédiaire'!I132/24,0),0)</f>
        <v>17</v>
      </c>
      <c r="I187" s="14">
        <f>IF(AND(Distances!BV132=0,Distances!EH132=0),ROUNDUP(I158+'Délai intermédiaire'!J132/24,0),0)</f>
        <v>15</v>
      </c>
      <c r="J187" s="14">
        <f>IF(AND(Distances!BW132=0,Distances!EI132=0),ROUNDUP(J158+'Délai intermédiaire'!K132/24,0),0)</f>
        <v>0</v>
      </c>
      <c r="K187" s="14">
        <f>IF(AND(Distances!BX132=0,Distances!EJ132=0),ROUNDUP(K158+'Délai intermédiaire'!L132/24,0),0)</f>
        <v>9</v>
      </c>
      <c r="L187" s="14">
        <f>IF(AND(Distances!BY132=0,Distances!EK132=0),ROUNDUP(L158+'Délai intermédiaire'!M132/24,0),0)</f>
        <v>0</v>
      </c>
      <c r="M187" s="14">
        <f>IF(AND(Distances!BZ132=0,Distances!EL132=0),ROUNDUP(M158+'Délai intermédiaire'!N132/24,0),0)</f>
        <v>18</v>
      </c>
      <c r="N187" s="14">
        <f>IF(AND(Distances!CA132=0,Distances!EM132=0),ROUNDUP(N158+'Délai intermédiaire'!O132/24,0),0)</f>
        <v>0</v>
      </c>
      <c r="O187" s="14">
        <f>IF(AND(Distances!CB132=0,Distances!EN132=0),ROUNDUP(O158+'Délai intermédiaire'!P132/24,0),0)</f>
        <v>0</v>
      </c>
      <c r="P187" s="14">
        <f>IF(AND(Distances!CC132=0,Distances!EO132=0),ROUNDUP(P158+'Délai intermédiaire'!Q132/24,0),0)</f>
        <v>0</v>
      </c>
      <c r="Q187" s="13">
        <f>IF(AND(Distances!CD132=0,Distances!EP132=0),ROUNDUP(Q158+'Délai intermédiaire'!R132/24,0),0)</f>
        <v>5</v>
      </c>
      <c r="R187" s="13">
        <f>IF(AND(Distances!CE132=0,Distances!EQ132=0),ROUNDUP(R158+'Délai intermédiaire'!S132/24,0),0)</f>
        <v>5</v>
      </c>
      <c r="S187" s="13">
        <f>IF(AND(Distances!CF132=0,Distances!ER132=0),ROUNDUP(S158+'Délai intermédiaire'!T132/24,0),0)</f>
        <v>5</v>
      </c>
      <c r="T187" s="13">
        <f>IF(AND(Distances!CG132=0,Distances!ES132=0),ROUNDUP(T158+'Délai intermédiaire'!U132/24,0),0)</f>
        <v>0</v>
      </c>
      <c r="U187" s="13">
        <f>IF(AND(Distances!CH132=0,Distances!ET132=0),ROUNDUP(U158+'Délai intermédiaire'!V132/24,0),0)</f>
        <v>0</v>
      </c>
      <c r="V187" s="13">
        <f>IF(AND(Distances!CI132=0,Distances!EU132=0),ROUNDUP(V158+'Délai intermédiaire'!W132/24,0),0)</f>
        <v>0</v>
      </c>
      <c r="W187" s="13">
        <f>IF(AND(Distances!CJ132=0,Distances!EV132=0),ROUNDUP(W158+'Délai intermédiaire'!X132/24,0),0)</f>
        <v>5</v>
      </c>
      <c r="X187" s="13">
        <f>IF(AND(Distances!CK132=0,Distances!EW132=0),ROUNDUP(X158+'Délai intermédiaire'!Y132/24,0),0)</f>
        <v>0</v>
      </c>
      <c r="Y187" s="13">
        <f>IF(AND(Distances!CL132=0,Distances!EX132=0),ROUNDUP(Y158+'Délai intermédiaire'!Z132/24,0),0)</f>
        <v>0</v>
      </c>
      <c r="Z187" s="13">
        <f>IF(AND(Distances!CM132=0,Distances!EY132=0),ROUNDUP(Z158+'Délai intermédiaire'!AA132/24,0),0)</f>
        <v>0</v>
      </c>
      <c r="AA187" s="13">
        <f>IF(AND(Distances!CN132=0,Distances!EZ132=0),ROUNDUP(AA158+'Délai intermédiaire'!AB132/24,0),0)</f>
        <v>0</v>
      </c>
      <c r="AB187" s="13">
        <f>IF(AND(Distances!CO132=0,Distances!FA132=0),ROUNDUP(AB158+'Délai intermédiaire'!AC132/24,0),0)</f>
        <v>0</v>
      </c>
      <c r="AC187" s="12">
        <f>IF(AND(Distances!CP132=0,Distances!FB132=0),ROUNDUP(AC158+'Délai intermédiaire'!AD132/24,0),0)</f>
        <v>1</v>
      </c>
      <c r="AD187" s="13">
        <f>IF(AND(Distances!CQ132=0,Distances!FC132=0),ROUNDUP(AD158+'Délai intermédiaire'!AE132/24,0),0)</f>
        <v>7</v>
      </c>
      <c r="AE187" s="13">
        <f>IF(AND(Distances!CR132=0,Distances!FD132=0),ROUNDUP(AE158+'Délai intermédiaire'!AF132/24,0),0)</f>
        <v>0</v>
      </c>
      <c r="AF187" s="13">
        <f>IF(AND(Distances!CS132=0,Distances!FE132=0),ROUNDUP(AF158+'Délai intermédiaire'!AG132/24,0),0)</f>
        <v>0</v>
      </c>
      <c r="AG187" s="13">
        <f>IF(AND(Distances!CT132=0,Distances!FF132=0),ROUNDUP(AG158+'Délai intermédiaire'!AH132/24,0),0)</f>
        <v>0</v>
      </c>
      <c r="AH187" s="14">
        <f>IF(AND(Distances!CU132=0,Distances!FG132=0),ROUNDUP(AH158+'Délai intermédiaire'!AI132/24,0),0)</f>
        <v>0</v>
      </c>
      <c r="AI187" s="14">
        <f>IF(AND(Distances!CV132=0,Distances!FH132=0),ROUNDUP(AI158+'Délai intermédiaire'!AJ132/24,0),0)</f>
        <v>13</v>
      </c>
      <c r="AJ187" s="14">
        <f>IF(AND(Distances!CW132=0,Distances!FI132=0),ROUNDUP(AJ158+'Délai intermédiaire'!AK132/24,0),0)</f>
        <v>0</v>
      </c>
      <c r="AK187" s="14">
        <f>IF(AND(Distances!CX132=0,Distances!FJ132=0),ROUNDUP(AK158+'Délai intermédiaire'!AL132/24,0),0)</f>
        <v>12</v>
      </c>
      <c r="AL187" s="14">
        <f>IF(AND(Distances!CY132=0,Distances!FK132=0),ROUNDUP(AL158+'Délai intermédiaire'!AM132/24,0),0)</f>
        <v>18</v>
      </c>
      <c r="AM187" s="14">
        <f>IF(AND(Distances!CZ132=0,Distances!FL132=0),ROUNDUP(AM158+'Délai intermédiaire'!AN132/24,0),0)</f>
        <v>18</v>
      </c>
      <c r="AN187" s="14">
        <f>IF(AND(Distances!DA132=0,Distances!FM132=0),ROUNDUP(AN158+'Délai intermédiaire'!AO132/24,0),0)</f>
        <v>0</v>
      </c>
      <c r="AO187" s="14">
        <f>IF(AND(Distances!DB132=0,Distances!FN132=0),ROUNDUP(AO158+'Délai intermédiaire'!AP132/24,0),0)</f>
        <v>19</v>
      </c>
      <c r="AP187" s="14">
        <f>IF(AND(Distances!DC132=0,Distances!FO132=0),ROUNDUP(AP158+'Délai intermédiaire'!AQ132/24,0),0)</f>
        <v>20</v>
      </c>
      <c r="AQ187" s="14">
        <f>IF(AND(Distances!DD132=0,Distances!FP132=0),ROUNDUP(AQ158+'Délai intermédiaire'!AR132/24,0),0)</f>
        <v>16</v>
      </c>
      <c r="AR187" s="14">
        <f>IF(AND(Distances!DE132=0,Distances!FQ132=0),ROUNDUP(AR158+'Délai intermédiaire'!AS132/24,0),0)</f>
        <v>10</v>
      </c>
      <c r="AS187" s="14">
        <f>IF(AND(Distances!DF132=0,Distances!FR132=0),ROUNDUP(AS158+'Délai intermédiaire'!AT132/24,0),0)</f>
        <v>0</v>
      </c>
      <c r="AT187" s="14">
        <f>IF(AND(Distances!DG132=0,Distances!FS132=0),ROUNDUP(AT158+'Délai intermédiaire'!AU132/24,0),0)</f>
        <v>0</v>
      </c>
      <c r="AU187" s="14">
        <f>IF(AND(Distances!DH132=0,Distances!FT132=0),ROUNDUP(AU158+'Délai intermédiaire'!AV132/24,0),0)</f>
        <v>0</v>
      </c>
      <c r="AV187" s="14">
        <f>IF(AND(Distances!DI132=0,Distances!FU132=0),ROUNDUP(AV158+'Délai intermédiaire'!AW132/24,0),0)</f>
        <v>0</v>
      </c>
      <c r="AW187" s="14">
        <f>IF(AND(Distances!DJ132=0,Distances!FV132=0),ROUNDUP(AW158+'Délai intermédiaire'!AX132/24,0),0)</f>
        <v>0</v>
      </c>
      <c r="AX187" s="14">
        <f>IF(AND(Distances!DK132=0,Distances!FW132=0),ROUNDUP(AX158+'Délai intermédiaire'!AY132/24,0),0)</f>
        <v>20</v>
      </c>
      <c r="AY187" s="14">
        <f>IF(AND(Distances!DL132=0,Distances!FX132=0),ROUNDUP(AY158+'Délai intermédiaire'!AZ132/24,0),0)</f>
        <v>2</v>
      </c>
      <c r="AZ187" s="14">
        <f>IF(AND(Distances!DM132=0,Distances!FY132=0),ROUNDUP(AZ158+'Délai intermédiaire'!BA132/24,0),0)</f>
        <v>0</v>
      </c>
      <c r="BA187" s="14">
        <f>IF(AND(Distances!DN132=0,Distances!FZ132=0),ROUNDUP(BA158+'Délai intermédiaire'!BB132/24,0),0)</f>
        <v>15</v>
      </c>
      <c r="BB187" s="13">
        <f>IF(AND(Distances!DO132=0,Distances!GA132=0),ROUNDUP(BB158+'Délai intermédiaire'!BC132/24,0),0)</f>
        <v>7</v>
      </c>
      <c r="BC187" s="14">
        <f>IF(AND(Distances!DP132=0,Distances!GB132=0),ROUNDUP(BC158+'Délai intermédiaire'!BD132/24,0),0)</f>
        <v>16</v>
      </c>
      <c r="BD187" s="14">
        <f>IF(AND(Distances!DQ132=0,Distances!GC132=0),ROUNDUP(BD158+'Délai intermédiaire'!BE132/24,0),0)</f>
        <v>0</v>
      </c>
      <c r="BE187" s="14">
        <f>IF(AND(Distances!DR132=0,Distances!GD132=0),ROUNDUP(BE158+'Délai intermédiaire'!BF132/24,0),0)</f>
        <v>18</v>
      </c>
      <c r="BF187" s="13">
        <f>IF(AND(Distances!DS132=0,Distances!GE132=0),ROUNDUP(BF158+'Délai intermédiaire'!BG132/24,0),0)</f>
        <v>0</v>
      </c>
      <c r="BG187" s="13">
        <f>IF(AND(Distances!DT132=0,Distances!GF132=0),ROUNDUP(BG158+'Délai intermédiaire'!BH132/24,0),0)</f>
        <v>0</v>
      </c>
      <c r="BH187" s="14">
        <f>IF(AND(Distances!DU132=0,Distances!GG132=0),ROUNDUP(BH158+'Délai intermédiaire'!BI132/24,0),0)</f>
        <v>0</v>
      </c>
      <c r="BI187" s="14">
        <f>IF(AND(Distances!DV132=0,Distances!GH132=0),ROUNDUP(BI158+'Délai intermédiaire'!BJ132/24,0),0)</f>
        <v>0</v>
      </c>
      <c r="BJ187" s="15">
        <f>IF(AND(Distances!DW132=0,Distances!GI132=0),ROUNDUP(BJ158+'Délai intermédiaire'!BK132/24,0),0)</f>
        <v>0</v>
      </c>
    </row>
    <row r="188" spans="1:62" x14ac:dyDescent="0.3">
      <c r="A188" s="10" t="s">
        <v>29</v>
      </c>
      <c r="B188" s="16">
        <f>IF(AND(Distances!BO133=0,Distances!EA133=0),ROUNDUP(B158+'Délai intermédiaire'!C133/24,0),0)</f>
        <v>9</v>
      </c>
      <c r="C188" s="14">
        <f>IF(AND(Distances!BP133=0,Distances!EB133=0),ROUNDUP(C158+'Délai intermédiaire'!D133/24,0),0)</f>
        <v>11</v>
      </c>
      <c r="D188" s="14">
        <f>IF(AND(Distances!BQ133=0,Distances!EC133=0),ROUNDUP(D158+'Délai intermédiaire'!E133/24,0),0)</f>
        <v>0</v>
      </c>
      <c r="E188" s="14">
        <f>IF(AND(Distances!BR133=0,Distances!ED133=0),ROUNDUP(E158+'Délai intermédiaire'!F133/24,0),0)</f>
        <v>10</v>
      </c>
      <c r="F188" s="14">
        <f>IF(AND(Distances!BS133=0,Distances!EE133=0),ROUNDUP(F158+'Délai intermédiaire'!G133/24,0),0)</f>
        <v>0</v>
      </c>
      <c r="G188" s="14">
        <f>IF(AND(Distances!BT133=0,Distances!EF133=0),ROUNDUP(G158+'Délai intermédiaire'!H133/24,0),0)</f>
        <v>0</v>
      </c>
      <c r="H188" s="14">
        <f>IF(AND(Distances!BU133=0,Distances!EG133=0),ROUNDUP(H158+'Délai intermédiaire'!I133/24,0),0)</f>
        <v>18</v>
      </c>
      <c r="I188" s="14">
        <f>IF(AND(Distances!BV133=0,Distances!EH133=0),ROUNDUP(I158+'Délai intermédiaire'!J133/24,0),0)</f>
        <v>16</v>
      </c>
      <c r="J188" s="14">
        <f>IF(AND(Distances!BW133=0,Distances!EI133=0),ROUNDUP(J158+'Délai intermédiaire'!K133/24,0),0)</f>
        <v>0</v>
      </c>
      <c r="K188" s="14">
        <f>IF(AND(Distances!BX133=0,Distances!EJ133=0),ROUNDUP(K158+'Délai intermédiaire'!L133/24,0),0)</f>
        <v>9</v>
      </c>
      <c r="L188" s="14">
        <f>IF(AND(Distances!BY133=0,Distances!EK133=0),ROUNDUP(L158+'Délai intermédiaire'!M133/24,0),0)</f>
        <v>0</v>
      </c>
      <c r="M188" s="14">
        <f>IF(AND(Distances!BZ133=0,Distances!EL133=0),ROUNDUP(M158+'Délai intermédiaire'!N133/24,0),0)</f>
        <v>19</v>
      </c>
      <c r="N188" s="14">
        <f>IF(AND(Distances!CA133=0,Distances!EM133=0),ROUNDUP(N158+'Délai intermédiaire'!O133/24,0),0)</f>
        <v>0</v>
      </c>
      <c r="O188" s="14">
        <f>IF(AND(Distances!CB133=0,Distances!EN133=0),ROUNDUP(O158+'Délai intermédiaire'!P133/24,0),0)</f>
        <v>0</v>
      </c>
      <c r="P188" s="14">
        <f>IF(AND(Distances!CC133=0,Distances!EO133=0),ROUNDUP(P158+'Délai intermédiaire'!Q133/24,0),0)</f>
        <v>0</v>
      </c>
      <c r="Q188" s="13">
        <f>IF(AND(Distances!CD133=0,Distances!EP133=0),ROUNDUP(Q158+'Délai intermédiaire'!R133/24,0),0)</f>
        <v>3</v>
      </c>
      <c r="R188" s="13">
        <f>IF(AND(Distances!CE133=0,Distances!EQ133=0),ROUNDUP(R158+'Délai intermédiaire'!S133/24,0),0)</f>
        <v>4</v>
      </c>
      <c r="S188" s="13">
        <f>IF(AND(Distances!CF133=0,Distances!ER133=0),ROUNDUP(S158+'Délai intermédiaire'!T133/24,0),0)</f>
        <v>3</v>
      </c>
      <c r="T188" s="13">
        <f>IF(AND(Distances!CG133=0,Distances!ES133=0),ROUNDUP(T158+'Délai intermédiaire'!U133/24,0),0)</f>
        <v>0</v>
      </c>
      <c r="U188" s="13">
        <f>IF(AND(Distances!CH133=0,Distances!ET133=0),ROUNDUP(U158+'Délai intermédiaire'!V133/24,0),0)</f>
        <v>0</v>
      </c>
      <c r="V188" s="13">
        <f>IF(AND(Distances!CI133=0,Distances!EU133=0),ROUNDUP(V158+'Délai intermédiaire'!W133/24,0),0)</f>
        <v>0</v>
      </c>
      <c r="W188" s="13">
        <f>IF(AND(Distances!CJ133=0,Distances!EV133=0),ROUNDUP(W158+'Délai intermédiaire'!X133/24,0),0)</f>
        <v>2</v>
      </c>
      <c r="X188" s="13">
        <f>IF(AND(Distances!CK133=0,Distances!EW133=0),ROUNDUP(X158+'Délai intermédiaire'!Y133/24,0),0)</f>
        <v>0</v>
      </c>
      <c r="Y188" s="13">
        <f>IF(AND(Distances!CL133=0,Distances!EX133=0),ROUNDUP(Y158+'Délai intermédiaire'!Z133/24,0),0)</f>
        <v>0</v>
      </c>
      <c r="Z188" s="13">
        <f>IF(AND(Distances!CM133=0,Distances!EY133=0),ROUNDUP(Z158+'Délai intermédiaire'!AA133/24,0),0)</f>
        <v>0</v>
      </c>
      <c r="AA188" s="13">
        <f>IF(AND(Distances!CN133=0,Distances!EZ133=0),ROUNDUP(AA158+'Délai intermédiaire'!AB133/24,0),0)</f>
        <v>0</v>
      </c>
      <c r="AB188" s="13">
        <f>IF(AND(Distances!CO133=0,Distances!FA133=0),ROUNDUP(AB158+'Délai intermédiaire'!AC133/24,0),0)</f>
        <v>0</v>
      </c>
      <c r="AC188" s="13">
        <f>IF(AND(Distances!CP133=0,Distances!FB133=0),ROUNDUP(AC158+'Délai intermédiaire'!AD133/24,0),0)</f>
        <v>6</v>
      </c>
      <c r="AD188" s="12">
        <f>IF(AND(Distances!CQ133=0,Distances!FC133=0),ROUNDUP(AD158+'Délai intermédiaire'!AE133/24,0),0)</f>
        <v>2</v>
      </c>
      <c r="AE188" s="13">
        <f>IF(AND(Distances!CR133=0,Distances!FD133=0),ROUNDUP(AE158+'Délai intermédiaire'!AF133/24,0),0)</f>
        <v>0</v>
      </c>
      <c r="AF188" s="13">
        <f>IF(AND(Distances!CS133=0,Distances!FE133=0),ROUNDUP(AF158+'Délai intermédiaire'!AG133/24,0),0)</f>
        <v>0</v>
      </c>
      <c r="AG188" s="13">
        <f>IF(AND(Distances!CT133=0,Distances!FF133=0),ROUNDUP(AG158+'Délai intermédiaire'!AH133/24,0),0)</f>
        <v>0</v>
      </c>
      <c r="AH188" s="14">
        <f>IF(AND(Distances!CU133=0,Distances!FG133=0),ROUNDUP(AH158+'Délai intermédiaire'!AI133/24,0),0)</f>
        <v>0</v>
      </c>
      <c r="AI188" s="14">
        <f>IF(AND(Distances!CV133=0,Distances!FH133=0),ROUNDUP(AI158+'Délai intermédiaire'!AJ133/24,0),0)</f>
        <v>18</v>
      </c>
      <c r="AJ188" s="14">
        <f>IF(AND(Distances!CW133=0,Distances!FI133=0),ROUNDUP(AJ158+'Délai intermédiaire'!AK133/24,0),0)</f>
        <v>0</v>
      </c>
      <c r="AK188" s="14">
        <f>IF(AND(Distances!CX133=0,Distances!FJ133=0),ROUNDUP(AK158+'Délai intermédiaire'!AL133/24,0),0)</f>
        <v>16</v>
      </c>
      <c r="AL188" s="14">
        <f>IF(AND(Distances!CY133=0,Distances!FK133=0),ROUNDUP(AL158+'Délai intermédiaire'!AM133/24,0),0)</f>
        <v>22</v>
      </c>
      <c r="AM188" s="14">
        <f>IF(AND(Distances!CZ133=0,Distances!FL133=0),ROUNDUP(AM158+'Délai intermédiaire'!AN133/24,0),0)</f>
        <v>22</v>
      </c>
      <c r="AN188" s="14">
        <f>IF(AND(Distances!DA133=0,Distances!FM133=0),ROUNDUP(AN158+'Délai intermédiaire'!AO133/24,0),0)</f>
        <v>0</v>
      </c>
      <c r="AO188" s="14">
        <f>IF(AND(Distances!DB133=0,Distances!FN133=0),ROUNDUP(AO158+'Délai intermédiaire'!AP133/24,0),0)</f>
        <v>23</v>
      </c>
      <c r="AP188" s="14">
        <f>IF(AND(Distances!DC133=0,Distances!FO133=0),ROUNDUP(AP158+'Délai intermédiaire'!AQ133/24,0),0)</f>
        <v>24</v>
      </c>
      <c r="AQ188" s="14">
        <f>IF(AND(Distances!DD133=0,Distances!FP133=0),ROUNDUP(AQ158+'Délai intermédiaire'!AR133/24,0),0)</f>
        <v>20</v>
      </c>
      <c r="AR188" s="14">
        <f>IF(AND(Distances!DE133=0,Distances!FQ133=0),ROUNDUP(AR158+'Délai intermédiaire'!AS133/24,0),0)</f>
        <v>14</v>
      </c>
      <c r="AS188" s="14">
        <f>IF(AND(Distances!DF133=0,Distances!FR133=0),ROUNDUP(AS158+'Délai intermédiaire'!AT133/24,0),0)</f>
        <v>0</v>
      </c>
      <c r="AT188" s="14">
        <f>IF(AND(Distances!DG133=0,Distances!FS133=0),ROUNDUP(AT158+'Délai intermédiaire'!AU133/24,0),0)</f>
        <v>0</v>
      </c>
      <c r="AU188" s="14">
        <f>IF(AND(Distances!DH133=0,Distances!FT133=0),ROUNDUP(AU158+'Délai intermédiaire'!AV133/24,0),0)</f>
        <v>0</v>
      </c>
      <c r="AV188" s="14">
        <f>IF(AND(Distances!DI133=0,Distances!FU133=0),ROUNDUP(AV158+'Délai intermédiaire'!AW133/24,0),0)</f>
        <v>0</v>
      </c>
      <c r="AW188" s="14">
        <f>IF(AND(Distances!DJ133=0,Distances!FV133=0),ROUNDUP(AW158+'Délai intermédiaire'!AX133/24,0),0)</f>
        <v>0</v>
      </c>
      <c r="AX188" s="14">
        <f>IF(AND(Distances!DK133=0,Distances!FW133=0),ROUNDUP(AX158+'Délai intermédiaire'!AY133/24,0),0)</f>
        <v>24</v>
      </c>
      <c r="AY188" s="14">
        <f>IF(AND(Distances!DL133=0,Distances!FX133=0),ROUNDUP(AY158+'Délai intermédiaire'!AZ133/24,0),0)</f>
        <v>2</v>
      </c>
      <c r="AZ188" s="14">
        <f>IF(AND(Distances!DM133=0,Distances!FY133=0),ROUNDUP(AZ158+'Délai intermédiaire'!BA133/24,0),0)</f>
        <v>0</v>
      </c>
      <c r="BA188" s="14">
        <f>IF(AND(Distances!DN133=0,Distances!FZ133=0),ROUNDUP(BA158+'Délai intermédiaire'!BB133/24,0),0)</f>
        <v>20</v>
      </c>
      <c r="BB188" s="13">
        <f>IF(AND(Distances!DO133=0,Distances!GA133=0),ROUNDUP(BB158+'Délai intermédiaire'!BC133/24,0),0)</f>
        <v>3</v>
      </c>
      <c r="BC188" s="14">
        <f>IF(AND(Distances!DP133=0,Distances!GB133=0),ROUNDUP(BC158+'Délai intermédiaire'!BD133/24,0),0)</f>
        <v>21</v>
      </c>
      <c r="BD188" s="14">
        <f>IF(AND(Distances!DQ133=0,Distances!GC133=0),ROUNDUP(BD158+'Délai intermédiaire'!BE133/24,0),0)</f>
        <v>0</v>
      </c>
      <c r="BE188" s="14">
        <f>IF(AND(Distances!DR133=0,Distances!GD133=0),ROUNDUP(BE158+'Délai intermédiaire'!BF133/24,0),0)</f>
        <v>22</v>
      </c>
      <c r="BF188" s="13">
        <f>IF(AND(Distances!DS133=0,Distances!GE133=0),ROUNDUP(BF158+'Délai intermédiaire'!BG133/24,0),0)</f>
        <v>0</v>
      </c>
      <c r="BG188" s="13">
        <f>IF(AND(Distances!DT133=0,Distances!GF133=0),ROUNDUP(BG158+'Délai intermédiaire'!BH133/24,0),0)</f>
        <v>0</v>
      </c>
      <c r="BH188" s="14">
        <f>IF(AND(Distances!DU133=0,Distances!GG133=0),ROUNDUP(BH158+'Délai intermédiaire'!BI133/24,0),0)</f>
        <v>0</v>
      </c>
      <c r="BI188" s="14">
        <f>IF(AND(Distances!DV133=0,Distances!GH133=0),ROUNDUP(BI158+'Délai intermédiaire'!BJ133/24,0),0)</f>
        <v>0</v>
      </c>
      <c r="BJ188" s="15">
        <f>IF(AND(Distances!DW133=0,Distances!GI133=0),ROUNDUP(BJ158+'Délai intermédiaire'!BK133/24,0),0)</f>
        <v>0</v>
      </c>
    </row>
    <row r="189" spans="1:62" x14ac:dyDescent="0.3">
      <c r="A189" s="10" t="s">
        <v>30</v>
      </c>
      <c r="B189" s="16">
        <f>IF(AND(Distances!BO134=0,Distances!EA134=0),ROUNDUP(B158+'Délai intermédiaire'!C134/24,0),0)</f>
        <v>0</v>
      </c>
      <c r="C189" s="14">
        <f>IF(AND(Distances!BP134=0,Distances!EB134=0),ROUNDUP(C158+'Délai intermédiaire'!D134/24,0),0)</f>
        <v>0</v>
      </c>
      <c r="D189" s="14">
        <f>IF(AND(Distances!BQ134=0,Distances!EC134=0),ROUNDUP(D158+'Délai intermédiaire'!E134/24,0),0)</f>
        <v>0</v>
      </c>
      <c r="E189" s="14">
        <f>IF(AND(Distances!BR134=0,Distances!ED134=0),ROUNDUP(E158+'Délai intermédiaire'!F134/24,0),0)</f>
        <v>0</v>
      </c>
      <c r="F189" s="14">
        <f>IF(AND(Distances!BS134=0,Distances!EE134=0),ROUNDUP(F158+'Délai intermédiaire'!G134/24,0),0)</f>
        <v>0</v>
      </c>
      <c r="G189" s="14">
        <f>IF(AND(Distances!BT134=0,Distances!EF134=0),ROUNDUP(G158+'Délai intermédiaire'!H134/24,0),0)</f>
        <v>0</v>
      </c>
      <c r="H189" s="14">
        <f>IF(AND(Distances!BU134=0,Distances!EG134=0),ROUNDUP(H158+'Délai intermédiaire'!I134/24,0),0)</f>
        <v>0</v>
      </c>
      <c r="I189" s="14">
        <f>IF(AND(Distances!BV134=0,Distances!EH134=0),ROUNDUP(I158+'Délai intermédiaire'!J134/24,0),0)</f>
        <v>0</v>
      </c>
      <c r="J189" s="14">
        <f>IF(AND(Distances!BW134=0,Distances!EI134=0),ROUNDUP(J158+'Délai intermédiaire'!K134/24,0),0)</f>
        <v>0</v>
      </c>
      <c r="K189" s="14">
        <f>IF(AND(Distances!BX134=0,Distances!EJ134=0),ROUNDUP(K158+'Délai intermédiaire'!L134/24,0),0)</f>
        <v>0</v>
      </c>
      <c r="L189" s="14">
        <f>IF(AND(Distances!BY134=0,Distances!EK134=0),ROUNDUP(L158+'Délai intermédiaire'!M134/24,0),0)</f>
        <v>0</v>
      </c>
      <c r="M189" s="14">
        <f>IF(AND(Distances!BZ134=0,Distances!EL134=0),ROUNDUP(M158+'Délai intermédiaire'!N134/24,0),0)</f>
        <v>0</v>
      </c>
      <c r="N189" s="14">
        <f>IF(AND(Distances!CA134=0,Distances!EM134=0),ROUNDUP(N158+'Délai intermédiaire'!O134/24,0),0)</f>
        <v>0</v>
      </c>
      <c r="O189" s="14">
        <f>IF(AND(Distances!CB134=0,Distances!EN134=0),ROUNDUP(O158+'Délai intermédiaire'!P134/24,0),0)</f>
        <v>0</v>
      </c>
      <c r="P189" s="14">
        <f>IF(AND(Distances!CC134=0,Distances!EO134=0),ROUNDUP(P158+'Délai intermédiaire'!Q134/24,0),0)</f>
        <v>0</v>
      </c>
      <c r="Q189" s="13">
        <f>IF(AND(Distances!CD134=0,Distances!EP134=0),ROUNDUP(Q158+'Délai intermédiaire'!R134/24,0),0)</f>
        <v>0</v>
      </c>
      <c r="R189" s="13">
        <f>IF(AND(Distances!CE134=0,Distances!EQ134=0),ROUNDUP(R158+'Délai intermédiaire'!S134/24,0),0)</f>
        <v>0</v>
      </c>
      <c r="S189" s="13">
        <f>IF(AND(Distances!CF134=0,Distances!ER134=0),ROUNDUP(S158+'Délai intermédiaire'!T134/24,0),0)</f>
        <v>0</v>
      </c>
      <c r="T189" s="13">
        <f>IF(AND(Distances!CG134=0,Distances!ES134=0),ROUNDUP(T158+'Délai intermédiaire'!U134/24,0),0)</f>
        <v>0</v>
      </c>
      <c r="U189" s="13">
        <f>IF(AND(Distances!CH134=0,Distances!ET134=0),ROUNDUP(U158+'Délai intermédiaire'!V134/24,0),0)</f>
        <v>0</v>
      </c>
      <c r="V189" s="13">
        <f>IF(AND(Distances!CI134=0,Distances!EU134=0),ROUNDUP(V158+'Délai intermédiaire'!W134/24,0),0)</f>
        <v>0</v>
      </c>
      <c r="W189" s="13">
        <f>IF(AND(Distances!CJ134=0,Distances!EV134=0),ROUNDUP(W158+'Délai intermédiaire'!X134/24,0),0)</f>
        <v>0</v>
      </c>
      <c r="X189" s="13">
        <f>IF(AND(Distances!CK134=0,Distances!EW134=0),ROUNDUP(X158+'Délai intermédiaire'!Y134/24,0),0)</f>
        <v>0</v>
      </c>
      <c r="Y189" s="13">
        <f>IF(AND(Distances!CL134=0,Distances!EX134=0),ROUNDUP(Y158+'Délai intermédiaire'!Z134/24,0),0)</f>
        <v>0</v>
      </c>
      <c r="Z189" s="13">
        <f>IF(AND(Distances!CM134=0,Distances!EY134=0),ROUNDUP(Z158+'Délai intermédiaire'!AA134/24,0),0)</f>
        <v>0</v>
      </c>
      <c r="AA189" s="13">
        <f>IF(AND(Distances!CN134=0,Distances!EZ134=0),ROUNDUP(AA158+'Délai intermédiaire'!AB134/24,0),0)</f>
        <v>0</v>
      </c>
      <c r="AB189" s="13">
        <f>IF(AND(Distances!CO134=0,Distances!FA134=0),ROUNDUP(AB158+'Délai intermédiaire'!AC134/24,0),0)</f>
        <v>0</v>
      </c>
      <c r="AC189" s="13">
        <f>IF(AND(Distances!CP134=0,Distances!FB134=0),ROUNDUP(AC158+'Délai intermédiaire'!AD134/24,0),0)</f>
        <v>0</v>
      </c>
      <c r="AD189" s="13">
        <f>IF(AND(Distances!CQ134=0,Distances!FC134=0),ROUNDUP(AD158+'Délai intermédiaire'!AE134/24,0),0)</f>
        <v>0</v>
      </c>
      <c r="AE189" s="12">
        <f>IF(AND(Distances!CR134=0,Distances!FD134=0),ROUNDUP(AE158+'Délai intermédiaire'!AF134/24,0),0)</f>
        <v>2</v>
      </c>
      <c r="AF189" s="13">
        <f>IF(AND(Distances!CS134=0,Distances!FE134=0),ROUNDUP(AF158+'Délai intermédiaire'!AG134/24,0),0)</f>
        <v>0</v>
      </c>
      <c r="AG189" s="13">
        <f>IF(AND(Distances!CT134=0,Distances!FF134=0),ROUNDUP(AG158+'Délai intermédiaire'!AH134/24,0),0)</f>
        <v>0</v>
      </c>
      <c r="AH189" s="14">
        <f>IF(AND(Distances!CU134=0,Distances!FG134=0),ROUNDUP(AH158+'Délai intermédiaire'!AI134/24,0),0)</f>
        <v>0</v>
      </c>
      <c r="AI189" s="14">
        <f>IF(AND(Distances!CV134=0,Distances!FH134=0),ROUNDUP(AI158+'Délai intermédiaire'!AJ134/24,0),0)</f>
        <v>0</v>
      </c>
      <c r="AJ189" s="14">
        <f>IF(AND(Distances!CW134=0,Distances!FI134=0),ROUNDUP(AJ158+'Délai intermédiaire'!AK134/24,0),0)</f>
        <v>0</v>
      </c>
      <c r="AK189" s="14">
        <f>IF(AND(Distances!CX134=0,Distances!FJ134=0),ROUNDUP(AK158+'Délai intermédiaire'!AL134/24,0),0)</f>
        <v>0</v>
      </c>
      <c r="AL189" s="14">
        <f>IF(AND(Distances!CY134=0,Distances!FK134=0),ROUNDUP(AL158+'Délai intermédiaire'!AM134/24,0),0)</f>
        <v>0</v>
      </c>
      <c r="AM189" s="14">
        <f>IF(AND(Distances!CZ134=0,Distances!FL134=0),ROUNDUP(AM158+'Délai intermédiaire'!AN134/24,0),0)</f>
        <v>0</v>
      </c>
      <c r="AN189" s="14">
        <f>IF(AND(Distances!DA134=0,Distances!FM134=0),ROUNDUP(AN158+'Délai intermédiaire'!AO134/24,0),0)</f>
        <v>0</v>
      </c>
      <c r="AO189" s="14">
        <f>IF(AND(Distances!DB134=0,Distances!FN134=0),ROUNDUP(AO158+'Délai intermédiaire'!AP134/24,0),0)</f>
        <v>0</v>
      </c>
      <c r="AP189" s="14">
        <f>IF(AND(Distances!DC134=0,Distances!FO134=0),ROUNDUP(AP158+'Délai intermédiaire'!AQ134/24,0),0)</f>
        <v>0</v>
      </c>
      <c r="AQ189" s="14">
        <f>IF(AND(Distances!DD134=0,Distances!FP134=0),ROUNDUP(AQ158+'Délai intermédiaire'!AR134/24,0),0)</f>
        <v>0</v>
      </c>
      <c r="AR189" s="14">
        <f>IF(AND(Distances!DE134=0,Distances!FQ134=0),ROUNDUP(AR158+'Délai intermédiaire'!AS134/24,0),0)</f>
        <v>0</v>
      </c>
      <c r="AS189" s="14">
        <f>IF(AND(Distances!DF134=0,Distances!FR134=0),ROUNDUP(AS158+'Délai intermédiaire'!AT134/24,0),0)</f>
        <v>0</v>
      </c>
      <c r="AT189" s="14">
        <f>IF(AND(Distances!DG134=0,Distances!FS134=0),ROUNDUP(AT158+'Délai intermédiaire'!AU134/24,0),0)</f>
        <v>0</v>
      </c>
      <c r="AU189" s="14">
        <f>IF(AND(Distances!DH134=0,Distances!FT134=0),ROUNDUP(AU158+'Délai intermédiaire'!AV134/24,0),0)</f>
        <v>0</v>
      </c>
      <c r="AV189" s="12">
        <f>IF(AND(Distances!DI134=0,Distances!FU134=0),ROUNDUP(AV158+'Délai intermédiaire'!AW134/24,0),0)</f>
        <v>0</v>
      </c>
      <c r="AW189" s="14">
        <f>IF(AND(Distances!DJ134=0,Distances!FV134=0),ROUNDUP(AW158+'Délai intermédiaire'!AX134/24,0),0)</f>
        <v>0</v>
      </c>
      <c r="AX189" s="14">
        <f>IF(AND(Distances!DK134=0,Distances!FW134=0),ROUNDUP(AX158+'Délai intermédiaire'!AY134/24,0),0)</f>
        <v>0</v>
      </c>
      <c r="AY189" s="14">
        <f>IF(AND(Distances!DL134=0,Distances!FX134=0),ROUNDUP(AY158+'Délai intermédiaire'!AZ134/24,0),0)</f>
        <v>0</v>
      </c>
      <c r="AZ189" s="14">
        <f>IF(AND(Distances!DM134=0,Distances!FY134=0),ROUNDUP(AZ158+'Délai intermédiaire'!BA134/24,0),0)</f>
        <v>0</v>
      </c>
      <c r="BA189" s="14">
        <f>IF(AND(Distances!DN134=0,Distances!FZ134=0),ROUNDUP(BA158+'Délai intermédiaire'!BB134/24,0),0)</f>
        <v>0</v>
      </c>
      <c r="BB189" s="13">
        <f>IF(AND(Distances!DO134=0,Distances!GA134=0),ROUNDUP(BB158+'Délai intermédiaire'!BC134/24,0),0)</f>
        <v>0</v>
      </c>
      <c r="BC189" s="14">
        <f>IF(AND(Distances!DP134=0,Distances!GB134=0),ROUNDUP(BC158+'Délai intermédiaire'!BD134/24,0),0)</f>
        <v>0</v>
      </c>
      <c r="BD189" s="14">
        <f>IF(AND(Distances!DQ134=0,Distances!GC134=0),ROUNDUP(BD158+'Délai intermédiaire'!BE134/24,0),0)</f>
        <v>0</v>
      </c>
      <c r="BE189" s="14">
        <f>IF(AND(Distances!DR134=0,Distances!GD134=0),ROUNDUP(BE158+'Délai intermédiaire'!BF134/24,0),0)</f>
        <v>0</v>
      </c>
      <c r="BF189" s="12">
        <f>IF(AND(Distances!DS134=0,Distances!GE134=0),ROUNDUP(BF158+'Délai intermédiaire'!BG134/24,0),0)</f>
        <v>0</v>
      </c>
      <c r="BG189" s="13">
        <f>IF(AND(Distances!DT134=0,Distances!GF134=0),ROUNDUP(BG158+'Délai intermédiaire'!BH134/24,0),0)</f>
        <v>0</v>
      </c>
      <c r="BH189" s="14">
        <f>IF(AND(Distances!DU134=0,Distances!GG134=0),ROUNDUP(BH158+'Délai intermédiaire'!BI134/24,0),0)</f>
        <v>0</v>
      </c>
      <c r="BI189" s="14">
        <f>IF(AND(Distances!DV134=0,Distances!GH134=0),ROUNDUP(BI158+'Délai intermédiaire'!BJ134/24,0),0)</f>
        <v>0</v>
      </c>
      <c r="BJ189" s="15">
        <f>IF(AND(Distances!DW134=0,Distances!GI134=0),ROUNDUP(BJ158+'Délai intermédiaire'!BK134/24,0),0)</f>
        <v>0</v>
      </c>
    </row>
    <row r="190" spans="1:62" x14ac:dyDescent="0.3">
      <c r="A190" s="10" t="s">
        <v>31</v>
      </c>
      <c r="B190" s="16">
        <f>IF(AND(Distances!BO135=0,Distances!EA135=0),ROUNDUP(B158+'Délai intermédiaire'!C135/24,0),0)</f>
        <v>0</v>
      </c>
      <c r="C190" s="14">
        <f>IF(AND(Distances!BP135=0,Distances!EB135=0),ROUNDUP(C158+'Délai intermédiaire'!D135/24,0),0)</f>
        <v>0</v>
      </c>
      <c r="D190" s="14">
        <f>IF(AND(Distances!BQ135=0,Distances!EC135=0),ROUNDUP(D158+'Délai intermédiaire'!E135/24,0),0)</f>
        <v>0</v>
      </c>
      <c r="E190" s="14">
        <f>IF(AND(Distances!BR135=0,Distances!ED135=0),ROUNDUP(E158+'Délai intermédiaire'!F135/24,0),0)</f>
        <v>0</v>
      </c>
      <c r="F190" s="14">
        <f>IF(AND(Distances!BS135=0,Distances!EE135=0),ROUNDUP(F158+'Délai intermédiaire'!G135/24,0),0)</f>
        <v>0</v>
      </c>
      <c r="G190" s="14">
        <f>IF(AND(Distances!BT135=0,Distances!EF135=0),ROUNDUP(G158+'Délai intermédiaire'!H135/24,0),0)</f>
        <v>0</v>
      </c>
      <c r="H190" s="14">
        <f>IF(AND(Distances!BU135=0,Distances!EG135=0),ROUNDUP(H158+'Délai intermédiaire'!I135/24,0),0)</f>
        <v>0</v>
      </c>
      <c r="I190" s="14">
        <f>IF(AND(Distances!BV135=0,Distances!EH135=0),ROUNDUP(I158+'Délai intermédiaire'!J135/24,0),0)</f>
        <v>0</v>
      </c>
      <c r="J190" s="14">
        <f>IF(AND(Distances!BW135=0,Distances!EI135=0),ROUNDUP(J158+'Délai intermédiaire'!K135/24,0),0)</f>
        <v>0</v>
      </c>
      <c r="K190" s="14">
        <f>IF(AND(Distances!BX135=0,Distances!EJ135=0),ROUNDUP(K158+'Délai intermédiaire'!L135/24,0),0)</f>
        <v>0</v>
      </c>
      <c r="L190" s="14">
        <f>IF(AND(Distances!BY135=0,Distances!EK135=0),ROUNDUP(L158+'Délai intermédiaire'!M135/24,0),0)</f>
        <v>0</v>
      </c>
      <c r="M190" s="14">
        <f>IF(AND(Distances!BZ135=0,Distances!EL135=0),ROUNDUP(M158+'Délai intermédiaire'!N135/24,0),0)</f>
        <v>0</v>
      </c>
      <c r="N190" s="14">
        <f>IF(AND(Distances!CA135=0,Distances!EM135=0),ROUNDUP(N158+'Délai intermédiaire'!O135/24,0),0)</f>
        <v>0</v>
      </c>
      <c r="O190" s="14">
        <f>IF(AND(Distances!CB135=0,Distances!EN135=0),ROUNDUP(O158+'Délai intermédiaire'!P135/24,0),0)</f>
        <v>0</v>
      </c>
      <c r="P190" s="14">
        <f>IF(AND(Distances!CC135=0,Distances!EO135=0),ROUNDUP(P158+'Délai intermédiaire'!Q135/24,0),0)</f>
        <v>0</v>
      </c>
      <c r="Q190" s="13">
        <f>IF(AND(Distances!CD135=0,Distances!EP135=0),ROUNDUP(Q158+'Délai intermédiaire'!R135/24,0),0)</f>
        <v>0</v>
      </c>
      <c r="R190" s="13">
        <f>IF(AND(Distances!CE135=0,Distances!EQ135=0),ROUNDUP(R158+'Délai intermédiaire'!S135/24,0),0)</f>
        <v>0</v>
      </c>
      <c r="S190" s="13">
        <f>IF(AND(Distances!CF135=0,Distances!ER135=0),ROUNDUP(S158+'Délai intermédiaire'!T135/24,0),0)</f>
        <v>0</v>
      </c>
      <c r="T190" s="13">
        <f>IF(AND(Distances!CG135=0,Distances!ES135=0),ROUNDUP(T158+'Délai intermédiaire'!U135/24,0),0)</f>
        <v>0</v>
      </c>
      <c r="U190" s="13">
        <f>IF(AND(Distances!CH135=0,Distances!ET135=0),ROUNDUP(U158+'Délai intermédiaire'!V135/24,0),0)</f>
        <v>0</v>
      </c>
      <c r="V190" s="13">
        <f>IF(AND(Distances!CI135=0,Distances!EU135=0),ROUNDUP(V158+'Délai intermédiaire'!W135/24,0),0)</f>
        <v>0</v>
      </c>
      <c r="W190" s="13">
        <f>IF(AND(Distances!CJ135=0,Distances!EV135=0),ROUNDUP(W158+'Délai intermédiaire'!X135/24,0),0)</f>
        <v>0</v>
      </c>
      <c r="X190" s="13">
        <f>IF(AND(Distances!CK135=0,Distances!EW135=0),ROUNDUP(X158+'Délai intermédiaire'!Y135/24,0),0)</f>
        <v>0</v>
      </c>
      <c r="Y190" s="13">
        <f>IF(AND(Distances!CL135=0,Distances!EX135=0),ROUNDUP(Y158+'Délai intermédiaire'!Z135/24,0),0)</f>
        <v>0</v>
      </c>
      <c r="Z190" s="13">
        <f>IF(AND(Distances!CM135=0,Distances!EY135=0),ROUNDUP(Z158+'Délai intermédiaire'!AA135/24,0),0)</f>
        <v>0</v>
      </c>
      <c r="AA190" s="13">
        <f>IF(AND(Distances!CN135=0,Distances!EZ135=0),ROUNDUP(AA158+'Délai intermédiaire'!AB135/24,0),0)</f>
        <v>0</v>
      </c>
      <c r="AB190" s="13">
        <f>IF(AND(Distances!CO135=0,Distances!FA135=0),ROUNDUP(AB158+'Délai intermédiaire'!AC135/24,0),0)</f>
        <v>0</v>
      </c>
      <c r="AC190" s="13">
        <f>IF(AND(Distances!CP135=0,Distances!FB135=0),ROUNDUP(AC158+'Délai intermédiaire'!AD135/24,0),0)</f>
        <v>0</v>
      </c>
      <c r="AD190" s="13">
        <f>IF(AND(Distances!CQ135=0,Distances!FC135=0),ROUNDUP(AD158+'Délai intermédiaire'!AE135/24,0),0)</f>
        <v>0</v>
      </c>
      <c r="AE190" s="13">
        <f>IF(AND(Distances!CR135=0,Distances!FD135=0),ROUNDUP(AE158+'Délai intermédiaire'!AF135/24,0),0)</f>
        <v>0</v>
      </c>
      <c r="AF190" s="12">
        <f>IF(AND(Distances!CS135=0,Distances!FE135=0),ROUNDUP(AF158+'Délai intermédiaire'!AG135/24,0),0)</f>
        <v>1</v>
      </c>
      <c r="AG190" s="13">
        <f>IF(AND(Distances!CT135=0,Distances!FF135=0),ROUNDUP(AG158+'Délai intermédiaire'!AH135/24,0),0)</f>
        <v>0</v>
      </c>
      <c r="AH190" s="14">
        <f>IF(AND(Distances!CU135=0,Distances!FG135=0),ROUNDUP(AH158+'Délai intermédiaire'!AI135/24,0),0)</f>
        <v>0</v>
      </c>
      <c r="AI190" s="14">
        <f>IF(AND(Distances!CV135=0,Distances!FH135=0),ROUNDUP(AI158+'Délai intermédiaire'!AJ135/24,0),0)</f>
        <v>0</v>
      </c>
      <c r="AJ190" s="14">
        <f>IF(AND(Distances!CW135=0,Distances!FI135=0),ROUNDUP(AJ158+'Délai intermédiaire'!AK135/24,0),0)</f>
        <v>0</v>
      </c>
      <c r="AK190" s="14">
        <f>IF(AND(Distances!CX135=0,Distances!FJ135=0),ROUNDUP(AK158+'Délai intermédiaire'!AL135/24,0),0)</f>
        <v>0</v>
      </c>
      <c r="AL190" s="14">
        <f>IF(AND(Distances!CY135=0,Distances!FK135=0),ROUNDUP(AL158+'Délai intermédiaire'!AM135/24,0),0)</f>
        <v>0</v>
      </c>
      <c r="AM190" s="14">
        <f>IF(AND(Distances!CZ135=0,Distances!FL135=0),ROUNDUP(AM158+'Délai intermédiaire'!AN135/24,0),0)</f>
        <v>0</v>
      </c>
      <c r="AN190" s="14">
        <f>IF(AND(Distances!DA135=0,Distances!FM135=0),ROUNDUP(AN158+'Délai intermédiaire'!AO135/24,0),0)</f>
        <v>0</v>
      </c>
      <c r="AO190" s="14">
        <f>IF(AND(Distances!DB135=0,Distances!FN135=0),ROUNDUP(AO158+'Délai intermédiaire'!AP135/24,0),0)</f>
        <v>0</v>
      </c>
      <c r="AP190" s="14">
        <f>IF(AND(Distances!DC135=0,Distances!FO135=0),ROUNDUP(AP158+'Délai intermédiaire'!AQ135/24,0),0)</f>
        <v>0</v>
      </c>
      <c r="AQ190" s="14">
        <f>IF(AND(Distances!DD135=0,Distances!FP135=0),ROUNDUP(AQ158+'Délai intermédiaire'!AR135/24,0),0)</f>
        <v>0</v>
      </c>
      <c r="AR190" s="14">
        <f>IF(AND(Distances!DE135=0,Distances!FQ135=0),ROUNDUP(AR158+'Délai intermédiaire'!AS135/24,0),0)</f>
        <v>0</v>
      </c>
      <c r="AS190" s="14">
        <f>IF(AND(Distances!DF135=0,Distances!FR135=0),ROUNDUP(AS158+'Délai intermédiaire'!AT135/24,0),0)</f>
        <v>0</v>
      </c>
      <c r="AT190" s="14">
        <f>IF(AND(Distances!DG135=0,Distances!FS135=0),ROUNDUP(AT158+'Délai intermédiaire'!AU135/24,0),0)</f>
        <v>0</v>
      </c>
      <c r="AU190" s="14">
        <f>IF(AND(Distances!DH135=0,Distances!FT135=0),ROUNDUP(AU158+'Délai intermédiaire'!AV135/24,0),0)</f>
        <v>0</v>
      </c>
      <c r="AV190" s="14">
        <f>IF(AND(Distances!DI135=0,Distances!FU135=0),ROUNDUP(AV158+'Délai intermédiaire'!AW135/24,0),0)</f>
        <v>0</v>
      </c>
      <c r="AW190" s="14">
        <f>IF(AND(Distances!DJ135=0,Distances!FV135=0),ROUNDUP(AW158+'Délai intermédiaire'!AX135/24,0),0)</f>
        <v>0</v>
      </c>
      <c r="AX190" s="14">
        <f>IF(AND(Distances!DK135=0,Distances!FW135=0),ROUNDUP(AX158+'Délai intermédiaire'!AY135/24,0),0)</f>
        <v>0</v>
      </c>
      <c r="AY190" s="14">
        <f>IF(AND(Distances!DL135=0,Distances!FX135=0),ROUNDUP(AY158+'Délai intermédiaire'!AZ135/24,0),0)</f>
        <v>0</v>
      </c>
      <c r="AZ190" s="14">
        <f>IF(AND(Distances!DM135=0,Distances!FY135=0),ROUNDUP(AZ158+'Délai intermédiaire'!BA135/24,0),0)</f>
        <v>0</v>
      </c>
      <c r="BA190" s="14">
        <f>IF(AND(Distances!DN135=0,Distances!FZ135=0),ROUNDUP(BA158+'Délai intermédiaire'!BB135/24,0),0)</f>
        <v>0</v>
      </c>
      <c r="BB190" s="13">
        <f>IF(AND(Distances!DO135=0,Distances!GA135=0),ROUNDUP(BB158+'Délai intermédiaire'!BC135/24,0),0)</f>
        <v>0</v>
      </c>
      <c r="BC190" s="14">
        <f>IF(AND(Distances!DP135=0,Distances!GB135=0),ROUNDUP(BC158+'Délai intermédiaire'!BD135/24,0),0)</f>
        <v>0</v>
      </c>
      <c r="BD190" s="14">
        <f>IF(AND(Distances!DQ135=0,Distances!GC135=0),ROUNDUP(BD158+'Délai intermédiaire'!BE135/24,0),0)</f>
        <v>0</v>
      </c>
      <c r="BE190" s="14">
        <f>IF(AND(Distances!DR135=0,Distances!GD135=0),ROUNDUP(BE158+'Délai intermédiaire'!BF135/24,0),0)</f>
        <v>0</v>
      </c>
      <c r="BF190" s="13">
        <f>IF(AND(Distances!DS135=0,Distances!GE135=0),ROUNDUP(BF158+'Délai intermédiaire'!BG135/24,0),0)</f>
        <v>0</v>
      </c>
      <c r="BG190" s="13">
        <f>IF(AND(Distances!DT135=0,Distances!GF135=0),ROUNDUP(BG158+'Délai intermédiaire'!BH135/24,0),0)</f>
        <v>0</v>
      </c>
      <c r="BH190" s="14">
        <f>IF(AND(Distances!DU135=0,Distances!GG135=0),ROUNDUP(BH158+'Délai intermédiaire'!BI135/24,0),0)</f>
        <v>0</v>
      </c>
      <c r="BI190" s="14">
        <f>IF(AND(Distances!DV135=0,Distances!GH135=0),ROUNDUP(BI158+'Délai intermédiaire'!BJ135/24,0),0)</f>
        <v>0</v>
      </c>
      <c r="BJ190" s="15">
        <f>IF(AND(Distances!DW135=0,Distances!GI135=0),ROUNDUP(BJ158+'Délai intermédiaire'!BK135/24,0),0)</f>
        <v>0</v>
      </c>
    </row>
    <row r="191" spans="1:62" x14ac:dyDescent="0.3">
      <c r="A191" s="10" t="s">
        <v>32</v>
      </c>
      <c r="B191" s="16">
        <f>IF(AND(Distances!BO136=0,Distances!EA136=0),ROUNDUP(B158+'Délai intermédiaire'!C136/24,0),0)</f>
        <v>0</v>
      </c>
      <c r="C191" s="14">
        <f>IF(AND(Distances!BP136=0,Distances!EB136=0),ROUNDUP(C158+'Délai intermédiaire'!D136/24,0),0)</f>
        <v>0</v>
      </c>
      <c r="D191" s="14">
        <f>IF(AND(Distances!BQ136=0,Distances!EC136=0),ROUNDUP(D158+'Délai intermédiaire'!E136/24,0),0)</f>
        <v>0</v>
      </c>
      <c r="E191" s="14">
        <f>IF(AND(Distances!BR136=0,Distances!ED136=0),ROUNDUP(E158+'Délai intermédiaire'!F136/24,0),0)</f>
        <v>0</v>
      </c>
      <c r="F191" s="14">
        <f>IF(AND(Distances!BS136=0,Distances!EE136=0),ROUNDUP(F158+'Délai intermédiaire'!G136/24,0),0)</f>
        <v>0</v>
      </c>
      <c r="G191" s="14">
        <f>IF(AND(Distances!BT136=0,Distances!EF136=0),ROUNDUP(G158+'Délai intermédiaire'!H136/24,0),0)</f>
        <v>0</v>
      </c>
      <c r="H191" s="14">
        <f>IF(AND(Distances!BU136=0,Distances!EG136=0),ROUNDUP(H158+'Délai intermédiaire'!I136/24,0),0)</f>
        <v>0</v>
      </c>
      <c r="I191" s="14">
        <f>IF(AND(Distances!BV136=0,Distances!EH136=0),ROUNDUP(I158+'Délai intermédiaire'!J136/24,0),0)</f>
        <v>0</v>
      </c>
      <c r="J191" s="14">
        <f>IF(AND(Distances!BW136=0,Distances!EI136=0),ROUNDUP(J158+'Délai intermédiaire'!K136/24,0),0)</f>
        <v>0</v>
      </c>
      <c r="K191" s="14">
        <f>IF(AND(Distances!BX136=0,Distances!EJ136=0),ROUNDUP(K158+'Délai intermédiaire'!L136/24,0),0)</f>
        <v>0</v>
      </c>
      <c r="L191" s="14">
        <f>IF(AND(Distances!BY136=0,Distances!EK136=0),ROUNDUP(L158+'Délai intermédiaire'!M136/24,0),0)</f>
        <v>0</v>
      </c>
      <c r="M191" s="14">
        <f>IF(AND(Distances!BZ136=0,Distances!EL136=0),ROUNDUP(M158+'Délai intermédiaire'!N136/24,0),0)</f>
        <v>0</v>
      </c>
      <c r="N191" s="14">
        <f>IF(AND(Distances!CA136=0,Distances!EM136=0),ROUNDUP(N158+'Délai intermédiaire'!O136/24,0),0)</f>
        <v>0</v>
      </c>
      <c r="O191" s="14">
        <f>IF(AND(Distances!CB136=0,Distances!EN136=0),ROUNDUP(O158+'Délai intermédiaire'!P136/24,0),0)</f>
        <v>0</v>
      </c>
      <c r="P191" s="14">
        <f>IF(AND(Distances!CC136=0,Distances!EO136=0),ROUNDUP(P158+'Délai intermédiaire'!Q136/24,0),0)</f>
        <v>0</v>
      </c>
      <c r="Q191" s="13">
        <f>IF(AND(Distances!CD136=0,Distances!EP136=0),ROUNDUP(Q158+'Délai intermédiaire'!R136/24,0),0)</f>
        <v>0</v>
      </c>
      <c r="R191" s="13">
        <f>IF(AND(Distances!CE136=0,Distances!EQ136=0),ROUNDUP(R158+'Délai intermédiaire'!S136/24,0),0)</f>
        <v>0</v>
      </c>
      <c r="S191" s="13">
        <f>IF(AND(Distances!CF136=0,Distances!ER136=0),ROUNDUP(S158+'Délai intermédiaire'!T136/24,0),0)</f>
        <v>0</v>
      </c>
      <c r="T191" s="13">
        <f>IF(AND(Distances!CG136=0,Distances!ES136=0),ROUNDUP(T158+'Délai intermédiaire'!U136/24,0),0)</f>
        <v>0</v>
      </c>
      <c r="U191" s="13">
        <f>IF(AND(Distances!CH136=0,Distances!ET136=0),ROUNDUP(U158+'Délai intermédiaire'!V136/24,0),0)</f>
        <v>0</v>
      </c>
      <c r="V191" s="13">
        <f>IF(AND(Distances!CI136=0,Distances!EU136=0),ROUNDUP(V158+'Délai intermédiaire'!W136/24,0),0)</f>
        <v>0</v>
      </c>
      <c r="W191" s="13">
        <f>IF(AND(Distances!CJ136=0,Distances!EV136=0),ROUNDUP(W158+'Délai intermédiaire'!X136/24,0),0)</f>
        <v>0</v>
      </c>
      <c r="X191" s="13">
        <f>IF(AND(Distances!CK136=0,Distances!EW136=0),ROUNDUP(X158+'Délai intermédiaire'!Y136/24,0),0)</f>
        <v>0</v>
      </c>
      <c r="Y191" s="13">
        <f>IF(AND(Distances!CL136=0,Distances!EX136=0),ROUNDUP(Y158+'Délai intermédiaire'!Z136/24,0),0)</f>
        <v>0</v>
      </c>
      <c r="Z191" s="13">
        <f>IF(AND(Distances!CM136=0,Distances!EY136=0),ROUNDUP(Z158+'Délai intermédiaire'!AA136/24,0),0)</f>
        <v>0</v>
      </c>
      <c r="AA191" s="13">
        <f>IF(AND(Distances!CN136=0,Distances!EZ136=0),ROUNDUP(AA158+'Délai intermédiaire'!AB136/24,0),0)</f>
        <v>0</v>
      </c>
      <c r="AB191" s="13">
        <f>IF(AND(Distances!CO136=0,Distances!FA136=0),ROUNDUP(AB158+'Délai intermédiaire'!AC136/24,0),0)</f>
        <v>0</v>
      </c>
      <c r="AC191" s="13">
        <f>IF(AND(Distances!CP136=0,Distances!FB136=0),ROUNDUP(AC158+'Délai intermédiaire'!AD136/24,0),0)</f>
        <v>0</v>
      </c>
      <c r="AD191" s="13">
        <f>IF(AND(Distances!CQ136=0,Distances!FC136=0),ROUNDUP(AD158+'Délai intermédiaire'!AE136/24,0),0)</f>
        <v>0</v>
      </c>
      <c r="AE191" s="13">
        <f>IF(AND(Distances!CR136=0,Distances!FD136=0),ROUNDUP(AE158+'Délai intermédiaire'!AF136/24,0),0)</f>
        <v>0</v>
      </c>
      <c r="AF191" s="13">
        <f>IF(AND(Distances!CS136=0,Distances!FE136=0),ROUNDUP(AF158+'Délai intermédiaire'!AG136/24,0),0)</f>
        <v>0</v>
      </c>
      <c r="AG191" s="12">
        <f>IF(AND(Distances!CT136=0,Distances!FF136=0),ROUNDUP(AG158+'Délai intermédiaire'!AH136/24,0),0)</f>
        <v>2</v>
      </c>
      <c r="AH191" s="14">
        <f>IF(AND(Distances!CU136=0,Distances!FG136=0),ROUNDUP(AH158+'Délai intermédiaire'!AI136/24,0),0)</f>
        <v>0</v>
      </c>
      <c r="AI191" s="14">
        <f>IF(AND(Distances!CV136=0,Distances!FH136=0),ROUNDUP(AI158+'Délai intermédiaire'!AJ136/24,0),0)</f>
        <v>0</v>
      </c>
      <c r="AJ191" s="14">
        <f>IF(AND(Distances!CW136=0,Distances!FI136=0),ROUNDUP(AJ158+'Délai intermédiaire'!AK136/24,0),0)</f>
        <v>0</v>
      </c>
      <c r="AK191" s="14">
        <f>IF(AND(Distances!CX136=0,Distances!FJ136=0),ROUNDUP(AK158+'Délai intermédiaire'!AL136/24,0),0)</f>
        <v>0</v>
      </c>
      <c r="AL191" s="14">
        <f>IF(AND(Distances!CY136=0,Distances!FK136=0),ROUNDUP(AL158+'Délai intermédiaire'!AM136/24,0),0)</f>
        <v>0</v>
      </c>
      <c r="AM191" s="14">
        <f>IF(AND(Distances!CZ136=0,Distances!FL136=0),ROUNDUP(AM158+'Délai intermédiaire'!AN136/24,0),0)</f>
        <v>0</v>
      </c>
      <c r="AN191" s="14">
        <f>IF(AND(Distances!DA136=0,Distances!FM136=0),ROUNDUP(AN158+'Délai intermédiaire'!AO136/24,0),0)</f>
        <v>0</v>
      </c>
      <c r="AO191" s="14">
        <f>IF(AND(Distances!DB136=0,Distances!FN136=0),ROUNDUP(AO158+'Délai intermédiaire'!AP136/24,0),0)</f>
        <v>0</v>
      </c>
      <c r="AP191" s="14">
        <f>IF(AND(Distances!DC136=0,Distances!FO136=0),ROUNDUP(AP158+'Délai intermédiaire'!AQ136/24,0),0)</f>
        <v>0</v>
      </c>
      <c r="AQ191" s="14">
        <f>IF(AND(Distances!DD136=0,Distances!FP136=0),ROUNDUP(AQ158+'Délai intermédiaire'!AR136/24,0),0)</f>
        <v>0</v>
      </c>
      <c r="AR191" s="14">
        <f>IF(AND(Distances!DE136=0,Distances!FQ136=0),ROUNDUP(AR158+'Délai intermédiaire'!AS136/24,0),0)</f>
        <v>0</v>
      </c>
      <c r="AS191" s="14">
        <f>IF(AND(Distances!DF136=0,Distances!FR136=0),ROUNDUP(AS158+'Délai intermédiaire'!AT136/24,0),0)</f>
        <v>0</v>
      </c>
      <c r="AT191" s="14">
        <f>IF(AND(Distances!DG136=0,Distances!FS136=0),ROUNDUP(AT158+'Délai intermédiaire'!AU136/24,0),0)</f>
        <v>0</v>
      </c>
      <c r="AU191" s="14">
        <f>IF(AND(Distances!DH136=0,Distances!FT136=0),ROUNDUP(AU158+'Délai intermédiaire'!AV136/24,0),0)</f>
        <v>0</v>
      </c>
      <c r="AV191" s="14">
        <f>IF(AND(Distances!DI136=0,Distances!FU136=0),ROUNDUP(AV158+'Délai intermédiaire'!AW136/24,0),0)</f>
        <v>0</v>
      </c>
      <c r="AW191" s="14">
        <f>IF(AND(Distances!DJ136=0,Distances!FV136=0),ROUNDUP(AW158+'Délai intermédiaire'!AX136/24,0),0)</f>
        <v>0</v>
      </c>
      <c r="AX191" s="14">
        <f>IF(AND(Distances!DK136=0,Distances!FW136=0),ROUNDUP(AX158+'Délai intermédiaire'!AY136/24,0),0)</f>
        <v>0</v>
      </c>
      <c r="AY191" s="14">
        <f>IF(AND(Distances!DL136=0,Distances!FX136=0),ROUNDUP(AY158+'Délai intermédiaire'!AZ136/24,0),0)</f>
        <v>0</v>
      </c>
      <c r="AZ191" s="14">
        <f>IF(AND(Distances!DM136=0,Distances!FY136=0),ROUNDUP(AZ158+'Délai intermédiaire'!BA136/24,0),0)</f>
        <v>0</v>
      </c>
      <c r="BA191" s="14">
        <f>IF(AND(Distances!DN136=0,Distances!FZ136=0),ROUNDUP(BA158+'Délai intermédiaire'!BB136/24,0),0)</f>
        <v>0</v>
      </c>
      <c r="BB191" s="13">
        <f>IF(AND(Distances!DO136=0,Distances!GA136=0),ROUNDUP(BB158+'Délai intermédiaire'!BC136/24,0),0)</f>
        <v>0</v>
      </c>
      <c r="BC191" s="14">
        <f>IF(AND(Distances!DP136=0,Distances!GB136=0),ROUNDUP(BC158+'Délai intermédiaire'!BD136/24,0),0)</f>
        <v>0</v>
      </c>
      <c r="BD191" s="14">
        <f>IF(AND(Distances!DQ136=0,Distances!GC136=0),ROUNDUP(BD158+'Délai intermédiaire'!BE136/24,0),0)</f>
        <v>0</v>
      </c>
      <c r="BE191" s="14">
        <f>IF(AND(Distances!DR136=0,Distances!GD136=0),ROUNDUP(BE158+'Délai intermédiaire'!BF136/24,0),0)</f>
        <v>0</v>
      </c>
      <c r="BF191" s="13">
        <f>IF(AND(Distances!DS136=0,Distances!GE136=0),ROUNDUP(BF158+'Délai intermédiaire'!BG136/24,0),0)</f>
        <v>0</v>
      </c>
      <c r="BG191" s="12">
        <f>IF(AND(Distances!DT136=0,Distances!GF136=0),ROUNDUP(BG158+'Délai intermédiaire'!BH136/24,0),0)</f>
        <v>0</v>
      </c>
      <c r="BH191" s="14">
        <f>IF(AND(Distances!DU136=0,Distances!GG136=0),ROUNDUP(BH158+'Délai intermédiaire'!BI136/24,0),0)</f>
        <v>0</v>
      </c>
      <c r="BI191" s="14">
        <f>IF(AND(Distances!DV136=0,Distances!GH136=0),ROUNDUP(BI158+'Délai intermédiaire'!BJ136/24,0),0)</f>
        <v>0</v>
      </c>
      <c r="BJ191" s="15">
        <f>IF(AND(Distances!DW136=0,Distances!GI136=0),ROUNDUP(BJ158+'Délai intermédiaire'!BK136/24,0),0)</f>
        <v>0</v>
      </c>
    </row>
    <row r="192" spans="1:62" x14ac:dyDescent="0.3">
      <c r="A192" s="10" t="s">
        <v>33</v>
      </c>
      <c r="B192" s="16">
        <f>IF(AND(Distances!BO137=0,Distances!EA137=0),ROUNDUP(B158+'Délai intermédiaire'!C137/24,0),0)</f>
        <v>0</v>
      </c>
      <c r="C192" s="14">
        <f>IF(AND(Distances!BP137=0,Distances!EB137=0),ROUNDUP(C158+'Délai intermédiaire'!D137/24,0),0)</f>
        <v>0</v>
      </c>
      <c r="D192" s="14">
        <f>IF(AND(Distances!BQ137=0,Distances!EC137=0),ROUNDUP(D158+'Délai intermédiaire'!E137/24,0),0)</f>
        <v>0</v>
      </c>
      <c r="E192" s="14">
        <f>IF(AND(Distances!BR137=0,Distances!ED137=0),ROUNDUP(E158+'Délai intermédiaire'!F137/24,0),0)</f>
        <v>0</v>
      </c>
      <c r="F192" s="14">
        <f>IF(AND(Distances!BS137=0,Distances!EE137=0),ROUNDUP(F158+'Délai intermédiaire'!G137/24,0),0)</f>
        <v>0</v>
      </c>
      <c r="G192" s="14">
        <f>IF(AND(Distances!BT137=0,Distances!EF137=0),ROUNDUP(G158+'Délai intermédiaire'!H137/24,0),0)</f>
        <v>0</v>
      </c>
      <c r="H192" s="14">
        <f>IF(AND(Distances!BU137=0,Distances!EG137=0),ROUNDUP(H158+'Délai intermédiaire'!I137/24,0),0)</f>
        <v>0</v>
      </c>
      <c r="I192" s="14">
        <f>IF(AND(Distances!BV137=0,Distances!EH137=0),ROUNDUP(I158+'Délai intermédiaire'!J137/24,0),0)</f>
        <v>0</v>
      </c>
      <c r="J192" s="14">
        <f>IF(AND(Distances!BW137=0,Distances!EI137=0),ROUNDUP(J158+'Délai intermédiaire'!K137/24,0),0)</f>
        <v>0</v>
      </c>
      <c r="K192" s="14">
        <f>IF(AND(Distances!BX137=0,Distances!EJ137=0),ROUNDUP(K158+'Délai intermédiaire'!L137/24,0),0)</f>
        <v>0</v>
      </c>
      <c r="L192" s="14">
        <f>IF(AND(Distances!BY137=0,Distances!EK137=0),ROUNDUP(L158+'Délai intermédiaire'!M137/24,0),0)</f>
        <v>0</v>
      </c>
      <c r="M192" s="14">
        <f>IF(AND(Distances!BZ137=0,Distances!EL137=0),ROUNDUP(M158+'Délai intermédiaire'!N137/24,0),0)</f>
        <v>0</v>
      </c>
      <c r="N192" s="14">
        <f>IF(AND(Distances!CA137=0,Distances!EM137=0),ROUNDUP(N158+'Délai intermédiaire'!O137/24,0),0)</f>
        <v>0</v>
      </c>
      <c r="O192" s="14">
        <f>IF(AND(Distances!CB137=0,Distances!EN137=0),ROUNDUP(O158+'Délai intermédiaire'!P137/24,0),0)</f>
        <v>0</v>
      </c>
      <c r="P192" s="14">
        <f>IF(AND(Distances!CC137=0,Distances!EO137=0),ROUNDUP(P158+'Délai intermédiaire'!Q137/24,0),0)</f>
        <v>0</v>
      </c>
      <c r="Q192" s="14">
        <f>IF(AND(Distances!CD137=0,Distances!EP137=0),ROUNDUP(Q158+'Délai intermédiaire'!R137/24,0),0)</f>
        <v>0</v>
      </c>
      <c r="R192" s="14">
        <f>IF(AND(Distances!CE137=0,Distances!EQ137=0),ROUNDUP(R158+'Délai intermédiaire'!S137/24,0),0)</f>
        <v>0</v>
      </c>
      <c r="S192" s="14">
        <f>IF(AND(Distances!CF137=0,Distances!ER137=0),ROUNDUP(S158+'Délai intermédiaire'!T137/24,0),0)</f>
        <v>0</v>
      </c>
      <c r="T192" s="14">
        <f>IF(AND(Distances!CG137=0,Distances!ES137=0),ROUNDUP(T158+'Délai intermédiaire'!U137/24,0),0)</f>
        <v>0</v>
      </c>
      <c r="U192" s="14">
        <f>IF(AND(Distances!CH137=0,Distances!ET137=0),ROUNDUP(U158+'Délai intermédiaire'!V137/24,0),0)</f>
        <v>0</v>
      </c>
      <c r="V192" s="14">
        <f>IF(AND(Distances!CI137=0,Distances!EU137=0),ROUNDUP(V158+'Délai intermédiaire'!W137/24,0),0)</f>
        <v>0</v>
      </c>
      <c r="W192" s="14">
        <f>IF(AND(Distances!CJ137=0,Distances!EV137=0),ROUNDUP(W158+'Délai intermédiaire'!X137/24,0),0)</f>
        <v>0</v>
      </c>
      <c r="X192" s="14">
        <f>IF(AND(Distances!CK137=0,Distances!EW137=0),ROUNDUP(X158+'Délai intermédiaire'!Y137/24,0),0)</f>
        <v>0</v>
      </c>
      <c r="Y192" s="14">
        <f>IF(AND(Distances!CL137=0,Distances!EX137=0),ROUNDUP(Y158+'Délai intermédiaire'!Z137/24,0),0)</f>
        <v>0</v>
      </c>
      <c r="Z192" s="14">
        <f>IF(AND(Distances!CM137=0,Distances!EY137=0),ROUNDUP(Z158+'Délai intermédiaire'!AA137/24,0),0)</f>
        <v>0</v>
      </c>
      <c r="AA192" s="14">
        <f>IF(AND(Distances!CN137=0,Distances!EZ137=0),ROUNDUP(AA158+'Délai intermédiaire'!AB137/24,0),0)</f>
        <v>0</v>
      </c>
      <c r="AB192" s="14">
        <f>IF(AND(Distances!CO137=0,Distances!FA137=0),ROUNDUP(AB158+'Délai intermédiaire'!AC137/24,0),0)</f>
        <v>0</v>
      </c>
      <c r="AC192" s="14">
        <f>IF(AND(Distances!CP137=0,Distances!FB137=0),ROUNDUP(AC158+'Délai intermédiaire'!AD137/24,0),0)</f>
        <v>0</v>
      </c>
      <c r="AD192" s="14">
        <f>IF(AND(Distances!CQ137=0,Distances!FC137=0),ROUNDUP(AD158+'Délai intermédiaire'!AE137/24,0),0)</f>
        <v>0</v>
      </c>
      <c r="AE192" s="14">
        <f>IF(AND(Distances!CR137=0,Distances!FD137=0),ROUNDUP(AE158+'Délai intermédiaire'!AF137/24,0),0)</f>
        <v>0</v>
      </c>
      <c r="AF192" s="14">
        <f>IF(AND(Distances!CS137=0,Distances!FE137=0),ROUNDUP(AF158+'Délai intermédiaire'!AG137/24,0),0)</f>
        <v>0</v>
      </c>
      <c r="AG192" s="14">
        <f>IF(AND(Distances!CT137=0,Distances!FF137=0),ROUNDUP(AG158+'Délai intermédiaire'!AH137/24,0),0)</f>
        <v>0</v>
      </c>
      <c r="AH192" s="12">
        <f>IF(AND(Distances!CU137=0,Distances!FG137=0),ROUNDUP(AH158+'Délai intermédiaire'!AI137/24,0),0)</f>
        <v>2</v>
      </c>
      <c r="AI192" s="13">
        <f>IF(AND(Distances!CV137=0,Distances!FH137=0),ROUNDUP(AI158+'Délai intermédiaire'!AJ137/24,0),0)</f>
        <v>0</v>
      </c>
      <c r="AJ192" s="13">
        <f>IF(AND(Distances!CW137=0,Distances!FI137=0),ROUNDUP(AJ158+'Délai intermédiaire'!AK137/24,0),0)</f>
        <v>0</v>
      </c>
      <c r="AK192" s="13">
        <f>IF(AND(Distances!CX137=0,Distances!FJ137=0),ROUNDUP(AK158+'Délai intermédiaire'!AL137/24,0),0)</f>
        <v>0</v>
      </c>
      <c r="AL192" s="13">
        <f>IF(AND(Distances!CY137=0,Distances!FK137=0),ROUNDUP(AL158+'Délai intermédiaire'!AM137/24,0),0)</f>
        <v>0</v>
      </c>
      <c r="AM192" s="13">
        <f>IF(AND(Distances!CZ137=0,Distances!FL137=0),ROUNDUP(AM158+'Délai intermédiaire'!AN137/24,0),0)</f>
        <v>0</v>
      </c>
      <c r="AN192" s="13">
        <f>IF(AND(Distances!DA137=0,Distances!FM137=0),ROUNDUP(AN158+'Délai intermédiaire'!AO137/24,0),0)</f>
        <v>0</v>
      </c>
      <c r="AO192" s="14">
        <f>IF(AND(Distances!DB137=0,Distances!FN137=0),ROUNDUP(AO158+'Délai intermédiaire'!AP137/24,0),0)</f>
        <v>0</v>
      </c>
      <c r="AP192" s="14">
        <f>IF(AND(Distances!DC137=0,Distances!FO137=0),ROUNDUP(AP158+'Délai intermédiaire'!AQ137/24,0),0)</f>
        <v>0</v>
      </c>
      <c r="AQ192" s="14">
        <f>IF(AND(Distances!DD137=0,Distances!FP137=0),ROUNDUP(AQ158+'Délai intermédiaire'!AR137/24,0),0)</f>
        <v>0</v>
      </c>
      <c r="AR192" s="13">
        <f>IF(AND(Distances!DE137=0,Distances!FQ137=0),ROUNDUP(AR158+'Délai intermédiaire'!AS137/24,0),0)</f>
        <v>0</v>
      </c>
      <c r="AS192" s="13">
        <f>IF(AND(Distances!DF137=0,Distances!FR137=0),ROUNDUP(AS158+'Délai intermédiaire'!AT137/24,0),0)</f>
        <v>0</v>
      </c>
      <c r="AT192" s="13">
        <f>IF(AND(Distances!DG137=0,Distances!FS137=0),ROUNDUP(AT158+'Délai intermédiaire'!AU137/24,0),0)</f>
        <v>0</v>
      </c>
      <c r="AU192" s="13">
        <f>IF(AND(Distances!DH137=0,Distances!FT137=0),ROUNDUP(AU158+'Délai intermédiaire'!AV137/24,0),0)</f>
        <v>0</v>
      </c>
      <c r="AV192" s="13">
        <f>IF(AND(Distances!DI137=0,Distances!FU137=0),ROUNDUP(AV158+'Délai intermédiaire'!AW137/24,0),0)</f>
        <v>0</v>
      </c>
      <c r="AW192" s="12">
        <f>IF(AND(Distances!DJ137=0,Distances!FV137=0),ROUNDUP(AW158+'Délai intermédiaire'!AX137/24,0),0)</f>
        <v>0</v>
      </c>
      <c r="AX192" s="13">
        <f>IF(AND(Distances!DK137=0,Distances!FW137=0),ROUNDUP(AX158+'Délai intermédiaire'!AY137/24,0),0)</f>
        <v>0</v>
      </c>
      <c r="AY192" s="14">
        <f>IF(AND(Distances!DL137=0,Distances!FX137=0),ROUNDUP(AY158+'Délai intermédiaire'!AZ137/24,0),0)</f>
        <v>0</v>
      </c>
      <c r="AZ192" s="14">
        <f>IF(AND(Distances!DM137=0,Distances!FY137=0),ROUNDUP(AZ158+'Délai intermédiaire'!BA137/24,0),0)</f>
        <v>0</v>
      </c>
      <c r="BA192" s="13">
        <f>IF(AND(Distances!DN137=0,Distances!FZ137=0),ROUNDUP(BA158+'Délai intermédiaire'!BB137/24,0),0)</f>
        <v>0</v>
      </c>
      <c r="BB192" s="14">
        <f>IF(AND(Distances!DO137=0,Distances!GA137=0),ROUNDUP(BB158+'Délai intermédiaire'!BC137/24,0),0)</f>
        <v>0</v>
      </c>
      <c r="BC192" s="13">
        <f>IF(AND(Distances!DP137=0,Distances!GB137=0),ROUNDUP(BC158+'Délai intermédiaire'!BD137/24,0),0)</f>
        <v>0</v>
      </c>
      <c r="BD192" s="13">
        <f>IF(AND(Distances!DQ137=0,Distances!GC137=0),ROUNDUP(BD158+'Délai intermédiaire'!BE137/24,0),0)</f>
        <v>0</v>
      </c>
      <c r="BE192" s="13">
        <f>IF(AND(Distances!DR137=0,Distances!GD137=0),ROUNDUP(BE158+'Délai intermédiaire'!BF137/24,0),0)</f>
        <v>0</v>
      </c>
      <c r="BF192" s="14">
        <f>IF(AND(Distances!DS137=0,Distances!GE137=0),ROUNDUP(BF158+'Délai intermédiaire'!BG137/24,0),0)</f>
        <v>0</v>
      </c>
      <c r="BG192" s="14">
        <f>IF(AND(Distances!DT137=0,Distances!GF137=0),ROUNDUP(BG158+'Délai intermédiaire'!BH137/24,0),0)</f>
        <v>0</v>
      </c>
      <c r="BH192" s="14">
        <f>IF(AND(Distances!DU137=0,Distances!GG137=0),ROUNDUP(BH158+'Délai intermédiaire'!BI137/24,0),0)</f>
        <v>0</v>
      </c>
      <c r="BI192" s="14">
        <f>IF(AND(Distances!DV137=0,Distances!GH137=0),ROUNDUP(BI158+'Délai intermédiaire'!BJ137/24,0),0)</f>
        <v>0</v>
      </c>
      <c r="BJ192" s="15">
        <f>IF(AND(Distances!DW137=0,Distances!GI137=0),ROUNDUP(BJ158+'Délai intermédiaire'!BK137/24,0),0)</f>
        <v>0</v>
      </c>
    </row>
    <row r="193" spans="1:62" x14ac:dyDescent="0.3">
      <c r="A193" s="10" t="s">
        <v>34</v>
      </c>
      <c r="B193" s="16">
        <f>IF(AND(Distances!BO138=0,Distances!EA138=0),ROUNDUP(B158+'Délai intermédiaire'!C138/24,0),0)</f>
        <v>20</v>
      </c>
      <c r="C193" s="14">
        <f>IF(AND(Distances!BP138=0,Distances!EB138=0),ROUNDUP(C158+'Délai intermédiaire'!D138/24,0),0)</f>
        <v>21</v>
      </c>
      <c r="D193" s="14">
        <f>IF(AND(Distances!BQ138=0,Distances!EC138=0),ROUNDUP(D158+'Délai intermédiaire'!E138/24,0),0)</f>
        <v>0</v>
      </c>
      <c r="E193" s="14">
        <f>IF(AND(Distances!BR138=0,Distances!ED138=0),ROUNDUP(E158+'Délai intermédiaire'!F138/24,0),0)</f>
        <v>20</v>
      </c>
      <c r="F193" s="14">
        <f>IF(AND(Distances!BS138=0,Distances!EE138=0),ROUNDUP(F158+'Délai intermédiaire'!G138/24,0),0)</f>
        <v>0</v>
      </c>
      <c r="G193" s="14">
        <f>IF(AND(Distances!BT138=0,Distances!EF138=0),ROUNDUP(G158+'Délai intermédiaire'!H138/24,0),0)</f>
        <v>0</v>
      </c>
      <c r="H193" s="14">
        <f>IF(AND(Distances!BU138=0,Distances!EG138=0),ROUNDUP(H158+'Délai intermédiaire'!I138/24,0),0)</f>
        <v>17</v>
      </c>
      <c r="I193" s="14">
        <f>IF(AND(Distances!BV138=0,Distances!EH138=0),ROUNDUP(I158+'Délai intermédiaire'!J138/24,0),0)</f>
        <v>18</v>
      </c>
      <c r="J193" s="14">
        <f>IF(AND(Distances!BW138=0,Distances!EI138=0),ROUNDUP(J158+'Délai intermédiaire'!K138/24,0),0)</f>
        <v>0</v>
      </c>
      <c r="K193" s="14">
        <f>IF(AND(Distances!BX138=0,Distances!EJ138=0),ROUNDUP(K158+'Délai intermédiaire'!L138/24,0),0)</f>
        <v>19</v>
      </c>
      <c r="L193" s="14">
        <f>IF(AND(Distances!BY138=0,Distances!EK138=0),ROUNDUP(L158+'Délai intermédiaire'!M138/24,0),0)</f>
        <v>0</v>
      </c>
      <c r="M193" s="14">
        <f>IF(AND(Distances!BZ138=0,Distances!EL138=0),ROUNDUP(M158+'Délai intermédiaire'!N138/24,0),0)</f>
        <v>18</v>
      </c>
      <c r="N193" s="14">
        <f>IF(AND(Distances!CA138=0,Distances!EM138=0),ROUNDUP(N158+'Délai intermédiaire'!O138/24,0),0)</f>
        <v>0</v>
      </c>
      <c r="O193" s="14">
        <f>IF(AND(Distances!CB138=0,Distances!EN138=0),ROUNDUP(O158+'Délai intermédiaire'!P138/24,0),0)</f>
        <v>0</v>
      </c>
      <c r="P193" s="14">
        <f>IF(AND(Distances!CC138=0,Distances!EO138=0),ROUNDUP(P158+'Délai intermédiaire'!Q138/24,0),0)</f>
        <v>0</v>
      </c>
      <c r="Q193" s="14">
        <f>IF(AND(Distances!CD138=0,Distances!EP138=0),ROUNDUP(Q158+'Délai intermédiaire'!R138/24,0),0)</f>
        <v>16</v>
      </c>
      <c r="R193" s="14">
        <f>IF(AND(Distances!CE138=0,Distances!EQ138=0),ROUNDUP(R158+'Délai intermédiaire'!S138/24,0),0)</f>
        <v>15</v>
      </c>
      <c r="S193" s="14">
        <f>IF(AND(Distances!CF138=0,Distances!ER138=0),ROUNDUP(S158+'Délai intermédiaire'!T138/24,0),0)</f>
        <v>15</v>
      </c>
      <c r="T193" s="14">
        <f>IF(AND(Distances!CG138=0,Distances!ES138=0),ROUNDUP(T158+'Délai intermédiaire'!U138/24,0),0)</f>
        <v>0</v>
      </c>
      <c r="U193" s="14">
        <f>IF(AND(Distances!CH138=0,Distances!ET138=0),ROUNDUP(U158+'Délai intermédiaire'!V138/24,0),0)</f>
        <v>0</v>
      </c>
      <c r="V193" s="14">
        <f>IF(AND(Distances!CI138=0,Distances!EU138=0),ROUNDUP(V158+'Délai intermédiaire'!W138/24,0),0)</f>
        <v>0</v>
      </c>
      <c r="W193" s="14">
        <f>IF(AND(Distances!CJ138=0,Distances!EV138=0),ROUNDUP(W158+'Délai intermédiaire'!X138/24,0),0)</f>
        <v>16</v>
      </c>
      <c r="X193" s="14">
        <f>IF(AND(Distances!CK138=0,Distances!EW138=0),ROUNDUP(X158+'Délai intermédiaire'!Y138/24,0),0)</f>
        <v>0</v>
      </c>
      <c r="Y193" s="14">
        <f>IF(AND(Distances!CL138=0,Distances!EX138=0),ROUNDUP(Y158+'Délai intermédiaire'!Z138/24,0),0)</f>
        <v>0</v>
      </c>
      <c r="Z193" s="14">
        <f>IF(AND(Distances!CM138=0,Distances!EY138=0),ROUNDUP(Z158+'Délai intermédiaire'!AA138/24,0),0)</f>
        <v>0</v>
      </c>
      <c r="AA193" s="14">
        <f>IF(AND(Distances!CN138=0,Distances!EZ138=0),ROUNDUP(AA158+'Délai intermédiaire'!AB138/24,0),0)</f>
        <v>0</v>
      </c>
      <c r="AB193" s="14">
        <f>IF(AND(Distances!CO138=0,Distances!FA138=0),ROUNDUP(AB158+'Délai intermédiaire'!AC138/24,0),0)</f>
        <v>0</v>
      </c>
      <c r="AC193" s="14">
        <f>IF(AND(Distances!CP138=0,Distances!FB138=0),ROUNDUP(AC158+'Délai intermédiaire'!AD138/24,0),0)</f>
        <v>12</v>
      </c>
      <c r="AD193" s="14">
        <f>IF(AND(Distances!CQ138=0,Distances!FC138=0),ROUNDUP(AD158+'Délai intermédiaire'!AE138/24,0),0)</f>
        <v>18</v>
      </c>
      <c r="AE193" s="14">
        <f>IF(AND(Distances!CR138=0,Distances!FD138=0),ROUNDUP(AE158+'Délai intermédiaire'!AF138/24,0),0)</f>
        <v>0</v>
      </c>
      <c r="AF193" s="14">
        <f>IF(AND(Distances!CS138=0,Distances!FE138=0),ROUNDUP(AF158+'Délai intermédiaire'!AG138/24,0),0)</f>
        <v>0</v>
      </c>
      <c r="AG193" s="14">
        <f>IF(AND(Distances!CT138=0,Distances!FF138=0),ROUNDUP(AG158+'Délai intermédiaire'!AH138/24,0),0)</f>
        <v>0</v>
      </c>
      <c r="AH193" s="13">
        <f>IF(AND(Distances!CU138=0,Distances!FG138=0),ROUNDUP(AH158+'Délai intermédiaire'!AI138/24,0),0)</f>
        <v>0</v>
      </c>
      <c r="AI193" s="12">
        <f>IF(AND(Distances!CV138=0,Distances!FH138=0),ROUNDUP(AI158+'Délai intermédiaire'!AJ138/24,0),0)</f>
        <v>2</v>
      </c>
      <c r="AJ193" s="13">
        <f>IF(AND(Distances!CW138=0,Distances!FI138=0),ROUNDUP(AJ158+'Délai intermédiaire'!AK138/24,0),0)</f>
        <v>0</v>
      </c>
      <c r="AK193" s="13">
        <f>IF(AND(Distances!CX138=0,Distances!FJ138=0),ROUNDUP(AK158+'Délai intermédiaire'!AL138/24,0),0)</f>
        <v>4</v>
      </c>
      <c r="AL193" s="13">
        <f>IF(AND(Distances!CY138=0,Distances!FK138=0),ROUNDUP(AL158+'Délai intermédiaire'!AM138/24,0),0)</f>
        <v>9</v>
      </c>
      <c r="AM193" s="13">
        <f>IF(AND(Distances!CZ138=0,Distances!FL138=0),ROUNDUP(AM158+'Délai intermédiaire'!AN138/24,0),0)</f>
        <v>9</v>
      </c>
      <c r="AN193" s="13">
        <f>IF(AND(Distances!DA138=0,Distances!FM138=0),ROUNDUP(AN158+'Délai intermédiaire'!AO138/24,0),0)</f>
        <v>0</v>
      </c>
      <c r="AO193" s="14">
        <f>IF(AND(Distances!DB138=0,Distances!FN138=0),ROUNDUP(AO158+'Délai intermédiaire'!AP138/24,0),0)</f>
        <v>12</v>
      </c>
      <c r="AP193" s="14">
        <f>IF(AND(Distances!DC138=0,Distances!FO138=0),ROUNDUP(AP158+'Délai intermédiaire'!AQ138/24,0),0)</f>
        <v>12</v>
      </c>
      <c r="AQ193" s="14">
        <f>IF(AND(Distances!DD138=0,Distances!FP138=0),ROUNDUP(AQ158+'Délai intermédiaire'!AR138/24,0),0)</f>
        <v>9</v>
      </c>
      <c r="AR193" s="13">
        <f>IF(AND(Distances!DE138=0,Distances!FQ138=0),ROUNDUP(AR158+'Délai intermédiaire'!AS138/24,0),0)</f>
        <v>8</v>
      </c>
      <c r="AS193" s="13">
        <f>IF(AND(Distances!DF138=0,Distances!FR138=0),ROUNDUP(AS158+'Délai intermédiaire'!AT138/24,0),0)</f>
        <v>0</v>
      </c>
      <c r="AT193" s="13">
        <f>IF(AND(Distances!DG138=0,Distances!FS138=0),ROUNDUP(AT158+'Délai intermédiaire'!AU138/24,0),0)</f>
        <v>0</v>
      </c>
      <c r="AU193" s="12">
        <f>IF(AND(Distances!DH138=0,Distances!FT138=0),ROUNDUP(AU158+'Délai intermédiaire'!AV138/24,0),0)</f>
        <v>0</v>
      </c>
      <c r="AV193" s="13">
        <f>IF(AND(Distances!DI138=0,Distances!FU138=0),ROUNDUP(AV158+'Délai intermédiaire'!AW138/24,0),0)</f>
        <v>0</v>
      </c>
      <c r="AW193" s="13">
        <f>IF(AND(Distances!DJ138=0,Distances!FV138=0),ROUNDUP(AW158+'Délai intermédiaire'!AX138/24,0),0)</f>
        <v>0</v>
      </c>
      <c r="AX193" s="12">
        <f>IF(AND(Distances!DK138=0,Distances!FW138=0),ROUNDUP(AX158+'Délai intermédiaire'!AY138/24,0),0)</f>
        <v>12</v>
      </c>
      <c r="AY193" s="14">
        <f>IF(AND(Distances!DL138=0,Distances!FX138=0),ROUNDUP(AY158+'Délai intermédiaire'!AZ138/24,0),0)</f>
        <v>2</v>
      </c>
      <c r="AZ193" s="14">
        <f>IF(AND(Distances!DM138=0,Distances!FY138=0),ROUNDUP(AZ158+'Délai intermédiaire'!BA138/24,0),0)</f>
        <v>0</v>
      </c>
      <c r="BA193" s="13">
        <f>IF(AND(Distances!DN138=0,Distances!FZ138=0),ROUNDUP(BA158+'Délai intermédiaire'!BB138/24,0),0)</f>
        <v>7</v>
      </c>
      <c r="BB193" s="14">
        <f>IF(AND(Distances!DO138=0,Distances!GA138=0),ROUNDUP(BB158+'Délai intermédiaire'!BC138/24,0),0)</f>
        <v>18</v>
      </c>
      <c r="BC193" s="12">
        <f>IF(AND(Distances!DP138=0,Distances!GB138=0),ROUNDUP(BC158+'Délai intermédiaire'!BD138/24,0),0)</f>
        <v>8</v>
      </c>
      <c r="BD193" s="12">
        <f>IF(AND(Distances!DQ138=0,Distances!GC138=0),ROUNDUP(BD158+'Délai intermédiaire'!BE138/24,0),0)</f>
        <v>0</v>
      </c>
      <c r="BE193" s="12">
        <f>IF(AND(Distances!DR138=0,Distances!GD138=0),ROUNDUP(BE158+'Délai intermédiaire'!BF138/24,0),0)</f>
        <v>9</v>
      </c>
      <c r="BF193" s="14">
        <f>IF(AND(Distances!DS138=0,Distances!GE138=0),ROUNDUP(BF158+'Délai intermédiaire'!BG138/24,0),0)</f>
        <v>0</v>
      </c>
      <c r="BG193" s="14">
        <f>IF(AND(Distances!DT138=0,Distances!GF138=0),ROUNDUP(BG158+'Délai intermédiaire'!BH138/24,0),0)</f>
        <v>0</v>
      </c>
      <c r="BH193" s="14">
        <f>IF(AND(Distances!DU138=0,Distances!GG138=0),ROUNDUP(BH158+'Délai intermédiaire'!BI138/24,0),0)</f>
        <v>0</v>
      </c>
      <c r="BI193" s="14">
        <f>IF(AND(Distances!DV138=0,Distances!GH138=0),ROUNDUP(BI158+'Délai intermédiaire'!BJ138/24,0),0)</f>
        <v>0</v>
      </c>
      <c r="BJ193" s="15">
        <f>IF(AND(Distances!DW138=0,Distances!GI138=0),ROUNDUP(BJ158+'Délai intermédiaire'!BK138/24,0),0)</f>
        <v>0</v>
      </c>
    </row>
    <row r="194" spans="1:62" x14ac:dyDescent="0.3">
      <c r="A194" s="10" t="s">
        <v>35</v>
      </c>
      <c r="B194" s="16">
        <f>IF(AND(Distances!BO139=0,Distances!EA139=0),ROUNDUP(B158+'Délai intermédiaire'!C139/24,0),0)</f>
        <v>0</v>
      </c>
      <c r="C194" s="14">
        <f>IF(AND(Distances!BP139=0,Distances!EB139=0),ROUNDUP(C158+'Délai intermédiaire'!D139/24,0),0)</f>
        <v>0</v>
      </c>
      <c r="D194" s="14">
        <f>IF(AND(Distances!BQ139=0,Distances!EC139=0),ROUNDUP(D158+'Délai intermédiaire'!E139/24,0),0)</f>
        <v>0</v>
      </c>
      <c r="E194" s="14">
        <f>IF(AND(Distances!BR139=0,Distances!ED139=0),ROUNDUP(E158+'Délai intermédiaire'!F139/24,0),0)</f>
        <v>0</v>
      </c>
      <c r="F194" s="14">
        <f>IF(AND(Distances!BS139=0,Distances!EE139=0),ROUNDUP(F158+'Délai intermédiaire'!G139/24,0),0)</f>
        <v>0</v>
      </c>
      <c r="G194" s="14">
        <f>IF(AND(Distances!BT139=0,Distances!EF139=0),ROUNDUP(G158+'Délai intermédiaire'!H139/24,0),0)</f>
        <v>0</v>
      </c>
      <c r="H194" s="14">
        <f>IF(AND(Distances!BU139=0,Distances!EG139=0),ROUNDUP(H158+'Délai intermédiaire'!I139/24,0),0)</f>
        <v>0</v>
      </c>
      <c r="I194" s="14">
        <f>IF(AND(Distances!BV139=0,Distances!EH139=0),ROUNDUP(I158+'Délai intermédiaire'!J139/24,0),0)</f>
        <v>0</v>
      </c>
      <c r="J194" s="14">
        <f>IF(AND(Distances!BW139=0,Distances!EI139=0),ROUNDUP(J158+'Délai intermédiaire'!K139/24,0),0)</f>
        <v>0</v>
      </c>
      <c r="K194" s="14">
        <f>IF(AND(Distances!BX139=0,Distances!EJ139=0),ROUNDUP(K158+'Délai intermédiaire'!L139/24,0),0)</f>
        <v>0</v>
      </c>
      <c r="L194" s="14">
        <f>IF(AND(Distances!BY139=0,Distances!EK139=0),ROUNDUP(L158+'Délai intermédiaire'!M139/24,0),0)</f>
        <v>0</v>
      </c>
      <c r="M194" s="14">
        <f>IF(AND(Distances!BZ139=0,Distances!EL139=0),ROUNDUP(M158+'Délai intermédiaire'!N139/24,0),0)</f>
        <v>0</v>
      </c>
      <c r="N194" s="14">
        <f>IF(AND(Distances!CA139=0,Distances!EM139=0),ROUNDUP(N158+'Délai intermédiaire'!O139/24,0),0)</f>
        <v>0</v>
      </c>
      <c r="O194" s="14">
        <f>IF(AND(Distances!CB139=0,Distances!EN139=0),ROUNDUP(O158+'Délai intermédiaire'!P139/24,0),0)</f>
        <v>0</v>
      </c>
      <c r="P194" s="14">
        <f>IF(AND(Distances!CC139=0,Distances!EO139=0),ROUNDUP(P158+'Délai intermédiaire'!Q139/24,0),0)</f>
        <v>0</v>
      </c>
      <c r="Q194" s="14">
        <f>IF(AND(Distances!CD139=0,Distances!EP139=0),ROUNDUP(Q158+'Délai intermédiaire'!R139/24,0),0)</f>
        <v>0</v>
      </c>
      <c r="R194" s="14">
        <f>IF(AND(Distances!CE139=0,Distances!EQ139=0),ROUNDUP(R158+'Délai intermédiaire'!S139/24,0),0)</f>
        <v>0</v>
      </c>
      <c r="S194" s="14">
        <f>IF(AND(Distances!CF139=0,Distances!ER139=0),ROUNDUP(S158+'Délai intermédiaire'!T139/24,0),0)</f>
        <v>0</v>
      </c>
      <c r="T194" s="14">
        <f>IF(AND(Distances!CG139=0,Distances!ES139=0),ROUNDUP(T158+'Délai intermédiaire'!U139/24,0),0)</f>
        <v>0</v>
      </c>
      <c r="U194" s="14">
        <f>IF(AND(Distances!CH139=0,Distances!ET139=0),ROUNDUP(U158+'Délai intermédiaire'!V139/24,0),0)</f>
        <v>0</v>
      </c>
      <c r="V194" s="14">
        <f>IF(AND(Distances!CI139=0,Distances!EU139=0),ROUNDUP(V158+'Délai intermédiaire'!W139/24,0),0)</f>
        <v>0</v>
      </c>
      <c r="W194" s="14">
        <f>IF(AND(Distances!CJ139=0,Distances!EV139=0),ROUNDUP(W158+'Délai intermédiaire'!X139/24,0),0)</f>
        <v>0</v>
      </c>
      <c r="X194" s="14">
        <f>IF(AND(Distances!CK139=0,Distances!EW139=0),ROUNDUP(X158+'Délai intermédiaire'!Y139/24,0),0)</f>
        <v>0</v>
      </c>
      <c r="Y194" s="14">
        <f>IF(AND(Distances!CL139=0,Distances!EX139=0),ROUNDUP(Y158+'Délai intermédiaire'!Z139/24,0),0)</f>
        <v>0</v>
      </c>
      <c r="Z194" s="14">
        <f>IF(AND(Distances!CM139=0,Distances!EY139=0),ROUNDUP(Z158+'Délai intermédiaire'!AA139/24,0),0)</f>
        <v>0</v>
      </c>
      <c r="AA194" s="14">
        <f>IF(AND(Distances!CN139=0,Distances!EZ139=0),ROUNDUP(AA158+'Délai intermédiaire'!AB139/24,0),0)</f>
        <v>0</v>
      </c>
      <c r="AB194" s="14">
        <f>IF(AND(Distances!CO139=0,Distances!FA139=0),ROUNDUP(AB158+'Délai intermédiaire'!AC139/24,0),0)</f>
        <v>0</v>
      </c>
      <c r="AC194" s="14">
        <f>IF(AND(Distances!CP139=0,Distances!FB139=0),ROUNDUP(AC158+'Délai intermédiaire'!AD139/24,0),0)</f>
        <v>0</v>
      </c>
      <c r="AD194" s="14">
        <f>IF(AND(Distances!CQ139=0,Distances!FC139=0),ROUNDUP(AD158+'Délai intermédiaire'!AE139/24,0),0)</f>
        <v>0</v>
      </c>
      <c r="AE194" s="14">
        <f>IF(AND(Distances!CR139=0,Distances!FD139=0),ROUNDUP(AE158+'Délai intermédiaire'!AF139/24,0),0)</f>
        <v>0</v>
      </c>
      <c r="AF194" s="14">
        <f>IF(AND(Distances!CS139=0,Distances!FE139=0),ROUNDUP(AF158+'Délai intermédiaire'!AG139/24,0),0)</f>
        <v>0</v>
      </c>
      <c r="AG194" s="14">
        <f>IF(AND(Distances!CT139=0,Distances!FF139=0),ROUNDUP(AG158+'Délai intermédiaire'!AH139/24,0),0)</f>
        <v>0</v>
      </c>
      <c r="AH194" s="13">
        <f>IF(AND(Distances!CU139=0,Distances!FG139=0),ROUNDUP(AH158+'Délai intermédiaire'!AI139/24,0),0)</f>
        <v>0</v>
      </c>
      <c r="AI194" s="13">
        <f>IF(AND(Distances!CV139=0,Distances!FH139=0),ROUNDUP(AI158+'Délai intermédiaire'!AJ139/24,0),0)</f>
        <v>0</v>
      </c>
      <c r="AJ194" s="12">
        <f>IF(AND(Distances!CW139=0,Distances!FI139=0),ROUNDUP(AJ158+'Délai intermédiaire'!AK139/24,0),0)</f>
        <v>2</v>
      </c>
      <c r="AK194" s="13">
        <f>IF(AND(Distances!CX139=0,Distances!FJ139=0),ROUNDUP(AK158+'Délai intermédiaire'!AL139/24,0),0)</f>
        <v>0</v>
      </c>
      <c r="AL194" s="13">
        <f>IF(AND(Distances!CY139=0,Distances!FK139=0),ROUNDUP(AL158+'Délai intermédiaire'!AM139/24,0),0)</f>
        <v>0</v>
      </c>
      <c r="AM194" s="13">
        <f>IF(AND(Distances!CZ139=0,Distances!FL139=0),ROUNDUP(AM158+'Délai intermédiaire'!AN139/24,0),0)</f>
        <v>0</v>
      </c>
      <c r="AN194" s="13">
        <f>IF(AND(Distances!DA139=0,Distances!FM139=0),ROUNDUP(AN158+'Délai intermédiaire'!AO139/24,0),0)</f>
        <v>0</v>
      </c>
      <c r="AO194" s="14">
        <f>IF(AND(Distances!DB139=0,Distances!FN139=0),ROUNDUP(AO158+'Délai intermédiaire'!AP139/24,0),0)</f>
        <v>0</v>
      </c>
      <c r="AP194" s="14">
        <f>IF(AND(Distances!DC139=0,Distances!FO139=0),ROUNDUP(AP158+'Délai intermédiaire'!AQ139/24,0),0)</f>
        <v>0</v>
      </c>
      <c r="AQ194" s="14">
        <f>IF(AND(Distances!DD139=0,Distances!FP139=0),ROUNDUP(AQ158+'Délai intermédiaire'!AR139/24,0),0)</f>
        <v>0</v>
      </c>
      <c r="AR194" s="13">
        <f>IF(AND(Distances!DE139=0,Distances!FQ139=0),ROUNDUP(AR158+'Délai intermédiaire'!AS139/24,0),0)</f>
        <v>0</v>
      </c>
      <c r="AS194" s="13">
        <f>IF(AND(Distances!DF139=0,Distances!FR139=0),ROUNDUP(AS158+'Délai intermédiaire'!AT139/24,0),0)</f>
        <v>0</v>
      </c>
      <c r="AT194" s="13">
        <f>IF(AND(Distances!DG139=0,Distances!FS139=0),ROUNDUP(AT158+'Délai intermédiaire'!AU139/24,0),0)</f>
        <v>0</v>
      </c>
      <c r="AU194" s="13">
        <f>IF(AND(Distances!DH139=0,Distances!FT139=0),ROUNDUP(AU158+'Délai intermédiaire'!AV139/24,0),0)</f>
        <v>0</v>
      </c>
      <c r="AV194" s="13">
        <f>IF(AND(Distances!DI139=0,Distances!FU139=0),ROUNDUP(AV158+'Délai intermédiaire'!AW139/24,0),0)</f>
        <v>0</v>
      </c>
      <c r="AW194" s="13">
        <f>IF(AND(Distances!DJ139=0,Distances!FV139=0),ROUNDUP(AW158+'Délai intermédiaire'!AX139/24,0),0)</f>
        <v>0</v>
      </c>
      <c r="AX194" s="13">
        <f>IF(AND(Distances!DK139=0,Distances!FW139=0),ROUNDUP(AX158+'Délai intermédiaire'!AY139/24,0),0)</f>
        <v>0</v>
      </c>
      <c r="AY194" s="14">
        <f>IF(AND(Distances!DL139=0,Distances!FX139=0),ROUNDUP(AY158+'Délai intermédiaire'!AZ139/24,0),0)</f>
        <v>0</v>
      </c>
      <c r="AZ194" s="14">
        <f>IF(AND(Distances!DM139=0,Distances!FY139=0),ROUNDUP(AZ158+'Délai intermédiaire'!BA139/24,0),0)</f>
        <v>0</v>
      </c>
      <c r="BA194" s="13">
        <f>IF(AND(Distances!DN139=0,Distances!FZ139=0),ROUNDUP(BA158+'Délai intermédiaire'!BB139/24,0),0)</f>
        <v>0</v>
      </c>
      <c r="BB194" s="14">
        <f>IF(AND(Distances!DO139=0,Distances!GA139=0),ROUNDUP(BB158+'Délai intermédiaire'!BC139/24,0),0)</f>
        <v>0</v>
      </c>
      <c r="BC194" s="13">
        <f>IF(AND(Distances!DP139=0,Distances!GB139=0),ROUNDUP(BC158+'Délai intermédiaire'!BD139/24,0),0)</f>
        <v>0</v>
      </c>
      <c r="BD194" s="13">
        <f>IF(AND(Distances!DQ139=0,Distances!GC139=0),ROUNDUP(BD158+'Délai intermédiaire'!BE139/24,0),0)</f>
        <v>0</v>
      </c>
      <c r="BE194" s="13">
        <f>IF(AND(Distances!DR139=0,Distances!GD139=0),ROUNDUP(BE158+'Délai intermédiaire'!BF139/24,0),0)</f>
        <v>0</v>
      </c>
      <c r="BF194" s="14">
        <f>IF(AND(Distances!DS139=0,Distances!GE139=0),ROUNDUP(BF158+'Délai intermédiaire'!BG139/24,0),0)</f>
        <v>0</v>
      </c>
      <c r="BG194" s="14">
        <f>IF(AND(Distances!DT139=0,Distances!GF139=0),ROUNDUP(BG158+'Délai intermédiaire'!BH139/24,0),0)</f>
        <v>0</v>
      </c>
      <c r="BH194" s="14">
        <f>IF(AND(Distances!DU139=0,Distances!GG139=0),ROUNDUP(BH158+'Délai intermédiaire'!BI139/24,0),0)</f>
        <v>0</v>
      </c>
      <c r="BI194" s="14">
        <f>IF(AND(Distances!DV139=0,Distances!GH139=0),ROUNDUP(BI158+'Délai intermédiaire'!BJ139/24,0),0)</f>
        <v>0</v>
      </c>
      <c r="BJ194" s="15">
        <f>IF(AND(Distances!DW139=0,Distances!GI139=0),ROUNDUP(BJ158+'Délai intermédiaire'!BK139/24,0),0)</f>
        <v>0</v>
      </c>
    </row>
    <row r="195" spans="1:62" x14ac:dyDescent="0.3">
      <c r="A195" s="10" t="s">
        <v>36</v>
      </c>
      <c r="B195" s="16">
        <f>IF(AND(Distances!BO140=0,Distances!EA140=0),ROUNDUP(B158+'Délai intermédiaire'!C140/24,0),0)</f>
        <v>18</v>
      </c>
      <c r="C195" s="14">
        <f>IF(AND(Distances!BP140=0,Distances!EB140=0),ROUNDUP(C158+'Délai intermédiaire'!D140/24,0),0)</f>
        <v>20</v>
      </c>
      <c r="D195" s="14">
        <f>IF(AND(Distances!BQ140=0,Distances!EC140=0),ROUNDUP(D158+'Délai intermédiaire'!E140/24,0),0)</f>
        <v>0</v>
      </c>
      <c r="E195" s="14">
        <f>IF(AND(Distances!BR140=0,Distances!ED140=0),ROUNDUP(E158+'Délai intermédiaire'!F140/24,0),0)</f>
        <v>19</v>
      </c>
      <c r="F195" s="14">
        <f>IF(AND(Distances!BS140=0,Distances!EE140=0),ROUNDUP(F158+'Délai intermédiaire'!G140/24,0),0)</f>
        <v>0</v>
      </c>
      <c r="G195" s="14">
        <f>IF(AND(Distances!BT140=0,Distances!EF140=0),ROUNDUP(G158+'Délai intermédiaire'!H140/24,0),0)</f>
        <v>0</v>
      </c>
      <c r="H195" s="14">
        <f>IF(AND(Distances!BU140=0,Distances!EG140=0),ROUNDUP(H158+'Délai intermédiaire'!I140/24,0),0)</f>
        <v>16</v>
      </c>
      <c r="I195" s="14">
        <f>IF(AND(Distances!BV140=0,Distances!EH140=0),ROUNDUP(I158+'Délai intermédiaire'!J140/24,0),0)</f>
        <v>18</v>
      </c>
      <c r="J195" s="14">
        <f>IF(AND(Distances!BW140=0,Distances!EI140=0),ROUNDUP(J158+'Délai intermédiaire'!K140/24,0),0)</f>
        <v>0</v>
      </c>
      <c r="K195" s="14">
        <f>IF(AND(Distances!BX140=0,Distances!EJ140=0),ROUNDUP(K158+'Délai intermédiaire'!L140/24,0),0)</f>
        <v>18</v>
      </c>
      <c r="L195" s="14">
        <f>IF(AND(Distances!BY140=0,Distances!EK140=0),ROUNDUP(L158+'Délai intermédiaire'!M140/24,0),0)</f>
        <v>0</v>
      </c>
      <c r="M195" s="14">
        <f>IF(AND(Distances!BZ140=0,Distances!EL140=0),ROUNDUP(M158+'Délai intermédiaire'!N140/24,0),0)</f>
        <v>18</v>
      </c>
      <c r="N195" s="14">
        <f>IF(AND(Distances!CA140=0,Distances!EM140=0),ROUNDUP(N158+'Délai intermédiaire'!O140/24,0),0)</f>
        <v>0</v>
      </c>
      <c r="O195" s="14">
        <f>IF(AND(Distances!CB140=0,Distances!EN140=0),ROUNDUP(O158+'Délai intermédiaire'!P140/24,0),0)</f>
        <v>0</v>
      </c>
      <c r="P195" s="14">
        <f>IF(AND(Distances!CC140=0,Distances!EO140=0),ROUNDUP(P158+'Délai intermédiaire'!Q140/24,0),0)</f>
        <v>0</v>
      </c>
      <c r="Q195" s="14">
        <f>IF(AND(Distances!CD140=0,Distances!EP140=0),ROUNDUP(Q158+'Délai intermédiaire'!R140/24,0),0)</f>
        <v>15</v>
      </c>
      <c r="R195" s="14">
        <f>IF(AND(Distances!CE140=0,Distances!EQ140=0),ROUNDUP(R158+'Délai intermédiaire'!S140/24,0),0)</f>
        <v>14</v>
      </c>
      <c r="S195" s="14">
        <f>IF(AND(Distances!CF140=0,Distances!ER140=0),ROUNDUP(S158+'Délai intermédiaire'!T140/24,0),0)</f>
        <v>14</v>
      </c>
      <c r="T195" s="14">
        <f>IF(AND(Distances!CG140=0,Distances!ES140=0),ROUNDUP(T158+'Délai intermédiaire'!U140/24,0),0)</f>
        <v>0</v>
      </c>
      <c r="U195" s="14">
        <f>IF(AND(Distances!CH140=0,Distances!ET140=0),ROUNDUP(U158+'Délai intermédiaire'!V140/24,0),0)</f>
        <v>0</v>
      </c>
      <c r="V195" s="14">
        <f>IF(AND(Distances!CI140=0,Distances!EU140=0),ROUNDUP(V158+'Délai intermédiaire'!W140/24,0),0)</f>
        <v>0</v>
      </c>
      <c r="W195" s="14">
        <f>IF(AND(Distances!CJ140=0,Distances!EV140=0),ROUNDUP(W158+'Délai intermédiaire'!X140/24,0),0)</f>
        <v>15</v>
      </c>
      <c r="X195" s="14">
        <f>IF(AND(Distances!CK140=0,Distances!EW140=0),ROUNDUP(X158+'Délai intermédiaire'!Y140/24,0),0)</f>
        <v>0</v>
      </c>
      <c r="Y195" s="14">
        <f>IF(AND(Distances!CL140=0,Distances!EX140=0),ROUNDUP(Y158+'Délai intermédiaire'!Z140/24,0),0)</f>
        <v>0</v>
      </c>
      <c r="Z195" s="14">
        <f>IF(AND(Distances!CM140=0,Distances!EY140=0),ROUNDUP(Z158+'Délai intermédiaire'!AA140/24,0),0)</f>
        <v>0</v>
      </c>
      <c r="AA195" s="14">
        <f>IF(AND(Distances!CN140=0,Distances!EZ140=0),ROUNDUP(AA158+'Délai intermédiaire'!AB140/24,0),0)</f>
        <v>0</v>
      </c>
      <c r="AB195" s="14">
        <f>IF(AND(Distances!CO140=0,Distances!FA140=0),ROUNDUP(AB158+'Délai intermédiaire'!AC140/24,0),0)</f>
        <v>0</v>
      </c>
      <c r="AC195" s="14">
        <f>IF(AND(Distances!CP140=0,Distances!FB140=0),ROUNDUP(AC158+'Délai intermédiaire'!AD140/24,0),0)</f>
        <v>11</v>
      </c>
      <c r="AD195" s="14">
        <f>IF(AND(Distances!CQ140=0,Distances!FC140=0),ROUNDUP(AD158+'Délai intermédiaire'!AE140/24,0),0)</f>
        <v>16</v>
      </c>
      <c r="AE195" s="14">
        <f>IF(AND(Distances!CR140=0,Distances!FD140=0),ROUNDUP(AE158+'Délai intermédiaire'!AF140/24,0),0)</f>
        <v>0</v>
      </c>
      <c r="AF195" s="14">
        <f>IF(AND(Distances!CS140=0,Distances!FE140=0),ROUNDUP(AF158+'Délai intermédiaire'!AG140/24,0),0)</f>
        <v>0</v>
      </c>
      <c r="AG195" s="14">
        <f>IF(AND(Distances!CT140=0,Distances!FF140=0),ROUNDUP(AG158+'Délai intermédiaire'!AH140/24,0),0)</f>
        <v>0</v>
      </c>
      <c r="AH195" s="13">
        <f>IF(AND(Distances!CU140=0,Distances!FG140=0),ROUNDUP(AH158+'Délai intermédiaire'!AI140/24,0),0)</f>
        <v>0</v>
      </c>
      <c r="AI195" s="13">
        <f>IF(AND(Distances!CV140=0,Distances!FH140=0),ROUNDUP(AI158+'Délai intermédiaire'!AJ140/24,0),0)</f>
        <v>4</v>
      </c>
      <c r="AJ195" s="13">
        <f>IF(AND(Distances!CW140=0,Distances!FI140=0),ROUNDUP(AJ158+'Délai intermédiaire'!AK140/24,0),0)</f>
        <v>0</v>
      </c>
      <c r="AK195" s="12">
        <f>IF(AND(Distances!CX140=0,Distances!FJ140=0),ROUNDUP(AK158+'Délai intermédiaire'!AL140/24,0),0)</f>
        <v>2</v>
      </c>
      <c r="AL195" s="13">
        <f>IF(AND(Distances!CY140=0,Distances!FK140=0),ROUNDUP(AL158+'Délai intermédiaire'!AM140/24,0),0)</f>
        <v>9</v>
      </c>
      <c r="AM195" s="13">
        <f>IF(AND(Distances!CZ140=0,Distances!FL140=0),ROUNDUP(AM158+'Délai intermédiaire'!AN140/24,0),0)</f>
        <v>9</v>
      </c>
      <c r="AN195" s="13">
        <f>IF(AND(Distances!DA140=0,Distances!FM140=0),ROUNDUP(AN158+'Délai intermédiaire'!AO140/24,0),0)</f>
        <v>0</v>
      </c>
      <c r="AO195" s="14">
        <f>IF(AND(Distances!DB140=0,Distances!FN140=0),ROUNDUP(AO158+'Délai intermédiaire'!AP140/24,0),0)</f>
        <v>11</v>
      </c>
      <c r="AP195" s="14">
        <f>IF(AND(Distances!DC140=0,Distances!FO140=0),ROUNDUP(AP158+'Délai intermédiaire'!AQ140/24,0),0)</f>
        <v>12</v>
      </c>
      <c r="AQ195" s="14">
        <f>IF(AND(Distances!DD140=0,Distances!FP140=0),ROUNDUP(AQ158+'Délai intermédiaire'!AR140/24,0),0)</f>
        <v>8</v>
      </c>
      <c r="AR195" s="13">
        <f>IF(AND(Distances!DE140=0,Distances!FQ140=0),ROUNDUP(AR158+'Délai intermédiaire'!AS140/24,0),0)</f>
        <v>7</v>
      </c>
      <c r="AS195" s="13">
        <f>IF(AND(Distances!DF140=0,Distances!FR140=0),ROUNDUP(AS158+'Délai intermédiaire'!AT140/24,0),0)</f>
        <v>0</v>
      </c>
      <c r="AT195" s="13">
        <f>IF(AND(Distances!DG140=0,Distances!FS140=0),ROUNDUP(AT158+'Délai intermédiaire'!AU140/24,0),0)</f>
        <v>0</v>
      </c>
      <c r="AU195" s="13">
        <f>IF(AND(Distances!DH140=0,Distances!FT140=0),ROUNDUP(AU158+'Délai intermédiaire'!AV140/24,0),0)</f>
        <v>0</v>
      </c>
      <c r="AV195" s="13">
        <f>IF(AND(Distances!DI140=0,Distances!FU140=0),ROUNDUP(AV158+'Délai intermédiaire'!AW140/24,0),0)</f>
        <v>0</v>
      </c>
      <c r="AW195" s="13">
        <f>IF(AND(Distances!DJ140=0,Distances!FV140=0),ROUNDUP(AW158+'Délai intermédiaire'!AX140/24,0),0)</f>
        <v>0</v>
      </c>
      <c r="AX195" s="13">
        <f>IF(AND(Distances!DK140=0,Distances!FW140=0),ROUNDUP(AX158+'Délai intermédiaire'!AY140/24,0),0)</f>
        <v>11</v>
      </c>
      <c r="AY195" s="14">
        <f>IF(AND(Distances!DL140=0,Distances!FX140=0),ROUNDUP(AY158+'Délai intermédiaire'!AZ140/24,0),0)</f>
        <v>2</v>
      </c>
      <c r="AZ195" s="14">
        <f>IF(AND(Distances!DM140=0,Distances!FY140=0),ROUNDUP(AZ158+'Délai intermédiaire'!BA140/24,0),0)</f>
        <v>0</v>
      </c>
      <c r="BA195" s="13">
        <f>IF(AND(Distances!DN140=0,Distances!FZ140=0),ROUNDUP(BA158+'Délai intermédiaire'!BB140/24,0),0)</f>
        <v>7</v>
      </c>
      <c r="BB195" s="14">
        <f>IF(AND(Distances!DO140=0,Distances!GA140=0),ROUNDUP(BB158+'Délai intermédiaire'!BC140/24,0),0)</f>
        <v>17</v>
      </c>
      <c r="BC195" s="13">
        <f>IF(AND(Distances!DP140=0,Distances!GB140=0),ROUNDUP(BC158+'Délai intermédiaire'!BD140/24,0),0)</f>
        <v>8</v>
      </c>
      <c r="BD195" s="13">
        <f>IF(AND(Distances!DQ140=0,Distances!GC140=0),ROUNDUP(BD158+'Délai intermédiaire'!BE140/24,0),0)</f>
        <v>0</v>
      </c>
      <c r="BE195" s="13">
        <f>IF(AND(Distances!DR140=0,Distances!GD140=0),ROUNDUP(BE158+'Délai intermédiaire'!BF140/24,0),0)</f>
        <v>9</v>
      </c>
      <c r="BF195" s="14">
        <f>IF(AND(Distances!DS140=0,Distances!GE140=0),ROUNDUP(BF158+'Délai intermédiaire'!BG140/24,0),0)</f>
        <v>0</v>
      </c>
      <c r="BG195" s="14">
        <f>IF(AND(Distances!DT140=0,Distances!GF140=0),ROUNDUP(BG158+'Délai intermédiaire'!BH140/24,0),0)</f>
        <v>0</v>
      </c>
      <c r="BH195" s="14">
        <f>IF(AND(Distances!DU140=0,Distances!GG140=0),ROUNDUP(BH158+'Délai intermédiaire'!BI140/24,0),0)</f>
        <v>0</v>
      </c>
      <c r="BI195" s="14">
        <f>IF(AND(Distances!DV140=0,Distances!GH140=0),ROUNDUP(BI158+'Délai intermédiaire'!BJ140/24,0),0)</f>
        <v>0</v>
      </c>
      <c r="BJ195" s="15">
        <f>IF(AND(Distances!DW140=0,Distances!GI140=0),ROUNDUP(BJ158+'Délai intermédiaire'!BK140/24,0),0)</f>
        <v>0</v>
      </c>
    </row>
    <row r="196" spans="1:62" x14ac:dyDescent="0.3">
      <c r="A196" s="10" t="s">
        <v>37</v>
      </c>
      <c r="B196" s="16">
        <f>IF(AND(Distances!BO141=0,Distances!EA141=0),ROUNDUP(B158+'Délai intermédiaire'!C141/24,0),0)</f>
        <v>17</v>
      </c>
      <c r="C196" s="14">
        <f>IF(AND(Distances!BP141=0,Distances!EB141=0),ROUNDUP(C158+'Délai intermédiaire'!D141/24,0),0)</f>
        <v>17</v>
      </c>
      <c r="D196" s="14">
        <f>IF(AND(Distances!BQ141=0,Distances!EC141=0),ROUNDUP(D158+'Délai intermédiaire'!E141/24,0),0)</f>
        <v>0</v>
      </c>
      <c r="E196" s="14">
        <f>IF(AND(Distances!BR141=0,Distances!ED141=0),ROUNDUP(E158+'Délai intermédiaire'!F141/24,0),0)</f>
        <v>22</v>
      </c>
      <c r="F196" s="14">
        <f>IF(AND(Distances!BS141=0,Distances!EE141=0),ROUNDUP(F158+'Délai intermédiaire'!G141/24,0),0)</f>
        <v>0</v>
      </c>
      <c r="G196" s="14">
        <f>IF(AND(Distances!BT141=0,Distances!EF141=0),ROUNDUP(G158+'Délai intermédiaire'!H141/24,0),0)</f>
        <v>0</v>
      </c>
      <c r="H196" s="14">
        <f>IF(AND(Distances!BU141=0,Distances!EG141=0),ROUNDUP(H158+'Délai intermédiaire'!I141/24,0),0)</f>
        <v>9</v>
      </c>
      <c r="I196" s="14">
        <f>IF(AND(Distances!BV141=0,Distances!EH141=0),ROUNDUP(I158+'Délai intermédiaire'!J141/24,0),0)</f>
        <v>10</v>
      </c>
      <c r="J196" s="14">
        <f>IF(AND(Distances!BW141=0,Distances!EI141=0),ROUNDUP(J158+'Délai intermédiaire'!K141/24,0),0)</f>
        <v>0</v>
      </c>
      <c r="K196" s="14">
        <f>IF(AND(Distances!BX141=0,Distances!EJ141=0),ROUNDUP(K158+'Délai intermédiaire'!L141/24,0),0)</f>
        <v>21</v>
      </c>
      <c r="L196" s="14">
        <f>IF(AND(Distances!BY141=0,Distances!EK141=0),ROUNDUP(L158+'Délai intermédiaire'!M141/24,0),0)</f>
        <v>0</v>
      </c>
      <c r="M196" s="14">
        <f>IF(AND(Distances!BZ141=0,Distances!EL141=0),ROUNDUP(M158+'Délai intermédiaire'!N141/24,0),0)</f>
        <v>10</v>
      </c>
      <c r="N196" s="14">
        <f>IF(AND(Distances!CA141=0,Distances!EM141=0),ROUNDUP(N158+'Délai intermédiaire'!O141/24,0),0)</f>
        <v>0</v>
      </c>
      <c r="O196" s="14">
        <f>IF(AND(Distances!CB141=0,Distances!EN141=0),ROUNDUP(O158+'Délai intermédiaire'!P141/24,0),0)</f>
        <v>0</v>
      </c>
      <c r="P196" s="14">
        <f>IF(AND(Distances!CC141=0,Distances!EO141=0),ROUNDUP(P158+'Délai intermédiaire'!Q141/24,0),0)</f>
        <v>0</v>
      </c>
      <c r="Q196" s="14">
        <f>IF(AND(Distances!CD141=0,Distances!EP141=0),ROUNDUP(Q158+'Délai intermédiaire'!R141/24,0),0)</f>
        <v>21</v>
      </c>
      <c r="R196" s="14">
        <f>IF(AND(Distances!CE141=0,Distances!EQ141=0),ROUNDUP(R158+'Délai intermédiaire'!S141/24,0),0)</f>
        <v>21</v>
      </c>
      <c r="S196" s="14">
        <f>IF(AND(Distances!CF141=0,Distances!ER141=0),ROUNDUP(S158+'Délai intermédiaire'!T141/24,0),0)</f>
        <v>21</v>
      </c>
      <c r="T196" s="14">
        <f>IF(AND(Distances!CG141=0,Distances!ES141=0),ROUNDUP(T158+'Délai intermédiaire'!U141/24,0),0)</f>
        <v>0</v>
      </c>
      <c r="U196" s="14">
        <f>IF(AND(Distances!CH141=0,Distances!ET141=0),ROUNDUP(U158+'Délai intermédiaire'!V141/24,0),0)</f>
        <v>0</v>
      </c>
      <c r="V196" s="14">
        <f>IF(AND(Distances!CI141=0,Distances!EU141=0),ROUNDUP(V158+'Délai intermédiaire'!W141/24,0),0)</f>
        <v>0</v>
      </c>
      <c r="W196" s="14">
        <f>IF(AND(Distances!CJ141=0,Distances!EV141=0),ROUNDUP(W158+'Délai intermédiaire'!X141/24,0),0)</f>
        <v>21</v>
      </c>
      <c r="X196" s="14">
        <f>IF(AND(Distances!CK141=0,Distances!EW141=0),ROUNDUP(X158+'Délai intermédiaire'!Y141/24,0),0)</f>
        <v>0</v>
      </c>
      <c r="Y196" s="14">
        <f>IF(AND(Distances!CL141=0,Distances!EX141=0),ROUNDUP(Y158+'Délai intermédiaire'!Z141/24,0),0)</f>
        <v>0</v>
      </c>
      <c r="Z196" s="14">
        <f>IF(AND(Distances!CM141=0,Distances!EY141=0),ROUNDUP(Z158+'Délai intermédiaire'!AA141/24,0),0)</f>
        <v>0</v>
      </c>
      <c r="AA196" s="14">
        <f>IF(AND(Distances!CN141=0,Distances!EZ141=0),ROUNDUP(AA158+'Délai intermédiaire'!AB141/24,0),0)</f>
        <v>0</v>
      </c>
      <c r="AB196" s="14">
        <f>IF(AND(Distances!CO141=0,Distances!FA141=0),ROUNDUP(AB158+'Délai intermédiaire'!AC141/24,0),0)</f>
        <v>0</v>
      </c>
      <c r="AC196" s="14">
        <f>IF(AND(Distances!CP141=0,Distances!FB141=0),ROUNDUP(AC158+'Délai intermédiaire'!AD141/24,0),0)</f>
        <v>18</v>
      </c>
      <c r="AD196" s="14">
        <f>IF(AND(Distances!CQ141=0,Distances!FC141=0),ROUNDUP(AD158+'Délai intermédiaire'!AE141/24,0),0)</f>
        <v>23</v>
      </c>
      <c r="AE196" s="14">
        <f>IF(AND(Distances!CR141=0,Distances!FD141=0),ROUNDUP(AE158+'Délai intermédiaire'!AF141/24,0),0)</f>
        <v>0</v>
      </c>
      <c r="AF196" s="14">
        <f>IF(AND(Distances!CS141=0,Distances!FE141=0),ROUNDUP(AF158+'Délai intermédiaire'!AG141/24,0),0)</f>
        <v>0</v>
      </c>
      <c r="AG196" s="14">
        <f>IF(AND(Distances!CT141=0,Distances!FF141=0),ROUNDUP(AG158+'Délai intermédiaire'!AH141/24,0),0)</f>
        <v>0</v>
      </c>
      <c r="AH196" s="13">
        <f>IF(AND(Distances!CU141=0,Distances!FG141=0),ROUNDUP(AH158+'Délai intermédiaire'!AI141/24,0),0)</f>
        <v>0</v>
      </c>
      <c r="AI196" s="13">
        <f>IF(AND(Distances!CV141=0,Distances!FH141=0),ROUNDUP(AI158+'Délai intermédiaire'!AJ141/24,0),0)</f>
        <v>10</v>
      </c>
      <c r="AJ196" s="13">
        <f>IF(AND(Distances!CW141=0,Distances!FI141=0),ROUNDUP(AJ158+'Délai intermédiaire'!AK141/24,0),0)</f>
        <v>0</v>
      </c>
      <c r="AK196" s="13">
        <f>IF(AND(Distances!CX141=0,Distances!FJ141=0),ROUNDUP(AK158+'Délai intermédiaire'!AL141/24,0),0)</f>
        <v>10</v>
      </c>
      <c r="AL196" s="12">
        <f>IF(AND(Distances!CY141=0,Distances!FK141=0),ROUNDUP(AL158+'Délai intermédiaire'!AM141/24,0),0)</f>
        <v>1</v>
      </c>
      <c r="AM196" s="13">
        <f>IF(AND(Distances!CZ141=0,Distances!FL141=0),ROUNDUP(AM158+'Délai intermédiaire'!AN141/24,0),0)</f>
        <v>2</v>
      </c>
      <c r="AN196" s="13">
        <f>IF(AND(Distances!DA141=0,Distances!FM141=0),ROUNDUP(AN158+'Délai intermédiaire'!AO141/24,0),0)</f>
        <v>0</v>
      </c>
      <c r="AO196" s="14">
        <f>IF(AND(Distances!DB141=0,Distances!FN141=0),ROUNDUP(AO158+'Délai intermédiaire'!AP141/24,0),0)</f>
        <v>11</v>
      </c>
      <c r="AP196" s="14">
        <f>IF(AND(Distances!DC141=0,Distances!FO141=0),ROUNDUP(AP158+'Délai intermédiaire'!AQ141/24,0),0)</f>
        <v>10</v>
      </c>
      <c r="AQ196" s="14">
        <f>IF(AND(Distances!DD141=0,Distances!FP141=0),ROUNDUP(AQ158+'Délai intermédiaire'!AR141/24,0),0)</f>
        <v>10</v>
      </c>
      <c r="AR196" s="13">
        <f>IF(AND(Distances!DE141=0,Distances!FQ141=0),ROUNDUP(AR158+'Délai intermédiaire'!AS141/24,0),0)</f>
        <v>13</v>
      </c>
      <c r="AS196" s="13">
        <f>IF(AND(Distances!DF141=0,Distances!FR141=0),ROUNDUP(AS158+'Délai intermédiaire'!AT141/24,0),0)</f>
        <v>0</v>
      </c>
      <c r="AT196" s="13">
        <f>IF(AND(Distances!DG141=0,Distances!FS141=0),ROUNDUP(AT158+'Délai intermédiaire'!AU141/24,0),0)</f>
        <v>0</v>
      </c>
      <c r="AU196" s="13">
        <f>IF(AND(Distances!DH141=0,Distances!FT141=0),ROUNDUP(AU158+'Délai intermédiaire'!AV141/24,0),0)</f>
        <v>0</v>
      </c>
      <c r="AV196" s="13">
        <f>IF(AND(Distances!DI141=0,Distances!FU141=0),ROUNDUP(AV158+'Délai intermédiaire'!AW141/24,0),0)</f>
        <v>0</v>
      </c>
      <c r="AW196" s="13">
        <f>IF(AND(Distances!DJ141=0,Distances!FV141=0),ROUNDUP(AW158+'Délai intermédiaire'!AX141/24,0),0)</f>
        <v>0</v>
      </c>
      <c r="AX196" s="13">
        <f>IF(AND(Distances!DK141=0,Distances!FW141=0),ROUNDUP(AX158+'Délai intermédiaire'!AY141/24,0),0)</f>
        <v>5</v>
      </c>
      <c r="AY196" s="14">
        <f>IF(AND(Distances!DL141=0,Distances!FX141=0),ROUNDUP(AY158+'Délai intermédiaire'!AZ141/24,0),0)</f>
        <v>2</v>
      </c>
      <c r="AZ196" s="14">
        <f>IF(AND(Distances!DM141=0,Distances!FY141=0),ROUNDUP(AZ158+'Délai intermédiaire'!BA141/24,0),0)</f>
        <v>0</v>
      </c>
      <c r="BA196" s="13">
        <f>IF(AND(Distances!DN141=0,Distances!FZ141=0),ROUNDUP(BA158+'Délai intermédiaire'!BB141/24,0),0)</f>
        <v>8</v>
      </c>
      <c r="BB196" s="14">
        <f>IF(AND(Distances!DO141=0,Distances!GA141=0),ROUNDUP(BB158+'Délai intermédiaire'!BC141/24,0),0)</f>
        <v>24</v>
      </c>
      <c r="BC196" s="13">
        <f>IF(AND(Distances!DP141=0,Distances!GB141=0),ROUNDUP(BC158+'Délai intermédiaire'!BD141/24,0),0)</f>
        <v>5</v>
      </c>
      <c r="BD196" s="13">
        <f>IF(AND(Distances!DQ141=0,Distances!GC141=0),ROUNDUP(BD158+'Délai intermédiaire'!BE141/24,0),0)</f>
        <v>0</v>
      </c>
      <c r="BE196" s="13">
        <f>IF(AND(Distances!DR141=0,Distances!GD141=0),ROUNDUP(BE158+'Délai intermédiaire'!BF141/24,0),0)</f>
        <v>4</v>
      </c>
      <c r="BF196" s="14">
        <f>IF(AND(Distances!DS141=0,Distances!GE141=0),ROUNDUP(BF158+'Délai intermédiaire'!BG141/24,0),0)</f>
        <v>0</v>
      </c>
      <c r="BG196" s="14">
        <f>IF(AND(Distances!DT141=0,Distances!GF141=0),ROUNDUP(BG158+'Délai intermédiaire'!BH141/24,0),0)</f>
        <v>0</v>
      </c>
      <c r="BH196" s="14">
        <f>IF(AND(Distances!DU141=0,Distances!GG141=0),ROUNDUP(BH158+'Délai intermédiaire'!BI141/24,0),0)</f>
        <v>0</v>
      </c>
      <c r="BI196" s="14">
        <f>IF(AND(Distances!DV141=0,Distances!GH141=0),ROUNDUP(BI158+'Délai intermédiaire'!BJ141/24,0),0)</f>
        <v>0</v>
      </c>
      <c r="BJ196" s="15">
        <f>IF(AND(Distances!DW141=0,Distances!GI141=0),ROUNDUP(BJ158+'Délai intermédiaire'!BK141/24,0),0)</f>
        <v>0</v>
      </c>
    </row>
    <row r="197" spans="1:62" x14ac:dyDescent="0.3">
      <c r="A197" s="10" t="s">
        <v>38</v>
      </c>
      <c r="B197" s="16">
        <f>IF(AND(Distances!BO142=0,Distances!EA142=0),ROUNDUP(B158+'Délai intermédiaire'!C142/24,0),0)</f>
        <v>17</v>
      </c>
      <c r="C197" s="14">
        <f>IF(AND(Distances!BP142=0,Distances!EB142=0),ROUNDUP(C158+'Délai intermédiaire'!D142/24,0),0)</f>
        <v>18</v>
      </c>
      <c r="D197" s="14">
        <f>IF(AND(Distances!BQ142=0,Distances!EC142=0),ROUNDUP(D158+'Délai intermédiaire'!E142/24,0),0)</f>
        <v>0</v>
      </c>
      <c r="E197" s="14">
        <f>IF(AND(Distances!BR142=0,Distances!ED142=0),ROUNDUP(E158+'Délai intermédiaire'!F142/24,0),0)</f>
        <v>23</v>
      </c>
      <c r="F197" s="14">
        <f>IF(AND(Distances!BS142=0,Distances!EE142=0),ROUNDUP(F158+'Délai intermédiaire'!G142/24,0),0)</f>
        <v>0</v>
      </c>
      <c r="G197" s="14">
        <f>IF(AND(Distances!BT142=0,Distances!EF142=0),ROUNDUP(G158+'Délai intermédiaire'!H142/24,0),0)</f>
        <v>0</v>
      </c>
      <c r="H197" s="14">
        <f>IF(AND(Distances!BU142=0,Distances!EG142=0),ROUNDUP(H158+'Délai intermédiaire'!I142/24,0),0)</f>
        <v>9</v>
      </c>
      <c r="I197" s="14">
        <f>IF(AND(Distances!BV142=0,Distances!EH142=0),ROUNDUP(I158+'Délai intermédiaire'!J142/24,0),0)</f>
        <v>10</v>
      </c>
      <c r="J197" s="14">
        <f>IF(AND(Distances!BW142=0,Distances!EI142=0),ROUNDUP(J158+'Délai intermédiaire'!K142/24,0),0)</f>
        <v>0</v>
      </c>
      <c r="K197" s="14">
        <f>IF(AND(Distances!BX142=0,Distances!EJ142=0),ROUNDUP(K158+'Délai intermédiaire'!L142/24,0),0)</f>
        <v>22</v>
      </c>
      <c r="L197" s="14">
        <f>IF(AND(Distances!BY142=0,Distances!EK142=0),ROUNDUP(L158+'Délai intermédiaire'!M142/24,0),0)</f>
        <v>0</v>
      </c>
      <c r="M197" s="14">
        <f>IF(AND(Distances!BZ142=0,Distances!EL142=0),ROUNDUP(M158+'Délai intermédiaire'!N142/24,0),0)</f>
        <v>10</v>
      </c>
      <c r="N197" s="14">
        <f>IF(AND(Distances!CA142=0,Distances!EM142=0),ROUNDUP(N158+'Délai intermédiaire'!O142/24,0),0)</f>
        <v>0</v>
      </c>
      <c r="O197" s="14">
        <f>IF(AND(Distances!CB142=0,Distances!EN142=0),ROUNDUP(O158+'Délai intermédiaire'!P142/24,0),0)</f>
        <v>0</v>
      </c>
      <c r="P197" s="14">
        <f>IF(AND(Distances!CC142=0,Distances!EO142=0),ROUNDUP(P158+'Délai intermédiaire'!Q142/24,0),0)</f>
        <v>0</v>
      </c>
      <c r="Q197" s="14">
        <f>IF(AND(Distances!CD142=0,Distances!EP142=0),ROUNDUP(Q158+'Délai intermédiaire'!R142/24,0),0)</f>
        <v>21</v>
      </c>
      <c r="R197" s="14">
        <f>IF(AND(Distances!CE142=0,Distances!EQ142=0),ROUNDUP(R158+'Délai intermédiaire'!S142/24,0),0)</f>
        <v>20</v>
      </c>
      <c r="S197" s="14">
        <f>IF(AND(Distances!CF142=0,Distances!ER142=0),ROUNDUP(S158+'Délai intermédiaire'!T142/24,0),0)</f>
        <v>20</v>
      </c>
      <c r="T197" s="14">
        <f>IF(AND(Distances!CG142=0,Distances!ES142=0),ROUNDUP(T158+'Délai intermédiaire'!U142/24,0),0)</f>
        <v>0</v>
      </c>
      <c r="U197" s="14">
        <f>IF(AND(Distances!CH142=0,Distances!ET142=0),ROUNDUP(U158+'Délai intermédiaire'!V142/24,0),0)</f>
        <v>0</v>
      </c>
      <c r="V197" s="14">
        <f>IF(AND(Distances!CI142=0,Distances!EU142=0),ROUNDUP(V158+'Délai intermédiaire'!W142/24,0),0)</f>
        <v>0</v>
      </c>
      <c r="W197" s="14">
        <f>IF(AND(Distances!CJ142=0,Distances!EV142=0),ROUNDUP(W158+'Délai intermédiaire'!X142/24,0),0)</f>
        <v>21</v>
      </c>
      <c r="X197" s="14">
        <f>IF(AND(Distances!CK142=0,Distances!EW142=0),ROUNDUP(X158+'Délai intermédiaire'!Y142/24,0),0)</f>
        <v>0</v>
      </c>
      <c r="Y197" s="14">
        <f>IF(AND(Distances!CL142=0,Distances!EX142=0),ROUNDUP(Y158+'Délai intermédiaire'!Z142/24,0),0)</f>
        <v>0</v>
      </c>
      <c r="Z197" s="14">
        <f>IF(AND(Distances!CM142=0,Distances!EY142=0),ROUNDUP(Z158+'Délai intermédiaire'!AA142/24,0),0)</f>
        <v>0</v>
      </c>
      <c r="AA197" s="14">
        <f>IF(AND(Distances!CN142=0,Distances!EZ142=0),ROUNDUP(AA158+'Délai intermédiaire'!AB142/24,0),0)</f>
        <v>0</v>
      </c>
      <c r="AB197" s="14">
        <f>IF(AND(Distances!CO142=0,Distances!FA142=0),ROUNDUP(AB158+'Délai intermédiaire'!AC142/24,0),0)</f>
        <v>0</v>
      </c>
      <c r="AC197" s="14">
        <f>IF(AND(Distances!CP142=0,Distances!FB142=0),ROUNDUP(AC158+'Délai intermédiaire'!AD142/24,0),0)</f>
        <v>18</v>
      </c>
      <c r="AD197" s="14">
        <f>IF(AND(Distances!CQ142=0,Distances!FC142=0),ROUNDUP(AD158+'Délai intermédiaire'!AE142/24,0),0)</f>
        <v>23</v>
      </c>
      <c r="AE197" s="14">
        <f>IF(AND(Distances!CR142=0,Distances!FD142=0),ROUNDUP(AE158+'Délai intermédiaire'!AF142/24,0),0)</f>
        <v>0</v>
      </c>
      <c r="AF197" s="14">
        <f>IF(AND(Distances!CS142=0,Distances!FE142=0),ROUNDUP(AF158+'Délai intermédiaire'!AG142/24,0),0)</f>
        <v>0</v>
      </c>
      <c r="AG197" s="14">
        <f>IF(AND(Distances!CT142=0,Distances!FF142=0),ROUNDUP(AG158+'Délai intermédiaire'!AH142/24,0),0)</f>
        <v>0</v>
      </c>
      <c r="AH197" s="13">
        <f>IF(AND(Distances!CU142=0,Distances!FG142=0),ROUNDUP(AH158+'Délai intermédiaire'!AI142/24,0),0)</f>
        <v>0</v>
      </c>
      <c r="AI197" s="13">
        <f>IF(AND(Distances!CV142=0,Distances!FH142=0),ROUNDUP(AI158+'Délai intermédiaire'!AJ142/24,0),0)</f>
        <v>10</v>
      </c>
      <c r="AJ197" s="13">
        <f>IF(AND(Distances!CW142=0,Distances!FI142=0),ROUNDUP(AJ158+'Délai intermédiaire'!AK142/24,0),0)</f>
        <v>0</v>
      </c>
      <c r="AK197" s="13">
        <f>IF(AND(Distances!CX142=0,Distances!FJ142=0),ROUNDUP(AK158+'Délai intermédiaire'!AL142/24,0),0)</f>
        <v>10</v>
      </c>
      <c r="AL197" s="13">
        <f>IF(AND(Distances!CY142=0,Distances!FK142=0),ROUNDUP(AL158+'Délai intermédiaire'!AM142/24,0),0)</f>
        <v>2</v>
      </c>
      <c r="AM197" s="12">
        <f>IF(AND(Distances!CZ142=0,Distances!FL142=0),ROUNDUP(AM158+'Délai intermédiaire'!AN142/24,0),0)</f>
        <v>1</v>
      </c>
      <c r="AN197" s="13">
        <f>IF(AND(Distances!DA142=0,Distances!FM142=0),ROUNDUP(AN158+'Délai intermédiaire'!AO142/24,0),0)</f>
        <v>0</v>
      </c>
      <c r="AO197" s="14">
        <f>IF(AND(Distances!DB142=0,Distances!FN142=0),ROUNDUP(AO158+'Délai intermédiaire'!AP142/24,0),0)</f>
        <v>11</v>
      </c>
      <c r="AP197" s="14">
        <f>IF(AND(Distances!DC142=0,Distances!FO142=0),ROUNDUP(AP158+'Délai intermédiaire'!AQ142/24,0),0)</f>
        <v>10</v>
      </c>
      <c r="AQ197" s="14">
        <f>IF(AND(Distances!DD142=0,Distances!FP142=0),ROUNDUP(AQ158+'Délai intermédiaire'!AR142/24,0),0)</f>
        <v>10</v>
      </c>
      <c r="AR197" s="13">
        <f>IF(AND(Distances!DE142=0,Distances!FQ142=0),ROUNDUP(AR158+'Délai intermédiaire'!AS142/24,0),0)</f>
        <v>13</v>
      </c>
      <c r="AS197" s="13">
        <f>IF(AND(Distances!DF142=0,Distances!FR142=0),ROUNDUP(AS158+'Délai intermédiaire'!AT142/24,0),0)</f>
        <v>0</v>
      </c>
      <c r="AT197" s="13">
        <f>IF(AND(Distances!DG142=0,Distances!FS142=0),ROUNDUP(AT158+'Délai intermédiaire'!AU142/24,0),0)</f>
        <v>0</v>
      </c>
      <c r="AU197" s="13">
        <f>IF(AND(Distances!DH142=0,Distances!FT142=0),ROUNDUP(AU158+'Délai intermédiaire'!AV142/24,0),0)</f>
        <v>0</v>
      </c>
      <c r="AV197" s="13">
        <f>IF(AND(Distances!DI142=0,Distances!FU142=0),ROUNDUP(AV158+'Délai intermédiaire'!AW142/24,0),0)</f>
        <v>0</v>
      </c>
      <c r="AW197" s="13">
        <f>IF(AND(Distances!DJ142=0,Distances!FV142=0),ROUNDUP(AW158+'Délai intermédiaire'!AX142/24,0),0)</f>
        <v>0</v>
      </c>
      <c r="AX197" s="13">
        <f>IF(AND(Distances!DK142=0,Distances!FW142=0),ROUNDUP(AX158+'Délai intermédiaire'!AY142/24,0),0)</f>
        <v>5</v>
      </c>
      <c r="AY197" s="14">
        <f>IF(AND(Distances!DL142=0,Distances!FX142=0),ROUNDUP(AY158+'Délai intermédiaire'!AZ142/24,0),0)</f>
        <v>2</v>
      </c>
      <c r="AZ197" s="14">
        <f>IF(AND(Distances!DM142=0,Distances!FY142=0),ROUNDUP(AZ158+'Délai intermédiaire'!BA142/24,0),0)</f>
        <v>0</v>
      </c>
      <c r="BA197" s="13">
        <f>IF(AND(Distances!DN142=0,Distances!FZ142=0),ROUNDUP(BA158+'Délai intermédiaire'!BB142/24,0),0)</f>
        <v>7</v>
      </c>
      <c r="BB197" s="14">
        <f>IF(AND(Distances!DO142=0,Distances!GA142=0),ROUNDUP(BB158+'Délai intermédiaire'!BC142/24,0),0)</f>
        <v>23</v>
      </c>
      <c r="BC197" s="13">
        <f>IF(AND(Distances!DP142=0,Distances!GB142=0),ROUNDUP(BC158+'Délai intermédiaire'!BD142/24,0),0)</f>
        <v>5</v>
      </c>
      <c r="BD197" s="13">
        <f>IF(AND(Distances!DQ142=0,Distances!GC142=0),ROUNDUP(BD158+'Délai intermédiaire'!BE142/24,0),0)</f>
        <v>0</v>
      </c>
      <c r="BE197" s="13">
        <f>IF(AND(Distances!DR142=0,Distances!GD142=0),ROUNDUP(BE158+'Délai intermédiaire'!BF142/24,0),0)</f>
        <v>4</v>
      </c>
      <c r="BF197" s="14">
        <f>IF(AND(Distances!DS142=0,Distances!GE142=0),ROUNDUP(BF158+'Délai intermédiaire'!BG142/24,0),0)</f>
        <v>0</v>
      </c>
      <c r="BG197" s="14">
        <f>IF(AND(Distances!DT142=0,Distances!GF142=0),ROUNDUP(BG158+'Délai intermédiaire'!BH142/24,0),0)</f>
        <v>0</v>
      </c>
      <c r="BH197" s="14">
        <f>IF(AND(Distances!DU142=0,Distances!GG142=0),ROUNDUP(BH158+'Délai intermédiaire'!BI142/24,0),0)</f>
        <v>0</v>
      </c>
      <c r="BI197" s="14">
        <f>IF(AND(Distances!DV142=0,Distances!GH142=0),ROUNDUP(BI158+'Délai intermédiaire'!BJ142/24,0),0)</f>
        <v>0</v>
      </c>
      <c r="BJ197" s="15">
        <f>IF(AND(Distances!DW142=0,Distances!GI142=0),ROUNDUP(BJ158+'Délai intermédiaire'!BK142/24,0),0)</f>
        <v>0</v>
      </c>
    </row>
    <row r="198" spans="1:62" x14ac:dyDescent="0.3">
      <c r="A198" s="10" t="s">
        <v>39</v>
      </c>
      <c r="B198" s="16">
        <f>IF(AND(Distances!BO143=0,Distances!EA143=0),ROUNDUP(B158+'Délai intermédiaire'!C143/24,0),0)</f>
        <v>0</v>
      </c>
      <c r="C198" s="14">
        <f>IF(AND(Distances!BP143=0,Distances!EB143=0),ROUNDUP(C158+'Délai intermédiaire'!D143/24,0),0)</f>
        <v>0</v>
      </c>
      <c r="D198" s="14">
        <f>IF(AND(Distances!BQ143=0,Distances!EC143=0),ROUNDUP(D158+'Délai intermédiaire'!E143/24,0),0)</f>
        <v>0</v>
      </c>
      <c r="E198" s="14">
        <f>IF(AND(Distances!BR143=0,Distances!ED143=0),ROUNDUP(E158+'Délai intermédiaire'!F143/24,0),0)</f>
        <v>0</v>
      </c>
      <c r="F198" s="14">
        <f>IF(AND(Distances!BS143=0,Distances!EE143=0),ROUNDUP(F158+'Délai intermédiaire'!G143/24,0),0)</f>
        <v>0</v>
      </c>
      <c r="G198" s="14">
        <f>IF(AND(Distances!BT143=0,Distances!EF143=0),ROUNDUP(G158+'Délai intermédiaire'!H143/24,0),0)</f>
        <v>0</v>
      </c>
      <c r="H198" s="14">
        <f>IF(AND(Distances!BU143=0,Distances!EG143=0),ROUNDUP(H158+'Délai intermédiaire'!I143/24,0),0)</f>
        <v>0</v>
      </c>
      <c r="I198" s="14">
        <f>IF(AND(Distances!BV143=0,Distances!EH143=0),ROUNDUP(I158+'Délai intermédiaire'!J143/24,0),0)</f>
        <v>0</v>
      </c>
      <c r="J198" s="14">
        <f>IF(AND(Distances!BW143=0,Distances!EI143=0),ROUNDUP(J158+'Délai intermédiaire'!K143/24,0),0)</f>
        <v>0</v>
      </c>
      <c r="K198" s="14">
        <f>IF(AND(Distances!BX143=0,Distances!EJ143=0),ROUNDUP(K158+'Délai intermédiaire'!L143/24,0),0)</f>
        <v>0</v>
      </c>
      <c r="L198" s="14">
        <f>IF(AND(Distances!BY143=0,Distances!EK143=0),ROUNDUP(L158+'Délai intermédiaire'!M143/24,0),0)</f>
        <v>0</v>
      </c>
      <c r="M198" s="14">
        <f>IF(AND(Distances!BZ143=0,Distances!EL143=0),ROUNDUP(M158+'Délai intermédiaire'!N143/24,0),0)</f>
        <v>0</v>
      </c>
      <c r="N198" s="14">
        <f>IF(AND(Distances!CA143=0,Distances!EM143=0),ROUNDUP(N158+'Délai intermédiaire'!O143/24,0),0)</f>
        <v>0</v>
      </c>
      <c r="O198" s="14">
        <f>IF(AND(Distances!CB143=0,Distances!EN143=0),ROUNDUP(O158+'Délai intermédiaire'!P143/24,0),0)</f>
        <v>0</v>
      </c>
      <c r="P198" s="14">
        <f>IF(AND(Distances!CC143=0,Distances!EO143=0),ROUNDUP(P158+'Délai intermédiaire'!Q143/24,0),0)</f>
        <v>0</v>
      </c>
      <c r="Q198" s="14">
        <f>IF(AND(Distances!CD143=0,Distances!EP143=0),ROUNDUP(Q158+'Délai intermédiaire'!R143/24,0),0)</f>
        <v>0</v>
      </c>
      <c r="R198" s="14">
        <f>IF(AND(Distances!CE143=0,Distances!EQ143=0),ROUNDUP(R158+'Délai intermédiaire'!S143/24,0),0)</f>
        <v>0</v>
      </c>
      <c r="S198" s="14">
        <f>IF(AND(Distances!CF143=0,Distances!ER143=0),ROUNDUP(S158+'Délai intermédiaire'!T143/24,0),0)</f>
        <v>0</v>
      </c>
      <c r="T198" s="14">
        <f>IF(AND(Distances!CG143=0,Distances!ES143=0),ROUNDUP(T158+'Délai intermédiaire'!U143/24,0),0)</f>
        <v>0</v>
      </c>
      <c r="U198" s="14">
        <f>IF(AND(Distances!CH143=0,Distances!ET143=0),ROUNDUP(U158+'Délai intermédiaire'!V143/24,0),0)</f>
        <v>0</v>
      </c>
      <c r="V198" s="14">
        <f>IF(AND(Distances!CI143=0,Distances!EU143=0),ROUNDUP(V158+'Délai intermédiaire'!W143/24,0),0)</f>
        <v>0</v>
      </c>
      <c r="W198" s="14">
        <f>IF(AND(Distances!CJ143=0,Distances!EV143=0),ROUNDUP(W158+'Délai intermédiaire'!X143/24,0),0)</f>
        <v>0</v>
      </c>
      <c r="X198" s="14">
        <f>IF(AND(Distances!CK143=0,Distances!EW143=0),ROUNDUP(X158+'Délai intermédiaire'!Y143/24,0),0)</f>
        <v>0</v>
      </c>
      <c r="Y198" s="14">
        <f>IF(AND(Distances!CL143=0,Distances!EX143=0),ROUNDUP(Y158+'Délai intermédiaire'!Z143/24,0),0)</f>
        <v>0</v>
      </c>
      <c r="Z198" s="14">
        <f>IF(AND(Distances!CM143=0,Distances!EY143=0),ROUNDUP(Z158+'Délai intermédiaire'!AA143/24,0),0)</f>
        <v>0</v>
      </c>
      <c r="AA198" s="14">
        <f>IF(AND(Distances!CN143=0,Distances!EZ143=0),ROUNDUP(AA158+'Délai intermédiaire'!AB143/24,0),0)</f>
        <v>0</v>
      </c>
      <c r="AB198" s="14">
        <f>IF(AND(Distances!CO143=0,Distances!FA143=0),ROUNDUP(AB158+'Délai intermédiaire'!AC143/24,0),0)</f>
        <v>0</v>
      </c>
      <c r="AC198" s="14">
        <f>IF(AND(Distances!CP143=0,Distances!FB143=0),ROUNDUP(AC158+'Délai intermédiaire'!AD143/24,0),0)</f>
        <v>0</v>
      </c>
      <c r="AD198" s="14">
        <f>IF(AND(Distances!CQ143=0,Distances!FC143=0),ROUNDUP(AD158+'Délai intermédiaire'!AE143/24,0),0)</f>
        <v>0</v>
      </c>
      <c r="AE198" s="14">
        <f>IF(AND(Distances!CR143=0,Distances!FD143=0),ROUNDUP(AE158+'Délai intermédiaire'!AF143/24,0),0)</f>
        <v>0</v>
      </c>
      <c r="AF198" s="14">
        <f>IF(AND(Distances!CS143=0,Distances!FE143=0),ROUNDUP(AF158+'Délai intermédiaire'!AG143/24,0),0)</f>
        <v>0</v>
      </c>
      <c r="AG198" s="14">
        <f>IF(AND(Distances!CT143=0,Distances!FF143=0),ROUNDUP(AG158+'Délai intermédiaire'!AH143/24,0),0)</f>
        <v>0</v>
      </c>
      <c r="AH198" s="13">
        <f>IF(AND(Distances!CU143=0,Distances!FG143=0),ROUNDUP(AH158+'Délai intermédiaire'!AI143/24,0),0)</f>
        <v>0</v>
      </c>
      <c r="AI198" s="13">
        <f>IF(AND(Distances!CV143=0,Distances!FH143=0),ROUNDUP(AI158+'Délai intermédiaire'!AJ143/24,0),0)</f>
        <v>0</v>
      </c>
      <c r="AJ198" s="13">
        <f>IF(AND(Distances!CW143=0,Distances!FI143=0),ROUNDUP(AJ158+'Délai intermédiaire'!AK143/24,0),0)</f>
        <v>0</v>
      </c>
      <c r="AK198" s="13">
        <f>IF(AND(Distances!CX143=0,Distances!FJ143=0),ROUNDUP(AK158+'Délai intermédiaire'!AL143/24,0),0)</f>
        <v>0</v>
      </c>
      <c r="AL198" s="13">
        <f>IF(AND(Distances!CY143=0,Distances!FK143=0),ROUNDUP(AL158+'Délai intermédiaire'!AM143/24,0),0)</f>
        <v>0</v>
      </c>
      <c r="AM198" s="13">
        <f>IF(AND(Distances!CZ143=0,Distances!FL143=0),ROUNDUP(AM158+'Délai intermédiaire'!AN143/24,0),0)</f>
        <v>0</v>
      </c>
      <c r="AN198" s="12">
        <f>IF(AND(Distances!DA143=0,Distances!FM143=0),ROUNDUP(AN158+'Délai intermédiaire'!AO143/24,0),0)</f>
        <v>1</v>
      </c>
      <c r="AO198" s="14">
        <f>IF(AND(Distances!DB143=0,Distances!FN143=0),ROUNDUP(AO158+'Délai intermédiaire'!AP143/24,0),0)</f>
        <v>0</v>
      </c>
      <c r="AP198" s="14">
        <f>IF(AND(Distances!DC143=0,Distances!FO143=0),ROUNDUP(AP158+'Délai intermédiaire'!AQ143/24,0),0)</f>
        <v>0</v>
      </c>
      <c r="AQ198" s="14">
        <f>IF(AND(Distances!DD143=0,Distances!FP143=0),ROUNDUP(AQ158+'Délai intermédiaire'!AR143/24,0),0)</f>
        <v>0</v>
      </c>
      <c r="AR198" s="13">
        <f>IF(AND(Distances!DE143=0,Distances!FQ143=0),ROUNDUP(AR158+'Délai intermédiaire'!AS143/24,0),0)</f>
        <v>0</v>
      </c>
      <c r="AS198" s="13">
        <f>IF(AND(Distances!DF143=0,Distances!FR143=0),ROUNDUP(AS158+'Délai intermédiaire'!AT143/24,0),0)</f>
        <v>0</v>
      </c>
      <c r="AT198" s="13">
        <f>IF(AND(Distances!DG143=0,Distances!FS143=0),ROUNDUP(AT158+'Délai intermédiaire'!AU143/24,0),0)</f>
        <v>0</v>
      </c>
      <c r="AU198" s="13">
        <f>IF(AND(Distances!DH143=0,Distances!FT143=0),ROUNDUP(AU158+'Délai intermédiaire'!AV143/24,0),0)</f>
        <v>0</v>
      </c>
      <c r="AV198" s="13">
        <f>IF(AND(Distances!DI143=0,Distances!FU143=0),ROUNDUP(AV158+'Délai intermédiaire'!AW143/24,0),0)</f>
        <v>0</v>
      </c>
      <c r="AW198" s="13">
        <f>IF(AND(Distances!DJ143=0,Distances!FV143=0),ROUNDUP(AW158+'Délai intermédiaire'!AX143/24,0),0)</f>
        <v>0</v>
      </c>
      <c r="AX198" s="13">
        <f>IF(AND(Distances!DK143=0,Distances!FW143=0),ROUNDUP(AX158+'Délai intermédiaire'!AY143/24,0),0)</f>
        <v>0</v>
      </c>
      <c r="AY198" s="14">
        <f>IF(AND(Distances!DL143=0,Distances!FX143=0),ROUNDUP(AY158+'Délai intermédiaire'!AZ143/24,0),0)</f>
        <v>0</v>
      </c>
      <c r="AZ198" s="14">
        <f>IF(AND(Distances!DM143=0,Distances!FY143=0),ROUNDUP(AZ158+'Délai intermédiaire'!BA143/24,0),0)</f>
        <v>0</v>
      </c>
      <c r="BA198" s="13">
        <f>IF(AND(Distances!DN143=0,Distances!FZ143=0),ROUNDUP(BA158+'Délai intermédiaire'!BB143/24,0),0)</f>
        <v>0</v>
      </c>
      <c r="BB198" s="14">
        <f>IF(AND(Distances!DO143=0,Distances!GA143=0),ROUNDUP(BB158+'Délai intermédiaire'!BC143/24,0),0)</f>
        <v>0</v>
      </c>
      <c r="BC198" s="13">
        <f>IF(AND(Distances!DP143=0,Distances!GB143=0),ROUNDUP(BC158+'Délai intermédiaire'!BD143/24,0),0)</f>
        <v>0</v>
      </c>
      <c r="BD198" s="13">
        <f>IF(AND(Distances!DQ143=0,Distances!GC143=0),ROUNDUP(BD158+'Délai intermédiaire'!BE143/24,0),0)</f>
        <v>0</v>
      </c>
      <c r="BE198" s="13">
        <f>IF(AND(Distances!DR143=0,Distances!GD143=0),ROUNDUP(BE158+'Délai intermédiaire'!BF143/24,0),0)</f>
        <v>0</v>
      </c>
      <c r="BF198" s="14">
        <f>IF(AND(Distances!DS143=0,Distances!GE143=0),ROUNDUP(BF158+'Délai intermédiaire'!BG143/24,0),0)</f>
        <v>0</v>
      </c>
      <c r="BG198" s="14">
        <f>IF(AND(Distances!DT143=0,Distances!GF143=0),ROUNDUP(BG158+'Délai intermédiaire'!BH143/24,0),0)</f>
        <v>0</v>
      </c>
      <c r="BH198" s="14">
        <f>IF(AND(Distances!DU143=0,Distances!GG143=0),ROUNDUP(BH158+'Délai intermédiaire'!BI143/24,0),0)</f>
        <v>0</v>
      </c>
      <c r="BI198" s="14">
        <f>IF(AND(Distances!DV143=0,Distances!GH143=0),ROUNDUP(BI158+'Délai intermédiaire'!BJ143/24,0),0)</f>
        <v>0</v>
      </c>
      <c r="BJ198" s="15">
        <f>IF(AND(Distances!DW143=0,Distances!GI143=0),ROUNDUP(BJ158+'Délai intermédiaire'!BK143/24,0),0)</f>
        <v>0</v>
      </c>
    </row>
    <row r="199" spans="1:62" x14ac:dyDescent="0.3">
      <c r="A199" s="10" t="s">
        <v>40</v>
      </c>
      <c r="B199" s="16">
        <f>IF(AND(Distances!BO144=0,Distances!EA144=0),ROUNDUP(B158+'Délai intermédiaire'!C144/24,0),0)</f>
        <v>17</v>
      </c>
      <c r="C199" s="14">
        <f>IF(AND(Distances!BP144=0,Distances!EB144=0),ROUNDUP(C158+'Délai intermédiaire'!D144/24,0),0)</f>
        <v>18</v>
      </c>
      <c r="D199" s="14">
        <f>IF(AND(Distances!BQ144=0,Distances!EC144=0),ROUNDUP(D158+'Délai intermédiaire'!E144/24,0),0)</f>
        <v>0</v>
      </c>
      <c r="E199" s="14">
        <f>IF(AND(Distances!BR144=0,Distances!ED144=0),ROUNDUP(E158+'Délai intermédiaire'!F144/24,0),0)</f>
        <v>23</v>
      </c>
      <c r="F199" s="14">
        <f>IF(AND(Distances!BS144=0,Distances!EE144=0),ROUNDUP(F158+'Délai intermédiaire'!G144/24,0),0)</f>
        <v>0</v>
      </c>
      <c r="G199" s="14">
        <f>IF(AND(Distances!BT144=0,Distances!EF144=0),ROUNDUP(G158+'Délai intermédiaire'!H144/24,0),0)</f>
        <v>0</v>
      </c>
      <c r="H199" s="14">
        <f>IF(AND(Distances!BU144=0,Distances!EG144=0),ROUNDUP(H158+'Délai intermédiaire'!I144/24,0),0)</f>
        <v>14</v>
      </c>
      <c r="I199" s="14">
        <f>IF(AND(Distances!BV144=0,Distances!EH144=0),ROUNDUP(I158+'Délai intermédiaire'!J144/24,0),0)</f>
        <v>14</v>
      </c>
      <c r="J199" s="14">
        <f>IF(AND(Distances!BW144=0,Distances!EI144=0),ROUNDUP(J158+'Délai intermédiaire'!K144/24,0),0)</f>
        <v>0</v>
      </c>
      <c r="K199" s="14">
        <f>IF(AND(Distances!BX144=0,Distances!EJ144=0),ROUNDUP(K158+'Délai intermédiaire'!L144/24,0),0)</f>
        <v>22</v>
      </c>
      <c r="L199" s="14">
        <f>IF(AND(Distances!BY144=0,Distances!EK144=0),ROUNDUP(L158+'Délai intermédiaire'!M144/24,0),0)</f>
        <v>0</v>
      </c>
      <c r="M199" s="14">
        <f>IF(AND(Distances!BZ144=0,Distances!EL144=0),ROUNDUP(M158+'Délai intermédiaire'!N144/24,0),0)</f>
        <v>15</v>
      </c>
      <c r="N199" s="14">
        <f>IF(AND(Distances!CA144=0,Distances!EM144=0),ROUNDUP(N158+'Délai intermédiaire'!O144/24,0),0)</f>
        <v>0</v>
      </c>
      <c r="O199" s="14">
        <f>IF(AND(Distances!CB144=0,Distances!EN144=0),ROUNDUP(O158+'Délai intermédiaire'!P144/24,0),0)</f>
        <v>0</v>
      </c>
      <c r="P199" s="14">
        <f>IF(AND(Distances!CC144=0,Distances!EO144=0),ROUNDUP(P158+'Délai intermédiaire'!Q144/24,0),0)</f>
        <v>0</v>
      </c>
      <c r="Q199" s="14">
        <f>IF(AND(Distances!CD144=0,Distances!EP144=0),ROUNDUP(Q158+'Délai intermédiaire'!R144/24,0),0)</f>
        <v>21</v>
      </c>
      <c r="R199" s="14">
        <f>IF(AND(Distances!CE144=0,Distances!EQ144=0),ROUNDUP(R158+'Délai intermédiaire'!S144/24,0),0)</f>
        <v>21</v>
      </c>
      <c r="S199" s="14">
        <f>IF(AND(Distances!CF144=0,Distances!ER144=0),ROUNDUP(S158+'Délai intermédiaire'!T144/24,0),0)</f>
        <v>21</v>
      </c>
      <c r="T199" s="14">
        <f>IF(AND(Distances!CG144=0,Distances!ES144=0),ROUNDUP(T158+'Délai intermédiaire'!U144/24,0),0)</f>
        <v>0</v>
      </c>
      <c r="U199" s="14">
        <f>IF(AND(Distances!CH144=0,Distances!ET144=0),ROUNDUP(U158+'Délai intermédiaire'!V144/24,0),0)</f>
        <v>0</v>
      </c>
      <c r="V199" s="14">
        <f>IF(AND(Distances!CI144=0,Distances!EU144=0),ROUNDUP(V158+'Délai intermédiaire'!W144/24,0),0)</f>
        <v>0</v>
      </c>
      <c r="W199" s="14">
        <f>IF(AND(Distances!CJ144=0,Distances!EV144=0),ROUNDUP(W158+'Délai intermédiaire'!X144/24,0),0)</f>
        <v>21</v>
      </c>
      <c r="X199" s="14">
        <f>IF(AND(Distances!CK144=0,Distances!EW144=0),ROUNDUP(X158+'Délai intermédiaire'!Y144/24,0),0)</f>
        <v>0</v>
      </c>
      <c r="Y199" s="14">
        <f>IF(AND(Distances!CL144=0,Distances!EX144=0),ROUNDUP(Y158+'Délai intermédiaire'!Z144/24,0),0)</f>
        <v>0</v>
      </c>
      <c r="Z199" s="14">
        <f>IF(AND(Distances!CM144=0,Distances!EY144=0),ROUNDUP(Z158+'Délai intermédiaire'!AA144/24,0),0)</f>
        <v>0</v>
      </c>
      <c r="AA199" s="14">
        <f>IF(AND(Distances!CN144=0,Distances!EZ144=0),ROUNDUP(AA158+'Délai intermédiaire'!AB144/24,0),0)</f>
        <v>0</v>
      </c>
      <c r="AB199" s="14">
        <f>IF(AND(Distances!CO144=0,Distances!FA144=0),ROUNDUP(AB158+'Délai intermédiaire'!AC144/24,0),0)</f>
        <v>0</v>
      </c>
      <c r="AC199" s="14">
        <f>IF(AND(Distances!CP144=0,Distances!FB144=0),ROUNDUP(AC158+'Délai intermédiaire'!AD144/24,0),0)</f>
        <v>18</v>
      </c>
      <c r="AD199" s="14">
        <f>IF(AND(Distances!CQ144=0,Distances!FC144=0),ROUNDUP(AD158+'Délai intermédiaire'!AE144/24,0),0)</f>
        <v>23</v>
      </c>
      <c r="AE199" s="14">
        <f>IF(AND(Distances!CR144=0,Distances!FD144=0),ROUNDUP(AE158+'Délai intermédiaire'!AF144/24,0),0)</f>
        <v>0</v>
      </c>
      <c r="AF199" s="14">
        <f>IF(AND(Distances!CS144=0,Distances!FE144=0),ROUNDUP(AF158+'Délai intermédiaire'!AG144/24,0),0)</f>
        <v>0</v>
      </c>
      <c r="AG199" s="14">
        <f>IF(AND(Distances!CT144=0,Distances!FF144=0),ROUNDUP(AG158+'Délai intermédiaire'!AH144/24,0),0)</f>
        <v>0</v>
      </c>
      <c r="AH199" s="14">
        <f>IF(AND(Distances!CU144=0,Distances!FG144=0),ROUNDUP(AH158+'Délai intermédiaire'!AI144/24,0),0)</f>
        <v>0</v>
      </c>
      <c r="AI199" s="14">
        <f>IF(AND(Distances!CV144=0,Distances!FH144=0),ROUNDUP(AI158+'Délai intermédiaire'!AJ144/24,0),0)</f>
        <v>12</v>
      </c>
      <c r="AJ199" s="14">
        <f>IF(AND(Distances!CW144=0,Distances!FI144=0),ROUNDUP(AJ158+'Délai intermédiaire'!AK144/24,0),0)</f>
        <v>0</v>
      </c>
      <c r="AK199" s="14">
        <f>IF(AND(Distances!CX144=0,Distances!FJ144=0),ROUNDUP(AK158+'Délai intermédiaire'!AL144/24,0),0)</f>
        <v>11</v>
      </c>
      <c r="AL199" s="14">
        <f>IF(AND(Distances!CY144=0,Distances!FK144=0),ROUNDUP(AL158+'Délai intermédiaire'!AM144/24,0),0)</f>
        <v>10</v>
      </c>
      <c r="AM199" s="14">
        <f>IF(AND(Distances!CZ144=0,Distances!FL144=0),ROUNDUP(AM158+'Délai intermédiaire'!AN144/24,0),0)</f>
        <v>10</v>
      </c>
      <c r="AN199" s="14">
        <f>IF(AND(Distances!DA144=0,Distances!FM144=0),ROUNDUP(AN158+'Délai intermédiaire'!AO144/24,0),0)</f>
        <v>0</v>
      </c>
      <c r="AO199" s="12">
        <f>IF(AND(Distances!DB144=0,Distances!FN144=0),ROUNDUP(AO158+'Délai intermédiaire'!AP144/24,0),0)</f>
        <v>2</v>
      </c>
      <c r="AP199" s="19">
        <f>IF(AND(Distances!DC144=0,Distances!FO144=0),ROUNDUP(AP158+'Délai intermédiaire'!AQ144/24,0),0)</f>
        <v>3</v>
      </c>
      <c r="AQ199" s="19">
        <f>IF(AND(Distances!DD144=0,Distances!FP144=0),ROUNDUP(AQ158+'Délai intermédiaire'!AR144/24,0),0)</f>
        <v>5</v>
      </c>
      <c r="AR199" s="14">
        <f>IF(AND(Distances!DE144=0,Distances!FQ144=0),ROUNDUP(AR158+'Délai intermédiaire'!AS144/24,0),0)</f>
        <v>14</v>
      </c>
      <c r="AS199" s="14">
        <f>IF(AND(Distances!DF144=0,Distances!FR144=0),ROUNDUP(AS158+'Délai intermédiaire'!AT144/24,0),0)</f>
        <v>0</v>
      </c>
      <c r="AT199" s="14">
        <f>IF(AND(Distances!DG144=0,Distances!FS144=0),ROUNDUP(AT158+'Délai intermédiaire'!AU144/24,0),0)</f>
        <v>0</v>
      </c>
      <c r="AU199" s="14">
        <f>IF(AND(Distances!DH144=0,Distances!FT144=0),ROUNDUP(AU158+'Délai intermédiaire'!AV144/24,0),0)</f>
        <v>0</v>
      </c>
      <c r="AV199" s="14">
        <f>IF(AND(Distances!DI144=0,Distances!FU144=0),ROUNDUP(AV158+'Délai intermédiaire'!AW144/24,0),0)</f>
        <v>0</v>
      </c>
      <c r="AW199" s="14">
        <f>IF(AND(Distances!DJ144=0,Distances!FV144=0),ROUNDUP(AW158+'Délai intermédiaire'!AX144/24,0),0)</f>
        <v>0</v>
      </c>
      <c r="AX199" s="14">
        <f>IF(AND(Distances!DK144=0,Distances!FW144=0),ROUNDUP(AX158+'Délai intermédiaire'!AY144/24,0),0)</f>
        <v>13</v>
      </c>
      <c r="AY199" s="14">
        <f>IF(AND(Distances!DL144=0,Distances!FX144=0),ROUNDUP(AY158+'Délai intermédiaire'!AZ144/24,0),0)</f>
        <v>2</v>
      </c>
      <c r="AZ199" s="14">
        <f>IF(AND(Distances!DM144=0,Distances!FY144=0),ROUNDUP(AZ158+'Délai intermédiaire'!BA144/24,0),0)</f>
        <v>0</v>
      </c>
      <c r="BA199" s="14">
        <f>IF(AND(Distances!DN144=0,Distances!FZ144=0),ROUNDUP(BA158+'Délai intermédiaire'!BB144/24,0),0)</f>
        <v>11</v>
      </c>
      <c r="BB199" s="14">
        <f>IF(AND(Distances!DO144=0,Distances!GA144=0),ROUNDUP(BB158+'Délai intermédiaire'!BC144/24,0),0)</f>
        <v>23</v>
      </c>
      <c r="BC199" s="14">
        <f>IF(AND(Distances!DP144=0,Distances!GB144=0),ROUNDUP(BC158+'Délai intermédiaire'!BD144/24,0),0)</f>
        <v>11</v>
      </c>
      <c r="BD199" s="14">
        <f>IF(AND(Distances!DQ144=0,Distances!GC144=0),ROUNDUP(BD158+'Délai intermédiaire'!BE144/24,0),0)</f>
        <v>0</v>
      </c>
      <c r="BE199" s="14">
        <f>IF(AND(Distances!DR144=0,Distances!GD144=0),ROUNDUP(BE158+'Délai intermédiaire'!BF144/24,0),0)</f>
        <v>11</v>
      </c>
      <c r="BF199" s="14">
        <f>IF(AND(Distances!DS144=0,Distances!GE144=0),ROUNDUP(BF158+'Délai intermédiaire'!BG144/24,0),0)</f>
        <v>0</v>
      </c>
      <c r="BG199" s="14">
        <f>IF(AND(Distances!DT144=0,Distances!GF144=0),ROUNDUP(BG158+'Délai intermédiaire'!BH144/24,0),0)</f>
        <v>0</v>
      </c>
      <c r="BH199" s="14">
        <f>IF(AND(Distances!DU144=0,Distances!GG144=0),ROUNDUP(BH158+'Délai intermédiaire'!BI144/24,0),0)</f>
        <v>0</v>
      </c>
      <c r="BI199" s="14">
        <f>IF(AND(Distances!DV144=0,Distances!GH144=0),ROUNDUP(BI158+'Délai intermédiaire'!BJ144/24,0),0)</f>
        <v>0</v>
      </c>
      <c r="BJ199" s="15">
        <f>IF(AND(Distances!DW144=0,Distances!GI144=0),ROUNDUP(BJ158+'Délai intermédiaire'!BK144/24,0),0)</f>
        <v>0</v>
      </c>
    </row>
    <row r="200" spans="1:62" x14ac:dyDescent="0.3">
      <c r="A200" s="10" t="s">
        <v>41</v>
      </c>
      <c r="B200" s="16">
        <f>IF(AND(Distances!BO145=0,Distances!EA145=0),ROUNDUP(B158+'Délai intermédiaire'!C145/24,0),0)</f>
        <v>17</v>
      </c>
      <c r="C200" s="14">
        <f>IF(AND(Distances!BP145=0,Distances!EB145=0),ROUNDUP(C158+'Délai intermédiaire'!D145/24,0),0)</f>
        <v>17</v>
      </c>
      <c r="D200" s="14">
        <f>IF(AND(Distances!BQ145=0,Distances!EC145=0),ROUNDUP(D158+'Délai intermédiaire'!E145/24,0),0)</f>
        <v>0</v>
      </c>
      <c r="E200" s="14">
        <f>IF(AND(Distances!BR145=0,Distances!ED145=0),ROUNDUP(E158+'Délai intermédiaire'!F145/24,0),0)</f>
        <v>22</v>
      </c>
      <c r="F200" s="14">
        <f>IF(AND(Distances!BS145=0,Distances!EE145=0),ROUNDUP(F158+'Délai intermédiaire'!G145/24,0),0)</f>
        <v>0</v>
      </c>
      <c r="G200" s="14">
        <f>IF(AND(Distances!BT145=0,Distances!EF145=0),ROUNDUP(G158+'Délai intermédiaire'!H145/24,0),0)</f>
        <v>0</v>
      </c>
      <c r="H200" s="14">
        <f>IF(AND(Distances!BU145=0,Distances!EG145=0),ROUNDUP(H158+'Délai intermédiaire'!I145/24,0),0)</f>
        <v>13</v>
      </c>
      <c r="I200" s="14">
        <f>IF(AND(Distances!BV145=0,Distances!EH145=0),ROUNDUP(I158+'Délai intermédiaire'!J145/24,0),0)</f>
        <v>13</v>
      </c>
      <c r="J200" s="14">
        <f>IF(AND(Distances!BW145=0,Distances!EI145=0),ROUNDUP(J158+'Délai intermédiaire'!K145/24,0),0)</f>
        <v>0</v>
      </c>
      <c r="K200" s="14">
        <f>IF(AND(Distances!BX145=0,Distances!EJ145=0),ROUNDUP(K158+'Délai intermédiaire'!L145/24,0),0)</f>
        <v>21</v>
      </c>
      <c r="L200" s="14">
        <f>IF(AND(Distances!BY145=0,Distances!EK145=0),ROUNDUP(L158+'Délai intermédiaire'!M145/24,0),0)</f>
        <v>0</v>
      </c>
      <c r="M200" s="14">
        <f>IF(AND(Distances!BZ145=0,Distances!EL145=0),ROUNDUP(M158+'Délai intermédiaire'!N145/24,0),0)</f>
        <v>14</v>
      </c>
      <c r="N200" s="14">
        <f>IF(AND(Distances!CA145=0,Distances!EM145=0),ROUNDUP(N158+'Délai intermédiaire'!O145/24,0),0)</f>
        <v>0</v>
      </c>
      <c r="O200" s="14">
        <f>IF(AND(Distances!CB145=0,Distances!EN145=0),ROUNDUP(O158+'Délai intermédiaire'!P145/24,0),0)</f>
        <v>0</v>
      </c>
      <c r="P200" s="14">
        <f>IF(AND(Distances!CC145=0,Distances!EO145=0),ROUNDUP(P158+'Délai intermédiaire'!Q145/24,0),0)</f>
        <v>0</v>
      </c>
      <c r="Q200" s="14">
        <f>IF(AND(Distances!CD145=0,Distances!EP145=0),ROUNDUP(Q158+'Délai intermédiaire'!R145/24,0),0)</f>
        <v>22</v>
      </c>
      <c r="R200" s="14">
        <f>IF(AND(Distances!CE145=0,Distances!EQ145=0),ROUNDUP(R158+'Délai intermédiaire'!S145/24,0),0)</f>
        <v>21</v>
      </c>
      <c r="S200" s="14">
        <f>IF(AND(Distances!CF145=0,Distances!ER145=0),ROUNDUP(S158+'Délai intermédiaire'!T145/24,0),0)</f>
        <v>21</v>
      </c>
      <c r="T200" s="14">
        <f>IF(AND(Distances!CG145=0,Distances!ES145=0),ROUNDUP(T158+'Délai intermédiaire'!U145/24,0),0)</f>
        <v>0</v>
      </c>
      <c r="U200" s="14">
        <f>IF(AND(Distances!CH145=0,Distances!ET145=0),ROUNDUP(U158+'Délai intermédiaire'!V145/24,0),0)</f>
        <v>0</v>
      </c>
      <c r="V200" s="14">
        <f>IF(AND(Distances!CI145=0,Distances!EU145=0),ROUNDUP(V158+'Délai intermédiaire'!W145/24,0),0)</f>
        <v>0</v>
      </c>
      <c r="W200" s="14">
        <f>IF(AND(Distances!CJ145=0,Distances!EV145=0),ROUNDUP(W158+'Délai intermédiaire'!X145/24,0),0)</f>
        <v>22</v>
      </c>
      <c r="X200" s="14">
        <f>IF(AND(Distances!CK145=0,Distances!EW145=0),ROUNDUP(X158+'Délai intermédiaire'!Y145/24,0),0)</f>
        <v>0</v>
      </c>
      <c r="Y200" s="14">
        <f>IF(AND(Distances!CL145=0,Distances!EX145=0),ROUNDUP(Y158+'Délai intermédiaire'!Z145/24,0),0)</f>
        <v>0</v>
      </c>
      <c r="Z200" s="14">
        <f>IF(AND(Distances!CM145=0,Distances!EY145=0),ROUNDUP(Z158+'Délai intermédiaire'!AA145/24,0),0)</f>
        <v>0</v>
      </c>
      <c r="AA200" s="14">
        <f>IF(AND(Distances!CN145=0,Distances!EZ145=0),ROUNDUP(AA158+'Délai intermédiaire'!AB145/24,0),0)</f>
        <v>0</v>
      </c>
      <c r="AB200" s="14">
        <f>IF(AND(Distances!CO145=0,Distances!FA145=0),ROUNDUP(AB158+'Délai intermédiaire'!AC145/24,0),0)</f>
        <v>0</v>
      </c>
      <c r="AC200" s="14">
        <f>IF(AND(Distances!CP145=0,Distances!FB145=0),ROUNDUP(AC158+'Délai intermédiaire'!AD145/24,0),0)</f>
        <v>19</v>
      </c>
      <c r="AD200" s="14">
        <f>IF(AND(Distances!CQ145=0,Distances!FC145=0),ROUNDUP(AD158+'Délai intermédiaire'!AE145/24,0),0)</f>
        <v>24</v>
      </c>
      <c r="AE200" s="14">
        <f>IF(AND(Distances!CR145=0,Distances!FD145=0),ROUNDUP(AE158+'Délai intermédiaire'!AF145/24,0),0)</f>
        <v>0</v>
      </c>
      <c r="AF200" s="14">
        <f>IF(AND(Distances!CS145=0,Distances!FE145=0),ROUNDUP(AF158+'Délai intermédiaire'!AG145/24,0),0)</f>
        <v>0</v>
      </c>
      <c r="AG200" s="14">
        <f>IF(AND(Distances!CT145=0,Distances!FF145=0),ROUNDUP(AG158+'Délai intermédiaire'!AH145/24,0),0)</f>
        <v>0</v>
      </c>
      <c r="AH200" s="14">
        <f>IF(AND(Distances!CU145=0,Distances!FG145=0),ROUNDUP(AH158+'Délai intermédiaire'!AI145/24,0),0)</f>
        <v>0</v>
      </c>
      <c r="AI200" s="14">
        <f>IF(AND(Distances!CV145=0,Distances!FH145=0),ROUNDUP(AI158+'Délai intermédiaire'!AJ145/24,0),0)</f>
        <v>12</v>
      </c>
      <c r="AJ200" s="14">
        <f>IF(AND(Distances!CW145=0,Distances!FI145=0),ROUNDUP(AJ158+'Délai intermédiaire'!AK145/24,0),0)</f>
        <v>0</v>
      </c>
      <c r="AK200" s="14">
        <f>IF(AND(Distances!CX145=0,Distances!FJ145=0),ROUNDUP(AK158+'Délai intermédiaire'!AL145/24,0),0)</f>
        <v>12</v>
      </c>
      <c r="AL200" s="14">
        <f>IF(AND(Distances!CY145=0,Distances!FK145=0),ROUNDUP(AL158+'Délai intermédiaire'!AM145/24,0),0)</f>
        <v>9</v>
      </c>
      <c r="AM200" s="14">
        <f>IF(AND(Distances!CZ145=0,Distances!FL145=0),ROUNDUP(AM158+'Délai intermédiaire'!AN145/24,0),0)</f>
        <v>9</v>
      </c>
      <c r="AN200" s="14">
        <f>IF(AND(Distances!DA145=0,Distances!FM145=0),ROUNDUP(AN158+'Délai intermédiaire'!AO145/24,0),0)</f>
        <v>0</v>
      </c>
      <c r="AO200" s="13">
        <f>IF(AND(Distances!DB145=0,Distances!FN145=0),ROUNDUP(AO158+'Délai intermédiaire'!AP145/24,0),0)</f>
        <v>3</v>
      </c>
      <c r="AP200" s="12">
        <f>IF(AND(Distances!DC145=0,Distances!FO145=0),ROUNDUP(AP158+'Délai intermédiaire'!AQ145/24,0),0)</f>
        <v>2</v>
      </c>
      <c r="AQ200" s="13">
        <f>IF(AND(Distances!DD145=0,Distances!FP145=0),ROUNDUP(AQ158+'Délai intermédiaire'!AR145/24,0),0)</f>
        <v>6</v>
      </c>
      <c r="AR200" s="14">
        <f>IF(AND(Distances!DE145=0,Distances!FQ145=0),ROUNDUP(AR158+'Délai intermédiaire'!AS145/24,0),0)</f>
        <v>15</v>
      </c>
      <c r="AS200" s="14">
        <f>IF(AND(Distances!DF145=0,Distances!FR145=0),ROUNDUP(AS158+'Délai intermédiaire'!AT145/24,0),0)</f>
        <v>0</v>
      </c>
      <c r="AT200" s="14">
        <f>IF(AND(Distances!DG145=0,Distances!FS145=0),ROUNDUP(AT158+'Délai intermédiaire'!AU145/24,0),0)</f>
        <v>0</v>
      </c>
      <c r="AU200" s="14">
        <f>IF(AND(Distances!DH145=0,Distances!FT145=0),ROUNDUP(AU158+'Délai intermédiaire'!AV145/24,0),0)</f>
        <v>0</v>
      </c>
      <c r="AV200" s="14">
        <f>IF(AND(Distances!DI145=0,Distances!FU145=0),ROUNDUP(AV158+'Délai intermédiaire'!AW145/24,0),0)</f>
        <v>0</v>
      </c>
      <c r="AW200" s="14">
        <f>IF(AND(Distances!DJ145=0,Distances!FV145=0),ROUNDUP(AW158+'Délai intermédiaire'!AX145/24,0),0)</f>
        <v>0</v>
      </c>
      <c r="AX200" s="14">
        <f>IF(AND(Distances!DK145=0,Distances!FW145=0),ROUNDUP(AX158+'Délai intermédiaire'!AY145/24,0),0)</f>
        <v>12</v>
      </c>
      <c r="AY200" s="14">
        <f>IF(AND(Distances!DL145=0,Distances!FX145=0),ROUNDUP(AY158+'Délai intermédiaire'!AZ145/24,0),0)</f>
        <v>2</v>
      </c>
      <c r="AZ200" s="14">
        <f>IF(AND(Distances!DM145=0,Distances!FY145=0),ROUNDUP(AZ158+'Délai intermédiaire'!BA145/24,0),0)</f>
        <v>0</v>
      </c>
      <c r="BA200" s="14">
        <f>IF(AND(Distances!DN145=0,Distances!FZ145=0),ROUNDUP(BA158+'Délai intermédiaire'!BB145/24,0),0)</f>
        <v>11</v>
      </c>
      <c r="BB200" s="14">
        <f>IF(AND(Distances!DO145=0,Distances!GA145=0),ROUNDUP(BB158+'Délai intermédiaire'!BC145/24,0),0)</f>
        <v>24</v>
      </c>
      <c r="BC200" s="14">
        <f>IF(AND(Distances!DP145=0,Distances!GB145=0),ROUNDUP(BC158+'Délai intermédiaire'!BD145/24,0),0)</f>
        <v>10</v>
      </c>
      <c r="BD200" s="14">
        <f>IF(AND(Distances!DQ145=0,Distances!GC145=0),ROUNDUP(BD158+'Délai intermédiaire'!BE145/24,0),0)</f>
        <v>0</v>
      </c>
      <c r="BE200" s="14">
        <f>IF(AND(Distances!DR145=0,Distances!GD145=0),ROUNDUP(BE158+'Délai intermédiaire'!BF145/24,0),0)</f>
        <v>11</v>
      </c>
      <c r="BF200" s="14">
        <f>IF(AND(Distances!DS145=0,Distances!GE145=0),ROUNDUP(BF158+'Délai intermédiaire'!BG145/24,0),0)</f>
        <v>0</v>
      </c>
      <c r="BG200" s="14">
        <f>IF(AND(Distances!DT145=0,Distances!GF145=0),ROUNDUP(BG158+'Délai intermédiaire'!BH145/24,0),0)</f>
        <v>0</v>
      </c>
      <c r="BH200" s="14">
        <f>IF(AND(Distances!DU145=0,Distances!GG145=0),ROUNDUP(BH158+'Délai intermédiaire'!BI145/24,0),0)</f>
        <v>0</v>
      </c>
      <c r="BI200" s="14">
        <f>IF(AND(Distances!DV145=0,Distances!GH145=0),ROUNDUP(BI158+'Délai intermédiaire'!BJ145/24,0),0)</f>
        <v>0</v>
      </c>
      <c r="BJ200" s="15">
        <f>IF(AND(Distances!DW145=0,Distances!GI145=0),ROUNDUP(BJ158+'Délai intermédiaire'!BK145/24,0),0)</f>
        <v>0</v>
      </c>
    </row>
    <row r="201" spans="1:62" x14ac:dyDescent="0.3">
      <c r="A201" s="10" t="s">
        <v>42</v>
      </c>
      <c r="B201" s="16">
        <f>IF(AND(Distances!BO146=0,Distances!EA146=0),ROUNDUP(B158+'Délai intermédiaire'!C146/24,0),0)</f>
        <v>20</v>
      </c>
      <c r="C201" s="14">
        <f>IF(AND(Distances!BP146=0,Distances!EB146=0),ROUNDUP(C158+'Délai intermédiaire'!D146/24,0),0)</f>
        <v>20</v>
      </c>
      <c r="D201" s="14">
        <f>IF(AND(Distances!BQ146=0,Distances!EC146=0),ROUNDUP(D158+'Délai intermédiaire'!E146/24,0),0)</f>
        <v>0</v>
      </c>
      <c r="E201" s="14">
        <f>IF(AND(Distances!BR146=0,Distances!ED146=0),ROUNDUP(E158+'Délai intermédiaire'!F146/24,0),0)</f>
        <v>23</v>
      </c>
      <c r="F201" s="14">
        <f>IF(AND(Distances!BS146=0,Distances!EE146=0),ROUNDUP(F158+'Délai intermédiaire'!G146/24,0),0)</f>
        <v>0</v>
      </c>
      <c r="G201" s="14">
        <f>IF(AND(Distances!BT146=0,Distances!EF146=0),ROUNDUP(G158+'Délai intermédiaire'!H146/24,0),0)</f>
        <v>0</v>
      </c>
      <c r="H201" s="14">
        <f>IF(AND(Distances!BU146=0,Distances!EG146=0),ROUNDUP(H158+'Délai intermédiaire'!I146/24,0),0)</f>
        <v>16</v>
      </c>
      <c r="I201" s="14">
        <f>IF(AND(Distances!BV146=0,Distances!EH146=0),ROUNDUP(I158+'Délai intermédiaire'!J146/24,0),0)</f>
        <v>16</v>
      </c>
      <c r="J201" s="14">
        <f>IF(AND(Distances!BW146=0,Distances!EI146=0),ROUNDUP(J158+'Délai intermédiaire'!K146/24,0),0)</f>
        <v>0</v>
      </c>
      <c r="K201" s="14">
        <f>IF(AND(Distances!BX146=0,Distances!EJ146=0),ROUNDUP(K158+'Délai intermédiaire'!L146/24,0),0)</f>
        <v>22</v>
      </c>
      <c r="L201" s="14">
        <f>IF(AND(Distances!BY146=0,Distances!EK146=0),ROUNDUP(L158+'Délai intermédiaire'!M146/24,0),0)</f>
        <v>0</v>
      </c>
      <c r="M201" s="14">
        <f>IF(AND(Distances!BZ146=0,Distances!EL146=0),ROUNDUP(M158+'Délai intermédiaire'!N146/24,0),0)</f>
        <v>17</v>
      </c>
      <c r="N201" s="14">
        <f>IF(AND(Distances!CA146=0,Distances!EM146=0),ROUNDUP(N158+'Délai intermédiaire'!O146/24,0),0)</f>
        <v>0</v>
      </c>
      <c r="O201" s="14">
        <f>IF(AND(Distances!CB146=0,Distances!EN146=0),ROUNDUP(O158+'Délai intermédiaire'!P146/24,0),0)</f>
        <v>0</v>
      </c>
      <c r="P201" s="14">
        <f>IF(AND(Distances!CC146=0,Distances!EO146=0),ROUNDUP(P158+'Délai intermédiaire'!Q146/24,0),0)</f>
        <v>0</v>
      </c>
      <c r="Q201" s="14">
        <f>IF(AND(Distances!CD146=0,Distances!EP146=0),ROUNDUP(Q158+'Délai intermédiaire'!R146/24,0),0)</f>
        <v>19</v>
      </c>
      <c r="R201" s="14">
        <f>IF(AND(Distances!CE146=0,Distances!EQ146=0),ROUNDUP(R158+'Délai intermédiaire'!S146/24,0),0)</f>
        <v>18</v>
      </c>
      <c r="S201" s="14">
        <f>IF(AND(Distances!CF146=0,Distances!ER146=0),ROUNDUP(S158+'Délai intermédiaire'!T146/24,0),0)</f>
        <v>18</v>
      </c>
      <c r="T201" s="14">
        <f>IF(AND(Distances!CG146=0,Distances!ES146=0),ROUNDUP(T158+'Délai intermédiaire'!U146/24,0),0)</f>
        <v>0</v>
      </c>
      <c r="U201" s="14">
        <f>IF(AND(Distances!CH146=0,Distances!ET146=0),ROUNDUP(U158+'Délai intermédiaire'!V146/24,0),0)</f>
        <v>0</v>
      </c>
      <c r="V201" s="14">
        <f>IF(AND(Distances!CI146=0,Distances!EU146=0),ROUNDUP(V158+'Délai intermédiaire'!W146/24,0),0)</f>
        <v>0</v>
      </c>
      <c r="W201" s="14">
        <f>IF(AND(Distances!CJ146=0,Distances!EV146=0),ROUNDUP(W158+'Délai intermédiaire'!X146/24,0),0)</f>
        <v>19</v>
      </c>
      <c r="X201" s="14">
        <f>IF(AND(Distances!CK146=0,Distances!EW146=0),ROUNDUP(X158+'Délai intermédiaire'!Y146/24,0),0)</f>
        <v>0</v>
      </c>
      <c r="Y201" s="14">
        <f>IF(AND(Distances!CL146=0,Distances!EX146=0),ROUNDUP(Y158+'Délai intermédiaire'!Z146/24,0),0)</f>
        <v>0</v>
      </c>
      <c r="Z201" s="14">
        <f>IF(AND(Distances!CM146=0,Distances!EY146=0),ROUNDUP(Z158+'Délai intermédiaire'!AA146/24,0),0)</f>
        <v>0</v>
      </c>
      <c r="AA201" s="14">
        <f>IF(AND(Distances!CN146=0,Distances!EZ146=0),ROUNDUP(AA158+'Délai intermédiaire'!AB146/24,0),0)</f>
        <v>0</v>
      </c>
      <c r="AB201" s="14">
        <f>IF(AND(Distances!CO146=0,Distances!FA146=0),ROUNDUP(AB158+'Délai intermédiaire'!AC146/24,0),0)</f>
        <v>0</v>
      </c>
      <c r="AC201" s="14">
        <f>IF(AND(Distances!CP146=0,Distances!FB146=0),ROUNDUP(AC158+'Délai intermédiaire'!AD146/24,0),0)</f>
        <v>15</v>
      </c>
      <c r="AD201" s="14">
        <f>IF(AND(Distances!CQ146=0,Distances!FC146=0),ROUNDUP(AD158+'Délai intermédiaire'!AE146/24,0),0)</f>
        <v>20</v>
      </c>
      <c r="AE201" s="14">
        <f>IF(AND(Distances!CR146=0,Distances!FD146=0),ROUNDUP(AE158+'Délai intermédiaire'!AF146/24,0),0)</f>
        <v>0</v>
      </c>
      <c r="AF201" s="14">
        <f>IF(AND(Distances!CS146=0,Distances!FE146=0),ROUNDUP(AF158+'Délai intermédiaire'!AG146/24,0),0)</f>
        <v>0</v>
      </c>
      <c r="AG201" s="14">
        <f>IF(AND(Distances!CT146=0,Distances!FF146=0),ROUNDUP(AG158+'Délai intermédiaire'!AH146/24,0),0)</f>
        <v>0</v>
      </c>
      <c r="AH201" s="14">
        <f>IF(AND(Distances!CU146=0,Distances!FG146=0),ROUNDUP(AH158+'Délai intermédiaire'!AI146/24,0),0)</f>
        <v>0</v>
      </c>
      <c r="AI201" s="14">
        <f>IF(AND(Distances!CV146=0,Distances!FH146=0),ROUNDUP(AI158+'Délai intermédiaire'!AJ146/24,0),0)</f>
        <v>9</v>
      </c>
      <c r="AJ201" s="14">
        <f>IF(AND(Distances!CW146=0,Distances!FI146=0),ROUNDUP(AJ158+'Délai intermédiaire'!AK146/24,0),0)</f>
        <v>0</v>
      </c>
      <c r="AK201" s="14">
        <f>IF(AND(Distances!CX146=0,Distances!FJ146=0),ROUNDUP(AK158+'Délai intermédiaire'!AL146/24,0),0)</f>
        <v>8</v>
      </c>
      <c r="AL201" s="14">
        <f>IF(AND(Distances!CY146=0,Distances!FK146=0),ROUNDUP(AL158+'Délai intermédiaire'!AM146/24,0),0)</f>
        <v>9</v>
      </c>
      <c r="AM201" s="14">
        <f>IF(AND(Distances!CZ146=0,Distances!FL146=0),ROUNDUP(AM158+'Délai intermédiaire'!AN146/24,0),0)</f>
        <v>9</v>
      </c>
      <c r="AN201" s="14">
        <f>IF(AND(Distances!DA146=0,Distances!FM146=0),ROUNDUP(AN158+'Délai intermédiaire'!AO146/24,0),0)</f>
        <v>0</v>
      </c>
      <c r="AO201" s="13">
        <f>IF(AND(Distances!DB146=0,Distances!FN146=0),ROUNDUP(AO158+'Délai intermédiaire'!AP146/24,0),0)</f>
        <v>5</v>
      </c>
      <c r="AP201" s="13">
        <f>IF(AND(Distances!DC146=0,Distances!FO146=0),ROUNDUP(AP158+'Délai intermédiaire'!AQ146/24,0),0)</f>
        <v>6</v>
      </c>
      <c r="AQ201" s="12">
        <f>IF(AND(Distances!DD146=0,Distances!FP146=0),ROUNDUP(AQ158+'Délai intermédiaire'!AR146/24,0),0)</f>
        <v>2</v>
      </c>
      <c r="AR201" s="14">
        <f>IF(AND(Distances!DE146=0,Distances!FQ146=0),ROUNDUP(AR158+'Délai intermédiaire'!AS146/24,0),0)</f>
        <v>11</v>
      </c>
      <c r="AS201" s="14">
        <f>IF(AND(Distances!DF146=0,Distances!FR146=0),ROUNDUP(AS158+'Délai intermédiaire'!AT146/24,0),0)</f>
        <v>0</v>
      </c>
      <c r="AT201" s="14">
        <f>IF(AND(Distances!DG146=0,Distances!FS146=0),ROUNDUP(AT158+'Délai intermédiaire'!AU146/24,0),0)</f>
        <v>0</v>
      </c>
      <c r="AU201" s="14">
        <f>IF(AND(Distances!DH146=0,Distances!FT146=0),ROUNDUP(AU158+'Délai intermédiaire'!AV146/24,0),0)</f>
        <v>0</v>
      </c>
      <c r="AV201" s="14">
        <f>IF(AND(Distances!DI146=0,Distances!FU146=0),ROUNDUP(AV158+'Délai intermédiaire'!AW146/24,0),0)</f>
        <v>0</v>
      </c>
      <c r="AW201" s="14">
        <f>IF(AND(Distances!DJ146=0,Distances!FV146=0),ROUNDUP(AW158+'Délai intermédiaire'!AX146/24,0),0)</f>
        <v>0</v>
      </c>
      <c r="AX201" s="14">
        <f>IF(AND(Distances!DK146=0,Distances!FW146=0),ROUNDUP(AX158+'Délai intermédiaire'!AY146/24,0),0)</f>
        <v>12</v>
      </c>
      <c r="AY201" s="14">
        <f>IF(AND(Distances!DL146=0,Distances!FX146=0),ROUNDUP(AY158+'Délai intermédiaire'!AZ146/24,0),0)</f>
        <v>2</v>
      </c>
      <c r="AZ201" s="14">
        <f>IF(AND(Distances!DM146=0,Distances!FY146=0),ROUNDUP(AZ158+'Délai intermédiaire'!BA146/24,0),0)</f>
        <v>0</v>
      </c>
      <c r="BA201" s="14">
        <f>IF(AND(Distances!DN146=0,Distances!FZ146=0),ROUNDUP(BA158+'Délai intermédiaire'!BB146/24,0),0)</f>
        <v>8</v>
      </c>
      <c r="BB201" s="14">
        <f>IF(AND(Distances!DO146=0,Distances!GA146=0),ROUNDUP(BB158+'Délai intermédiaire'!BC146/24,0),0)</f>
        <v>21</v>
      </c>
      <c r="BC201" s="14">
        <f>IF(AND(Distances!DP146=0,Distances!GB146=0),ROUNDUP(BC158+'Délai intermédiaire'!BD146/24,0),0)</f>
        <v>9</v>
      </c>
      <c r="BD201" s="14">
        <f>IF(AND(Distances!DQ146=0,Distances!GC146=0),ROUNDUP(BD158+'Délai intermédiaire'!BE146/24,0),0)</f>
        <v>0</v>
      </c>
      <c r="BE201" s="14">
        <f>IF(AND(Distances!DR146=0,Distances!GD146=0),ROUNDUP(BE158+'Délai intermédiaire'!BF146/24,0),0)</f>
        <v>9</v>
      </c>
      <c r="BF201" s="14">
        <f>IF(AND(Distances!DS146=0,Distances!GE146=0),ROUNDUP(BF158+'Délai intermédiaire'!BG146/24,0),0)</f>
        <v>0</v>
      </c>
      <c r="BG201" s="14">
        <f>IF(AND(Distances!DT146=0,Distances!GF146=0),ROUNDUP(BG158+'Délai intermédiaire'!BH146/24,0),0)</f>
        <v>0</v>
      </c>
      <c r="BH201" s="14">
        <f>IF(AND(Distances!DU146=0,Distances!GG146=0),ROUNDUP(BH158+'Délai intermédiaire'!BI146/24,0),0)</f>
        <v>0</v>
      </c>
      <c r="BI201" s="14">
        <f>IF(AND(Distances!DV146=0,Distances!GH146=0),ROUNDUP(BI158+'Délai intermédiaire'!BJ146/24,0),0)</f>
        <v>0</v>
      </c>
      <c r="BJ201" s="15">
        <f>IF(AND(Distances!DW146=0,Distances!GI146=0),ROUNDUP(BJ158+'Délai intermédiaire'!BK146/24,0),0)</f>
        <v>0</v>
      </c>
    </row>
    <row r="202" spans="1:62" x14ac:dyDescent="0.3">
      <c r="A202" s="10" t="s">
        <v>43</v>
      </c>
      <c r="B202" s="16">
        <f>IF(AND(Distances!BO147=0,Distances!EA147=0),ROUNDUP(B158+'Délai intermédiaire'!C147/24,0),0)</f>
        <v>16</v>
      </c>
      <c r="C202" s="14">
        <f>IF(AND(Distances!BP147=0,Distances!EB147=0),ROUNDUP(C158+'Délai intermédiaire'!D147/24,0),0)</f>
        <v>18</v>
      </c>
      <c r="D202" s="14">
        <f>IF(AND(Distances!BQ147=0,Distances!EC147=0),ROUNDUP(D158+'Délai intermédiaire'!E147/24,0),0)</f>
        <v>0</v>
      </c>
      <c r="E202" s="14">
        <f>IF(AND(Distances!BR147=0,Distances!ED147=0),ROUNDUP(E158+'Délai intermédiaire'!F147/24,0),0)</f>
        <v>17</v>
      </c>
      <c r="F202" s="14">
        <f>IF(AND(Distances!BS147=0,Distances!EE147=0),ROUNDUP(F158+'Délai intermédiaire'!G147/24,0),0)</f>
        <v>0</v>
      </c>
      <c r="G202" s="14">
        <f>IF(AND(Distances!BT147=0,Distances!EF147=0),ROUNDUP(G158+'Délai intermédiaire'!H147/24,0),0)</f>
        <v>0</v>
      </c>
      <c r="H202" s="14">
        <f>IF(AND(Distances!BU147=0,Distances!EG147=0),ROUNDUP(H158+'Délai intermédiaire'!I147/24,0),0)</f>
        <v>20</v>
      </c>
      <c r="I202" s="14">
        <f>IF(AND(Distances!BV147=0,Distances!EH147=0),ROUNDUP(I158+'Délai intermédiaire'!J147/24,0),0)</f>
        <v>21</v>
      </c>
      <c r="J202" s="14">
        <f>IF(AND(Distances!BW147=0,Distances!EI147=0),ROUNDUP(J158+'Délai intermédiaire'!K147/24,0),0)</f>
        <v>0</v>
      </c>
      <c r="K202" s="14">
        <f>IF(AND(Distances!BX147=0,Distances!EJ147=0),ROUNDUP(K158+'Délai intermédiaire'!L147/24,0),0)</f>
        <v>16</v>
      </c>
      <c r="L202" s="14">
        <f>IF(AND(Distances!BY147=0,Distances!EK147=0),ROUNDUP(L158+'Délai intermédiaire'!M147/24,0),0)</f>
        <v>0</v>
      </c>
      <c r="M202" s="14">
        <f>IF(AND(Distances!BZ147=0,Distances!EL147=0),ROUNDUP(M158+'Délai intermédiaire'!N147/24,0),0)</f>
        <v>21</v>
      </c>
      <c r="N202" s="14">
        <f>IF(AND(Distances!CA147=0,Distances!EM147=0),ROUNDUP(N158+'Délai intermédiaire'!O147/24,0),0)</f>
        <v>0</v>
      </c>
      <c r="O202" s="14">
        <f>IF(AND(Distances!CB147=0,Distances!EN147=0),ROUNDUP(O158+'Délai intermédiaire'!P147/24,0),0)</f>
        <v>0</v>
      </c>
      <c r="P202" s="14">
        <f>IF(AND(Distances!CC147=0,Distances!EO147=0),ROUNDUP(P158+'Délai intermédiaire'!Q147/24,0),0)</f>
        <v>0</v>
      </c>
      <c r="Q202" s="14">
        <f>IF(AND(Distances!CD147=0,Distances!EP147=0),ROUNDUP(Q158+'Délai intermédiaire'!R147/24,0),0)</f>
        <v>13</v>
      </c>
      <c r="R202" s="14">
        <f>IF(AND(Distances!CE147=0,Distances!EQ147=0),ROUNDUP(R158+'Délai intermédiaire'!S147/24,0),0)</f>
        <v>12</v>
      </c>
      <c r="S202" s="14">
        <f>IF(AND(Distances!CF147=0,Distances!ER147=0),ROUNDUP(S158+'Délai intermédiaire'!T147/24,0),0)</f>
        <v>12</v>
      </c>
      <c r="T202" s="14">
        <f>IF(AND(Distances!CG147=0,Distances!ES147=0),ROUNDUP(T158+'Délai intermédiaire'!U147/24,0),0)</f>
        <v>0</v>
      </c>
      <c r="U202" s="14">
        <f>IF(AND(Distances!CH147=0,Distances!ET147=0),ROUNDUP(U158+'Délai intermédiaire'!V147/24,0),0)</f>
        <v>0</v>
      </c>
      <c r="V202" s="14">
        <f>IF(AND(Distances!CI147=0,Distances!EU147=0),ROUNDUP(V158+'Délai intermédiaire'!W147/24,0),0)</f>
        <v>0</v>
      </c>
      <c r="W202" s="14">
        <f>IF(AND(Distances!CJ147=0,Distances!EV147=0),ROUNDUP(W158+'Délai intermédiaire'!X147/24,0),0)</f>
        <v>13</v>
      </c>
      <c r="X202" s="14">
        <f>IF(AND(Distances!CK147=0,Distances!EW147=0),ROUNDUP(X158+'Délai intermédiaire'!Y147/24,0),0)</f>
        <v>0</v>
      </c>
      <c r="Y202" s="14">
        <f>IF(AND(Distances!CL147=0,Distances!EX147=0),ROUNDUP(Y158+'Délai intermédiaire'!Z147/24,0),0)</f>
        <v>0</v>
      </c>
      <c r="Z202" s="14">
        <f>IF(AND(Distances!CM147=0,Distances!EY147=0),ROUNDUP(Z158+'Délai intermédiaire'!AA147/24,0),0)</f>
        <v>0</v>
      </c>
      <c r="AA202" s="14">
        <f>IF(AND(Distances!CN147=0,Distances!EZ147=0),ROUNDUP(AA158+'Délai intermédiaire'!AB147/24,0),0)</f>
        <v>0</v>
      </c>
      <c r="AB202" s="14">
        <f>IF(AND(Distances!CO147=0,Distances!FA147=0),ROUNDUP(AB158+'Délai intermédiaire'!AC147/24,0),0)</f>
        <v>0</v>
      </c>
      <c r="AC202" s="14">
        <f>IF(AND(Distances!CP147=0,Distances!FB147=0),ROUNDUP(AC158+'Délai intermédiaire'!AD147/24,0),0)</f>
        <v>9</v>
      </c>
      <c r="AD202" s="14">
        <f>IF(AND(Distances!CQ147=0,Distances!FC147=0),ROUNDUP(AD158+'Délai intermédiaire'!AE147/24,0),0)</f>
        <v>14</v>
      </c>
      <c r="AE202" s="14">
        <f>IF(AND(Distances!CR147=0,Distances!FD147=0),ROUNDUP(AE158+'Délai intermédiaire'!AF147/24,0),0)</f>
        <v>0</v>
      </c>
      <c r="AF202" s="14">
        <f>IF(AND(Distances!CS147=0,Distances!FE147=0),ROUNDUP(AF158+'Délai intermédiaire'!AG147/24,0),0)</f>
        <v>0</v>
      </c>
      <c r="AG202" s="14">
        <f>IF(AND(Distances!CT147=0,Distances!FF147=0),ROUNDUP(AG158+'Délai intermédiaire'!AH147/24,0),0)</f>
        <v>0</v>
      </c>
      <c r="AH202" s="13">
        <f>IF(AND(Distances!CU147=0,Distances!FG147=0),ROUNDUP(AH158+'Délai intermédiaire'!AI147/24,0),0)</f>
        <v>0</v>
      </c>
      <c r="AI202" s="13">
        <f>IF(AND(Distances!CV147=0,Distances!FH147=0),ROUNDUP(AI158+'Délai intermédiaire'!AJ147/24,0),0)</f>
        <v>8</v>
      </c>
      <c r="AJ202" s="13">
        <f>IF(AND(Distances!CW147=0,Distances!FI147=0),ROUNDUP(AJ158+'Délai intermédiaire'!AK147/24,0),0)</f>
        <v>0</v>
      </c>
      <c r="AK202" s="13">
        <f>IF(AND(Distances!CX147=0,Distances!FJ147=0),ROUNDUP(AK158+'Délai intermédiaire'!AL147/24,0),0)</f>
        <v>7</v>
      </c>
      <c r="AL202" s="13">
        <f>IF(AND(Distances!CY147=0,Distances!FK147=0),ROUNDUP(AL158+'Délai intermédiaire'!AM147/24,0),0)</f>
        <v>12</v>
      </c>
      <c r="AM202" s="13">
        <f>IF(AND(Distances!CZ147=0,Distances!FL147=0),ROUNDUP(AM158+'Délai intermédiaire'!AN147/24,0),0)</f>
        <v>12</v>
      </c>
      <c r="AN202" s="13">
        <f>IF(AND(Distances!DA147=0,Distances!FM147=0),ROUNDUP(AN158+'Délai intermédiaire'!AO147/24,0),0)</f>
        <v>0</v>
      </c>
      <c r="AO202" s="14">
        <f>IF(AND(Distances!DB147=0,Distances!FN147=0),ROUNDUP(AO158+'Délai intermédiaire'!AP147/24,0),0)</f>
        <v>14</v>
      </c>
      <c r="AP202" s="14">
        <f>IF(AND(Distances!DC147=0,Distances!FO147=0),ROUNDUP(AP158+'Délai intermédiaire'!AQ147/24,0),0)</f>
        <v>15</v>
      </c>
      <c r="AQ202" s="14">
        <f>IF(AND(Distances!DD147=0,Distances!FP147=0),ROUNDUP(AQ158+'Délai intermédiaire'!AR147/24,0),0)</f>
        <v>11</v>
      </c>
      <c r="AR202" s="12">
        <f>IF(AND(Distances!DE147=0,Distances!FQ147=0),ROUNDUP(AR158+'Délai intermédiaire'!AS147/24,0),0)</f>
        <v>2</v>
      </c>
      <c r="AS202" s="13">
        <f>IF(AND(Distances!DF147=0,Distances!FR147=0),ROUNDUP(AS158+'Délai intermédiaire'!AT147/24,0),0)</f>
        <v>0</v>
      </c>
      <c r="AT202" s="13">
        <f>IF(AND(Distances!DG147=0,Distances!FS147=0),ROUNDUP(AT158+'Délai intermédiaire'!AU147/24,0),0)</f>
        <v>0</v>
      </c>
      <c r="AU202" s="13">
        <f>IF(AND(Distances!DH147=0,Distances!FT147=0),ROUNDUP(AU158+'Délai intermédiaire'!AV147/24,0),0)</f>
        <v>0</v>
      </c>
      <c r="AV202" s="13">
        <f>IF(AND(Distances!DI147=0,Distances!FU147=0),ROUNDUP(AV158+'Délai intermédiaire'!AW147/24,0),0)</f>
        <v>0</v>
      </c>
      <c r="AW202" s="13">
        <f>IF(AND(Distances!DJ147=0,Distances!FV147=0),ROUNDUP(AW158+'Délai intermédiaire'!AX147/24,0),0)</f>
        <v>0</v>
      </c>
      <c r="AX202" s="13">
        <f>IF(AND(Distances!DK147=0,Distances!FW147=0),ROUNDUP(AX158+'Délai intermédiaire'!AY147/24,0),0)</f>
        <v>15</v>
      </c>
      <c r="AY202" s="14">
        <f>IF(AND(Distances!DL147=0,Distances!FX147=0),ROUNDUP(AY158+'Délai intermédiaire'!AZ147/24,0),0)</f>
        <v>2</v>
      </c>
      <c r="AZ202" s="14">
        <f>IF(AND(Distances!DM147=0,Distances!FY147=0),ROUNDUP(AZ158+'Délai intermédiaire'!BA147/24,0),0)</f>
        <v>0</v>
      </c>
      <c r="BA202" s="13">
        <f>IF(AND(Distances!DN147=0,Distances!FZ147=0),ROUNDUP(BA158+'Délai intermédiaire'!BB147/24,0),0)</f>
        <v>10</v>
      </c>
      <c r="BB202" s="14">
        <f>IF(AND(Distances!DO147=0,Distances!GA147=0),ROUNDUP(BB158+'Délai intermédiaire'!BC147/24,0),0)</f>
        <v>15</v>
      </c>
      <c r="BC202" s="13">
        <f>IF(AND(Distances!DP147=0,Distances!GB147=0),ROUNDUP(BC158+'Délai intermédiaire'!BD147/24,0),0)</f>
        <v>11</v>
      </c>
      <c r="BD202" s="13">
        <f>IF(AND(Distances!DQ147=0,Distances!GC147=0),ROUNDUP(BD158+'Délai intermédiaire'!BE147/24,0),0)</f>
        <v>0</v>
      </c>
      <c r="BE202" s="13">
        <f>IF(AND(Distances!DR147=0,Distances!GD147=0),ROUNDUP(BE158+'Délai intermédiaire'!BF147/24,0),0)</f>
        <v>12</v>
      </c>
      <c r="BF202" s="14">
        <f>IF(AND(Distances!DS147=0,Distances!GE147=0),ROUNDUP(BF158+'Délai intermédiaire'!BG147/24,0),0)</f>
        <v>0</v>
      </c>
      <c r="BG202" s="14">
        <f>IF(AND(Distances!DT147=0,Distances!GF147=0),ROUNDUP(BG158+'Délai intermédiaire'!BH147/24,0),0)</f>
        <v>0</v>
      </c>
      <c r="BH202" s="14">
        <f>IF(AND(Distances!DU147=0,Distances!GG147=0),ROUNDUP(BH158+'Délai intermédiaire'!BI147/24,0),0)</f>
        <v>0</v>
      </c>
      <c r="BI202" s="14">
        <f>IF(AND(Distances!DV147=0,Distances!GH147=0),ROUNDUP(BI158+'Délai intermédiaire'!BJ147/24,0),0)</f>
        <v>0</v>
      </c>
      <c r="BJ202" s="15">
        <f>IF(AND(Distances!DW147=0,Distances!GI147=0),ROUNDUP(BJ158+'Délai intermédiaire'!BK147/24,0),0)</f>
        <v>0</v>
      </c>
    </row>
    <row r="203" spans="1:62" x14ac:dyDescent="0.3">
      <c r="A203" s="10" t="s">
        <v>44</v>
      </c>
      <c r="B203" s="16">
        <f>IF(AND(Distances!BO148=0,Distances!EA148=0),ROUNDUP(B158+'Délai intermédiaire'!C148/24,0),0)</f>
        <v>0</v>
      </c>
      <c r="C203" s="14">
        <f>IF(AND(Distances!BP148=0,Distances!EB148=0),ROUNDUP(C158+'Délai intermédiaire'!D148/24,0),0)</f>
        <v>0</v>
      </c>
      <c r="D203" s="14">
        <f>IF(AND(Distances!BQ148=0,Distances!EC148=0),ROUNDUP(D158+'Délai intermédiaire'!E148/24,0),0)</f>
        <v>0</v>
      </c>
      <c r="E203" s="14">
        <f>IF(AND(Distances!BR148=0,Distances!ED148=0),ROUNDUP(E158+'Délai intermédiaire'!F148/24,0),0)</f>
        <v>0</v>
      </c>
      <c r="F203" s="14">
        <f>IF(AND(Distances!BS148=0,Distances!EE148=0),ROUNDUP(F158+'Délai intermédiaire'!G148/24,0),0)</f>
        <v>0</v>
      </c>
      <c r="G203" s="14">
        <f>IF(AND(Distances!BT148=0,Distances!EF148=0),ROUNDUP(G158+'Délai intermédiaire'!H148/24,0),0)</f>
        <v>0</v>
      </c>
      <c r="H203" s="14">
        <f>IF(AND(Distances!BU148=0,Distances!EG148=0),ROUNDUP(H158+'Délai intermédiaire'!I148/24,0),0)</f>
        <v>0</v>
      </c>
      <c r="I203" s="14">
        <f>IF(AND(Distances!BV148=0,Distances!EH148=0),ROUNDUP(I158+'Délai intermédiaire'!J148/24,0),0)</f>
        <v>0</v>
      </c>
      <c r="J203" s="14">
        <f>IF(AND(Distances!BW148=0,Distances!EI148=0),ROUNDUP(J158+'Délai intermédiaire'!K148/24,0),0)</f>
        <v>0</v>
      </c>
      <c r="K203" s="14">
        <f>IF(AND(Distances!BX148=0,Distances!EJ148=0),ROUNDUP(K158+'Délai intermédiaire'!L148/24,0),0)</f>
        <v>0</v>
      </c>
      <c r="L203" s="14">
        <f>IF(AND(Distances!BY148=0,Distances!EK148=0),ROUNDUP(L158+'Délai intermédiaire'!M148/24,0),0)</f>
        <v>0</v>
      </c>
      <c r="M203" s="14">
        <f>IF(AND(Distances!BZ148=0,Distances!EL148=0),ROUNDUP(M158+'Délai intermédiaire'!N148/24,0),0)</f>
        <v>0</v>
      </c>
      <c r="N203" s="14">
        <f>IF(AND(Distances!CA148=0,Distances!EM148=0),ROUNDUP(N158+'Délai intermédiaire'!O148/24,0),0)</f>
        <v>0</v>
      </c>
      <c r="O203" s="14">
        <f>IF(AND(Distances!CB148=0,Distances!EN148=0),ROUNDUP(O158+'Délai intermédiaire'!P148/24,0),0)</f>
        <v>0</v>
      </c>
      <c r="P203" s="14">
        <f>IF(AND(Distances!CC148=0,Distances!EO148=0),ROUNDUP(P158+'Délai intermédiaire'!Q148/24,0),0)</f>
        <v>0</v>
      </c>
      <c r="Q203" s="14">
        <f>IF(AND(Distances!CD148=0,Distances!EP148=0),ROUNDUP(Q158+'Délai intermédiaire'!R148/24,0),0)</f>
        <v>0</v>
      </c>
      <c r="R203" s="14">
        <f>IF(AND(Distances!CE148=0,Distances!EQ148=0),ROUNDUP(R158+'Délai intermédiaire'!S148/24,0),0)</f>
        <v>0</v>
      </c>
      <c r="S203" s="14">
        <f>IF(AND(Distances!CF148=0,Distances!ER148=0),ROUNDUP(S158+'Délai intermédiaire'!T148/24,0),0)</f>
        <v>0</v>
      </c>
      <c r="T203" s="14">
        <f>IF(AND(Distances!CG148=0,Distances!ES148=0),ROUNDUP(T158+'Délai intermédiaire'!U148/24,0),0)</f>
        <v>0</v>
      </c>
      <c r="U203" s="14">
        <f>IF(AND(Distances!CH148=0,Distances!ET148=0),ROUNDUP(U158+'Délai intermédiaire'!V148/24,0),0)</f>
        <v>0</v>
      </c>
      <c r="V203" s="14">
        <f>IF(AND(Distances!CI148=0,Distances!EU148=0),ROUNDUP(V158+'Délai intermédiaire'!W148/24,0),0)</f>
        <v>0</v>
      </c>
      <c r="W203" s="14">
        <f>IF(AND(Distances!CJ148=0,Distances!EV148=0),ROUNDUP(W158+'Délai intermédiaire'!X148/24,0),0)</f>
        <v>0</v>
      </c>
      <c r="X203" s="14">
        <f>IF(AND(Distances!CK148=0,Distances!EW148=0),ROUNDUP(X158+'Délai intermédiaire'!Y148/24,0),0)</f>
        <v>0</v>
      </c>
      <c r="Y203" s="14">
        <f>IF(AND(Distances!CL148=0,Distances!EX148=0),ROUNDUP(Y158+'Délai intermédiaire'!Z148/24,0),0)</f>
        <v>0</v>
      </c>
      <c r="Z203" s="14">
        <f>IF(AND(Distances!CM148=0,Distances!EY148=0),ROUNDUP(Z158+'Délai intermédiaire'!AA148/24,0),0)</f>
        <v>0</v>
      </c>
      <c r="AA203" s="14">
        <f>IF(AND(Distances!CN148=0,Distances!EZ148=0),ROUNDUP(AA158+'Délai intermédiaire'!AB148/24,0),0)</f>
        <v>0</v>
      </c>
      <c r="AB203" s="14">
        <f>IF(AND(Distances!CO148=0,Distances!FA148=0),ROUNDUP(AB158+'Délai intermédiaire'!AC148/24,0),0)</f>
        <v>0</v>
      </c>
      <c r="AC203" s="14">
        <f>IF(AND(Distances!CP148=0,Distances!FB148=0),ROUNDUP(AC158+'Délai intermédiaire'!AD148/24,0),0)</f>
        <v>0</v>
      </c>
      <c r="AD203" s="14">
        <f>IF(AND(Distances!CQ148=0,Distances!FC148=0),ROUNDUP(AD158+'Délai intermédiaire'!AE148/24,0),0)</f>
        <v>0</v>
      </c>
      <c r="AE203" s="14">
        <f>IF(AND(Distances!CR148=0,Distances!FD148=0),ROUNDUP(AE158+'Délai intermédiaire'!AF148/24,0),0)</f>
        <v>0</v>
      </c>
      <c r="AF203" s="14">
        <f>IF(AND(Distances!CS148=0,Distances!FE148=0),ROUNDUP(AF158+'Délai intermédiaire'!AG148/24,0),0)</f>
        <v>0</v>
      </c>
      <c r="AG203" s="14">
        <f>IF(AND(Distances!CT148=0,Distances!FF148=0),ROUNDUP(AG158+'Délai intermédiaire'!AH148/24,0),0)</f>
        <v>0</v>
      </c>
      <c r="AH203" s="13">
        <f>IF(AND(Distances!CU148=0,Distances!FG148=0),ROUNDUP(AH158+'Délai intermédiaire'!AI148/24,0),0)</f>
        <v>0</v>
      </c>
      <c r="AI203" s="13">
        <f>IF(AND(Distances!CV148=0,Distances!FH148=0),ROUNDUP(AI158+'Délai intermédiaire'!AJ148/24,0),0)</f>
        <v>0</v>
      </c>
      <c r="AJ203" s="13">
        <f>IF(AND(Distances!CW148=0,Distances!FI148=0),ROUNDUP(AJ158+'Délai intermédiaire'!AK148/24,0),0)</f>
        <v>0</v>
      </c>
      <c r="AK203" s="13">
        <f>IF(AND(Distances!CX148=0,Distances!FJ148=0),ROUNDUP(AK158+'Délai intermédiaire'!AL148/24,0),0)</f>
        <v>0</v>
      </c>
      <c r="AL203" s="13">
        <f>IF(AND(Distances!CY148=0,Distances!FK148=0),ROUNDUP(AL158+'Délai intermédiaire'!AM148/24,0),0)</f>
        <v>0</v>
      </c>
      <c r="AM203" s="13">
        <f>IF(AND(Distances!CZ148=0,Distances!FL148=0),ROUNDUP(AM158+'Délai intermédiaire'!AN148/24,0),0)</f>
        <v>0</v>
      </c>
      <c r="AN203" s="13">
        <f>IF(AND(Distances!DA148=0,Distances!FM148=0),ROUNDUP(AN158+'Délai intermédiaire'!AO148/24,0),0)</f>
        <v>0</v>
      </c>
      <c r="AO203" s="14">
        <f>IF(AND(Distances!DB148=0,Distances!FN148=0),ROUNDUP(AO158+'Délai intermédiaire'!AP148/24,0),0)</f>
        <v>0</v>
      </c>
      <c r="AP203" s="14">
        <f>IF(AND(Distances!DC148=0,Distances!FO148=0),ROUNDUP(AP158+'Délai intermédiaire'!AQ148/24,0),0)</f>
        <v>0</v>
      </c>
      <c r="AQ203" s="14">
        <f>IF(AND(Distances!DD148=0,Distances!FP148=0),ROUNDUP(AQ158+'Délai intermédiaire'!AR148/24,0),0)</f>
        <v>0</v>
      </c>
      <c r="AR203" s="13">
        <f>IF(AND(Distances!DE148=0,Distances!FQ148=0),ROUNDUP(AR158+'Délai intermédiaire'!AS148/24,0),0)</f>
        <v>0</v>
      </c>
      <c r="AS203" s="12">
        <f>IF(AND(Distances!DF148=0,Distances!FR148=0),ROUNDUP(AS158+'Délai intermédiaire'!AT148/24,0),0)</f>
        <v>2</v>
      </c>
      <c r="AT203" s="13">
        <f>IF(AND(Distances!DG148=0,Distances!FS148=0),ROUNDUP(AT158+'Délai intermédiaire'!AU148/24,0),0)</f>
        <v>0</v>
      </c>
      <c r="AU203" s="13">
        <f>IF(AND(Distances!DH148=0,Distances!FT148=0),ROUNDUP(AU158+'Délai intermédiaire'!AV148/24,0),0)</f>
        <v>0</v>
      </c>
      <c r="AV203" s="13">
        <f>IF(AND(Distances!DI148=0,Distances!FU148=0),ROUNDUP(AV158+'Délai intermédiaire'!AW148/24,0),0)</f>
        <v>0</v>
      </c>
      <c r="AW203" s="13">
        <f>IF(AND(Distances!DJ148=0,Distances!FV148=0),ROUNDUP(AW158+'Délai intermédiaire'!AX148/24,0),0)</f>
        <v>0</v>
      </c>
      <c r="AX203" s="13">
        <f>IF(AND(Distances!DK148=0,Distances!FW148=0),ROUNDUP(AX158+'Délai intermédiaire'!AY148/24,0),0)</f>
        <v>0</v>
      </c>
      <c r="AY203" s="12">
        <f>IF(AND(Distances!DL148=0,Distances!FX148=0),ROUNDUP(AY158+'Délai intermédiaire'!AZ148/24,0),0)</f>
        <v>0</v>
      </c>
      <c r="AZ203" s="12">
        <f>IF(AND(Distances!DM148=0,Distances!FY148=0),ROUNDUP(AZ158+'Délai intermédiaire'!BA148/24,0),0)</f>
        <v>0</v>
      </c>
      <c r="BA203" s="13">
        <f>IF(AND(Distances!DN148=0,Distances!FZ148=0),ROUNDUP(BA158+'Délai intermédiaire'!BB148/24,0),0)</f>
        <v>0</v>
      </c>
      <c r="BB203" s="14">
        <f>IF(AND(Distances!DO148=0,Distances!GA148=0),ROUNDUP(BB158+'Délai intermédiaire'!BC148/24,0),0)</f>
        <v>0</v>
      </c>
      <c r="BC203" s="13">
        <f>IF(AND(Distances!DP148=0,Distances!GB148=0),ROUNDUP(BC158+'Délai intermédiaire'!BD148/24,0),0)</f>
        <v>0</v>
      </c>
      <c r="BD203" s="13">
        <f>IF(AND(Distances!DQ148=0,Distances!GC148=0),ROUNDUP(BD158+'Délai intermédiaire'!BE148/24,0),0)</f>
        <v>0</v>
      </c>
      <c r="BE203" s="13">
        <f>IF(AND(Distances!DR148=0,Distances!GD148=0),ROUNDUP(BE158+'Délai intermédiaire'!BF148/24,0),0)</f>
        <v>0</v>
      </c>
      <c r="BF203" s="14">
        <f>IF(AND(Distances!DS148=0,Distances!GE148=0),ROUNDUP(BF158+'Délai intermédiaire'!BG148/24,0),0)</f>
        <v>0</v>
      </c>
      <c r="BG203" s="14">
        <f>IF(AND(Distances!DT148=0,Distances!GF148=0),ROUNDUP(BG158+'Délai intermédiaire'!BH148/24,0),0)</f>
        <v>0</v>
      </c>
      <c r="BH203" s="14">
        <f>IF(AND(Distances!DU148=0,Distances!GG148=0),ROUNDUP(BH158+'Délai intermédiaire'!BI148/24,0),0)</f>
        <v>0</v>
      </c>
      <c r="BI203" s="14">
        <f>IF(AND(Distances!DV148=0,Distances!GH148=0),ROUNDUP(BI158+'Délai intermédiaire'!BJ148/24,0),0)</f>
        <v>0</v>
      </c>
      <c r="BJ203" s="15">
        <f>IF(AND(Distances!DW148=0,Distances!GI148=0),ROUNDUP(BJ158+'Délai intermédiaire'!BK148/24,0),0)</f>
        <v>0</v>
      </c>
    </row>
    <row r="204" spans="1:62" x14ac:dyDescent="0.3">
      <c r="A204" s="20" t="s">
        <v>45</v>
      </c>
      <c r="B204" s="21">
        <f>IF(AND(Distances!BO149=0,Distances!EA149=0),ROUNDUP(B158+'Délai intermédiaire'!C149/24,0),0)</f>
        <v>0</v>
      </c>
      <c r="C204" s="22">
        <f>IF(AND(Distances!BP149=0,Distances!EB149=0),ROUNDUP(C158+'Délai intermédiaire'!D149/24,0),0)</f>
        <v>0</v>
      </c>
      <c r="D204" s="22">
        <f>IF(AND(Distances!BQ149=0,Distances!EC149=0),ROUNDUP(D158+'Délai intermédiaire'!E149/24,0),0)</f>
        <v>0</v>
      </c>
      <c r="E204" s="22">
        <f>IF(AND(Distances!BR149=0,Distances!ED149=0),ROUNDUP(E158+'Délai intermédiaire'!F149/24,0),0)</f>
        <v>0</v>
      </c>
      <c r="F204" s="22">
        <f>IF(AND(Distances!BS149=0,Distances!EE149=0),ROUNDUP(F158+'Délai intermédiaire'!G149/24,0),0)</f>
        <v>0</v>
      </c>
      <c r="G204" s="22">
        <f>IF(AND(Distances!BT149=0,Distances!EF149=0),ROUNDUP(G158+'Délai intermédiaire'!H149/24,0),0)</f>
        <v>0</v>
      </c>
      <c r="H204" s="22">
        <f>IF(AND(Distances!BU149=0,Distances!EG149=0),ROUNDUP(H158+'Délai intermédiaire'!I149/24,0),0)</f>
        <v>0</v>
      </c>
      <c r="I204" s="22">
        <f>IF(AND(Distances!BV149=0,Distances!EH149=0),ROUNDUP(I158+'Délai intermédiaire'!J149/24,0),0)</f>
        <v>0</v>
      </c>
      <c r="J204" s="22">
        <f>IF(AND(Distances!BW149=0,Distances!EI149=0),ROUNDUP(J158+'Délai intermédiaire'!K149/24,0),0)</f>
        <v>0</v>
      </c>
      <c r="K204" s="22">
        <f>IF(AND(Distances!BX149=0,Distances!EJ149=0),ROUNDUP(K158+'Délai intermédiaire'!L149/24,0),0)</f>
        <v>0</v>
      </c>
      <c r="L204" s="22">
        <f>IF(AND(Distances!BY149=0,Distances!EK149=0),ROUNDUP(L158+'Délai intermédiaire'!M149/24,0),0)</f>
        <v>0</v>
      </c>
      <c r="M204" s="22">
        <f>IF(AND(Distances!BZ149=0,Distances!EL149=0),ROUNDUP(M158+'Délai intermédiaire'!N149/24,0),0)</f>
        <v>0</v>
      </c>
      <c r="N204" s="22">
        <f>IF(AND(Distances!CA149=0,Distances!EM149=0),ROUNDUP(N158+'Délai intermédiaire'!O149/24,0),0)</f>
        <v>0</v>
      </c>
      <c r="O204" s="22">
        <f>IF(AND(Distances!CB149=0,Distances!EN149=0),ROUNDUP(O158+'Délai intermédiaire'!P149/24,0),0)</f>
        <v>0</v>
      </c>
      <c r="P204" s="22">
        <f>IF(AND(Distances!CC149=0,Distances!EO149=0),ROUNDUP(P158+'Délai intermédiaire'!Q149/24,0),0)</f>
        <v>0</v>
      </c>
      <c r="Q204" s="22">
        <f>IF(AND(Distances!CD149=0,Distances!EP149=0),ROUNDUP(Q158+'Délai intermédiaire'!R149/24,0),0)</f>
        <v>0</v>
      </c>
      <c r="R204" s="22">
        <f>IF(AND(Distances!CE149=0,Distances!EQ149=0),ROUNDUP(R158+'Délai intermédiaire'!S149/24,0),0)</f>
        <v>0</v>
      </c>
      <c r="S204" s="22">
        <f>IF(AND(Distances!CF149=0,Distances!ER149=0),ROUNDUP(S158+'Délai intermédiaire'!T149/24,0),0)</f>
        <v>0</v>
      </c>
      <c r="T204" s="22">
        <f>IF(AND(Distances!CG149=0,Distances!ES149=0),ROUNDUP(T158+'Délai intermédiaire'!U149/24,0),0)</f>
        <v>0</v>
      </c>
      <c r="U204" s="22">
        <f>IF(AND(Distances!CH149=0,Distances!ET149=0),ROUNDUP(U158+'Délai intermédiaire'!V149/24,0),0)</f>
        <v>0</v>
      </c>
      <c r="V204" s="22">
        <f>IF(AND(Distances!CI149=0,Distances!EU149=0),ROUNDUP(V158+'Délai intermédiaire'!W149/24,0),0)</f>
        <v>0</v>
      </c>
      <c r="W204" s="22">
        <f>IF(AND(Distances!CJ149=0,Distances!EV149=0),ROUNDUP(W158+'Délai intermédiaire'!X149/24,0),0)</f>
        <v>0</v>
      </c>
      <c r="X204" s="22">
        <f>IF(AND(Distances!CK149=0,Distances!EW149=0),ROUNDUP(X158+'Délai intermédiaire'!Y149/24,0),0)</f>
        <v>0</v>
      </c>
      <c r="Y204" s="22">
        <f>IF(AND(Distances!CL149=0,Distances!EX149=0),ROUNDUP(Y158+'Délai intermédiaire'!Z149/24,0),0)</f>
        <v>0</v>
      </c>
      <c r="Z204" s="22">
        <f>IF(AND(Distances!CM149=0,Distances!EY149=0),ROUNDUP(Z158+'Délai intermédiaire'!AA149/24,0),0)</f>
        <v>0</v>
      </c>
      <c r="AA204" s="22">
        <f>IF(AND(Distances!CN149=0,Distances!EZ149=0),ROUNDUP(AA158+'Délai intermédiaire'!AB149/24,0),0)</f>
        <v>0</v>
      </c>
      <c r="AB204" s="22">
        <f>IF(AND(Distances!CO149=0,Distances!FA149=0),ROUNDUP(AB158+'Délai intermédiaire'!AC149/24,0),0)</f>
        <v>0</v>
      </c>
      <c r="AC204" s="22">
        <f>IF(AND(Distances!CP149=0,Distances!FB149=0),ROUNDUP(AC158+'Délai intermédiaire'!AD149/24,0),0)</f>
        <v>0</v>
      </c>
      <c r="AD204" s="22">
        <f>IF(AND(Distances!CQ149=0,Distances!FC149=0),ROUNDUP(AD158+'Délai intermédiaire'!AE149/24,0),0)</f>
        <v>0</v>
      </c>
      <c r="AE204" s="22">
        <f>IF(AND(Distances!CR149=0,Distances!FD149=0),ROUNDUP(AE158+'Délai intermédiaire'!AF149/24,0),0)</f>
        <v>0</v>
      </c>
      <c r="AF204" s="22">
        <f>IF(AND(Distances!CS149=0,Distances!FE149=0),ROUNDUP(AF158+'Délai intermédiaire'!AG149/24,0),0)</f>
        <v>0</v>
      </c>
      <c r="AG204" s="22">
        <f>IF(AND(Distances!CT149=0,Distances!FF149=0),ROUNDUP(AG158+'Délai intermédiaire'!AH149/24,0),0)</f>
        <v>0</v>
      </c>
      <c r="AH204" s="23">
        <f>IF(AND(Distances!CU149=0,Distances!FG149=0),ROUNDUP(AH158+'Délai intermédiaire'!AI149/24,0),0)</f>
        <v>0</v>
      </c>
      <c r="AI204" s="23">
        <f>IF(AND(Distances!CV149=0,Distances!FH149=0),ROUNDUP(AI158+'Délai intermédiaire'!AJ149/24,0),0)</f>
        <v>0</v>
      </c>
      <c r="AJ204" s="23">
        <f>IF(AND(Distances!CW149=0,Distances!FI149=0),ROUNDUP(AJ158+'Délai intermédiaire'!AK149/24,0),0)</f>
        <v>0</v>
      </c>
      <c r="AK204" s="23">
        <f>IF(AND(Distances!CX149=0,Distances!FJ149=0),ROUNDUP(AK158+'Délai intermédiaire'!AL149/24,0),0)</f>
        <v>0</v>
      </c>
      <c r="AL204" s="23">
        <f>IF(AND(Distances!CY149=0,Distances!FK149=0),ROUNDUP(AL158+'Délai intermédiaire'!AM149/24,0),0)</f>
        <v>0</v>
      </c>
      <c r="AM204" s="23">
        <f>IF(AND(Distances!CZ149=0,Distances!FL149=0),ROUNDUP(AM158+'Délai intermédiaire'!AN149/24,0),0)</f>
        <v>0</v>
      </c>
      <c r="AN204" s="23">
        <f>IF(AND(Distances!DA149=0,Distances!FM149=0),ROUNDUP(AN158+'Délai intermédiaire'!AO149/24,0),0)</f>
        <v>0</v>
      </c>
      <c r="AO204" s="22">
        <f>IF(AND(Distances!DB149=0,Distances!FN149=0),ROUNDUP(AO158+'Délai intermédiaire'!AP149/24,0),0)</f>
        <v>0</v>
      </c>
      <c r="AP204" s="22">
        <f>IF(AND(Distances!DC149=0,Distances!FO149=0),ROUNDUP(AP158+'Délai intermédiaire'!AQ149/24,0),0)</f>
        <v>0</v>
      </c>
      <c r="AQ204" s="22">
        <f>IF(AND(Distances!DD149=0,Distances!FP149=0),ROUNDUP(AQ158+'Délai intermédiaire'!AR149/24,0),0)</f>
        <v>0</v>
      </c>
      <c r="AR204" s="23">
        <f>IF(AND(Distances!DE149=0,Distances!FQ149=0),ROUNDUP(AR158+'Délai intermédiaire'!AS149/24,0),0)</f>
        <v>0</v>
      </c>
      <c r="AS204" s="23">
        <f>IF(AND(Distances!DF149=0,Distances!FR149=0),ROUNDUP(AS158+'Délai intermédiaire'!AT149/24,0),0)</f>
        <v>0</v>
      </c>
      <c r="AT204" s="24">
        <f>IF(AND(Distances!DG149=0,Distances!FS149=0),ROUNDUP(AT158+'Délai intermédiaire'!AU149/24,0),0)</f>
        <v>2</v>
      </c>
      <c r="AU204" s="23">
        <f>IF(AND(Distances!DH149=0,Distances!FT149=0),ROUNDUP(AU158+'Délai intermédiaire'!AV149/24,0),0)</f>
        <v>0</v>
      </c>
      <c r="AV204" s="23">
        <f>IF(AND(Distances!DI149=0,Distances!FU149=0),ROUNDUP(AV158+'Délai intermédiaire'!AW149/24,0),0)</f>
        <v>0</v>
      </c>
      <c r="AW204" s="23">
        <f>IF(AND(Distances!DJ149=0,Distances!FV149=0),ROUNDUP(AW158+'Délai intermédiaire'!AX149/24,0),0)</f>
        <v>0</v>
      </c>
      <c r="AX204" s="23">
        <f>IF(AND(Distances!DK149=0,Distances!FW149=0),ROUNDUP(AX158+'Délai intermédiaire'!AY149/24,0),0)</f>
        <v>0</v>
      </c>
      <c r="AY204" s="22">
        <f>IF(AND(Distances!DL149=0,Distances!FX149=0),ROUNDUP(AY158+'Délai intermédiaire'!AZ149/24,0),0)</f>
        <v>0</v>
      </c>
      <c r="AZ204" s="22">
        <f>IF(AND(Distances!DM149=0,Distances!FY149=0),ROUNDUP(AZ158+'Délai intermédiaire'!BA149/24,0),0)</f>
        <v>0</v>
      </c>
      <c r="BA204" s="24">
        <f>IF(AND(Distances!DN149=0,Distances!FZ149=0),ROUNDUP(BA158+'Délai intermédiaire'!BB149/24,0),0)</f>
        <v>0</v>
      </c>
      <c r="BB204" s="22">
        <f>IF(AND(Distances!DO149=0,Distances!GA149=0),ROUNDUP(BB158+'Délai intermédiaire'!BC149/24,0),0)</f>
        <v>0</v>
      </c>
      <c r="BC204" s="23">
        <f>IF(AND(Distances!DP149=0,Distances!GB149=0),ROUNDUP(BC158+'Délai intermédiaire'!BD149/24,0),0)</f>
        <v>0</v>
      </c>
      <c r="BD204" s="23">
        <f>IF(AND(Distances!DQ149=0,Distances!GC149=0),ROUNDUP(BD158+'Délai intermédiaire'!BE149/24,0),0)</f>
        <v>0</v>
      </c>
      <c r="BE204" s="23">
        <f>IF(AND(Distances!DR149=0,Distances!GD149=0),ROUNDUP(BE158+'Délai intermédiaire'!BF149/24,0),0)</f>
        <v>0</v>
      </c>
      <c r="BF204" s="22">
        <f>IF(AND(Distances!DS149=0,Distances!GE149=0),ROUNDUP(BF158+'Délai intermédiaire'!BG149/24,0),0)</f>
        <v>0</v>
      </c>
      <c r="BG204" s="22">
        <f>IF(AND(Distances!DT149=0,Distances!GF149=0),ROUNDUP(BG158+'Délai intermédiaire'!BH149/24,0),0)</f>
        <v>0</v>
      </c>
      <c r="BH204" s="22">
        <f>IF(AND(Distances!DU149=0,Distances!GG149=0),ROUNDUP(BH158+'Délai intermédiaire'!BI149/24,0),0)</f>
        <v>0</v>
      </c>
      <c r="BI204" s="22">
        <f>IF(AND(Distances!DV149=0,Distances!GH149=0),ROUNDUP(BI158+'Délai intermédiaire'!BJ149/24,0),0)</f>
        <v>0</v>
      </c>
      <c r="BJ204" s="25">
        <f>IF(AND(Distances!DW149=0,Distances!GI149=0),ROUNDUP(BJ158+'Délai intermédiaire'!BK149/24,0),0)</f>
        <v>0</v>
      </c>
    </row>
    <row r="207" spans="1:62" ht="21" x14ac:dyDescent="0.3">
      <c r="A207" s="55" t="s">
        <v>137</v>
      </c>
      <c r="B207" s="57"/>
      <c r="C207" s="56"/>
    </row>
    <row r="209" spans="1:62" x14ac:dyDescent="0.3">
      <c r="A209" s="44" t="s">
        <v>132</v>
      </c>
      <c r="B209" s="45">
        <v>1</v>
      </c>
      <c r="C209" s="46">
        <v>1</v>
      </c>
      <c r="D209" s="46">
        <v>1</v>
      </c>
      <c r="E209" s="46">
        <v>1</v>
      </c>
      <c r="F209" s="46">
        <v>1</v>
      </c>
      <c r="G209" s="46">
        <v>1</v>
      </c>
      <c r="H209" s="46">
        <v>1</v>
      </c>
      <c r="I209" s="46">
        <v>1</v>
      </c>
      <c r="J209" s="46">
        <v>2</v>
      </c>
      <c r="K209" s="46">
        <v>2</v>
      </c>
      <c r="L209" s="46">
        <v>2</v>
      </c>
      <c r="M209" s="46">
        <v>2</v>
      </c>
      <c r="N209" s="46">
        <v>2</v>
      </c>
      <c r="O209" s="46">
        <v>2</v>
      </c>
      <c r="P209" s="46">
        <v>2</v>
      </c>
      <c r="Q209" s="46">
        <v>1</v>
      </c>
      <c r="R209" s="46">
        <v>1</v>
      </c>
      <c r="S209" s="46">
        <v>1</v>
      </c>
      <c r="T209" s="46">
        <v>1</v>
      </c>
      <c r="U209" s="46">
        <v>1</v>
      </c>
      <c r="V209" s="46">
        <v>1</v>
      </c>
      <c r="W209" s="46">
        <v>1</v>
      </c>
      <c r="X209" s="46">
        <v>1</v>
      </c>
      <c r="Y209" s="46">
        <v>1</v>
      </c>
      <c r="Z209" s="46">
        <v>2</v>
      </c>
      <c r="AA209" s="46">
        <v>2</v>
      </c>
      <c r="AB209" s="46">
        <v>1</v>
      </c>
      <c r="AC209" s="46">
        <v>1</v>
      </c>
      <c r="AD209" s="46">
        <v>2</v>
      </c>
      <c r="AE209" s="46">
        <v>2</v>
      </c>
      <c r="AF209" s="46">
        <v>1</v>
      </c>
      <c r="AG209" s="46">
        <v>2</v>
      </c>
      <c r="AH209" s="46">
        <v>2</v>
      </c>
      <c r="AI209" s="46">
        <v>2</v>
      </c>
      <c r="AJ209" s="46">
        <v>2</v>
      </c>
      <c r="AK209" s="46">
        <v>2</v>
      </c>
      <c r="AL209" s="46">
        <v>1</v>
      </c>
      <c r="AM209" s="46">
        <v>1</v>
      </c>
      <c r="AN209" s="46">
        <v>1</v>
      </c>
      <c r="AO209" s="46">
        <v>2</v>
      </c>
      <c r="AP209" s="46">
        <v>2</v>
      </c>
      <c r="AQ209" s="46">
        <v>2</v>
      </c>
      <c r="AR209" s="46">
        <v>2</v>
      </c>
      <c r="AS209" s="46">
        <v>2</v>
      </c>
      <c r="AT209" s="46">
        <v>2</v>
      </c>
      <c r="AU209" s="46">
        <v>2</v>
      </c>
      <c r="AV209" s="46">
        <v>3</v>
      </c>
      <c r="AW209" s="46">
        <v>3</v>
      </c>
      <c r="AX209" s="46">
        <v>3</v>
      </c>
      <c r="AY209" s="46">
        <v>2</v>
      </c>
      <c r="AZ209" s="46">
        <v>2</v>
      </c>
      <c r="BA209" s="46">
        <v>2</v>
      </c>
      <c r="BB209" s="46">
        <v>2</v>
      </c>
      <c r="BC209" s="46">
        <v>2</v>
      </c>
      <c r="BD209" s="46">
        <v>2</v>
      </c>
      <c r="BE209" s="46">
        <v>2</v>
      </c>
      <c r="BF209" s="46">
        <v>2</v>
      </c>
      <c r="BG209" s="46">
        <v>2</v>
      </c>
      <c r="BH209" s="46">
        <v>2</v>
      </c>
      <c r="BI209" s="46">
        <v>2</v>
      </c>
      <c r="BJ209" s="47">
        <v>2</v>
      </c>
    </row>
    <row r="210" spans="1:62" x14ac:dyDescent="0.3">
      <c r="A210" s="1" t="s">
        <v>66</v>
      </c>
      <c r="B210" s="2" t="s">
        <v>1</v>
      </c>
      <c r="C210" s="3" t="s">
        <v>2</v>
      </c>
      <c r="D210" s="3" t="s">
        <v>3</v>
      </c>
      <c r="E210" s="3" t="s">
        <v>4</v>
      </c>
      <c r="F210" s="3" t="s">
        <v>5</v>
      </c>
      <c r="G210" s="3" t="s">
        <v>6</v>
      </c>
      <c r="H210" s="3" t="s">
        <v>7</v>
      </c>
      <c r="I210" s="3" t="s">
        <v>8</v>
      </c>
      <c r="J210" s="3" t="s">
        <v>9</v>
      </c>
      <c r="K210" s="3" t="s">
        <v>10</v>
      </c>
      <c r="L210" s="3" t="s">
        <v>11</v>
      </c>
      <c r="M210" s="3" t="s">
        <v>12</v>
      </c>
      <c r="N210" s="3" t="s">
        <v>13</v>
      </c>
      <c r="O210" s="3" t="s">
        <v>14</v>
      </c>
      <c r="P210" s="3" t="s">
        <v>15</v>
      </c>
      <c r="Q210" s="3" t="s">
        <v>16</v>
      </c>
      <c r="R210" s="3" t="s">
        <v>17</v>
      </c>
      <c r="S210" s="3" t="s">
        <v>18</v>
      </c>
      <c r="T210" s="3" t="s">
        <v>19</v>
      </c>
      <c r="U210" s="3" t="s">
        <v>20</v>
      </c>
      <c r="V210" s="3" t="s">
        <v>21</v>
      </c>
      <c r="W210" s="3" t="s">
        <v>22</v>
      </c>
      <c r="X210" s="3" t="s">
        <v>23</v>
      </c>
      <c r="Y210" s="3" t="s">
        <v>24</v>
      </c>
      <c r="Z210" s="3" t="s">
        <v>25</v>
      </c>
      <c r="AA210" s="3" t="s">
        <v>26</v>
      </c>
      <c r="AB210" s="3" t="s">
        <v>27</v>
      </c>
      <c r="AC210" s="3" t="s">
        <v>28</v>
      </c>
      <c r="AD210" s="3" t="s">
        <v>29</v>
      </c>
      <c r="AE210" s="3" t="s">
        <v>30</v>
      </c>
      <c r="AF210" s="3" t="s">
        <v>31</v>
      </c>
      <c r="AG210" s="3" t="s">
        <v>133</v>
      </c>
      <c r="AH210" s="3" t="s">
        <v>33</v>
      </c>
      <c r="AI210" s="3" t="s">
        <v>34</v>
      </c>
      <c r="AJ210" s="3" t="s">
        <v>35</v>
      </c>
      <c r="AK210" s="3" t="s">
        <v>36</v>
      </c>
      <c r="AL210" s="3" t="s">
        <v>37</v>
      </c>
      <c r="AM210" s="3" t="s">
        <v>38</v>
      </c>
      <c r="AN210" s="3" t="s">
        <v>39</v>
      </c>
      <c r="AO210" s="3" t="s">
        <v>40</v>
      </c>
      <c r="AP210" s="3" t="s">
        <v>41</v>
      </c>
      <c r="AQ210" s="3" t="s">
        <v>42</v>
      </c>
      <c r="AR210" s="3" t="s">
        <v>43</v>
      </c>
      <c r="AS210" s="3" t="s">
        <v>44</v>
      </c>
      <c r="AT210" s="3" t="s">
        <v>45</v>
      </c>
      <c r="AU210" s="3" t="s">
        <v>46</v>
      </c>
      <c r="AV210" s="3" t="s">
        <v>47</v>
      </c>
      <c r="AW210" s="3" t="s">
        <v>48</v>
      </c>
      <c r="AX210" s="3" t="s">
        <v>49</v>
      </c>
      <c r="AY210" s="3" t="s">
        <v>50</v>
      </c>
      <c r="AZ210" s="3" t="s">
        <v>51</v>
      </c>
      <c r="BA210" s="3" t="s">
        <v>52</v>
      </c>
      <c r="BB210" s="3" t="s">
        <v>53</v>
      </c>
      <c r="BC210" s="3" t="s">
        <v>54</v>
      </c>
      <c r="BD210" s="3" t="s">
        <v>55</v>
      </c>
      <c r="BE210" s="3" t="s">
        <v>56</v>
      </c>
      <c r="BF210" s="3" t="s">
        <v>57</v>
      </c>
      <c r="BG210" s="3" t="s">
        <v>58</v>
      </c>
      <c r="BH210" s="3" t="s">
        <v>59</v>
      </c>
      <c r="BI210" s="3" t="s">
        <v>60</v>
      </c>
      <c r="BJ210" s="4" t="s">
        <v>61</v>
      </c>
    </row>
    <row r="211" spans="1:62" x14ac:dyDescent="0.3">
      <c r="A211" s="5" t="s">
        <v>1</v>
      </c>
      <c r="B211" s="6">
        <f>IF(Distances!BO105&lt;&gt;0,ROUNDUP(B209+'Délai intermédiaire'!BO105/24,0),0)</f>
        <v>0</v>
      </c>
      <c r="C211" s="7">
        <f>IF(Distances!BP105&lt;&gt;0,ROUNDUP(C209+'Délai intermédiaire'!BP105/24,0),0)</f>
        <v>0</v>
      </c>
      <c r="D211" s="7">
        <f>IF(Distances!BQ105&lt;&gt;0,ROUNDUP(D209+'Délai intermédiaire'!BQ105/24,0),0)</f>
        <v>4</v>
      </c>
      <c r="E211" s="7">
        <f>IF(Distances!BR105&lt;&gt;0,ROUNDUP(E209+'Délai intermédiaire'!BR105/24,0),0)</f>
        <v>0</v>
      </c>
      <c r="F211" s="7">
        <f>IF(Distances!BS105&lt;&gt;0,ROUNDUP(F209+'Délai intermédiaire'!BS105/24,0),0)</f>
        <v>3</v>
      </c>
      <c r="G211" s="7">
        <f>IF(Distances!BT105&lt;&gt;0,ROUNDUP(G209+'Délai intermédiaire'!BT105/24,0),0)</f>
        <v>9</v>
      </c>
      <c r="H211" s="7">
        <f>IF(Distances!BU105&lt;&gt;0,ROUNDUP(H209+'Délai intermédiaire'!BU105/24,0),0)</f>
        <v>0</v>
      </c>
      <c r="I211" s="7">
        <f>IF(Distances!BV105&lt;&gt;0,ROUNDUP(I209+'Délai intermédiaire'!BV105/24,0),0)</f>
        <v>0</v>
      </c>
      <c r="J211" s="7">
        <f>IF(Distances!BW105&lt;&gt;0,ROUNDUP(J209+'Délai intermédiaire'!BW105/24,0),0)</f>
        <v>7</v>
      </c>
      <c r="K211" s="7">
        <f>IF(Distances!BX105&lt;&gt;0,ROUNDUP(K209+'Délai intermédiaire'!BX105/24,0),0)</f>
        <v>0</v>
      </c>
      <c r="L211" s="7">
        <f>IF(Distances!BY105&lt;&gt;0,ROUNDUP(L209+'Délai intermédiaire'!BY105/24,0),0)</f>
        <v>12</v>
      </c>
      <c r="M211" s="7">
        <f>IF(Distances!BZ105&lt;&gt;0,ROUNDUP(M209+'Délai intermédiaire'!BZ105/24,0),0)</f>
        <v>0</v>
      </c>
      <c r="N211" s="7">
        <f>IF(Distances!CA105&lt;&gt;0,ROUNDUP(N209+'Délai intermédiaire'!CA105/24,0),0)</f>
        <v>4</v>
      </c>
      <c r="O211" s="8">
        <f>IF(Distances!CB105&lt;&gt;0,ROUNDUP(O209+'Délai intermédiaire'!CB105/24,0),0)</f>
        <v>11</v>
      </c>
      <c r="P211" s="8">
        <f>IF(Distances!CC105&lt;&gt;0,ROUNDUP(P209+'Délai intermédiaire'!CC105/24,0),0)</f>
        <v>8</v>
      </c>
      <c r="Q211" s="8">
        <f>IF(Distances!CD105&lt;&gt;0,ROUNDUP(Q209+'Délai intermédiaire'!CD105/24,0),0)</f>
        <v>0</v>
      </c>
      <c r="R211" s="8">
        <f>IF(Distances!CE105&lt;&gt;0,ROUNDUP(R209+'Délai intermédiaire'!CE105/24,0),0)</f>
        <v>0</v>
      </c>
      <c r="S211" s="8">
        <f>IF(Distances!CF105&lt;&gt;0,ROUNDUP(S209+'Délai intermédiaire'!CF105/24,0),0)</f>
        <v>0</v>
      </c>
      <c r="T211" s="8">
        <f>IF(Distances!CG105&lt;&gt;0,ROUNDUP(T209+'Délai intermédiaire'!CG105/24,0),0)</f>
        <v>8</v>
      </c>
      <c r="U211" s="8">
        <f>IF(Distances!CH105&lt;&gt;0,ROUNDUP(U209+'Délai intermédiaire'!CH105/24,0),0)</f>
        <v>9</v>
      </c>
      <c r="V211" s="8">
        <f>IF(Distances!CI105&lt;&gt;0,ROUNDUP(V209+'Délai intermédiaire'!CI105/24,0),0)</f>
        <v>11</v>
      </c>
      <c r="W211" s="8">
        <f>IF(Distances!CJ105&lt;&gt;0,ROUNDUP(W209+'Délai intermédiaire'!CJ105/24,0),0)</f>
        <v>0</v>
      </c>
      <c r="X211" s="8">
        <f>IF(Distances!CK105&lt;&gt;0,ROUNDUP(X209+'Délai intermédiaire'!CK105/24,0),0)</f>
        <v>9</v>
      </c>
      <c r="Y211" s="8">
        <f>IF(Distances!CL105&lt;&gt;0,ROUNDUP(Y209+'Délai intermédiaire'!CL105/24,0),0)</f>
        <v>9</v>
      </c>
      <c r="Z211" s="8">
        <f>IF(Distances!CM105&lt;&gt;0,ROUNDUP(Z209+'Délai intermédiaire'!CM105/24,0),0)</f>
        <v>11</v>
      </c>
      <c r="AA211" s="8">
        <f>IF(Distances!CN105&lt;&gt;0,ROUNDUP(AA209+'Délai intermédiaire'!CN105/24,0),0)</f>
        <v>11</v>
      </c>
      <c r="AB211" s="8">
        <f>IF(Distances!CO105&lt;&gt;0,ROUNDUP(AB209+'Délai intermédiaire'!CO105/24,0),0)</f>
        <v>9</v>
      </c>
      <c r="AC211" s="8">
        <f>IF(Distances!CP105&lt;&gt;0,ROUNDUP(AC209+'Délai intermédiaire'!CP105/24,0),0)</f>
        <v>0</v>
      </c>
      <c r="AD211" s="8">
        <f>IF(Distances!CQ105&lt;&gt;0,ROUNDUP(AD209+'Délai intermédiaire'!CQ105/24,0),0)</f>
        <v>0</v>
      </c>
      <c r="AE211" s="8">
        <f>IF(Distances!CR105&lt;&gt;0,ROUNDUP(AE209+'Délai intermédiaire'!CR105/24,0),0)</f>
        <v>12</v>
      </c>
      <c r="AF211" s="8">
        <f>IF(Distances!CS105&lt;&gt;0,ROUNDUP(AF209+'Délai intermédiaire'!CS105/24,0),0)</f>
        <v>11</v>
      </c>
      <c r="AG211" s="8">
        <f>IF(Distances!CT105&lt;&gt;0,ROUNDUP(AG209+'Délai intermédiaire'!CT105/24,0),0)</f>
        <v>12</v>
      </c>
      <c r="AH211" s="8">
        <f>IF(Distances!CU105&lt;&gt;0,ROUNDUP(AH209+'Délai intermédiaire'!CU105/24,0),0)</f>
        <v>19</v>
      </c>
      <c r="AI211" s="8">
        <f>IF(Distances!CV105&lt;&gt;0,ROUNDUP(AI209+'Délai intermédiaire'!CV105/24,0),0)</f>
        <v>0</v>
      </c>
      <c r="AJ211" s="8">
        <f>IF(Distances!CW105&lt;&gt;0,ROUNDUP(AJ209+'Délai intermédiaire'!CW105/24,0),0)</f>
        <v>18</v>
      </c>
      <c r="AK211" s="8">
        <f>IF(Distances!CX105&lt;&gt;0,ROUNDUP(AK209+'Délai intermédiaire'!CX105/24,0),0)</f>
        <v>0</v>
      </c>
      <c r="AL211" s="8">
        <f>IF(Distances!CY105&lt;&gt;0,ROUNDUP(AL209+'Délai intermédiaire'!CY105/24,0),0)</f>
        <v>0</v>
      </c>
      <c r="AM211" s="8">
        <f>IF(Distances!CZ105&lt;&gt;0,ROUNDUP(AM209+'Délai intermédiaire'!CZ105/24,0),0)</f>
        <v>0</v>
      </c>
      <c r="AN211" s="8">
        <f>IF(Distances!DA105&lt;&gt;0,ROUNDUP(AN209+'Délai intermédiaire'!DA105/24,0),0)</f>
        <v>18</v>
      </c>
      <c r="AO211" s="8">
        <f>IF(Distances!DB105&lt;&gt;0,ROUNDUP(AO209+'Délai intermédiaire'!DB105/24,0),0)</f>
        <v>0</v>
      </c>
      <c r="AP211" s="8">
        <f>IF(Distances!DC105&lt;&gt;0,ROUNDUP(AP209+'Délai intermédiaire'!DC105/24,0),0)</f>
        <v>0</v>
      </c>
      <c r="AQ211" s="8">
        <f>IF(Distances!DD105&lt;&gt;0,ROUNDUP(AQ209+'Délai intermédiaire'!DD105/24,0),0)</f>
        <v>0</v>
      </c>
      <c r="AR211" s="8">
        <f>IF(Distances!DE105&lt;&gt;0,ROUNDUP(AR209+'Délai intermédiaire'!DE105/24,0),0)</f>
        <v>0</v>
      </c>
      <c r="AS211" s="8">
        <f>IF(Distances!DF105&lt;&gt;0,ROUNDUP(AS209+'Délai intermédiaire'!DF105/24,0),0)</f>
        <v>18</v>
      </c>
      <c r="AT211" s="8">
        <f>IF(Distances!DG105&lt;&gt;0,ROUNDUP(AT209+'Délai intermédiaire'!DG105/24,0),0)</f>
        <v>18</v>
      </c>
      <c r="AU211" s="8">
        <f>IF(Distances!DH105&lt;&gt;0,ROUNDUP(AU209+'Délai intermédiaire'!DH105/24,0),0)</f>
        <v>19</v>
      </c>
      <c r="AV211" s="8">
        <f>IF(Distances!DI105&lt;&gt;0,ROUNDUP(AV209+'Délai intermédiaire'!DI105/24,0),0)</f>
        <v>13</v>
      </c>
      <c r="AW211" s="8">
        <f>IF(Distances!DJ105&lt;&gt;0,ROUNDUP(AW209+'Délai intermédiaire'!DJ105/24,0),0)</f>
        <v>15</v>
      </c>
      <c r="AX211" s="8">
        <f>IF(Distances!DK105&lt;&gt;0,ROUNDUP(AX209+'Délai intermédiaire'!DK105/24,0),0)</f>
        <v>0</v>
      </c>
      <c r="AY211" s="8">
        <f>IF(Distances!DL105&lt;&gt;0,ROUNDUP(AY209+'Délai intermédiaire'!DL105/24,0),0)</f>
        <v>0</v>
      </c>
      <c r="AZ211" s="8">
        <f>IF(Distances!DM105&lt;&gt;0,ROUNDUP(AZ209+'Délai intermédiaire'!DM105/24,0),0)</f>
        <v>18</v>
      </c>
      <c r="BA211" s="8">
        <f>IF(Distances!DN105&lt;&gt;0,ROUNDUP(BA209+'Délai intermédiaire'!DN105/24,0),0)</f>
        <v>0</v>
      </c>
      <c r="BB211" s="8">
        <f>IF(Distances!DO105&lt;&gt;0,ROUNDUP(BB209+'Délai intermédiaire'!DO105/24,0),0)</f>
        <v>0</v>
      </c>
      <c r="BC211" s="8">
        <f>IF(Distances!DP105&lt;&gt;0,ROUNDUP(BC209+'Délai intermédiaire'!DP105/24,0),0)</f>
        <v>0</v>
      </c>
      <c r="BD211" s="8">
        <f>IF(Distances!DQ105&lt;&gt;0,ROUNDUP(BD209+'Délai intermédiaire'!DQ105/24,0),0)</f>
        <v>20</v>
      </c>
      <c r="BE211" s="8">
        <f>IF(Distances!DR105&lt;&gt;0,ROUNDUP(BE209+'Délai intermédiaire'!DR105/24,0),0)</f>
        <v>0</v>
      </c>
      <c r="BF211" s="8">
        <f>IF(Distances!DS105&lt;&gt;0,ROUNDUP(BF209+'Délai intermédiaire'!DS105/24,0),0)</f>
        <v>5</v>
      </c>
      <c r="BG211" s="8">
        <f>IF(Distances!DT105&lt;&gt;0,ROUNDUP(BG209+'Délai intermédiaire'!DT105/24,0),0)</f>
        <v>12</v>
      </c>
      <c r="BH211" s="8">
        <f>IF(Distances!DU105&lt;&gt;0,ROUNDUP(BH209+'Délai intermédiaire'!DU105/24,0),0)</f>
        <v>6</v>
      </c>
      <c r="BI211" s="8">
        <f>IF(Distances!DV105&lt;&gt;0,ROUNDUP(BI209+'Délai intermédiaire'!DV105/24,0),0)</f>
        <v>9</v>
      </c>
      <c r="BJ211" s="9">
        <f>IF(Distances!DW105&lt;&gt;0,ROUNDUP(BJ209+'Délai intermédiaire'!DW105/24,0),0)</f>
        <v>10</v>
      </c>
    </row>
    <row r="212" spans="1:62" x14ac:dyDescent="0.3">
      <c r="A212" s="10" t="s">
        <v>2</v>
      </c>
      <c r="B212" s="11">
        <f>IF(Distances!BO106&lt;&gt;0,ROUNDUP(B209+'Délai intermédiaire'!BO106/24,0),0)</f>
        <v>0</v>
      </c>
      <c r="C212" s="12">
        <f>IF(Distances!BP106&lt;&gt;0,ROUNDUP(C209+'Délai intermédiaire'!BP106/24,0),0)</f>
        <v>0</v>
      </c>
      <c r="D212" s="13">
        <f>IF(Distances!BQ106&lt;&gt;0,ROUNDUP(D209+'Délai intermédiaire'!BQ106/24,0),0)</f>
        <v>5</v>
      </c>
      <c r="E212" s="13">
        <f>IF(Distances!BR106&lt;&gt;0,ROUNDUP(E209+'Délai intermédiaire'!BR106/24,0),0)</f>
        <v>0</v>
      </c>
      <c r="F212" s="13">
        <f>IF(Distances!BS106&lt;&gt;0,ROUNDUP(F209+'Délai intermédiaire'!BS106/24,0),0)</f>
        <v>4</v>
      </c>
      <c r="G212" s="13">
        <f>IF(Distances!BT106&lt;&gt;0,ROUNDUP(G209+'Délai intermédiaire'!BT106/24,0),0)</f>
        <v>10</v>
      </c>
      <c r="H212" s="13">
        <f>IF(Distances!BU106&lt;&gt;0,ROUNDUP(H209+'Délai intermédiaire'!BU106/24,0),0)</f>
        <v>0</v>
      </c>
      <c r="I212" s="13">
        <f>IF(Distances!BV106&lt;&gt;0,ROUNDUP(I209+'Délai intermédiaire'!BV106/24,0),0)</f>
        <v>0</v>
      </c>
      <c r="J212" s="13">
        <f>IF(Distances!BW106&lt;&gt;0,ROUNDUP(J209+'Délai intermédiaire'!BW106/24,0),0)</f>
        <v>8</v>
      </c>
      <c r="K212" s="13">
        <f>IF(Distances!BX106&lt;&gt;0,ROUNDUP(K209+'Délai intermédiaire'!BX106/24,0),0)</f>
        <v>0</v>
      </c>
      <c r="L212" s="13">
        <f>IF(Distances!BY106&lt;&gt;0,ROUNDUP(L209+'Délai intermédiaire'!BY106/24,0),0)</f>
        <v>12</v>
      </c>
      <c r="M212" s="13">
        <f>IF(Distances!BZ106&lt;&gt;0,ROUNDUP(M209+'Délai intermédiaire'!BZ106/24,0),0)</f>
        <v>0</v>
      </c>
      <c r="N212" s="13">
        <f>IF(Distances!CA106&lt;&gt;0,ROUNDUP(N209+'Délai intermédiaire'!CA106/24,0),0)</f>
        <v>4</v>
      </c>
      <c r="O212" s="14">
        <f>IF(Distances!CB106&lt;&gt;0,ROUNDUP(O209+'Délai intermédiaire'!CB106/24,0),0)</f>
        <v>12</v>
      </c>
      <c r="P212" s="14">
        <f>IF(Distances!CC106&lt;&gt;0,ROUNDUP(P209+'Délai intermédiaire'!CC106/24,0),0)</f>
        <v>10</v>
      </c>
      <c r="Q212" s="14">
        <f>IF(Distances!CD106&lt;&gt;0,ROUNDUP(Q209+'Délai intermédiaire'!CD106/24,0),0)</f>
        <v>0</v>
      </c>
      <c r="R212" s="14">
        <f>IF(Distances!CE106&lt;&gt;0,ROUNDUP(R209+'Délai intermédiaire'!CE106/24,0),0)</f>
        <v>0</v>
      </c>
      <c r="S212" s="14">
        <f>IF(Distances!CF106&lt;&gt;0,ROUNDUP(S209+'Délai intermédiaire'!CF106/24,0),0)</f>
        <v>0</v>
      </c>
      <c r="T212" s="14">
        <f>IF(Distances!CG106&lt;&gt;0,ROUNDUP(T209+'Délai intermédiaire'!CG106/24,0),0)</f>
        <v>10</v>
      </c>
      <c r="U212" s="14">
        <f>IF(Distances!CH106&lt;&gt;0,ROUNDUP(U209+'Délai intermédiaire'!CH106/24,0),0)</f>
        <v>11</v>
      </c>
      <c r="V212" s="14">
        <f>IF(Distances!CI106&lt;&gt;0,ROUNDUP(V209+'Délai intermédiaire'!CI106/24,0),0)</f>
        <v>12</v>
      </c>
      <c r="W212" s="14">
        <f>IF(Distances!CJ106&lt;&gt;0,ROUNDUP(W209+'Délai intermédiaire'!CJ106/24,0),0)</f>
        <v>0</v>
      </c>
      <c r="X212" s="14">
        <f>IF(Distances!CK106&lt;&gt;0,ROUNDUP(X209+'Délai intermédiaire'!CK106/24,0),0)</f>
        <v>11</v>
      </c>
      <c r="Y212" s="14">
        <f>IF(Distances!CL106&lt;&gt;0,ROUNDUP(Y209+'Délai intermédiaire'!CL106/24,0),0)</f>
        <v>10</v>
      </c>
      <c r="Z212" s="14">
        <f>IF(Distances!CM106&lt;&gt;0,ROUNDUP(Z209+'Délai intermédiaire'!CM106/24,0),0)</f>
        <v>12</v>
      </c>
      <c r="AA212" s="14">
        <f>IF(Distances!CN106&lt;&gt;0,ROUNDUP(AA209+'Délai intermédiaire'!CN106/24,0),0)</f>
        <v>12</v>
      </c>
      <c r="AB212" s="14">
        <f>IF(Distances!CO106&lt;&gt;0,ROUNDUP(AB209+'Délai intermédiaire'!CO106/24,0),0)</f>
        <v>10</v>
      </c>
      <c r="AC212" s="14">
        <f>IF(Distances!CP106&lt;&gt;0,ROUNDUP(AC209+'Délai intermédiaire'!CP106/24,0),0)</f>
        <v>0</v>
      </c>
      <c r="AD212" s="14">
        <f>IF(Distances!CQ106&lt;&gt;0,ROUNDUP(AD209+'Délai intermédiaire'!CQ106/24,0),0)</f>
        <v>0</v>
      </c>
      <c r="AE212" s="14">
        <f>IF(Distances!CR106&lt;&gt;0,ROUNDUP(AE209+'Délai intermédiaire'!CR106/24,0),0)</f>
        <v>14</v>
      </c>
      <c r="AF212" s="14">
        <f>IF(Distances!CS106&lt;&gt;0,ROUNDUP(AF209+'Délai intermédiaire'!CS106/24,0),0)</f>
        <v>13</v>
      </c>
      <c r="AG212" s="14">
        <f>IF(Distances!CT106&lt;&gt;0,ROUNDUP(AG209+'Délai intermédiaire'!CT106/24,0),0)</f>
        <v>14</v>
      </c>
      <c r="AH212" s="14">
        <f>IF(Distances!CU106&lt;&gt;0,ROUNDUP(AH209+'Délai intermédiaire'!CU106/24,0),0)</f>
        <v>20</v>
      </c>
      <c r="AI212" s="14">
        <f>IF(Distances!CV106&lt;&gt;0,ROUNDUP(AI209+'Délai intermédiaire'!CV106/24,0),0)</f>
        <v>0</v>
      </c>
      <c r="AJ212" s="14">
        <f>IF(Distances!CW106&lt;&gt;0,ROUNDUP(AJ209+'Délai intermédiaire'!CW106/24,0),0)</f>
        <v>20</v>
      </c>
      <c r="AK212" s="14">
        <f>IF(Distances!CX106&lt;&gt;0,ROUNDUP(AK209+'Délai intermédiaire'!CX106/24,0),0)</f>
        <v>0</v>
      </c>
      <c r="AL212" s="14">
        <f>IF(Distances!CY106&lt;&gt;0,ROUNDUP(AL209+'Délai intermédiaire'!CY106/24,0),0)</f>
        <v>0</v>
      </c>
      <c r="AM212" s="14">
        <f>IF(Distances!CZ106&lt;&gt;0,ROUNDUP(AM209+'Délai intermédiaire'!CZ106/24,0),0)</f>
        <v>0</v>
      </c>
      <c r="AN212" s="14">
        <f>IF(Distances!DA106&lt;&gt;0,ROUNDUP(AN209+'Délai intermédiaire'!DA106/24,0),0)</f>
        <v>18</v>
      </c>
      <c r="AO212" s="14">
        <f>IF(Distances!DB106&lt;&gt;0,ROUNDUP(AO209+'Délai intermédiaire'!DB106/24,0),0)</f>
        <v>0</v>
      </c>
      <c r="AP212" s="14">
        <f>IF(Distances!DC106&lt;&gt;0,ROUNDUP(AP209+'Délai intermédiaire'!DC106/24,0),0)</f>
        <v>0</v>
      </c>
      <c r="AQ212" s="14">
        <f>IF(Distances!DD106&lt;&gt;0,ROUNDUP(AQ209+'Délai intermédiaire'!DD106/24,0),0)</f>
        <v>0</v>
      </c>
      <c r="AR212" s="14">
        <f>IF(Distances!DE106&lt;&gt;0,ROUNDUP(AR209+'Délai intermédiaire'!DE106/24,0),0)</f>
        <v>0</v>
      </c>
      <c r="AS212" s="14">
        <f>IF(Distances!DF106&lt;&gt;0,ROUNDUP(AS209+'Délai intermédiaire'!DF106/24,0),0)</f>
        <v>20</v>
      </c>
      <c r="AT212" s="14">
        <f>IF(Distances!DG106&lt;&gt;0,ROUNDUP(AT209+'Délai intermédiaire'!DG106/24,0),0)</f>
        <v>19</v>
      </c>
      <c r="AU212" s="14">
        <f>IF(Distances!DH106&lt;&gt;0,ROUNDUP(AU209+'Délai intermédiaire'!DH106/24,0),0)</f>
        <v>20</v>
      </c>
      <c r="AV212" s="14">
        <f>IF(Distances!DI106&lt;&gt;0,ROUNDUP(AV209+'Délai intermédiaire'!DI106/24,0),0)</f>
        <v>14</v>
      </c>
      <c r="AW212" s="14">
        <f>IF(Distances!DJ106&lt;&gt;0,ROUNDUP(AW209+'Délai intermédiaire'!DJ106/24,0),0)</f>
        <v>16</v>
      </c>
      <c r="AX212" s="14">
        <f>IF(Distances!DK106&lt;&gt;0,ROUNDUP(AX209+'Délai intermédiaire'!DK106/24,0),0)</f>
        <v>0</v>
      </c>
      <c r="AY212" s="14">
        <f>IF(Distances!DL106&lt;&gt;0,ROUNDUP(AY209+'Délai intermédiaire'!DL106/24,0),0)</f>
        <v>0</v>
      </c>
      <c r="AZ212" s="14">
        <f>IF(Distances!DM106&lt;&gt;0,ROUNDUP(AZ209+'Délai intermédiaire'!DM106/24,0),0)</f>
        <v>19</v>
      </c>
      <c r="BA212" s="14">
        <f>IF(Distances!DN106&lt;&gt;0,ROUNDUP(BA209+'Délai intermédiaire'!DN106/24,0),0)</f>
        <v>0</v>
      </c>
      <c r="BB212" s="14">
        <f>IF(Distances!DO106&lt;&gt;0,ROUNDUP(BB209+'Délai intermédiaire'!DO106/24,0),0)</f>
        <v>0</v>
      </c>
      <c r="BC212" s="14">
        <f>IF(Distances!DP106&lt;&gt;0,ROUNDUP(BC209+'Délai intermédiaire'!DP106/24,0),0)</f>
        <v>0</v>
      </c>
      <c r="BD212" s="14">
        <f>IF(Distances!DQ106&lt;&gt;0,ROUNDUP(BD209+'Délai intermédiaire'!DQ106/24,0),0)</f>
        <v>20</v>
      </c>
      <c r="BE212" s="14">
        <f>IF(Distances!DR106&lt;&gt;0,ROUNDUP(BE209+'Délai intermédiaire'!DR106/24,0),0)</f>
        <v>0</v>
      </c>
      <c r="BF212" s="14">
        <f>IF(Distances!DS106&lt;&gt;0,ROUNDUP(BF209+'Délai intermédiaire'!DS106/24,0),0)</f>
        <v>15</v>
      </c>
      <c r="BG212" s="14">
        <f>IF(Distances!DT106&lt;&gt;0,ROUNDUP(BG209+'Délai intermédiaire'!DT106/24,0),0)</f>
        <v>13</v>
      </c>
      <c r="BH212" s="14">
        <f>IF(Distances!DU106&lt;&gt;0,ROUNDUP(BH209+'Délai intermédiaire'!DU106/24,0),0)</f>
        <v>6</v>
      </c>
      <c r="BI212" s="14">
        <f>IF(Distances!DV106&lt;&gt;0,ROUNDUP(BI209+'Délai intermédiaire'!DV106/24,0),0)</f>
        <v>10</v>
      </c>
      <c r="BJ212" s="15">
        <f>IF(Distances!DW106&lt;&gt;0,ROUNDUP(BJ209+'Délai intermédiaire'!DW106/24,0),0)</f>
        <v>10</v>
      </c>
    </row>
    <row r="213" spans="1:62" x14ac:dyDescent="0.3">
      <c r="A213" s="10" t="s">
        <v>3</v>
      </c>
      <c r="B213" s="11">
        <f>IF(Distances!BO107&lt;&gt;0,ROUNDUP(B209+'Délai intermédiaire'!BO107/24,0),0)</f>
        <v>4</v>
      </c>
      <c r="C213" s="13">
        <f>IF(Distances!BP107&lt;&gt;0,ROUNDUP(C209+'Délai intermédiaire'!BP107/24,0),0)</f>
        <v>5</v>
      </c>
      <c r="D213" s="12">
        <f>IF(Distances!BQ107&lt;&gt;0,ROUNDUP(D209+'Délai intermédiaire'!BQ107/24,0),0)</f>
        <v>0</v>
      </c>
      <c r="E213" s="13">
        <f>IF(Distances!BR107&lt;&gt;0,ROUNDUP(E209+'Délai intermédiaire'!BR107/24,0),0)</f>
        <v>7</v>
      </c>
      <c r="F213" s="13">
        <f>IF(Distances!BS107&lt;&gt;0,ROUNDUP(F209+'Délai intermédiaire'!BS107/24,0),0)</f>
        <v>3</v>
      </c>
      <c r="G213" s="13">
        <f>IF(Distances!BT107&lt;&gt;0,ROUNDUP(G209+'Délai intermédiaire'!BT107/24,0),0)</f>
        <v>12</v>
      </c>
      <c r="H213" s="13">
        <f>IF(Distances!BU107&lt;&gt;0,ROUNDUP(H209+'Délai intermédiaire'!BU107/24,0),0)</f>
        <v>13</v>
      </c>
      <c r="I213" s="13">
        <f>IF(Distances!BV107&lt;&gt;0,ROUNDUP(I209+'Délai intermédiaire'!BV107/24,0),0)</f>
        <v>11</v>
      </c>
      <c r="J213" s="13">
        <f>IF(Distances!BW107&lt;&gt;0,ROUNDUP(J209+'Délai intermédiaire'!BW107/24,0),0)</f>
        <v>6</v>
      </c>
      <c r="K213" s="13">
        <f>IF(Distances!BX107&lt;&gt;0,ROUNDUP(K209+'Délai intermédiaire'!BX107/24,0),0)</f>
        <v>6</v>
      </c>
      <c r="L213" s="13">
        <f>IF(Distances!BY107&lt;&gt;0,ROUNDUP(L209+'Délai intermédiaire'!BY107/24,0),0)</f>
        <v>14</v>
      </c>
      <c r="M213" s="13">
        <f>IF(Distances!BZ107&lt;&gt;0,ROUNDUP(M209+'Délai intermédiaire'!BZ107/24,0),0)</f>
        <v>14</v>
      </c>
      <c r="N213" s="13">
        <f>IF(Distances!CA107&lt;&gt;0,ROUNDUP(N209+'Délai intermédiaire'!CA107/24,0),0)</f>
        <v>7</v>
      </c>
      <c r="O213" s="14">
        <f>IF(Distances!CB107&lt;&gt;0,ROUNDUP(O209+'Délai intermédiaire'!CB107/24,0),0)</f>
        <v>12</v>
      </c>
      <c r="P213" s="14">
        <f>IF(Distances!CC107&lt;&gt;0,ROUNDUP(P209+'Délai intermédiaire'!CC107/24,0),0)</f>
        <v>10</v>
      </c>
      <c r="Q213" s="14">
        <f>IF(Distances!CD107&lt;&gt;0,ROUNDUP(Q209+'Délai intermédiaire'!CD107/24,0),0)</f>
        <v>8</v>
      </c>
      <c r="R213" s="14">
        <f>IF(Distances!CE107&lt;&gt;0,ROUNDUP(R209+'Délai intermédiaire'!CE107/24,0),0)</f>
        <v>8</v>
      </c>
      <c r="S213" s="14">
        <f>IF(Distances!CF107&lt;&gt;0,ROUNDUP(S209+'Délai intermédiaire'!CF107/24,0),0)</f>
        <v>8</v>
      </c>
      <c r="T213" s="14">
        <f>IF(Distances!CG107&lt;&gt;0,ROUNDUP(T209+'Délai intermédiaire'!CG107/24,0),0)</f>
        <v>8</v>
      </c>
      <c r="U213" s="14">
        <f>IF(Distances!CH107&lt;&gt;0,ROUNDUP(U209+'Délai intermédiaire'!CH107/24,0),0)</f>
        <v>9</v>
      </c>
      <c r="V213" s="14">
        <f>IF(Distances!CI107&lt;&gt;0,ROUNDUP(V209+'Délai intermédiaire'!CI107/24,0),0)</f>
        <v>11</v>
      </c>
      <c r="W213" s="14">
        <f>IF(Distances!CJ107&lt;&gt;0,ROUNDUP(W209+'Délai intermédiaire'!CJ107/24,0),0)</f>
        <v>9</v>
      </c>
      <c r="X213" s="14">
        <f>IF(Distances!CK107&lt;&gt;0,ROUNDUP(X209+'Délai intermédiaire'!CK107/24,0),0)</f>
        <v>9</v>
      </c>
      <c r="Y213" s="14">
        <f>IF(Distances!CL107&lt;&gt;0,ROUNDUP(Y209+'Délai intermédiaire'!CL107/24,0),0)</f>
        <v>8</v>
      </c>
      <c r="Z213" s="14">
        <f>IF(Distances!CM107&lt;&gt;0,ROUNDUP(Z209+'Délai intermédiaire'!CM107/24,0),0)</f>
        <v>10</v>
      </c>
      <c r="AA213" s="14">
        <f>IF(Distances!CN107&lt;&gt;0,ROUNDUP(AA209+'Délai intermédiaire'!CN107/24,0),0)</f>
        <v>10</v>
      </c>
      <c r="AB213" s="14">
        <f>IF(Distances!CO107&lt;&gt;0,ROUNDUP(AB209+'Délai intermédiaire'!CO107/24,0),0)</f>
        <v>9</v>
      </c>
      <c r="AC213" s="14">
        <f>IF(Distances!CP107&lt;&gt;0,ROUNDUP(AC209+'Délai intermédiaire'!CP107/24,0),0)</f>
        <v>9</v>
      </c>
      <c r="AD213" s="14">
        <f>IF(Distances!CQ107&lt;&gt;0,ROUNDUP(AD209+'Délai intermédiaire'!CQ107/24,0),0)</f>
        <v>10</v>
      </c>
      <c r="AE213" s="14">
        <f>IF(Distances!CR107&lt;&gt;0,ROUNDUP(AE209+'Délai intermédiaire'!CR107/24,0),0)</f>
        <v>12</v>
      </c>
      <c r="AF213" s="14">
        <f>IF(Distances!CS107&lt;&gt;0,ROUNDUP(AF209+'Délai intermédiaire'!CS107/24,0),0)</f>
        <v>11</v>
      </c>
      <c r="AG213" s="14">
        <f>IF(Distances!CT107&lt;&gt;0,ROUNDUP(AG209+'Délai intermédiaire'!CT107/24,0),0)</f>
        <v>12</v>
      </c>
      <c r="AH213" s="14">
        <f>IF(Distances!CU107&lt;&gt;0,ROUNDUP(AH209+'Délai intermédiaire'!CU107/24,0),0)</f>
        <v>18</v>
      </c>
      <c r="AI213" s="14">
        <f>IF(Distances!CV107&lt;&gt;0,ROUNDUP(AI209+'Délai intermédiaire'!CV107/24,0),0)</f>
        <v>20</v>
      </c>
      <c r="AJ213" s="14">
        <f>IF(Distances!CW107&lt;&gt;0,ROUNDUP(AJ209+'Délai intermédiaire'!CW107/24,0),0)</f>
        <v>18</v>
      </c>
      <c r="AK213" s="14">
        <f>IF(Distances!CX107&lt;&gt;0,ROUNDUP(AK209+'Délai intermédiaire'!CX107/24,0),0)</f>
        <v>19</v>
      </c>
      <c r="AL213" s="14">
        <f>IF(Distances!CY107&lt;&gt;0,ROUNDUP(AL209+'Délai intermédiaire'!CY107/24,0),0)</f>
        <v>19</v>
      </c>
      <c r="AM213" s="14">
        <f>IF(Distances!CZ107&lt;&gt;0,ROUNDUP(AM209+'Délai intermédiaire'!CZ107/24,0),0)</f>
        <v>20</v>
      </c>
      <c r="AN213" s="14">
        <f>IF(Distances!DA107&lt;&gt;0,ROUNDUP(AN209+'Délai intermédiaire'!DA107/24,0),0)</f>
        <v>20</v>
      </c>
      <c r="AO213" s="14">
        <f>IF(Distances!DB107&lt;&gt;0,ROUNDUP(AO209+'Délai intermédiaire'!DB107/24,0),0)</f>
        <v>21</v>
      </c>
      <c r="AP213" s="14">
        <f>IF(Distances!DC107&lt;&gt;0,ROUNDUP(AP209+'Délai intermédiaire'!DC107/24,0),0)</f>
        <v>20</v>
      </c>
      <c r="AQ213" s="14">
        <f>IF(Distances!DD107&lt;&gt;0,ROUNDUP(AQ209+'Délai intermédiaire'!DD107/24,0),0)</f>
        <v>23</v>
      </c>
      <c r="AR213" s="14">
        <f>IF(Distances!DE107&lt;&gt;0,ROUNDUP(AR209+'Délai intermédiaire'!DE107/24,0),0)</f>
        <v>17</v>
      </c>
      <c r="AS213" s="14">
        <f>IF(Distances!DF107&lt;&gt;0,ROUNDUP(AS209+'Délai intermédiaire'!DF107/24,0),0)</f>
        <v>18</v>
      </c>
      <c r="AT213" s="14">
        <f>IF(Distances!DG107&lt;&gt;0,ROUNDUP(AT209+'Délai intermédiaire'!DG107/24,0),0)</f>
        <v>18</v>
      </c>
      <c r="AU213" s="14">
        <f>IF(Distances!DH107&lt;&gt;0,ROUNDUP(AU209+'Délai intermédiaire'!DH107/24,0),0)</f>
        <v>22</v>
      </c>
      <c r="AV213" s="14">
        <f>IF(Distances!DI107&lt;&gt;0,ROUNDUP(AV209+'Délai intermédiaire'!DI107/24,0),0)</f>
        <v>12</v>
      </c>
      <c r="AW213" s="14">
        <f>IF(Distances!DJ107&lt;&gt;0,ROUNDUP(AW209+'Délai intermédiaire'!DJ107/24,0),0)</f>
        <v>15</v>
      </c>
      <c r="AX213" s="14">
        <f>IF(Distances!DK107&lt;&gt;0,ROUNDUP(AX209+'Délai intermédiaire'!DK107/24,0),0)</f>
        <v>21</v>
      </c>
      <c r="AY213" s="14">
        <f>IF(Distances!DL107&lt;&gt;0,ROUNDUP(AY209+'Délai intermédiaire'!DL107/24,0),0)</f>
        <v>3</v>
      </c>
      <c r="AZ213" s="14">
        <f>IF(Distances!DM107&lt;&gt;0,ROUNDUP(AZ209+'Délai intermédiaire'!DM107/24,0),0)</f>
        <v>18</v>
      </c>
      <c r="BA213" s="14">
        <f>IF(Distances!DN107&lt;&gt;0,ROUNDUP(BA209+'Délai intermédiaire'!DN107/24,0),0)</f>
        <v>22</v>
      </c>
      <c r="BB213" s="14">
        <f>IF(Distances!DO107&lt;&gt;0,ROUNDUP(BB209+'Délai intermédiaire'!DO107/24,0),0)</f>
        <v>10</v>
      </c>
      <c r="BC213" s="14">
        <f>IF(Distances!DP107&lt;&gt;0,ROUNDUP(BC209+'Délai intermédiaire'!DP107/24,0),0)</f>
        <v>23</v>
      </c>
      <c r="BD213" s="14">
        <f>IF(Distances!DQ107&lt;&gt;0,ROUNDUP(BD209+'Délai intermédiaire'!DQ107/24,0),0)</f>
        <v>22</v>
      </c>
      <c r="BE213" s="14">
        <f>IF(Distances!DR107&lt;&gt;0,ROUNDUP(BE209+'Délai intermédiaire'!DR107/24,0),0)</f>
        <v>22</v>
      </c>
      <c r="BF213" s="14">
        <f>IF(Distances!DS107&lt;&gt;0,ROUNDUP(BF209+'Délai intermédiaire'!DS107/24,0),0)</f>
        <v>13</v>
      </c>
      <c r="BG213" s="14">
        <f>IF(Distances!DT107&lt;&gt;0,ROUNDUP(BG209+'Délai intermédiaire'!DT107/24,0),0)</f>
        <v>11</v>
      </c>
      <c r="BH213" s="14">
        <f>IF(Distances!DU107&lt;&gt;0,ROUNDUP(BH209+'Délai intermédiaire'!DU107/24,0),0)</f>
        <v>8</v>
      </c>
      <c r="BI213" s="14">
        <f>IF(Distances!DV107&lt;&gt;0,ROUNDUP(BI209+'Délai intermédiaire'!DV107/24,0),0)</f>
        <v>11</v>
      </c>
      <c r="BJ213" s="15">
        <f>IF(Distances!DW107&lt;&gt;0,ROUNDUP(BJ209+'Délai intermédiaire'!DW107/24,0),0)</f>
        <v>12</v>
      </c>
    </row>
    <row r="214" spans="1:62" x14ac:dyDescent="0.3">
      <c r="A214" s="10" t="s">
        <v>4</v>
      </c>
      <c r="B214" s="11">
        <f>IF(Distances!BO108&lt;&gt;0,ROUNDUP(B209+'Délai intermédiaire'!BO108/24,0),0)</f>
        <v>0</v>
      </c>
      <c r="C214" s="13">
        <f>IF(Distances!BP108&lt;&gt;0,ROUNDUP(C209+'Délai intermédiaire'!BP108/24,0),0)</f>
        <v>0</v>
      </c>
      <c r="D214" s="13">
        <f>IF(Distances!BQ108&lt;&gt;0,ROUNDUP(D209+'Délai intermédiaire'!BQ108/24,0),0)</f>
        <v>7</v>
      </c>
      <c r="E214" s="12">
        <f>IF(Distances!BR108&lt;&gt;0,ROUNDUP(E209+'Délai intermédiaire'!BR108/24,0),0)</f>
        <v>0</v>
      </c>
      <c r="F214" s="13">
        <f>IF(Distances!BS108&lt;&gt;0,ROUNDUP(F209+'Délai intermédiaire'!BS108/24,0),0)</f>
        <v>7</v>
      </c>
      <c r="G214" s="13">
        <f>IF(Distances!BT108&lt;&gt;0,ROUNDUP(G209+'Délai intermédiaire'!BT108/24,0),0)</f>
        <v>15</v>
      </c>
      <c r="H214" s="13">
        <f>IF(Distances!BU108&lt;&gt;0,ROUNDUP(H209+'Délai intermédiaire'!BU108/24,0),0)</f>
        <v>0</v>
      </c>
      <c r="I214" s="13">
        <f>IF(Distances!BV108&lt;&gt;0,ROUNDUP(I209+'Délai intermédiaire'!BV108/24,0),0)</f>
        <v>0</v>
      </c>
      <c r="J214" s="13">
        <f>IF(Distances!BW108&lt;&gt;0,ROUNDUP(J209+'Délai intermédiaire'!BW108/24,0),0)</f>
        <v>5</v>
      </c>
      <c r="K214" s="13">
        <f>IF(Distances!BX108&lt;&gt;0,ROUNDUP(K209+'Délai intermédiaire'!BX108/24,0),0)</f>
        <v>0</v>
      </c>
      <c r="L214" s="13">
        <f>IF(Distances!BY108&lt;&gt;0,ROUNDUP(L209+'Délai intermédiaire'!BY108/24,0),0)</f>
        <v>17</v>
      </c>
      <c r="M214" s="13">
        <f>IF(Distances!BZ108&lt;&gt;0,ROUNDUP(M209+'Délai intermédiaire'!BZ108/24,0),0)</f>
        <v>0</v>
      </c>
      <c r="N214" s="13">
        <f>IF(Distances!CA108&lt;&gt;0,ROUNDUP(N209+'Délai intermédiaire'!CA108/24,0),0)</f>
        <v>10</v>
      </c>
      <c r="O214" s="14">
        <f>IF(Distances!CB108&lt;&gt;0,ROUNDUP(O209+'Délai intermédiaire'!CB108/24,0),0)</f>
        <v>14</v>
      </c>
      <c r="P214" s="14">
        <f>IF(Distances!CC108&lt;&gt;0,ROUNDUP(P209+'Délai intermédiaire'!CC108/24,0),0)</f>
        <v>12</v>
      </c>
      <c r="Q214" s="14">
        <f>IF(Distances!CD108&lt;&gt;0,ROUNDUP(Q209+'Délai intermédiaire'!CD108/24,0),0)</f>
        <v>0</v>
      </c>
      <c r="R214" s="14">
        <f>IF(Distances!CE108&lt;&gt;0,ROUNDUP(R209+'Délai intermédiaire'!CE108/24,0),0)</f>
        <v>0</v>
      </c>
      <c r="S214" s="14">
        <f>IF(Distances!CF108&lt;&gt;0,ROUNDUP(S209+'Délai intermédiaire'!CF108/24,0),0)</f>
        <v>0</v>
      </c>
      <c r="T214" s="14">
        <f>IF(Distances!CG108&lt;&gt;0,ROUNDUP(T209+'Délai intermédiaire'!CG108/24,0),0)</f>
        <v>9</v>
      </c>
      <c r="U214" s="14">
        <f>IF(Distances!CH108&lt;&gt;0,ROUNDUP(U209+'Délai intermédiaire'!CH108/24,0),0)</f>
        <v>10</v>
      </c>
      <c r="V214" s="14">
        <f>IF(Distances!CI108&lt;&gt;0,ROUNDUP(V209+'Délai intermédiaire'!CI108/24,0),0)</f>
        <v>12</v>
      </c>
      <c r="W214" s="14">
        <f>IF(Distances!CJ108&lt;&gt;0,ROUNDUP(W209+'Délai intermédiaire'!CJ108/24,0),0)</f>
        <v>0</v>
      </c>
      <c r="X214" s="14">
        <f>IF(Distances!CK108&lt;&gt;0,ROUNDUP(X209+'Délai intermédiaire'!CK108/24,0),0)</f>
        <v>10</v>
      </c>
      <c r="Y214" s="14">
        <f>IF(Distances!CL108&lt;&gt;0,ROUNDUP(Y209+'Délai intermédiaire'!CL108/24,0),0)</f>
        <v>9</v>
      </c>
      <c r="Z214" s="14">
        <f>IF(Distances!CM108&lt;&gt;0,ROUNDUP(Z209+'Délai intermédiaire'!CM108/24,0),0)</f>
        <v>11</v>
      </c>
      <c r="AA214" s="14">
        <f>IF(Distances!CN108&lt;&gt;0,ROUNDUP(AA209+'Délai intermédiaire'!CN108/24,0),0)</f>
        <v>11</v>
      </c>
      <c r="AB214" s="14">
        <f>IF(Distances!CO108&lt;&gt;0,ROUNDUP(AB209+'Délai intermédiaire'!CO108/24,0),0)</f>
        <v>10</v>
      </c>
      <c r="AC214" s="14">
        <f>IF(Distances!CP108&lt;&gt;0,ROUNDUP(AC209+'Délai intermédiaire'!CP108/24,0),0)</f>
        <v>0</v>
      </c>
      <c r="AD214" s="14">
        <f>IF(Distances!CQ108&lt;&gt;0,ROUNDUP(AD209+'Délai intermédiaire'!CQ108/24,0),0)</f>
        <v>0</v>
      </c>
      <c r="AE214" s="14">
        <f>IF(Distances!CR108&lt;&gt;0,ROUNDUP(AE209+'Délai intermédiaire'!CR108/24,0),0)</f>
        <v>13</v>
      </c>
      <c r="AF214" s="14">
        <f>IF(Distances!CS108&lt;&gt;0,ROUNDUP(AF209+'Délai intermédiaire'!CS108/24,0),0)</f>
        <v>12</v>
      </c>
      <c r="AG214" s="14">
        <f>IF(Distances!CT108&lt;&gt;0,ROUNDUP(AG209+'Délai intermédiaire'!CT108/24,0),0)</f>
        <v>13</v>
      </c>
      <c r="AH214" s="14">
        <f>IF(Distances!CU108&lt;&gt;0,ROUNDUP(AH209+'Délai intermédiaire'!CU108/24,0),0)</f>
        <v>19</v>
      </c>
      <c r="AI214" s="14">
        <f>IF(Distances!CV108&lt;&gt;0,ROUNDUP(AI209+'Délai intermédiaire'!CV108/24,0),0)</f>
        <v>0</v>
      </c>
      <c r="AJ214" s="14">
        <f>IF(Distances!CW108&lt;&gt;0,ROUNDUP(AJ209+'Délai intermédiaire'!CW108/24,0),0)</f>
        <v>19</v>
      </c>
      <c r="AK214" s="14">
        <f>IF(Distances!CX108&lt;&gt;0,ROUNDUP(AK209+'Délai intermédiaire'!CX108/24,0),0)</f>
        <v>0</v>
      </c>
      <c r="AL214" s="14">
        <f>IF(Distances!CY108&lt;&gt;0,ROUNDUP(AL209+'Délai intermédiaire'!CY108/24,0),0)</f>
        <v>0</v>
      </c>
      <c r="AM214" s="14">
        <f>IF(Distances!CZ108&lt;&gt;0,ROUNDUP(AM209+'Délai intermédiaire'!CZ108/24,0),0)</f>
        <v>0</v>
      </c>
      <c r="AN214" s="14">
        <f>IF(Distances!DA108&lt;&gt;0,ROUNDUP(AN209+'Délai intermédiaire'!DA108/24,0),0)</f>
        <v>23</v>
      </c>
      <c r="AO214" s="14">
        <f>IF(Distances!DB108&lt;&gt;0,ROUNDUP(AO209+'Délai intermédiaire'!DB108/24,0),0)</f>
        <v>0</v>
      </c>
      <c r="AP214" s="14">
        <f>IF(Distances!DC108&lt;&gt;0,ROUNDUP(AP209+'Délai intermédiaire'!DC108/24,0),0)</f>
        <v>0</v>
      </c>
      <c r="AQ214" s="14">
        <f>IF(Distances!DD108&lt;&gt;0,ROUNDUP(AQ209+'Délai intermédiaire'!DD108/24,0),0)</f>
        <v>0</v>
      </c>
      <c r="AR214" s="14">
        <f>IF(Distances!DE108&lt;&gt;0,ROUNDUP(AR209+'Délai intermédiaire'!DE108/24,0),0)</f>
        <v>0</v>
      </c>
      <c r="AS214" s="14">
        <f>IF(Distances!DF108&lt;&gt;0,ROUNDUP(AS209+'Délai intermédiaire'!DF108/24,0),0)</f>
        <v>19</v>
      </c>
      <c r="AT214" s="14">
        <f>IF(Distances!DG108&lt;&gt;0,ROUNDUP(AT209+'Délai intermédiaire'!DG108/24,0),0)</f>
        <v>19</v>
      </c>
      <c r="AU214" s="14">
        <f>IF(Distances!DH108&lt;&gt;0,ROUNDUP(AU209+'Délai intermédiaire'!DH108/24,0),0)</f>
        <v>25</v>
      </c>
      <c r="AV214" s="14">
        <f>IF(Distances!DI108&lt;&gt;0,ROUNDUP(AV209+'Délai intermédiaire'!DI108/24,0),0)</f>
        <v>13</v>
      </c>
      <c r="AW214" s="14">
        <f>IF(Distances!DJ108&lt;&gt;0,ROUNDUP(AW209+'Délai intermédiaire'!DJ108/24,0),0)</f>
        <v>15</v>
      </c>
      <c r="AX214" s="14">
        <f>IF(Distances!DK108&lt;&gt;0,ROUNDUP(AX209+'Délai intermédiaire'!DK108/24,0),0)</f>
        <v>0</v>
      </c>
      <c r="AY214" s="14">
        <f>IF(Distances!DL108&lt;&gt;0,ROUNDUP(AY209+'Délai intermédiaire'!DL108/24,0),0)</f>
        <v>0</v>
      </c>
      <c r="AZ214" s="14">
        <f>IF(Distances!DM108&lt;&gt;0,ROUNDUP(AZ209+'Délai intermédiaire'!DM108/24,0),0)</f>
        <v>19</v>
      </c>
      <c r="BA214" s="14">
        <f>IF(Distances!DN108&lt;&gt;0,ROUNDUP(BA209+'Délai intermédiaire'!DN108/24,0),0)</f>
        <v>0</v>
      </c>
      <c r="BB214" s="14">
        <f>IF(Distances!DO108&lt;&gt;0,ROUNDUP(BB209+'Délai intermédiaire'!DO108/24,0),0)</f>
        <v>0</v>
      </c>
      <c r="BC214" s="14">
        <f>IF(Distances!DP108&lt;&gt;0,ROUNDUP(BC209+'Délai intermédiaire'!DP108/24,0),0)</f>
        <v>0</v>
      </c>
      <c r="BD214" s="14">
        <f>IF(Distances!DQ108&lt;&gt;0,ROUNDUP(BD209+'Délai intermédiaire'!DQ108/24,0),0)</f>
        <v>25</v>
      </c>
      <c r="BE214" s="14">
        <f>IF(Distances!DR108&lt;&gt;0,ROUNDUP(BE209+'Délai intermédiaire'!DR108/24,0),0)</f>
        <v>0</v>
      </c>
      <c r="BF214" s="14">
        <f>IF(Distances!DS108&lt;&gt;0,ROUNDUP(BF209+'Délai intermédiaire'!DS108/24,0),0)</f>
        <v>14</v>
      </c>
      <c r="BG214" s="14">
        <f>IF(Distances!DT108&lt;&gt;0,ROUNDUP(BG209+'Délai intermédiaire'!DT108/24,0),0)</f>
        <v>12</v>
      </c>
      <c r="BH214" s="14">
        <f>IF(Distances!DU108&lt;&gt;0,ROUNDUP(BH209+'Délai intermédiaire'!DU108/24,0),0)</f>
        <v>11</v>
      </c>
      <c r="BI214" s="14">
        <f>IF(Distances!DV108&lt;&gt;0,ROUNDUP(BI209+'Délai intermédiaire'!DV108/24,0),0)</f>
        <v>15</v>
      </c>
      <c r="BJ214" s="15">
        <f>IF(Distances!DW108&lt;&gt;0,ROUNDUP(BJ209+'Délai intermédiaire'!DW108/24,0),0)</f>
        <v>15</v>
      </c>
    </row>
    <row r="215" spans="1:62" x14ac:dyDescent="0.3">
      <c r="A215" s="10" t="s">
        <v>5</v>
      </c>
      <c r="B215" s="11">
        <f>IF(Distances!BO109&lt;&gt;0,ROUNDUP(B209+'Délai intermédiaire'!BO109/24,0),0)</f>
        <v>3</v>
      </c>
      <c r="C215" s="13">
        <f>IF(Distances!BP109&lt;&gt;0,ROUNDUP(C209+'Délai intermédiaire'!BP109/24,0),0)</f>
        <v>4</v>
      </c>
      <c r="D215" s="13">
        <f>IF(Distances!BQ109&lt;&gt;0,ROUNDUP(D209+'Délai intermédiaire'!BQ109/24,0),0)</f>
        <v>3</v>
      </c>
      <c r="E215" s="13">
        <f>IF(Distances!BR109&lt;&gt;0,ROUNDUP(E209+'Délai intermédiaire'!BR109/24,0),0)</f>
        <v>7</v>
      </c>
      <c r="F215" s="12">
        <f>IF(Distances!BS109&lt;&gt;0,ROUNDUP(F209+'Délai intermédiaire'!BS109/24,0),0)</f>
        <v>0</v>
      </c>
      <c r="G215" s="13">
        <f>IF(Distances!BT109&lt;&gt;0,ROUNDUP(G209+'Délai intermédiaire'!BT109/24,0),0)</f>
        <v>11</v>
      </c>
      <c r="H215" s="13">
        <f>IF(Distances!BU109&lt;&gt;0,ROUNDUP(H209+'Délai intermédiaire'!BU109/24,0),0)</f>
        <v>12</v>
      </c>
      <c r="I215" s="13">
        <f>IF(Distances!BV109&lt;&gt;0,ROUNDUP(I209+'Délai intermédiaire'!BV109/24,0),0)</f>
        <v>10</v>
      </c>
      <c r="J215" s="13">
        <f>IF(Distances!BW109&lt;&gt;0,ROUNDUP(J209+'Délai intermédiaire'!BW109/24,0),0)</f>
        <v>6</v>
      </c>
      <c r="K215" s="13">
        <f>IF(Distances!BX109&lt;&gt;0,ROUNDUP(K209+'Délai intermédiaire'!BX109/24,0),0)</f>
        <v>6</v>
      </c>
      <c r="L215" s="13">
        <f>IF(Distances!BY109&lt;&gt;0,ROUNDUP(L209+'Délai intermédiaire'!BY109/24,0),0)</f>
        <v>13</v>
      </c>
      <c r="M215" s="13">
        <f>IF(Distances!BZ109&lt;&gt;0,ROUNDUP(M209+'Délai intermédiaire'!BZ109/24,0),0)</f>
        <v>13</v>
      </c>
      <c r="N215" s="13">
        <f>IF(Distances!CA109&lt;&gt;0,ROUNDUP(N209+'Délai intermédiaire'!CA109/24,0),0)</f>
        <v>6</v>
      </c>
      <c r="O215" s="14">
        <f>IF(Distances!CB109&lt;&gt;0,ROUNDUP(O209+'Délai intermédiaire'!CB109/24,0),0)</f>
        <v>11</v>
      </c>
      <c r="P215" s="14">
        <f>IF(Distances!CC109&lt;&gt;0,ROUNDUP(P209+'Délai intermédiaire'!CC109/24,0),0)</f>
        <v>9</v>
      </c>
      <c r="Q215" s="14">
        <f>IF(Distances!CD109&lt;&gt;0,ROUNDUP(Q209+'Délai intermédiaire'!CD109/24,0),0)</f>
        <v>8</v>
      </c>
      <c r="R215" s="14">
        <f>IF(Distances!CE109&lt;&gt;0,ROUNDUP(R209+'Délai intermédiaire'!CE109/24,0),0)</f>
        <v>7</v>
      </c>
      <c r="S215" s="14">
        <f>IF(Distances!CF109&lt;&gt;0,ROUNDUP(S209+'Délai intermédiaire'!CF109/24,0),0)</f>
        <v>8</v>
      </c>
      <c r="T215" s="14">
        <f>IF(Distances!CG109&lt;&gt;0,ROUNDUP(T209+'Délai intermédiaire'!CG109/24,0),0)</f>
        <v>8</v>
      </c>
      <c r="U215" s="14">
        <f>IF(Distances!CH109&lt;&gt;0,ROUNDUP(U209+'Délai intermédiaire'!CH109/24,0),0)</f>
        <v>9</v>
      </c>
      <c r="V215" s="14">
        <f>IF(Distances!CI109&lt;&gt;0,ROUNDUP(V209+'Délai intermédiaire'!CI109/24,0),0)</f>
        <v>11</v>
      </c>
      <c r="W215" s="14">
        <f>IF(Distances!CJ109&lt;&gt;0,ROUNDUP(W209+'Délai intermédiaire'!CJ109/24,0),0)</f>
        <v>8</v>
      </c>
      <c r="X215" s="14">
        <f>IF(Distances!CK109&lt;&gt;0,ROUNDUP(X209+'Délai intermédiaire'!CK109/24,0),0)</f>
        <v>9</v>
      </c>
      <c r="Y215" s="14">
        <f>IF(Distances!CL109&lt;&gt;0,ROUNDUP(Y209+'Délai intermédiaire'!CL109/24,0),0)</f>
        <v>8</v>
      </c>
      <c r="Z215" s="14">
        <f>IF(Distances!CM109&lt;&gt;0,ROUNDUP(Z209+'Délai intermédiaire'!CM109/24,0),0)</f>
        <v>10</v>
      </c>
      <c r="AA215" s="14">
        <f>IF(Distances!CN109&lt;&gt;0,ROUNDUP(AA209+'Délai intermédiaire'!CN109/24,0),0)</f>
        <v>10</v>
      </c>
      <c r="AB215" s="14">
        <f>IF(Distances!CO109&lt;&gt;0,ROUNDUP(AB209+'Délai intermédiaire'!CO109/24,0),0)</f>
        <v>8</v>
      </c>
      <c r="AC215" s="14">
        <f>IF(Distances!CP109&lt;&gt;0,ROUNDUP(AC209+'Délai intermédiaire'!CP109/24,0),0)</f>
        <v>8</v>
      </c>
      <c r="AD215" s="14">
        <f>IF(Distances!CQ109&lt;&gt;0,ROUNDUP(AD209+'Délai intermédiaire'!CQ109/24,0),0)</f>
        <v>10</v>
      </c>
      <c r="AE215" s="14">
        <f>IF(Distances!CR109&lt;&gt;0,ROUNDUP(AE209+'Délai intermédiaire'!CR109/24,0),0)</f>
        <v>12</v>
      </c>
      <c r="AF215" s="14">
        <f>IF(Distances!CS109&lt;&gt;0,ROUNDUP(AF209+'Délai intermédiaire'!CS109/24,0),0)</f>
        <v>11</v>
      </c>
      <c r="AG215" s="14">
        <f>IF(Distances!CT109&lt;&gt;0,ROUNDUP(AG209+'Délai intermédiaire'!CT109/24,0),0)</f>
        <v>12</v>
      </c>
      <c r="AH215" s="14">
        <f>IF(Distances!CU109&lt;&gt;0,ROUNDUP(AH209+'Délai intermédiaire'!CU109/24,0),0)</f>
        <v>18</v>
      </c>
      <c r="AI215" s="14">
        <f>IF(Distances!CV109&lt;&gt;0,ROUNDUP(AI209+'Délai intermédiaire'!CV109/24,0),0)</f>
        <v>20</v>
      </c>
      <c r="AJ215" s="14">
        <f>IF(Distances!CW109&lt;&gt;0,ROUNDUP(AJ209+'Délai intermédiaire'!CW109/24,0),0)</f>
        <v>18</v>
      </c>
      <c r="AK215" s="14">
        <f>IF(Distances!CX109&lt;&gt;0,ROUNDUP(AK209+'Délai intermédiaire'!CX109/24,0),0)</f>
        <v>19</v>
      </c>
      <c r="AL215" s="14">
        <f>IF(Distances!CY109&lt;&gt;0,ROUNDUP(AL209+'Délai intermédiaire'!CY109/24,0),0)</f>
        <v>18</v>
      </c>
      <c r="AM215" s="14">
        <f>IF(Distances!CZ109&lt;&gt;0,ROUNDUP(AM209+'Délai intermédiaire'!CZ109/24,0),0)</f>
        <v>19</v>
      </c>
      <c r="AN215" s="14">
        <f>IF(Distances!DA109&lt;&gt;0,ROUNDUP(AN209+'Délai intermédiaire'!DA109/24,0),0)</f>
        <v>19</v>
      </c>
      <c r="AO215" s="14">
        <f>IF(Distances!DB109&lt;&gt;0,ROUNDUP(AO209+'Délai intermédiaire'!DB109/24,0),0)</f>
        <v>20</v>
      </c>
      <c r="AP215" s="14">
        <f>IF(Distances!DC109&lt;&gt;0,ROUNDUP(AP209+'Délai intermédiaire'!DC109/24,0),0)</f>
        <v>19</v>
      </c>
      <c r="AQ215" s="14">
        <f>IF(Distances!DD109&lt;&gt;0,ROUNDUP(AQ209+'Délai intermédiaire'!DD109/24,0),0)</f>
        <v>22</v>
      </c>
      <c r="AR215" s="14">
        <f>IF(Distances!DE109&lt;&gt;0,ROUNDUP(AR209+'Délai intermédiaire'!DE109/24,0),0)</f>
        <v>17</v>
      </c>
      <c r="AS215" s="14">
        <f>IF(Distances!DF109&lt;&gt;0,ROUNDUP(AS209+'Délai intermédiaire'!DF109/24,0),0)</f>
        <v>18</v>
      </c>
      <c r="AT215" s="14">
        <f>IF(Distances!DG109&lt;&gt;0,ROUNDUP(AT209+'Délai intermédiaire'!DG109/24,0),0)</f>
        <v>17</v>
      </c>
      <c r="AU215" s="14">
        <f>IF(Distances!DH109&lt;&gt;0,ROUNDUP(AU209+'Délai intermédiaire'!DH109/24,0),0)</f>
        <v>21</v>
      </c>
      <c r="AV215" s="14">
        <f>IF(Distances!DI109&lt;&gt;0,ROUNDUP(AV209+'Délai intermédiaire'!DI109/24,0),0)</f>
        <v>12</v>
      </c>
      <c r="AW215" s="14">
        <f>IF(Distances!DJ109&lt;&gt;0,ROUNDUP(AW209+'Délai intermédiaire'!DJ109/24,0),0)</f>
        <v>14</v>
      </c>
      <c r="AX215" s="14">
        <f>IF(Distances!DK109&lt;&gt;0,ROUNDUP(AX209+'Délai intermédiaire'!DK109/24,0),0)</f>
        <v>20</v>
      </c>
      <c r="AY215" s="14">
        <f>IF(Distances!DL109&lt;&gt;0,ROUNDUP(AY209+'Délai intermédiaire'!DL109/24,0),0)</f>
        <v>3</v>
      </c>
      <c r="AZ215" s="14">
        <f>IF(Distances!DM109&lt;&gt;0,ROUNDUP(AZ209+'Délai intermédiaire'!DM109/24,0),0)</f>
        <v>17</v>
      </c>
      <c r="BA215" s="14">
        <f>IF(Distances!DN109&lt;&gt;0,ROUNDUP(BA209+'Délai intermédiaire'!DN109/24,0),0)</f>
        <v>22</v>
      </c>
      <c r="BB215" s="14">
        <f>IF(Distances!DO109&lt;&gt;0,ROUNDUP(BB209+'Délai intermédiaire'!DO109/24,0),0)</f>
        <v>10</v>
      </c>
      <c r="BC215" s="14">
        <f>IF(Distances!DP109&lt;&gt;0,ROUNDUP(BC209+'Délai intermédiaire'!DP109/24,0),0)</f>
        <v>22</v>
      </c>
      <c r="BD215" s="14">
        <f>IF(Distances!DQ109&lt;&gt;0,ROUNDUP(BD209+'Délai intermédiaire'!DQ109/24,0),0)</f>
        <v>21</v>
      </c>
      <c r="BE215" s="14">
        <f>IF(Distances!DR109&lt;&gt;0,ROUNDUP(BE209+'Délai intermédiaire'!DR109/24,0),0)</f>
        <v>21</v>
      </c>
      <c r="BF215" s="14">
        <f>IF(Distances!DS109&lt;&gt;0,ROUNDUP(BF209+'Délai intermédiaire'!DS109/24,0),0)</f>
        <v>13</v>
      </c>
      <c r="BG215" s="14">
        <f>IF(Distances!DT109&lt;&gt;0,ROUNDUP(BG209+'Délai intermédiaire'!DT109/24,0),0)</f>
        <v>11</v>
      </c>
      <c r="BH215" s="14">
        <f>IF(Distances!DU109&lt;&gt;0,ROUNDUP(BH209+'Délai intermédiaire'!DU109/24,0),0)</f>
        <v>7</v>
      </c>
      <c r="BI215" s="14">
        <f>IF(Distances!DV109&lt;&gt;0,ROUNDUP(BI209+'Délai intermédiaire'!DV109/24,0),0)</f>
        <v>11</v>
      </c>
      <c r="BJ215" s="15">
        <f>IF(Distances!DW109&lt;&gt;0,ROUNDUP(BJ209+'Délai intermédiaire'!DW109/24,0),0)</f>
        <v>11</v>
      </c>
    </row>
    <row r="216" spans="1:62" x14ac:dyDescent="0.3">
      <c r="A216" s="10" t="s">
        <v>6</v>
      </c>
      <c r="B216" s="11">
        <f>IF(Distances!BO110&lt;&gt;0,ROUNDUP(B209+'Délai intermédiaire'!BO110/24,0),0)</f>
        <v>9</v>
      </c>
      <c r="C216" s="13">
        <f>IF(Distances!BP110&lt;&gt;0,ROUNDUP(C209+'Délai intermédiaire'!BP110/24,0),0)</f>
        <v>10</v>
      </c>
      <c r="D216" s="13">
        <f>IF(Distances!BQ110&lt;&gt;0,ROUNDUP(D209+'Délai intermédiaire'!BQ110/24,0),0)</f>
        <v>12</v>
      </c>
      <c r="E216" s="13">
        <f>IF(Distances!BR110&lt;&gt;0,ROUNDUP(E209+'Délai intermédiaire'!BR110/24,0),0)</f>
        <v>15</v>
      </c>
      <c r="F216" s="13">
        <f>IF(Distances!BS110&lt;&gt;0,ROUNDUP(F209+'Délai intermédiaire'!BS110/24,0),0)</f>
        <v>11</v>
      </c>
      <c r="G216" s="12">
        <f>IF(Distances!BT110&lt;&gt;0,ROUNDUP(G209+'Délai intermédiaire'!BT110/24,0),0)</f>
        <v>0</v>
      </c>
      <c r="H216" s="13">
        <f>IF(Distances!BU110&lt;&gt;0,ROUNDUP(H209+'Délai intermédiaire'!BU110/24,0),0)</f>
        <v>4</v>
      </c>
      <c r="I216" s="13">
        <f>IF(Distances!BV110&lt;&gt;0,ROUNDUP(I209+'Délai intermédiaire'!BV110/24,0),0)</f>
        <v>2</v>
      </c>
      <c r="J216" s="13">
        <f>IF(Distances!BW110&lt;&gt;0,ROUNDUP(J209+'Délai intermédiaire'!BW110/24,0),0)</f>
        <v>14</v>
      </c>
      <c r="K216" s="13">
        <f>IF(Distances!BX110&lt;&gt;0,ROUNDUP(K209+'Délai intermédiaire'!BX110/24,0),0)</f>
        <v>14</v>
      </c>
      <c r="L216" s="13">
        <f>IF(Distances!BY110&lt;&gt;0,ROUNDUP(L209+'Délai intermédiaire'!BY110/24,0),0)</f>
        <v>6</v>
      </c>
      <c r="M216" s="13">
        <f>IF(Distances!BZ110&lt;&gt;0,ROUNDUP(M209+'Délai intermédiaire'!BZ110/24,0),0)</f>
        <v>5</v>
      </c>
      <c r="N216" s="13">
        <f>IF(Distances!CA110&lt;&gt;0,ROUNDUP(N209+'Délai intermédiaire'!CA110/24,0),0)</f>
        <v>11</v>
      </c>
      <c r="O216" s="14">
        <f>IF(Distances!CB110&lt;&gt;0,ROUNDUP(O209+'Délai intermédiaire'!CB110/24,0),0)</f>
        <v>16</v>
      </c>
      <c r="P216" s="14">
        <f>IF(Distances!CC110&lt;&gt;0,ROUNDUP(P209+'Délai intermédiaire'!CC110/24,0),0)</f>
        <v>14</v>
      </c>
      <c r="Q216" s="14">
        <f>IF(Distances!CD110&lt;&gt;0,ROUNDUP(Q209+'Délai intermédiaire'!CD110/24,0),0)</f>
        <v>16</v>
      </c>
      <c r="R216" s="14">
        <f>IF(Distances!CE110&lt;&gt;0,ROUNDUP(R209+'Délai intermédiaire'!CE110/24,0),0)</f>
        <v>15</v>
      </c>
      <c r="S216" s="14">
        <f>IF(Distances!CF110&lt;&gt;0,ROUNDUP(S209+'Délai intermédiaire'!CF110/24,0),0)</f>
        <v>16</v>
      </c>
      <c r="T216" s="14">
        <f>IF(Distances!CG110&lt;&gt;0,ROUNDUP(T209+'Délai intermédiaire'!CG110/24,0),0)</f>
        <v>15</v>
      </c>
      <c r="U216" s="14">
        <f>IF(Distances!CH110&lt;&gt;0,ROUNDUP(U209+'Délai intermédiaire'!CH110/24,0),0)</f>
        <v>14</v>
      </c>
      <c r="V216" s="14">
        <f>IF(Distances!CI110&lt;&gt;0,ROUNDUP(V209+'Délai intermédiaire'!CI110/24,0),0)</f>
        <v>18</v>
      </c>
      <c r="W216" s="14">
        <f>IF(Distances!CJ110&lt;&gt;0,ROUNDUP(W209+'Délai intermédiaire'!CJ110/24,0),0)</f>
        <v>16</v>
      </c>
      <c r="X216" s="14">
        <f>IF(Distances!CK110&lt;&gt;0,ROUNDUP(X209+'Délai intermédiaire'!CK110/24,0),0)</f>
        <v>17</v>
      </c>
      <c r="Y216" s="14">
        <f>IF(Distances!CL110&lt;&gt;0,ROUNDUP(Y209+'Délai intermédiaire'!CL110/24,0),0)</f>
        <v>16</v>
      </c>
      <c r="Z216" s="14">
        <f>IF(Distances!CM110&lt;&gt;0,ROUNDUP(Z209+'Délai intermédiaire'!CM110/24,0),0)</f>
        <v>17</v>
      </c>
      <c r="AA216" s="14">
        <f>IF(Distances!CN110&lt;&gt;0,ROUNDUP(AA209+'Délai intermédiaire'!CN110/24,0),0)</f>
        <v>17</v>
      </c>
      <c r="AB216" s="14">
        <f>IF(Distances!CO110&lt;&gt;0,ROUNDUP(AB209+'Délai intermédiaire'!CO110/24,0),0)</f>
        <v>16</v>
      </c>
      <c r="AC216" s="14">
        <f>IF(Distances!CP110&lt;&gt;0,ROUNDUP(AC209+'Délai intermédiaire'!CP110/24,0),0)</f>
        <v>16</v>
      </c>
      <c r="AD216" s="14">
        <f>IF(Distances!CQ110&lt;&gt;0,ROUNDUP(AD209+'Délai intermédiaire'!CQ110/24,0),0)</f>
        <v>17</v>
      </c>
      <c r="AE216" s="14">
        <f>IF(Distances!CR110&lt;&gt;0,ROUNDUP(AE209+'Délai intermédiaire'!CR110/24,0),0)</f>
        <v>19</v>
      </c>
      <c r="AF216" s="14">
        <f>IF(Distances!CS110&lt;&gt;0,ROUNDUP(AF209+'Délai intermédiaire'!CS110/24,0),0)</f>
        <v>18</v>
      </c>
      <c r="AG216" s="14">
        <f>IF(Distances!CT110&lt;&gt;0,ROUNDUP(AG209+'Délai intermédiaire'!CT110/24,0),0)</f>
        <v>19</v>
      </c>
      <c r="AH216" s="14">
        <f>IF(Distances!CU110&lt;&gt;0,ROUNDUP(AH209+'Délai intermédiaire'!CU110/24,0),0)</f>
        <v>22</v>
      </c>
      <c r="AI216" s="14">
        <f>IF(Distances!CV110&lt;&gt;0,ROUNDUP(AI209+'Délai intermédiaire'!CV110/24,0),0)</f>
        <v>19</v>
      </c>
      <c r="AJ216" s="14">
        <f>IF(Distances!CW110&lt;&gt;0,ROUNDUP(AJ209+'Délai intermédiaire'!CW110/24,0),0)</f>
        <v>21</v>
      </c>
      <c r="AK216" s="14">
        <f>IF(Distances!CX110&lt;&gt;0,ROUNDUP(AK209+'Délai intermédiaire'!CX110/24,0),0)</f>
        <v>19</v>
      </c>
      <c r="AL216" s="14">
        <f>IF(Distances!CY110&lt;&gt;0,ROUNDUP(AL209+'Délai intermédiaire'!CY110/24,0),0)</f>
        <v>11</v>
      </c>
      <c r="AM216" s="14">
        <f>IF(Distances!CZ110&lt;&gt;0,ROUNDUP(AM209+'Délai intermédiaire'!CZ110/24,0),0)</f>
        <v>11</v>
      </c>
      <c r="AN216" s="14">
        <f>IF(Distances!DA110&lt;&gt;0,ROUNDUP(AN209+'Délai intermédiaire'!DA110/24,0),0)</f>
        <v>11</v>
      </c>
      <c r="AO216" s="14">
        <f>IF(Distances!DB110&lt;&gt;0,ROUNDUP(AO209+'Délai intermédiaire'!DB110/24,0),0)</f>
        <v>15</v>
      </c>
      <c r="AP216" s="14">
        <f>IF(Distances!DC110&lt;&gt;0,ROUNDUP(AP209+'Délai intermédiaire'!DC110/24,0),0)</f>
        <v>14</v>
      </c>
      <c r="AQ216" s="14">
        <f>IF(Distances!DD110&lt;&gt;0,ROUNDUP(AQ209+'Délai intermédiaire'!DD110/24,0),0)</f>
        <v>18</v>
      </c>
      <c r="AR216" s="14">
        <f>IF(Distances!DE110&lt;&gt;0,ROUNDUP(AR209+'Délai intermédiaire'!DE110/24,0),0)</f>
        <v>22</v>
      </c>
      <c r="AS216" s="14">
        <f>IF(Distances!DF110&lt;&gt;0,ROUNDUP(AS209+'Délai intermédiaire'!DF110/24,0),0)</f>
        <v>23</v>
      </c>
      <c r="AT216" s="14">
        <f>IF(Distances!DG110&lt;&gt;0,ROUNDUP(AT209+'Délai intermédiaire'!DG110/24,0),0)</f>
        <v>23</v>
      </c>
      <c r="AU216" s="14">
        <f>IF(Distances!DH110&lt;&gt;0,ROUNDUP(AU209+'Délai intermédiaire'!DH110/24,0),0)</f>
        <v>13</v>
      </c>
      <c r="AV216" s="14">
        <f>IF(Distances!DI110&lt;&gt;0,ROUNDUP(AV209+'Délai intermédiaire'!DI110/24,0),0)</f>
        <v>20</v>
      </c>
      <c r="AW216" s="14">
        <f>IF(Distances!DJ110&lt;&gt;0,ROUNDUP(AW209+'Délai intermédiaire'!DJ110/24,0),0)</f>
        <v>22</v>
      </c>
      <c r="AX216" s="14">
        <f>IF(Distances!DK110&lt;&gt;0,ROUNDUP(AX209+'Délai intermédiaire'!DK110/24,0),0)</f>
        <v>13</v>
      </c>
      <c r="AY216" s="14">
        <f>IF(Distances!DL110&lt;&gt;0,ROUNDUP(AY209+'Délai intermédiaire'!DL110/24,0),0)</f>
        <v>3</v>
      </c>
      <c r="AZ216" s="14">
        <f>IF(Distances!DM110&lt;&gt;0,ROUNDUP(AZ209+'Délai intermédiaire'!DM110/24,0),0)</f>
        <v>24</v>
      </c>
      <c r="BA216" s="14">
        <f>IF(Distances!DN110&lt;&gt;0,ROUNDUP(BA209+'Délai intermédiaire'!DN110/24,0),0)</f>
        <v>17</v>
      </c>
      <c r="BB216" s="14">
        <f>IF(Distances!DO110&lt;&gt;0,ROUNDUP(BB209+'Délai intermédiaire'!DO110/24,0),0)</f>
        <v>18</v>
      </c>
      <c r="BC216" s="14">
        <f>IF(Distances!DP110&lt;&gt;0,ROUNDUP(BC209+'Délai intermédiaire'!DP110/24,0),0)</f>
        <v>14</v>
      </c>
      <c r="BD216" s="14">
        <f>IF(Distances!DQ110&lt;&gt;0,ROUNDUP(BD209+'Délai intermédiaire'!DQ110/24,0),0)</f>
        <v>13</v>
      </c>
      <c r="BE216" s="14">
        <f>IF(Distances!DR110&lt;&gt;0,ROUNDUP(BE209+'Délai intermédiaire'!DR110/24,0),0)</f>
        <v>13</v>
      </c>
      <c r="BF216" s="14">
        <f>IF(Distances!DS110&lt;&gt;0,ROUNDUP(BF209+'Délai intermédiaire'!DS110/24,0),0)</f>
        <v>20</v>
      </c>
      <c r="BG216" s="14">
        <f>IF(Distances!DT110&lt;&gt;0,ROUNDUP(BG209+'Délai intermédiaire'!DT110/24,0),0)</f>
        <v>18</v>
      </c>
      <c r="BH216" s="14">
        <f>IF(Distances!DU110&lt;&gt;0,ROUNDUP(BH209+'Délai intermédiaire'!DU110/24,0),0)</f>
        <v>9</v>
      </c>
      <c r="BI216" s="14">
        <f>IF(Distances!DV110&lt;&gt;0,ROUNDUP(BI209+'Délai intermédiaire'!DV110/24,0),0)</f>
        <v>12</v>
      </c>
      <c r="BJ216" s="15">
        <f>IF(Distances!DW110&lt;&gt;0,ROUNDUP(BJ209+'Délai intermédiaire'!DW110/24,0),0)</f>
        <v>12</v>
      </c>
    </row>
    <row r="217" spans="1:62" x14ac:dyDescent="0.3">
      <c r="A217" s="10" t="s">
        <v>63</v>
      </c>
      <c r="B217" s="11">
        <f>IF(Distances!BO111&lt;&gt;0,ROUNDUP(B209+'Délai intermédiaire'!BO111/24,0),0)</f>
        <v>0</v>
      </c>
      <c r="C217" s="13">
        <f>IF(Distances!BP111&lt;&gt;0,ROUNDUP(C209+'Délai intermédiaire'!BP111/24,0),0)</f>
        <v>0</v>
      </c>
      <c r="D217" s="13">
        <f>IF(Distances!BQ111&lt;&gt;0,ROUNDUP(D209+'Délai intermédiaire'!BQ111/24,0),0)</f>
        <v>13</v>
      </c>
      <c r="E217" s="13">
        <f>IF(Distances!BR111&lt;&gt;0,ROUNDUP(E209+'Délai intermédiaire'!BR111/24,0),0)</f>
        <v>0</v>
      </c>
      <c r="F217" s="13">
        <f>IF(Distances!BS111&lt;&gt;0,ROUNDUP(F209+'Délai intermédiaire'!BS111/24,0),0)</f>
        <v>12</v>
      </c>
      <c r="G217" s="13">
        <f>IF(Distances!BT111&lt;&gt;0,ROUNDUP(G209+'Délai intermédiaire'!BT111/24,0),0)</f>
        <v>4</v>
      </c>
      <c r="H217" s="12">
        <f>IF(Distances!BU111&lt;&gt;0,ROUNDUP(H209+'Délai intermédiaire'!BU111/24,0),0)</f>
        <v>0</v>
      </c>
      <c r="I217" s="13">
        <f>IF(Distances!BV111&lt;&gt;0,ROUNDUP(I209+'Délai intermédiaire'!BV111/24,0),0)</f>
        <v>0</v>
      </c>
      <c r="J217" s="13">
        <f>IF(Distances!BW111&lt;&gt;0,ROUNDUP(J209+'Délai intermédiaire'!BW111/24,0),0)</f>
        <v>15</v>
      </c>
      <c r="K217" s="13">
        <f>IF(Distances!BX111&lt;&gt;0,ROUNDUP(K209+'Délai intermédiaire'!BX111/24,0),0)</f>
        <v>0</v>
      </c>
      <c r="L217" s="13">
        <f>IF(Distances!BY111&lt;&gt;0,ROUNDUP(L209+'Délai intermédiaire'!BY111/24,0),0)</f>
        <v>3</v>
      </c>
      <c r="M217" s="13">
        <f>IF(Distances!BZ111&lt;&gt;0,ROUNDUP(M209+'Délai intermédiaire'!BZ111/24,0),0)</f>
        <v>0</v>
      </c>
      <c r="N217" s="13">
        <f>IF(Distances!CA111&lt;&gt;0,ROUNDUP(N209+'Délai intermédiaire'!CA111/24,0),0)</f>
        <v>12</v>
      </c>
      <c r="O217" s="14">
        <f>IF(Distances!CB111&lt;&gt;0,ROUNDUP(O209+'Délai intermédiaire'!CB111/24,0),0)</f>
        <v>17</v>
      </c>
      <c r="P217" s="14">
        <f>IF(Distances!CC111&lt;&gt;0,ROUNDUP(P209+'Délai intermédiaire'!CC111/24,0),0)</f>
        <v>15</v>
      </c>
      <c r="Q217" s="14">
        <f>IF(Distances!CD111&lt;&gt;0,ROUNDUP(Q209+'Délai intermédiaire'!CD111/24,0),0)</f>
        <v>0</v>
      </c>
      <c r="R217" s="14">
        <f>IF(Distances!CE111&lt;&gt;0,ROUNDUP(R209+'Délai intermédiaire'!CE111/24,0),0)</f>
        <v>0</v>
      </c>
      <c r="S217" s="14">
        <f>IF(Distances!CF111&lt;&gt;0,ROUNDUP(S209+'Délai intermédiaire'!CF111/24,0),0)</f>
        <v>0</v>
      </c>
      <c r="T217" s="14">
        <f>IF(Distances!CG111&lt;&gt;0,ROUNDUP(T209+'Délai intermédiaire'!CG111/24,0),0)</f>
        <v>17</v>
      </c>
      <c r="U217" s="14">
        <f>IF(Distances!CH111&lt;&gt;0,ROUNDUP(U209+'Délai intermédiaire'!CH111/24,0),0)</f>
        <v>17</v>
      </c>
      <c r="V217" s="14">
        <f>IF(Distances!CI111&lt;&gt;0,ROUNDUP(V209+'Délai intermédiaire'!CI111/24,0),0)</f>
        <v>19</v>
      </c>
      <c r="W217" s="14">
        <f>IF(Distances!CJ111&lt;&gt;0,ROUNDUP(W209+'Délai intermédiaire'!CJ111/24,0),0)</f>
        <v>0</v>
      </c>
      <c r="X217" s="14">
        <f>IF(Distances!CK111&lt;&gt;0,ROUNDUP(X209+'Délai intermédiaire'!CK111/24,0),0)</f>
        <v>18</v>
      </c>
      <c r="Y217" s="14">
        <f>IF(Distances!CL111&lt;&gt;0,ROUNDUP(Y209+'Délai intermédiaire'!CL111/24,0),0)</f>
        <v>17</v>
      </c>
      <c r="Z217" s="14">
        <f>IF(Distances!CM111&lt;&gt;0,ROUNDUP(Z209+'Délai intermédiaire'!CM111/24,0),0)</f>
        <v>19</v>
      </c>
      <c r="AA217" s="14">
        <f>IF(Distances!CN111&lt;&gt;0,ROUNDUP(AA209+'Délai intermédiaire'!CN111/24,0),0)</f>
        <v>19</v>
      </c>
      <c r="AB217" s="14">
        <f>IF(Distances!CO111&lt;&gt;0,ROUNDUP(AB209+'Délai intermédiaire'!CO111/24,0),0)</f>
        <v>17</v>
      </c>
      <c r="AC217" s="14">
        <f>IF(Distances!CP111&lt;&gt;0,ROUNDUP(AC209+'Délai intermédiaire'!CP111/24,0),0)</f>
        <v>0</v>
      </c>
      <c r="AD217" s="14">
        <f>IF(Distances!CQ111&lt;&gt;0,ROUNDUP(AD209+'Délai intermédiaire'!CQ111/24,0),0)</f>
        <v>0</v>
      </c>
      <c r="AE217" s="14">
        <f>IF(Distances!CR111&lt;&gt;0,ROUNDUP(AE209+'Délai intermédiaire'!CR111/24,0),0)</f>
        <v>20</v>
      </c>
      <c r="AF217" s="14">
        <f>IF(Distances!CS111&lt;&gt;0,ROUNDUP(AF209+'Délai intermédiaire'!CS111/24,0),0)</f>
        <v>19</v>
      </c>
      <c r="AG217" s="14">
        <f>IF(Distances!CT111&lt;&gt;0,ROUNDUP(AG209+'Délai intermédiaire'!CT111/24,0),0)</f>
        <v>20</v>
      </c>
      <c r="AH217" s="14">
        <f>IF(Distances!CU111&lt;&gt;0,ROUNDUP(AH209+'Délai intermédiaire'!CU111/24,0),0)</f>
        <v>20</v>
      </c>
      <c r="AI217" s="14">
        <f>IF(Distances!CV111&lt;&gt;0,ROUNDUP(AI209+'Délai intermédiaire'!CV111/24,0),0)</f>
        <v>0</v>
      </c>
      <c r="AJ217" s="14">
        <f>IF(Distances!CW111&lt;&gt;0,ROUNDUP(AJ209+'Délai intermédiaire'!CW111/24,0),0)</f>
        <v>20</v>
      </c>
      <c r="AK217" s="14">
        <f>IF(Distances!CX111&lt;&gt;0,ROUNDUP(AK209+'Délai intermédiaire'!CX111/24,0),0)</f>
        <v>0</v>
      </c>
      <c r="AL217" s="14">
        <f>IF(Distances!CY111&lt;&gt;0,ROUNDUP(AL209+'Délai intermédiaire'!CY111/24,0),0)</f>
        <v>0</v>
      </c>
      <c r="AM217" s="14">
        <f>IF(Distances!CZ111&lt;&gt;0,ROUNDUP(AM209+'Délai intermédiaire'!CZ111/24,0),0)</f>
        <v>0</v>
      </c>
      <c r="AN217" s="14">
        <f>IF(Distances!DA111&lt;&gt;0,ROUNDUP(AN209+'Délai intermédiaire'!DA111/24,0),0)</f>
        <v>10</v>
      </c>
      <c r="AO217" s="14">
        <f>IF(Distances!DB111&lt;&gt;0,ROUNDUP(AO209+'Délai intermédiaire'!DB111/24,0),0)</f>
        <v>0</v>
      </c>
      <c r="AP217" s="14">
        <f>IF(Distances!DC111&lt;&gt;0,ROUNDUP(AP209+'Délai intermédiaire'!DC111/24,0),0)</f>
        <v>0</v>
      </c>
      <c r="AQ217" s="14">
        <f>IF(Distances!DD111&lt;&gt;0,ROUNDUP(AQ209+'Délai intermédiaire'!DD111/24,0),0)</f>
        <v>0</v>
      </c>
      <c r="AR217" s="14">
        <f>IF(Distances!DE111&lt;&gt;0,ROUNDUP(AR209+'Délai intermédiaire'!DE111/24,0),0)</f>
        <v>0</v>
      </c>
      <c r="AS217" s="14">
        <f>IF(Distances!DF111&lt;&gt;0,ROUNDUP(AS209+'Délai intermédiaire'!DF111/24,0),0)</f>
        <v>22</v>
      </c>
      <c r="AT217" s="14">
        <f>IF(Distances!DG111&lt;&gt;0,ROUNDUP(AT209+'Délai intermédiaire'!DG111/24,0),0)</f>
        <v>21</v>
      </c>
      <c r="AU217" s="14">
        <f>IF(Distances!DH111&lt;&gt;0,ROUNDUP(AU209+'Délai intermédiaire'!DH111/24,0),0)</f>
        <v>11</v>
      </c>
      <c r="AV217" s="14">
        <f>IF(Distances!DI111&lt;&gt;0,ROUNDUP(AV209+'Délai intermédiaire'!DI111/24,0),0)</f>
        <v>21</v>
      </c>
      <c r="AW217" s="14">
        <f>IF(Distances!DJ111&lt;&gt;0,ROUNDUP(AW209+'Délai intermédiaire'!DJ111/24,0),0)</f>
        <v>23</v>
      </c>
      <c r="AX217" s="14">
        <f>IF(Distances!DK111&lt;&gt;0,ROUNDUP(AX209+'Délai intermédiaire'!DK111/24,0),0)</f>
        <v>0</v>
      </c>
      <c r="AY217" s="14">
        <f>IF(Distances!DL111&lt;&gt;0,ROUNDUP(AY209+'Délai intermédiaire'!DL111/24,0),0)</f>
        <v>0</v>
      </c>
      <c r="AZ217" s="14">
        <f>IF(Distances!DM111&lt;&gt;0,ROUNDUP(AZ209+'Délai intermédiaire'!DM111/24,0),0)</f>
        <v>22</v>
      </c>
      <c r="BA217" s="14">
        <f>IF(Distances!DN111&lt;&gt;0,ROUNDUP(BA209+'Délai intermédiaire'!DN111/24,0),0)</f>
        <v>0</v>
      </c>
      <c r="BB217" s="14">
        <f>IF(Distances!DO111&lt;&gt;0,ROUNDUP(BB209+'Délai intermédiaire'!DO111/24,0),0)</f>
        <v>0</v>
      </c>
      <c r="BC217" s="14">
        <f>IF(Distances!DP111&lt;&gt;0,ROUNDUP(BC209+'Délai intermédiaire'!DP111/24,0),0)</f>
        <v>0</v>
      </c>
      <c r="BD217" s="14">
        <f>IF(Distances!DQ111&lt;&gt;0,ROUNDUP(BD209+'Délai intermédiaire'!DQ111/24,0),0)</f>
        <v>12</v>
      </c>
      <c r="BE217" s="14">
        <f>IF(Distances!DR111&lt;&gt;0,ROUNDUP(BE209+'Délai intermédiaire'!DR111/24,0),0)</f>
        <v>0</v>
      </c>
      <c r="BF217" s="14">
        <f>IF(Distances!DS111&lt;&gt;0,ROUNDUP(BF209+'Délai intermédiaire'!DS111/24,0),0)</f>
        <v>22</v>
      </c>
      <c r="BG217" s="14">
        <f>IF(Distances!DT111&lt;&gt;0,ROUNDUP(BG209+'Délai intermédiaire'!DT111/24,0),0)</f>
        <v>20</v>
      </c>
      <c r="BH217" s="14">
        <f>IF(Distances!DU111&lt;&gt;0,ROUNDUP(BH209+'Délai intermédiaire'!DU111/24,0),0)</f>
        <v>10</v>
      </c>
      <c r="BI217" s="14">
        <f>IF(Distances!DV111&lt;&gt;0,ROUNDUP(BI209+'Délai intermédiaire'!DV111/24,0),0)</f>
        <v>13</v>
      </c>
      <c r="BJ217" s="15">
        <f>IF(Distances!DW111&lt;&gt;0,ROUNDUP(BJ209+'Délai intermédiaire'!DW111/24,0),0)</f>
        <v>13</v>
      </c>
    </row>
    <row r="218" spans="1:62" x14ac:dyDescent="0.3">
      <c r="A218" s="10" t="s">
        <v>8</v>
      </c>
      <c r="B218" s="11">
        <f>IF(Distances!BO112&lt;&gt;0,ROUNDUP(B209+'Délai intermédiaire'!BO112/24,0),0)</f>
        <v>0</v>
      </c>
      <c r="C218" s="13">
        <f>IF(Distances!BP112&lt;&gt;0,ROUNDUP(C209+'Délai intermédiaire'!BP112/24,0),0)</f>
        <v>0</v>
      </c>
      <c r="D218" s="13">
        <f>IF(Distances!BQ112&lt;&gt;0,ROUNDUP(D209+'Délai intermédiaire'!BQ112/24,0),0)</f>
        <v>11</v>
      </c>
      <c r="E218" s="13">
        <f>IF(Distances!BR112&lt;&gt;0,ROUNDUP(E209+'Délai intermédiaire'!BR112/24,0),0)</f>
        <v>0</v>
      </c>
      <c r="F218" s="13">
        <f>IF(Distances!BS112&lt;&gt;0,ROUNDUP(F209+'Délai intermédiaire'!BS112/24,0),0)</f>
        <v>10</v>
      </c>
      <c r="G218" s="13">
        <f>IF(Distances!BT112&lt;&gt;0,ROUNDUP(G209+'Délai intermédiaire'!BT112/24,0),0)</f>
        <v>2</v>
      </c>
      <c r="H218" s="13">
        <f>IF(Distances!BU112&lt;&gt;0,ROUNDUP(H209+'Délai intermédiaire'!BU112/24,0),0)</f>
        <v>0</v>
      </c>
      <c r="I218" s="12">
        <f>IF(Distances!BV112&lt;&gt;0,ROUNDUP(I209+'Délai intermédiaire'!BV112/24,0),0)</f>
        <v>0</v>
      </c>
      <c r="J218" s="13">
        <f>IF(Distances!BW112&lt;&gt;0,ROUNDUP(J209+'Délai intermédiaire'!BW112/24,0),0)</f>
        <v>13</v>
      </c>
      <c r="K218" s="13">
        <f>IF(Distances!BX112&lt;&gt;0,ROUNDUP(K209+'Délai intermédiaire'!BX112/24,0),0)</f>
        <v>0</v>
      </c>
      <c r="L218" s="13">
        <f>IF(Distances!BY112&lt;&gt;0,ROUNDUP(L209+'Délai intermédiaire'!BY112/24,0),0)</f>
        <v>5</v>
      </c>
      <c r="M218" s="13">
        <f>IF(Distances!BZ112&lt;&gt;0,ROUNDUP(M209+'Délai intermédiaire'!BZ112/24,0),0)</f>
        <v>0</v>
      </c>
      <c r="N218" s="13">
        <f>IF(Distances!CA112&lt;&gt;0,ROUNDUP(N209+'Délai intermédiaire'!CA112/24,0),0)</f>
        <v>10</v>
      </c>
      <c r="O218" s="14">
        <f>IF(Distances!CB112&lt;&gt;0,ROUNDUP(O209+'Délai intermédiaire'!CB112/24,0),0)</f>
        <v>15</v>
      </c>
      <c r="P218" s="14">
        <f>IF(Distances!CC112&lt;&gt;0,ROUNDUP(P209+'Délai intermédiaire'!CC112/24,0),0)</f>
        <v>13</v>
      </c>
      <c r="Q218" s="14">
        <f>IF(Distances!CD112&lt;&gt;0,ROUNDUP(Q209+'Délai intermédiaire'!CD112/24,0),0)</f>
        <v>0</v>
      </c>
      <c r="R218" s="14">
        <f>IF(Distances!CE112&lt;&gt;0,ROUNDUP(R209+'Délai intermédiaire'!CE112/24,0),0)</f>
        <v>0</v>
      </c>
      <c r="S218" s="14">
        <f>IF(Distances!CF112&lt;&gt;0,ROUNDUP(S209+'Délai intermédiaire'!CF112/24,0),0)</f>
        <v>0</v>
      </c>
      <c r="T218" s="14">
        <f>IF(Distances!CG112&lt;&gt;0,ROUNDUP(T209+'Délai intermédiaire'!CG112/24,0),0)</f>
        <v>15</v>
      </c>
      <c r="U218" s="14">
        <f>IF(Distances!CH112&lt;&gt;0,ROUNDUP(U209+'Délai intermédiaire'!CH112/24,0),0)</f>
        <v>13</v>
      </c>
      <c r="V218" s="14">
        <f>IF(Distances!CI112&lt;&gt;0,ROUNDUP(V209+'Délai intermédiaire'!CI112/24,0),0)</f>
        <v>17</v>
      </c>
      <c r="W218" s="14">
        <f>IF(Distances!CJ112&lt;&gt;0,ROUNDUP(W209+'Délai intermédiaire'!CJ112/24,0),0)</f>
        <v>0</v>
      </c>
      <c r="X218" s="14">
        <f>IF(Distances!CK112&lt;&gt;0,ROUNDUP(X209+'Délai intermédiaire'!CK112/24,0),0)</f>
        <v>16</v>
      </c>
      <c r="Y218" s="14">
        <f>IF(Distances!CL112&lt;&gt;0,ROUNDUP(Y209+'Délai intermédiaire'!CL112/24,0),0)</f>
        <v>15</v>
      </c>
      <c r="Z218" s="14">
        <f>IF(Distances!CM112&lt;&gt;0,ROUNDUP(Z209+'Délai intermédiaire'!CM112/24,0),0)</f>
        <v>17</v>
      </c>
      <c r="AA218" s="14">
        <f>IF(Distances!CN112&lt;&gt;0,ROUNDUP(AA209+'Délai intermédiaire'!CN112/24,0),0)</f>
        <v>17</v>
      </c>
      <c r="AB218" s="14">
        <f>IF(Distances!CO112&lt;&gt;0,ROUNDUP(AB209+'Délai intermédiaire'!CO112/24,0),0)</f>
        <v>15</v>
      </c>
      <c r="AC218" s="14">
        <f>IF(Distances!CP112&lt;&gt;0,ROUNDUP(AC209+'Délai intermédiaire'!CP112/24,0),0)</f>
        <v>0</v>
      </c>
      <c r="AD218" s="14">
        <f>IF(Distances!CQ112&lt;&gt;0,ROUNDUP(AD209+'Délai intermédiaire'!CQ112/24,0),0)</f>
        <v>0</v>
      </c>
      <c r="AE218" s="14">
        <f>IF(Distances!CR112&lt;&gt;0,ROUNDUP(AE209+'Délai intermédiaire'!CR112/24,0),0)</f>
        <v>18</v>
      </c>
      <c r="AF218" s="14">
        <f>IF(Distances!CS112&lt;&gt;0,ROUNDUP(AF209+'Délai intermédiaire'!CS112/24,0),0)</f>
        <v>17</v>
      </c>
      <c r="AG218" s="14">
        <f>IF(Distances!CT112&lt;&gt;0,ROUNDUP(AG209+'Délai intermédiaire'!CT112/24,0),0)</f>
        <v>18</v>
      </c>
      <c r="AH218" s="14">
        <f>IF(Distances!CU112&lt;&gt;0,ROUNDUP(AH209+'Délai intermédiaire'!CU112/24,0),0)</f>
        <v>21</v>
      </c>
      <c r="AI218" s="14">
        <f>IF(Distances!CV112&lt;&gt;0,ROUNDUP(AI209+'Délai intermédiaire'!CV112/24,0),0)</f>
        <v>0</v>
      </c>
      <c r="AJ218" s="14">
        <f>IF(Distances!CW112&lt;&gt;0,ROUNDUP(AJ209+'Délai intermédiaire'!CW112/24,0),0)</f>
        <v>21</v>
      </c>
      <c r="AK218" s="14">
        <f>IF(Distances!CX112&lt;&gt;0,ROUNDUP(AK209+'Délai intermédiaire'!CX112/24,0),0)</f>
        <v>0</v>
      </c>
      <c r="AL218" s="14">
        <f>IF(Distances!CY112&lt;&gt;0,ROUNDUP(AL209+'Délai intermédiaire'!CY112/24,0),0)</f>
        <v>0</v>
      </c>
      <c r="AM218" s="14">
        <f>IF(Distances!CZ112&lt;&gt;0,ROUNDUP(AM209+'Délai intermédiaire'!CZ112/24,0),0)</f>
        <v>0</v>
      </c>
      <c r="AN218" s="14">
        <f>IF(Distances!DA112&lt;&gt;0,ROUNDUP(AN209+'Délai intermédiaire'!DA112/24,0),0)</f>
        <v>11</v>
      </c>
      <c r="AO218" s="14">
        <f>IF(Distances!DB112&lt;&gt;0,ROUNDUP(AO209+'Délai intermédiaire'!DB112/24,0),0)</f>
        <v>0</v>
      </c>
      <c r="AP218" s="14">
        <f>IF(Distances!DC112&lt;&gt;0,ROUNDUP(AP209+'Délai intermédiaire'!DC112/24,0),0)</f>
        <v>0</v>
      </c>
      <c r="AQ218" s="14">
        <f>IF(Distances!DD112&lt;&gt;0,ROUNDUP(AQ209+'Délai intermédiaire'!DD112/24,0),0)</f>
        <v>0</v>
      </c>
      <c r="AR218" s="14">
        <f>IF(Distances!DE112&lt;&gt;0,ROUNDUP(AR209+'Délai intermédiaire'!DE112/24,0),0)</f>
        <v>0</v>
      </c>
      <c r="AS218" s="14">
        <f>IF(Distances!DF112&lt;&gt;0,ROUNDUP(AS209+'Délai intermédiaire'!DF112/24,0),0)</f>
        <v>23</v>
      </c>
      <c r="AT218" s="14">
        <f>IF(Distances!DG112&lt;&gt;0,ROUNDUP(AT209+'Délai intermédiaire'!DG112/24,0),0)</f>
        <v>22</v>
      </c>
      <c r="AU218" s="14">
        <f>IF(Distances!DH112&lt;&gt;0,ROUNDUP(AU209+'Délai intermédiaire'!DH112/24,0),0)</f>
        <v>12</v>
      </c>
      <c r="AV218" s="14">
        <f>IF(Distances!DI112&lt;&gt;0,ROUNDUP(AV209+'Délai intermédiaire'!DI112/24,0),0)</f>
        <v>19</v>
      </c>
      <c r="AW218" s="14">
        <f>IF(Distances!DJ112&lt;&gt;0,ROUNDUP(AW209+'Délai intermédiaire'!DJ112/24,0),0)</f>
        <v>21</v>
      </c>
      <c r="AX218" s="14">
        <f>IF(Distances!DK112&lt;&gt;0,ROUNDUP(AX209+'Délai intermédiaire'!DK112/24,0),0)</f>
        <v>0</v>
      </c>
      <c r="AY218" s="14">
        <f>IF(Distances!DL112&lt;&gt;0,ROUNDUP(AY209+'Délai intermédiaire'!DL112/24,0),0)</f>
        <v>0</v>
      </c>
      <c r="AZ218" s="14">
        <f>IF(Distances!DM112&lt;&gt;0,ROUNDUP(AZ209+'Délai intermédiaire'!DM112/24,0),0)</f>
        <v>23</v>
      </c>
      <c r="BA218" s="14">
        <f>IF(Distances!DN112&lt;&gt;0,ROUNDUP(BA209+'Délai intermédiaire'!DN112/24,0),0)</f>
        <v>0</v>
      </c>
      <c r="BB218" s="14">
        <f>IF(Distances!DO112&lt;&gt;0,ROUNDUP(BB209+'Délai intermédiaire'!DO112/24,0),0)</f>
        <v>0</v>
      </c>
      <c r="BC218" s="14">
        <f>IF(Distances!DP112&lt;&gt;0,ROUNDUP(BC209+'Délai intermédiaire'!DP112/24,0),0)</f>
        <v>0</v>
      </c>
      <c r="BD218" s="14">
        <f>IF(Distances!DQ112&lt;&gt;0,ROUNDUP(BD209+'Délai intermédiaire'!DQ112/24,0),0)</f>
        <v>13</v>
      </c>
      <c r="BE218" s="14">
        <f>IF(Distances!DR112&lt;&gt;0,ROUNDUP(BE209+'Délai intermédiaire'!DR112/24,0),0)</f>
        <v>0</v>
      </c>
      <c r="BF218" s="14">
        <f>IF(Distances!DS112&lt;&gt;0,ROUNDUP(BF209+'Délai intermédiaire'!DS112/24,0),0)</f>
        <v>20</v>
      </c>
      <c r="BG218" s="14">
        <f>IF(Distances!DT112&lt;&gt;0,ROUNDUP(BG209+'Délai intermédiaire'!DT112/24,0),0)</f>
        <v>18</v>
      </c>
      <c r="BH218" s="14">
        <f>IF(Distances!DU112&lt;&gt;0,ROUNDUP(BH209+'Délai intermédiaire'!DU112/24,0),0)</f>
        <v>8</v>
      </c>
      <c r="BI218" s="14">
        <f>IF(Distances!DV112&lt;&gt;0,ROUNDUP(BI209+'Délai intermédiaire'!DV112/24,0),0)</f>
        <v>11</v>
      </c>
      <c r="BJ218" s="15">
        <f>IF(Distances!DW112&lt;&gt;0,ROUNDUP(BJ209+'Délai intermédiaire'!DW112/24,0),0)</f>
        <v>11</v>
      </c>
    </row>
    <row r="219" spans="1:62" x14ac:dyDescent="0.3">
      <c r="A219" s="10" t="s">
        <v>64</v>
      </c>
      <c r="B219" s="11">
        <f>IF(Distances!BO113&lt;&gt;0,ROUNDUP(B209+'Délai intermédiaire'!BO113/24,0),0)</f>
        <v>6</v>
      </c>
      <c r="C219" s="13">
        <f>IF(Distances!BP113&lt;&gt;0,ROUNDUP(C209+'Délai intermédiaire'!BP113/24,0),0)</f>
        <v>7</v>
      </c>
      <c r="D219" s="13">
        <f>IF(Distances!BQ113&lt;&gt;0,ROUNDUP(D209+'Délai intermédiaire'!BQ113/24,0),0)</f>
        <v>5</v>
      </c>
      <c r="E219" s="13">
        <f>IF(Distances!BR113&lt;&gt;0,ROUNDUP(E209+'Délai intermédiaire'!BR113/24,0),0)</f>
        <v>4</v>
      </c>
      <c r="F219" s="13">
        <f>IF(Distances!BS113&lt;&gt;0,ROUNDUP(F209+'Délai intermédiaire'!BS113/24,0),0)</f>
        <v>5</v>
      </c>
      <c r="G219" s="13">
        <f>IF(Distances!BT113&lt;&gt;0,ROUNDUP(G209+'Délai intermédiaire'!BT113/24,0),0)</f>
        <v>13</v>
      </c>
      <c r="H219" s="13">
        <f>IF(Distances!BU113&lt;&gt;0,ROUNDUP(H209+'Délai intermédiaire'!BU113/24,0),0)</f>
        <v>14</v>
      </c>
      <c r="I219" s="13">
        <f>IF(Distances!BV113&lt;&gt;0,ROUNDUP(I209+'Délai intermédiaire'!BV113/24,0),0)</f>
        <v>12</v>
      </c>
      <c r="J219" s="12">
        <f>IF(Distances!BW113&lt;&gt;0,ROUNDUP(J209+'Délai intermédiaire'!BW113/24,0),0)</f>
        <v>0</v>
      </c>
      <c r="K219" s="13">
        <f>IF(Distances!BX113&lt;&gt;0,ROUNDUP(K209+'Délai intermédiaire'!BX113/24,0),0)</f>
        <v>3</v>
      </c>
      <c r="L219" s="13">
        <f>IF(Distances!BY113&lt;&gt;0,ROUNDUP(L209+'Délai intermédiaire'!BY113/24,0),0)</f>
        <v>16</v>
      </c>
      <c r="M219" s="13">
        <f>IF(Distances!BZ113&lt;&gt;0,ROUNDUP(M209+'Délai intermédiaire'!BZ113/24,0),0)</f>
        <v>15</v>
      </c>
      <c r="N219" s="13">
        <f>IF(Distances!CA113&lt;&gt;0,ROUNDUP(N209+'Délai intermédiaire'!CA113/24,0),0)</f>
        <v>9</v>
      </c>
      <c r="O219" s="14">
        <f>IF(Distances!CB113&lt;&gt;0,ROUNDUP(O209+'Délai intermédiaire'!CB113/24,0),0)</f>
        <v>12</v>
      </c>
      <c r="P219" s="14">
        <f>IF(Distances!CC113&lt;&gt;0,ROUNDUP(P209+'Délai intermédiaire'!CC113/24,0),0)</f>
        <v>10</v>
      </c>
      <c r="Q219" s="14">
        <f>IF(Distances!CD113&lt;&gt;0,ROUNDUP(Q209+'Délai intermédiaire'!CD113/24,0),0)</f>
        <v>7</v>
      </c>
      <c r="R219" s="14">
        <f>IF(Distances!CE113&lt;&gt;0,ROUNDUP(R209+'Délai intermédiaire'!CE113/24,0),0)</f>
        <v>7</v>
      </c>
      <c r="S219" s="14">
        <f>IF(Distances!CF113&lt;&gt;0,ROUNDUP(S209+'Délai intermédiaire'!CF113/24,0),0)</f>
        <v>7</v>
      </c>
      <c r="T219" s="14">
        <f>IF(Distances!CG113&lt;&gt;0,ROUNDUP(T209+'Délai intermédiaire'!CG113/24,0),0)</f>
        <v>7</v>
      </c>
      <c r="U219" s="14">
        <f>IF(Distances!CH113&lt;&gt;0,ROUNDUP(U209+'Délai intermédiaire'!CH113/24,0),0)</f>
        <v>9</v>
      </c>
      <c r="V219" s="14">
        <f>IF(Distances!CI113&lt;&gt;0,ROUNDUP(V209+'Délai intermédiaire'!CI113/24,0),0)</f>
        <v>10</v>
      </c>
      <c r="W219" s="14">
        <f>IF(Distances!CJ113&lt;&gt;0,ROUNDUP(W209+'Délai intermédiaire'!CJ113/24,0),0)</f>
        <v>8</v>
      </c>
      <c r="X219" s="14">
        <f>IF(Distances!CK113&lt;&gt;0,ROUNDUP(X209+'Délai intermédiaire'!CK113/24,0),0)</f>
        <v>8</v>
      </c>
      <c r="Y219" s="14">
        <f>IF(Distances!CL113&lt;&gt;0,ROUNDUP(Y209+'Délai intermédiaire'!CL113/24,0),0)</f>
        <v>8</v>
      </c>
      <c r="Z219" s="14">
        <f>IF(Distances!CM113&lt;&gt;0,ROUNDUP(Z209+'Délai intermédiaire'!CM113/24,0),0)</f>
        <v>10</v>
      </c>
      <c r="AA219" s="14">
        <f>IF(Distances!CN113&lt;&gt;0,ROUNDUP(AA209+'Délai intermédiaire'!CN113/24,0),0)</f>
        <v>10</v>
      </c>
      <c r="AB219" s="14">
        <f>IF(Distances!CO113&lt;&gt;0,ROUNDUP(AB209+'Délai intermédiaire'!CO113/24,0),0)</f>
        <v>8</v>
      </c>
      <c r="AC219" s="14">
        <f>IF(Distances!CP113&lt;&gt;0,ROUNDUP(AC209+'Délai intermédiaire'!CP113/24,0),0)</f>
        <v>8</v>
      </c>
      <c r="AD219" s="14">
        <f>IF(Distances!CQ113&lt;&gt;0,ROUNDUP(AD209+'Délai intermédiaire'!CQ113/24,0),0)</f>
        <v>9</v>
      </c>
      <c r="AE219" s="14">
        <f>IF(Distances!CR113&lt;&gt;0,ROUNDUP(AE209+'Délai intermédiaire'!CR113/24,0),0)</f>
        <v>12</v>
      </c>
      <c r="AF219" s="14">
        <f>IF(Distances!CS113&lt;&gt;0,ROUNDUP(AF209+'Délai intermédiaire'!CS113/24,0),0)</f>
        <v>10</v>
      </c>
      <c r="AG219" s="14">
        <f>IF(Distances!CT113&lt;&gt;0,ROUNDUP(AG209+'Délai intermédiaire'!CT113/24,0),0)</f>
        <v>11</v>
      </c>
      <c r="AH219" s="14">
        <f>IF(Distances!CU113&lt;&gt;0,ROUNDUP(AH209+'Délai intermédiaire'!CU113/24,0),0)</f>
        <v>18</v>
      </c>
      <c r="AI219" s="14">
        <f>IF(Distances!CV113&lt;&gt;0,ROUNDUP(AI209+'Délai intermédiaire'!CV113/24,0),0)</f>
        <v>20</v>
      </c>
      <c r="AJ219" s="14">
        <f>IF(Distances!CW113&lt;&gt;0,ROUNDUP(AJ209+'Délai intermédiaire'!CW113/24,0),0)</f>
        <v>17</v>
      </c>
      <c r="AK219" s="14">
        <f>IF(Distances!CX113&lt;&gt;0,ROUNDUP(AK209+'Délai intermédiaire'!CX113/24,0),0)</f>
        <v>19</v>
      </c>
      <c r="AL219" s="14">
        <f>IF(Distances!CY113&lt;&gt;0,ROUNDUP(AL209+'Délai intermédiaire'!CY113/24,0),0)</f>
        <v>21</v>
      </c>
      <c r="AM219" s="14">
        <f>IF(Distances!CZ113&lt;&gt;0,ROUNDUP(AM209+'Délai intermédiaire'!CZ113/24,0),0)</f>
        <v>21</v>
      </c>
      <c r="AN219" s="14">
        <f>IF(Distances!DA113&lt;&gt;0,ROUNDUP(AN209+'Délai intermédiaire'!DA113/24,0),0)</f>
        <v>22</v>
      </c>
      <c r="AO219" s="14">
        <f>IF(Distances!DB113&lt;&gt;0,ROUNDUP(AO209+'Délai intermédiaire'!DB113/24,0),0)</f>
        <v>22</v>
      </c>
      <c r="AP219" s="14">
        <f>IF(Distances!DC113&lt;&gt;0,ROUNDUP(AP209+'Délai intermédiaire'!DC113/24,0),0)</f>
        <v>22</v>
      </c>
      <c r="AQ219" s="14">
        <f>IF(Distances!DD113&lt;&gt;0,ROUNDUP(AQ209+'Délai intermédiaire'!DD113/24,0),0)</f>
        <v>23</v>
      </c>
      <c r="AR219" s="14">
        <f>IF(Distances!DE113&lt;&gt;0,ROUNDUP(AR209+'Délai intermédiaire'!DE113/24,0),0)</f>
        <v>17</v>
      </c>
      <c r="AS219" s="14">
        <f>IF(Distances!DF113&lt;&gt;0,ROUNDUP(AS209+'Délai intermédiaire'!DF113/24,0),0)</f>
        <v>17</v>
      </c>
      <c r="AT219" s="14">
        <f>IF(Distances!DG113&lt;&gt;0,ROUNDUP(AT209+'Délai intermédiaire'!DG113/24,0),0)</f>
        <v>17</v>
      </c>
      <c r="AU219" s="14">
        <f>IF(Distances!DH113&lt;&gt;0,ROUNDUP(AU209+'Délai intermédiaire'!DH113/24,0),0)</f>
        <v>23</v>
      </c>
      <c r="AV219" s="14">
        <f>IF(Distances!DI113&lt;&gt;0,ROUNDUP(AV209+'Délai intermédiaire'!DI113/24,0),0)</f>
        <v>11</v>
      </c>
      <c r="AW219" s="14">
        <f>IF(Distances!DJ113&lt;&gt;0,ROUNDUP(AW209+'Délai intermédiaire'!DJ113/24,0),0)</f>
        <v>14</v>
      </c>
      <c r="AX219" s="14">
        <f>IF(Distances!DK113&lt;&gt;0,ROUNDUP(AX209+'Délai intermédiaire'!DK113/24,0),0)</f>
        <v>23</v>
      </c>
      <c r="AY219" s="14">
        <f>IF(Distances!DL113&lt;&gt;0,ROUNDUP(AY209+'Délai intermédiaire'!DL113/24,0),0)</f>
        <v>3</v>
      </c>
      <c r="AZ219" s="14">
        <f>IF(Distances!DM113&lt;&gt;0,ROUNDUP(AZ209+'Délai intermédiaire'!DM113/24,0),0)</f>
        <v>17</v>
      </c>
      <c r="BA219" s="14">
        <f>IF(Distances!DN113&lt;&gt;0,ROUNDUP(BA209+'Délai intermédiaire'!DN113/24,0),0)</f>
        <v>22</v>
      </c>
      <c r="BB219" s="14">
        <f>IF(Distances!DO113&lt;&gt;0,ROUNDUP(BB209+'Délai intermédiaire'!DO113/24,0),0)</f>
        <v>10</v>
      </c>
      <c r="BC219" s="14">
        <f>IF(Distances!DP113&lt;&gt;0,ROUNDUP(BC209+'Délai intermédiaire'!DP113/24,0),0)</f>
        <v>23</v>
      </c>
      <c r="BD219" s="14">
        <f>IF(Distances!DQ113&lt;&gt;0,ROUNDUP(BD209+'Délai intermédiaire'!DQ113/24,0),0)</f>
        <v>24</v>
      </c>
      <c r="BE219" s="14">
        <f>IF(Distances!DR113&lt;&gt;0,ROUNDUP(BE209+'Délai intermédiaire'!DR113/24,0),0)</f>
        <v>23</v>
      </c>
      <c r="BF219" s="14">
        <f>IF(Distances!DS113&lt;&gt;0,ROUNDUP(BF209+'Délai intermédiaire'!DS113/24,0),0)</f>
        <v>13</v>
      </c>
      <c r="BG219" s="14">
        <f>IF(Distances!DT113&lt;&gt;0,ROUNDUP(BG209+'Délai intermédiaire'!DT113/24,0),0)</f>
        <v>11</v>
      </c>
      <c r="BH219" s="14">
        <f>IF(Distances!DU113&lt;&gt;0,ROUNDUP(BH209+'Délai intermédiaire'!DU113/24,0),0)</f>
        <v>9</v>
      </c>
      <c r="BI219" s="14">
        <f>IF(Distances!DV113&lt;&gt;0,ROUNDUP(BI209+'Délai intermédiaire'!DV113/24,0),0)</f>
        <v>13</v>
      </c>
      <c r="BJ219" s="15">
        <f>IF(Distances!DW113&lt;&gt;0,ROUNDUP(BJ209+'Délai intermédiaire'!DW113/24,0),0)</f>
        <v>13</v>
      </c>
    </row>
    <row r="220" spans="1:62" x14ac:dyDescent="0.3">
      <c r="A220" s="10" t="s">
        <v>10</v>
      </c>
      <c r="B220" s="11">
        <f>IF(Distances!BO114&lt;&gt;0,ROUNDUP(B209+'Délai intermédiaire'!BO114/24,0),0)</f>
        <v>0</v>
      </c>
      <c r="C220" s="13">
        <f>IF(Distances!BP114&lt;&gt;0,ROUNDUP(C209+'Délai intermédiaire'!BP114/24,0),0)</f>
        <v>0</v>
      </c>
      <c r="D220" s="13">
        <f>IF(Distances!BQ114&lt;&gt;0,ROUNDUP(D209+'Délai intermédiaire'!BQ114/24,0),0)</f>
        <v>5</v>
      </c>
      <c r="E220" s="13">
        <f>IF(Distances!BR114&lt;&gt;0,ROUNDUP(E209+'Délai intermédiaire'!BR114/24,0),0)</f>
        <v>0</v>
      </c>
      <c r="F220" s="13">
        <f>IF(Distances!BS114&lt;&gt;0,ROUNDUP(F209+'Délai intermédiaire'!BS114/24,0),0)</f>
        <v>5</v>
      </c>
      <c r="G220" s="13">
        <f>IF(Distances!BT114&lt;&gt;0,ROUNDUP(G209+'Délai intermédiaire'!BT114/24,0),0)</f>
        <v>13</v>
      </c>
      <c r="H220" s="13">
        <f>IF(Distances!BU114&lt;&gt;0,ROUNDUP(H209+'Délai intermédiaire'!BU114/24,0),0)</f>
        <v>0</v>
      </c>
      <c r="I220" s="13">
        <f>IF(Distances!BV114&lt;&gt;0,ROUNDUP(I209+'Délai intermédiaire'!BV114/24,0),0)</f>
        <v>0</v>
      </c>
      <c r="J220" s="13">
        <f>IF(Distances!BW114&lt;&gt;0,ROUNDUP(J209+'Délai intermédiaire'!BW114/24,0),0)</f>
        <v>2</v>
      </c>
      <c r="K220" s="12">
        <f>IF(Distances!BX114&lt;&gt;0,ROUNDUP(K209+'Délai intermédiaire'!BX114/24,0),0)</f>
        <v>0</v>
      </c>
      <c r="L220" s="13">
        <f>IF(Distances!BY114&lt;&gt;0,ROUNDUP(L209+'Délai intermédiaire'!BY114/24,0),0)</f>
        <v>16</v>
      </c>
      <c r="M220" s="13">
        <f>IF(Distances!BZ114&lt;&gt;0,ROUNDUP(M209+'Délai intermédiaire'!BZ114/24,0),0)</f>
        <v>0</v>
      </c>
      <c r="N220" s="13">
        <f>IF(Distances!CA114&lt;&gt;0,ROUNDUP(N209+'Délai intermédiaire'!CA114/24,0),0)</f>
        <v>8</v>
      </c>
      <c r="O220" s="14">
        <f>IF(Distances!CB114&lt;&gt;0,ROUNDUP(O209+'Délai intermédiaire'!CB114/24,0),0)</f>
        <v>12</v>
      </c>
      <c r="P220" s="14">
        <f>IF(Distances!CC114&lt;&gt;0,ROUNDUP(P209+'Délai intermédiaire'!CC114/24,0),0)</f>
        <v>10</v>
      </c>
      <c r="Q220" s="14">
        <f>IF(Distances!CD114&lt;&gt;0,ROUNDUP(Q209+'Délai intermédiaire'!CD114/24,0),0)</f>
        <v>0</v>
      </c>
      <c r="R220" s="14">
        <f>IF(Distances!CE114&lt;&gt;0,ROUNDUP(R209+'Délai intermédiaire'!CE114/24,0),0)</f>
        <v>0</v>
      </c>
      <c r="S220" s="14">
        <f>IF(Distances!CF114&lt;&gt;0,ROUNDUP(S209+'Délai intermédiaire'!CF114/24,0),0)</f>
        <v>0</v>
      </c>
      <c r="T220" s="14">
        <f>IF(Distances!CG114&lt;&gt;0,ROUNDUP(T209+'Délai intermédiaire'!CG114/24,0),0)</f>
        <v>7</v>
      </c>
      <c r="U220" s="14">
        <f>IF(Distances!CH114&lt;&gt;0,ROUNDUP(U209+'Délai intermédiaire'!CH114/24,0),0)</f>
        <v>8</v>
      </c>
      <c r="V220" s="14">
        <f>IF(Distances!CI114&lt;&gt;0,ROUNDUP(V209+'Délai intermédiaire'!CI114/24,0),0)</f>
        <v>10</v>
      </c>
      <c r="W220" s="14">
        <f>IF(Distances!CJ114&lt;&gt;0,ROUNDUP(W209+'Délai intermédiaire'!CJ114/24,0),0)</f>
        <v>0</v>
      </c>
      <c r="X220" s="14">
        <f>IF(Distances!CK114&lt;&gt;0,ROUNDUP(X209+'Délai intermédiaire'!CK114/24,0),0)</f>
        <v>8</v>
      </c>
      <c r="Y220" s="14">
        <f>IF(Distances!CL114&lt;&gt;0,ROUNDUP(Y209+'Délai intermédiaire'!CL114/24,0),0)</f>
        <v>7</v>
      </c>
      <c r="Z220" s="14">
        <f>IF(Distances!CM114&lt;&gt;0,ROUNDUP(Z209+'Délai intermédiaire'!CM114/24,0),0)</f>
        <v>10</v>
      </c>
      <c r="AA220" s="14">
        <f>IF(Distances!CN114&lt;&gt;0,ROUNDUP(AA209+'Délai intermédiaire'!CN114/24,0),0)</f>
        <v>10</v>
      </c>
      <c r="AB220" s="14">
        <f>IF(Distances!CO114&lt;&gt;0,ROUNDUP(AB209+'Délai intermédiaire'!CO114/24,0),0)</f>
        <v>8</v>
      </c>
      <c r="AC220" s="14">
        <f>IF(Distances!CP114&lt;&gt;0,ROUNDUP(AC209+'Délai intermédiaire'!CP114/24,0),0)</f>
        <v>0</v>
      </c>
      <c r="AD220" s="14">
        <f>IF(Distances!CQ114&lt;&gt;0,ROUNDUP(AD209+'Délai intermédiaire'!CQ114/24,0),0)</f>
        <v>0</v>
      </c>
      <c r="AE220" s="14">
        <f>IF(Distances!CR114&lt;&gt;0,ROUNDUP(AE209+'Délai intermédiaire'!CR114/24,0),0)</f>
        <v>11</v>
      </c>
      <c r="AF220" s="14">
        <f>IF(Distances!CS114&lt;&gt;0,ROUNDUP(AF209+'Délai intermédiaire'!CS114/24,0),0)</f>
        <v>10</v>
      </c>
      <c r="AG220" s="14">
        <f>IF(Distances!CT114&lt;&gt;0,ROUNDUP(AG209+'Délai intermédiaire'!CT114/24,0),0)</f>
        <v>11</v>
      </c>
      <c r="AH220" s="14">
        <f>IF(Distances!CU114&lt;&gt;0,ROUNDUP(AH209+'Délai intermédiaire'!CU114/24,0),0)</f>
        <v>17</v>
      </c>
      <c r="AI220" s="14">
        <f>IF(Distances!CV114&lt;&gt;0,ROUNDUP(AI209+'Délai intermédiaire'!CV114/24,0),0)</f>
        <v>0</v>
      </c>
      <c r="AJ220" s="14">
        <f>IF(Distances!CW114&lt;&gt;0,ROUNDUP(AJ209+'Délai intermédiaire'!CW114/24,0),0)</f>
        <v>17</v>
      </c>
      <c r="AK220" s="14">
        <f>IF(Distances!CX114&lt;&gt;0,ROUNDUP(AK209+'Délai intermédiaire'!CX114/24,0),0)</f>
        <v>0</v>
      </c>
      <c r="AL220" s="14">
        <f>IF(Distances!CY114&lt;&gt;0,ROUNDUP(AL209+'Délai intermédiaire'!CY114/24,0),0)</f>
        <v>0</v>
      </c>
      <c r="AM220" s="14">
        <f>IF(Distances!CZ114&lt;&gt;0,ROUNDUP(AM209+'Délai intermédiaire'!CZ114/24,0),0)</f>
        <v>0</v>
      </c>
      <c r="AN220" s="14">
        <f>IF(Distances!DA114&lt;&gt;0,ROUNDUP(AN209+'Délai intermédiaire'!DA114/24,0),0)</f>
        <v>21</v>
      </c>
      <c r="AO220" s="14">
        <f>IF(Distances!DB114&lt;&gt;0,ROUNDUP(AO209+'Délai intermédiaire'!DB114/24,0),0)</f>
        <v>0</v>
      </c>
      <c r="AP220" s="14">
        <f>IF(Distances!DC114&lt;&gt;0,ROUNDUP(AP209+'Délai intermédiaire'!DC114/24,0),0)</f>
        <v>0</v>
      </c>
      <c r="AQ220" s="14">
        <f>IF(Distances!DD114&lt;&gt;0,ROUNDUP(AQ209+'Délai intermédiaire'!DD114/24,0),0)</f>
        <v>0</v>
      </c>
      <c r="AR220" s="14">
        <f>IF(Distances!DE114&lt;&gt;0,ROUNDUP(AR209+'Délai intermédiaire'!DE114/24,0),0)</f>
        <v>0</v>
      </c>
      <c r="AS220" s="14">
        <f>IF(Distances!DF114&lt;&gt;0,ROUNDUP(AS209+'Délai intermédiaire'!DF114/24,0),0)</f>
        <v>17</v>
      </c>
      <c r="AT220" s="14">
        <f>IF(Distances!DG114&lt;&gt;0,ROUNDUP(AT209+'Délai intermédiaire'!DG114/24,0),0)</f>
        <v>17</v>
      </c>
      <c r="AU220" s="14">
        <f>IF(Distances!DH114&lt;&gt;0,ROUNDUP(AU209+'Délai intermédiaire'!DH114/24,0),0)</f>
        <v>23</v>
      </c>
      <c r="AV220" s="14">
        <f>IF(Distances!DI114&lt;&gt;0,ROUNDUP(AV209+'Délai intermédiaire'!DI114/24,0),0)</f>
        <v>11</v>
      </c>
      <c r="AW220" s="14">
        <f>IF(Distances!DJ114&lt;&gt;0,ROUNDUP(AW209+'Délai intermédiaire'!DJ114/24,0),0)</f>
        <v>13</v>
      </c>
      <c r="AX220" s="14">
        <f>IF(Distances!DK114&lt;&gt;0,ROUNDUP(AX209+'Délai intermédiaire'!DK114/24,0),0)</f>
        <v>0</v>
      </c>
      <c r="AY220" s="14">
        <f>IF(Distances!DL114&lt;&gt;0,ROUNDUP(AY209+'Délai intermédiaire'!DL114/24,0),0)</f>
        <v>0</v>
      </c>
      <c r="AZ220" s="14">
        <f>IF(Distances!DM114&lt;&gt;0,ROUNDUP(AZ209+'Délai intermédiaire'!DM114/24,0),0)</f>
        <v>17</v>
      </c>
      <c r="BA220" s="14">
        <f>IF(Distances!DN114&lt;&gt;0,ROUNDUP(BA209+'Délai intermédiaire'!DN114/24,0),0)</f>
        <v>0</v>
      </c>
      <c r="BB220" s="14">
        <f>IF(Distances!DO114&lt;&gt;0,ROUNDUP(BB209+'Délai intermédiaire'!DO114/24,0),0)</f>
        <v>0</v>
      </c>
      <c r="BC220" s="14">
        <f>IF(Distances!DP114&lt;&gt;0,ROUNDUP(BC209+'Délai intermédiaire'!DP114/24,0),0)</f>
        <v>0</v>
      </c>
      <c r="BD220" s="14">
        <f>IF(Distances!DQ114&lt;&gt;0,ROUNDUP(BD209+'Délai intermédiaire'!DQ114/24,0),0)</f>
        <v>23</v>
      </c>
      <c r="BE220" s="14">
        <f>IF(Distances!DR114&lt;&gt;0,ROUNDUP(BE209+'Délai intermédiaire'!DR114/24,0),0)</f>
        <v>0</v>
      </c>
      <c r="BF220" s="14">
        <f>IF(Distances!DS114&lt;&gt;0,ROUNDUP(BF209+'Délai intermédiaire'!DS114/24,0),0)</f>
        <v>13</v>
      </c>
      <c r="BG220" s="14">
        <f>IF(Distances!DT114&lt;&gt;0,ROUNDUP(BG209+'Délai intermédiaire'!DT114/24,0),0)</f>
        <v>11</v>
      </c>
      <c r="BH220" s="14">
        <f>IF(Distances!DU114&lt;&gt;0,ROUNDUP(BH209+'Délai intermédiaire'!DU114/24,0),0)</f>
        <v>9</v>
      </c>
      <c r="BI220" s="14">
        <f>IF(Distances!DV114&lt;&gt;0,ROUNDUP(BI209+'Délai intermédiaire'!DV114/24,0),0)</f>
        <v>13</v>
      </c>
      <c r="BJ220" s="15">
        <f>IF(Distances!DW114&lt;&gt;0,ROUNDUP(BJ209+'Délai intermédiaire'!DW114/24,0),0)</f>
        <v>13</v>
      </c>
    </row>
    <row r="221" spans="1:62" x14ac:dyDescent="0.3">
      <c r="A221" s="10" t="s">
        <v>11</v>
      </c>
      <c r="B221" s="11">
        <f>IF(Distances!BO115&lt;&gt;0,ROUNDUP(B209+'Délai intermédiaire'!BO115/24,0),0)</f>
        <v>11</v>
      </c>
      <c r="C221" s="13">
        <f>IF(Distances!BP115&lt;&gt;0,ROUNDUP(C209+'Délai intermédiaire'!BP115/24,0),0)</f>
        <v>11</v>
      </c>
      <c r="D221" s="13">
        <f>IF(Distances!BQ115&lt;&gt;0,ROUNDUP(D209+'Délai intermédiaire'!BQ115/24,0),0)</f>
        <v>13</v>
      </c>
      <c r="E221" s="13">
        <f>IF(Distances!BR115&lt;&gt;0,ROUNDUP(E209+'Délai intermédiaire'!BR115/24,0),0)</f>
        <v>16</v>
      </c>
      <c r="F221" s="13">
        <f>IF(Distances!BS115&lt;&gt;0,ROUNDUP(F209+'Délai intermédiaire'!BS115/24,0),0)</f>
        <v>12</v>
      </c>
      <c r="G221" s="13">
        <f>IF(Distances!BT115&lt;&gt;0,ROUNDUP(G209+'Délai intermédiaire'!BT115/24,0),0)</f>
        <v>5</v>
      </c>
      <c r="H221" s="13">
        <f>IF(Distances!BU115&lt;&gt;0,ROUNDUP(H209+'Délai intermédiaire'!BU115/24,0),0)</f>
        <v>2</v>
      </c>
      <c r="I221" s="13">
        <f>IF(Distances!BV115&lt;&gt;0,ROUNDUP(I209+'Délai intermédiaire'!BV115/24,0),0)</f>
        <v>4</v>
      </c>
      <c r="J221" s="13">
        <f>IF(Distances!BW115&lt;&gt;0,ROUNDUP(J209+'Délai intermédiaire'!BW115/24,0),0)</f>
        <v>16</v>
      </c>
      <c r="K221" s="13">
        <f>IF(Distances!BX115&lt;&gt;0,ROUNDUP(K209+'Délai intermédiaire'!BX115/24,0),0)</f>
        <v>16</v>
      </c>
      <c r="L221" s="12">
        <f>IF(Distances!BY115&lt;&gt;0,ROUNDUP(L209+'Délai intermédiaire'!BY115/24,0),0)</f>
        <v>0</v>
      </c>
      <c r="M221" s="13">
        <f>IF(Distances!BZ115&lt;&gt;0,ROUNDUP(M209+'Délai intermédiaire'!BZ115/24,0),0)</f>
        <v>3</v>
      </c>
      <c r="N221" s="13">
        <f>IF(Distances!CA115&lt;&gt;0,ROUNDUP(N209+'Délai intermédiaire'!CA115/24,0),0)</f>
        <v>13</v>
      </c>
      <c r="O221" s="14">
        <f>IF(Distances!CB115&lt;&gt;0,ROUNDUP(O209+'Délai intermédiaire'!CB115/24,0),0)</f>
        <v>18</v>
      </c>
      <c r="P221" s="14">
        <f>IF(Distances!CC115&lt;&gt;0,ROUNDUP(P209+'Délai intermédiaire'!CC115/24,0),0)</f>
        <v>16</v>
      </c>
      <c r="Q221" s="14">
        <f>IF(Distances!CD115&lt;&gt;0,ROUNDUP(Q209+'Délai intermédiaire'!CD115/24,0),0)</f>
        <v>17</v>
      </c>
      <c r="R221" s="14">
        <f>IF(Distances!CE115&lt;&gt;0,ROUNDUP(R209+'Délai intermédiaire'!CE115/24,0),0)</f>
        <v>17</v>
      </c>
      <c r="S221" s="14">
        <f>IF(Distances!CF115&lt;&gt;0,ROUNDUP(S209+'Délai intermédiaire'!CF115/24,0),0)</f>
        <v>17</v>
      </c>
      <c r="T221" s="14">
        <f>IF(Distances!CG115&lt;&gt;0,ROUNDUP(T209+'Délai intermédiaire'!CG115/24,0),0)</f>
        <v>17</v>
      </c>
      <c r="U221" s="14">
        <f>IF(Distances!CH115&lt;&gt;0,ROUNDUP(U209+'Délai intermédiaire'!CH115/24,0),0)</f>
        <v>18</v>
      </c>
      <c r="V221" s="14">
        <f>IF(Distances!CI115&lt;&gt;0,ROUNDUP(V209+'Délai intermédiaire'!CI115/24,0),0)</f>
        <v>20</v>
      </c>
      <c r="W221" s="14">
        <f>IF(Distances!CJ115&lt;&gt;0,ROUNDUP(W209+'Délai intermédiaire'!CJ115/24,0),0)</f>
        <v>18</v>
      </c>
      <c r="X221" s="14">
        <f>IF(Distances!CK115&lt;&gt;0,ROUNDUP(X209+'Délai intermédiaire'!CK115/24,0),0)</f>
        <v>18</v>
      </c>
      <c r="Y221" s="14">
        <f>IF(Distances!CL115&lt;&gt;0,ROUNDUP(Y209+'Délai intermédiaire'!CL115/24,0),0)</f>
        <v>17</v>
      </c>
      <c r="Z221" s="14">
        <f>IF(Distances!CM115&lt;&gt;0,ROUNDUP(Z209+'Délai intermédiaire'!CM115/24,0),0)</f>
        <v>19</v>
      </c>
      <c r="AA221" s="14">
        <f>IF(Distances!CN115&lt;&gt;0,ROUNDUP(AA209+'Délai intermédiaire'!CN115/24,0),0)</f>
        <v>19</v>
      </c>
      <c r="AB221" s="14">
        <f>IF(Distances!CO115&lt;&gt;0,ROUNDUP(AB209+'Délai intermédiaire'!CO115/24,0),0)</f>
        <v>17</v>
      </c>
      <c r="AC221" s="14">
        <f>IF(Distances!CP115&lt;&gt;0,ROUNDUP(AC209+'Délai intermédiaire'!CP115/24,0),0)</f>
        <v>17</v>
      </c>
      <c r="AD221" s="14">
        <f>IF(Distances!CQ115&lt;&gt;0,ROUNDUP(AD209+'Délai intermédiaire'!CQ115/24,0),0)</f>
        <v>19</v>
      </c>
      <c r="AE221" s="14">
        <f>IF(Distances!CR115&lt;&gt;0,ROUNDUP(AE209+'Délai intermédiaire'!CR115/24,0),0)</f>
        <v>21</v>
      </c>
      <c r="AF221" s="14">
        <f>IF(Distances!CS115&lt;&gt;0,ROUNDUP(AF209+'Délai intermédiaire'!CS115/24,0),0)</f>
        <v>20</v>
      </c>
      <c r="AG221" s="14">
        <f>IF(Distances!CT115&lt;&gt;0,ROUNDUP(AG209+'Délai intermédiaire'!CT115/24,0),0)</f>
        <v>21</v>
      </c>
      <c r="AH221" s="14">
        <f>IF(Distances!CU115&lt;&gt;0,ROUNDUP(AH209+'Délai intermédiaire'!CU115/24,0),0)</f>
        <v>20</v>
      </c>
      <c r="AI221" s="14">
        <f>IF(Distances!CV115&lt;&gt;0,ROUNDUP(AI209+'Délai intermédiaire'!CV115/24,0),0)</f>
        <v>18</v>
      </c>
      <c r="AJ221" s="14">
        <f>IF(Distances!CW115&lt;&gt;0,ROUNDUP(AJ209+'Délai intermédiaire'!CW115/24,0),0)</f>
        <v>20</v>
      </c>
      <c r="AK221" s="14">
        <f>IF(Distances!CX115&lt;&gt;0,ROUNDUP(AK209+'Délai intermédiaire'!CX115/24,0),0)</f>
        <v>18</v>
      </c>
      <c r="AL221" s="14">
        <f>IF(Distances!CY115&lt;&gt;0,ROUNDUP(AL209+'Délai intermédiaire'!CY115/24,0),0)</f>
        <v>9</v>
      </c>
      <c r="AM221" s="14">
        <f>IF(Distances!CZ115&lt;&gt;0,ROUNDUP(AM209+'Délai intermédiaire'!CZ115/24,0),0)</f>
        <v>10</v>
      </c>
      <c r="AN221" s="14">
        <f>IF(Distances!DA115&lt;&gt;0,ROUNDUP(AN209+'Délai intermédiaire'!DA115/24,0),0)</f>
        <v>10</v>
      </c>
      <c r="AO221" s="14">
        <f>IF(Distances!DB115&lt;&gt;0,ROUNDUP(AO209+'Délai intermédiaire'!DB115/24,0),0)</f>
        <v>16</v>
      </c>
      <c r="AP221" s="14">
        <f>IF(Distances!DC115&lt;&gt;0,ROUNDUP(AP209+'Délai intermédiaire'!DC115/24,0),0)</f>
        <v>15</v>
      </c>
      <c r="AQ221" s="14">
        <f>IF(Distances!DD115&lt;&gt;0,ROUNDUP(AQ209+'Délai intermédiaire'!DD115/24,0),0)</f>
        <v>18</v>
      </c>
      <c r="AR221" s="14">
        <f>IF(Distances!DE115&lt;&gt;0,ROUNDUP(AR209+'Délai intermédiaire'!DE115/24,0),0)</f>
        <v>21</v>
      </c>
      <c r="AS221" s="14">
        <f>IF(Distances!DF115&lt;&gt;0,ROUNDUP(AS209+'Délai intermédiaire'!DF115/24,0),0)</f>
        <v>22</v>
      </c>
      <c r="AT221" s="14">
        <f>IF(Distances!DG115&lt;&gt;0,ROUNDUP(AT209+'Délai intermédiaire'!DG115/24,0),0)</f>
        <v>22</v>
      </c>
      <c r="AU221" s="14">
        <f>IF(Distances!DH115&lt;&gt;0,ROUNDUP(AU209+'Délai intermédiaire'!DH115/24,0),0)</f>
        <v>12</v>
      </c>
      <c r="AV221" s="14">
        <f>IF(Distances!DI115&lt;&gt;0,ROUNDUP(AV209+'Délai intermédiaire'!DI115/24,0),0)</f>
        <v>21</v>
      </c>
      <c r="AW221" s="14">
        <f>IF(Distances!DJ115&lt;&gt;0,ROUNDUP(AW209+'Délai intermédiaire'!DJ115/24,0),0)</f>
        <v>24</v>
      </c>
      <c r="AX221" s="14">
        <f>IF(Distances!DK115&lt;&gt;0,ROUNDUP(AX209+'Délai intermédiaire'!DK115/24,0),0)</f>
        <v>11</v>
      </c>
      <c r="AY221" s="14">
        <f>IF(Distances!DL115&lt;&gt;0,ROUNDUP(AY209+'Délai intermédiaire'!DL115/24,0),0)</f>
        <v>3</v>
      </c>
      <c r="AZ221" s="14">
        <f>IF(Distances!DM115&lt;&gt;0,ROUNDUP(AZ209+'Délai intermédiaire'!DM115/24,0),0)</f>
        <v>22</v>
      </c>
      <c r="BA221" s="14">
        <f>IF(Distances!DN115&lt;&gt;0,ROUNDUP(BA209+'Délai intermédiaire'!DN115/24,0),0)</f>
        <v>15</v>
      </c>
      <c r="BB221" s="14">
        <f>IF(Distances!DO115&lt;&gt;0,ROUNDUP(BB209+'Délai intermédiaire'!DO115/24,0),0)</f>
        <v>20</v>
      </c>
      <c r="BC221" s="14">
        <f>IF(Distances!DP115&lt;&gt;0,ROUNDUP(BC209+'Délai intermédiaire'!DP115/24,0),0)</f>
        <v>13</v>
      </c>
      <c r="BD221" s="14">
        <f>IF(Distances!DQ115&lt;&gt;0,ROUNDUP(BD209+'Délai intermédiaire'!DQ115/24,0),0)</f>
        <v>12</v>
      </c>
      <c r="BE221" s="14">
        <f>IF(Distances!DR115&lt;&gt;0,ROUNDUP(BE209+'Délai intermédiaire'!DR115/24,0),0)</f>
        <v>12</v>
      </c>
      <c r="BF221" s="14">
        <f>IF(Distances!DS115&lt;&gt;0,ROUNDUP(BF209+'Délai intermédiaire'!DS115/24,0),0)</f>
        <v>22</v>
      </c>
      <c r="BG221" s="14">
        <f>IF(Distances!DT115&lt;&gt;0,ROUNDUP(BG209+'Délai intermédiaire'!DT115/24,0),0)</f>
        <v>20</v>
      </c>
      <c r="BH221" s="14">
        <f>IF(Distances!DU115&lt;&gt;0,ROUNDUP(BH209+'Délai intermédiaire'!DU115/24,0),0)</f>
        <v>10</v>
      </c>
      <c r="BI221" s="14">
        <f>IF(Distances!DV115&lt;&gt;0,ROUNDUP(BI209+'Délai intermédiaire'!DV115/24,0),0)</f>
        <v>13</v>
      </c>
      <c r="BJ221" s="15">
        <f>IF(Distances!DW115&lt;&gt;0,ROUNDUP(BJ209+'Délai intermédiaire'!DW115/24,0),0)</f>
        <v>14</v>
      </c>
    </row>
    <row r="222" spans="1:62" x14ac:dyDescent="0.3">
      <c r="A222" s="10" t="s">
        <v>12</v>
      </c>
      <c r="B222" s="11">
        <f>IF(Distances!BO116&lt;&gt;0,ROUNDUP(B209+'Délai intermédiaire'!BO116/24,0),0)</f>
        <v>0</v>
      </c>
      <c r="C222" s="13">
        <f>IF(Distances!BP116&lt;&gt;0,ROUNDUP(C209+'Délai intermédiaire'!BP116/24,0),0)</f>
        <v>0</v>
      </c>
      <c r="D222" s="13">
        <f>IF(Distances!BQ116&lt;&gt;0,ROUNDUP(D209+'Délai intermédiaire'!BQ116/24,0),0)</f>
        <v>13</v>
      </c>
      <c r="E222" s="13">
        <f>IF(Distances!BR116&lt;&gt;0,ROUNDUP(E209+'Délai intermédiaire'!BR116/24,0),0)</f>
        <v>0</v>
      </c>
      <c r="F222" s="13">
        <f>IF(Distances!BS116&lt;&gt;0,ROUNDUP(F209+'Délai intermédiaire'!BS116/24,0),0)</f>
        <v>12</v>
      </c>
      <c r="G222" s="13">
        <f>IF(Distances!BT116&lt;&gt;0,ROUNDUP(G209+'Délai intermédiaire'!BT116/24,0),0)</f>
        <v>4</v>
      </c>
      <c r="H222" s="13">
        <f>IF(Distances!BU116&lt;&gt;0,ROUNDUP(H209+'Délai intermédiaire'!BU116/24,0),0)</f>
        <v>0</v>
      </c>
      <c r="I222" s="13">
        <f>IF(Distances!BV116&lt;&gt;0,ROUNDUP(I209+'Délai intermédiaire'!BV116/24,0),0)</f>
        <v>0</v>
      </c>
      <c r="J222" s="13">
        <f>IF(Distances!BW116&lt;&gt;0,ROUNDUP(J209+'Délai intermédiaire'!BW116/24,0),0)</f>
        <v>15</v>
      </c>
      <c r="K222" s="13">
        <f>IF(Distances!BX116&lt;&gt;0,ROUNDUP(K209+'Délai intermédiaire'!BX116/24,0),0)</f>
        <v>0</v>
      </c>
      <c r="L222" s="13">
        <f>IF(Distances!BY116&lt;&gt;0,ROUNDUP(L209+'Délai intermédiaire'!BY116/24,0),0)</f>
        <v>12</v>
      </c>
      <c r="M222" s="12">
        <f>IF(Distances!BZ116&lt;&gt;0,ROUNDUP(M209+'Délai intermédiaire'!BZ116/24,0),0)</f>
        <v>0</v>
      </c>
      <c r="N222" s="13">
        <f>IF(Distances!CA116&lt;&gt;0,ROUNDUP(N209+'Délai intermédiaire'!CA116/24,0),0)</f>
        <v>12</v>
      </c>
      <c r="O222" s="14">
        <f>IF(Distances!CB116&lt;&gt;0,ROUNDUP(O209+'Délai intermédiaire'!CB116/24,0),0)</f>
        <v>17</v>
      </c>
      <c r="P222" s="14">
        <f>IF(Distances!CC116&lt;&gt;0,ROUNDUP(P209+'Délai intermédiaire'!CC116/24,0),0)</f>
        <v>15</v>
      </c>
      <c r="Q222" s="14">
        <f>IF(Distances!CD116&lt;&gt;0,ROUNDUP(Q209+'Délai intermédiaire'!CD116/24,0),0)</f>
        <v>0</v>
      </c>
      <c r="R222" s="14">
        <f>IF(Distances!CE116&lt;&gt;0,ROUNDUP(R209+'Délai intermédiaire'!CE116/24,0),0)</f>
        <v>0</v>
      </c>
      <c r="S222" s="14">
        <f>IF(Distances!CF116&lt;&gt;0,ROUNDUP(S209+'Délai intermédiaire'!CF116/24,0),0)</f>
        <v>0</v>
      </c>
      <c r="T222" s="14">
        <f>IF(Distances!CG116&lt;&gt;0,ROUNDUP(T209+'Délai intermédiaire'!CG116/24,0),0)</f>
        <v>17</v>
      </c>
      <c r="U222" s="14">
        <f>IF(Distances!CH116&lt;&gt;0,ROUNDUP(U209+'Délai intermédiaire'!CH116/24,0),0)</f>
        <v>17</v>
      </c>
      <c r="V222" s="14">
        <f>IF(Distances!CI116&lt;&gt;0,ROUNDUP(V209+'Délai intermédiaire'!CI116/24,0),0)</f>
        <v>19</v>
      </c>
      <c r="W222" s="14">
        <f>IF(Distances!CJ116&lt;&gt;0,ROUNDUP(W209+'Délai intermédiaire'!CJ116/24,0),0)</f>
        <v>0</v>
      </c>
      <c r="X222" s="14">
        <f>IF(Distances!CK116&lt;&gt;0,ROUNDUP(X209+'Délai intermédiaire'!CK116/24,0),0)</f>
        <v>18</v>
      </c>
      <c r="Y222" s="14">
        <f>IF(Distances!CL116&lt;&gt;0,ROUNDUP(Y209+'Délai intermédiaire'!CL116/24,0),0)</f>
        <v>17</v>
      </c>
      <c r="Z222" s="14">
        <f>IF(Distances!CM116&lt;&gt;0,ROUNDUP(Z209+'Délai intermédiaire'!CM116/24,0),0)</f>
        <v>19</v>
      </c>
      <c r="AA222" s="14">
        <f>IF(Distances!CN116&lt;&gt;0,ROUNDUP(AA209+'Délai intermédiaire'!CN116/24,0),0)</f>
        <v>19</v>
      </c>
      <c r="AB222" s="14">
        <f>IF(Distances!CO116&lt;&gt;0,ROUNDUP(AB209+'Délai intermédiaire'!CO116/24,0),0)</f>
        <v>17</v>
      </c>
      <c r="AC222" s="14">
        <f>IF(Distances!CP116&lt;&gt;0,ROUNDUP(AC209+'Délai intermédiaire'!CP116/24,0),0)</f>
        <v>0</v>
      </c>
      <c r="AD222" s="14">
        <f>IF(Distances!CQ116&lt;&gt;0,ROUNDUP(AD209+'Délai intermédiaire'!CQ116/24,0),0)</f>
        <v>0</v>
      </c>
      <c r="AE222" s="14">
        <f>IF(Distances!CR116&lt;&gt;0,ROUNDUP(AE209+'Délai intermédiaire'!CR116/24,0),0)</f>
        <v>20</v>
      </c>
      <c r="AF222" s="14">
        <f>IF(Distances!CS116&lt;&gt;0,ROUNDUP(AF209+'Délai intermédiaire'!CS116/24,0),0)</f>
        <v>19</v>
      </c>
      <c r="AG222" s="14">
        <f>IF(Distances!CT116&lt;&gt;0,ROUNDUP(AG209+'Délai intermédiaire'!CT116/24,0),0)</f>
        <v>20</v>
      </c>
      <c r="AH222" s="14">
        <f>IF(Distances!CU116&lt;&gt;0,ROUNDUP(AH209+'Délai intermédiaire'!CU116/24,0),0)</f>
        <v>20</v>
      </c>
      <c r="AI222" s="14">
        <f>IF(Distances!CV116&lt;&gt;0,ROUNDUP(AI209+'Délai intermédiaire'!CV116/24,0),0)</f>
        <v>0</v>
      </c>
      <c r="AJ222" s="14">
        <f>IF(Distances!CW116&lt;&gt;0,ROUNDUP(AJ209+'Délai intermédiaire'!CW116/24,0),0)</f>
        <v>20</v>
      </c>
      <c r="AK222" s="14">
        <f>IF(Distances!CX116&lt;&gt;0,ROUNDUP(AK209+'Délai intermédiaire'!CX116/24,0),0)</f>
        <v>0</v>
      </c>
      <c r="AL222" s="14">
        <f>IF(Distances!CY116&lt;&gt;0,ROUNDUP(AL209+'Délai intermédiaire'!CY116/24,0),0)</f>
        <v>0</v>
      </c>
      <c r="AM222" s="14">
        <f>IF(Distances!CZ116&lt;&gt;0,ROUNDUP(AM209+'Délai intermédiaire'!CZ116/24,0),0)</f>
        <v>0</v>
      </c>
      <c r="AN222" s="14">
        <f>IF(Distances!DA116&lt;&gt;0,ROUNDUP(AN209+'Délai intermédiaire'!DA116/24,0),0)</f>
        <v>10</v>
      </c>
      <c r="AO222" s="14">
        <f>IF(Distances!DB116&lt;&gt;0,ROUNDUP(AO209+'Délai intermédiaire'!DB116/24,0),0)</f>
        <v>0</v>
      </c>
      <c r="AP222" s="14">
        <f>IF(Distances!DC116&lt;&gt;0,ROUNDUP(AP209+'Délai intermédiaire'!DC116/24,0),0)</f>
        <v>0</v>
      </c>
      <c r="AQ222" s="14">
        <f>IF(Distances!DD116&lt;&gt;0,ROUNDUP(AQ209+'Délai intermédiaire'!DD116/24,0),0)</f>
        <v>0</v>
      </c>
      <c r="AR222" s="14">
        <f>IF(Distances!DE116&lt;&gt;0,ROUNDUP(AR209+'Délai intermédiaire'!DE116/24,0),0)</f>
        <v>0</v>
      </c>
      <c r="AS222" s="14">
        <f>IF(Distances!DF116&lt;&gt;0,ROUNDUP(AS209+'Délai intermédiaire'!DF116/24,0),0)</f>
        <v>22</v>
      </c>
      <c r="AT222" s="14">
        <f>IF(Distances!DG116&lt;&gt;0,ROUNDUP(AT209+'Délai intermédiaire'!DG116/24,0),0)</f>
        <v>21</v>
      </c>
      <c r="AU222" s="14">
        <f>IF(Distances!DH116&lt;&gt;0,ROUNDUP(AU209+'Délai intermédiaire'!DH116/24,0),0)</f>
        <v>11</v>
      </c>
      <c r="AV222" s="14">
        <f>IF(Distances!DI116&lt;&gt;0,ROUNDUP(AV209+'Délai intermédiaire'!DI116/24,0),0)</f>
        <v>21</v>
      </c>
      <c r="AW222" s="14">
        <f>IF(Distances!DJ116&lt;&gt;0,ROUNDUP(AW209+'Délai intermédiaire'!DJ116/24,0),0)</f>
        <v>23</v>
      </c>
      <c r="AX222" s="14">
        <f>IF(Distances!DK116&lt;&gt;0,ROUNDUP(AX209+'Délai intermédiaire'!DK116/24,0),0)</f>
        <v>0</v>
      </c>
      <c r="AY222" s="14">
        <f>IF(Distances!DL116&lt;&gt;0,ROUNDUP(AY209+'Délai intermédiaire'!DL116/24,0),0)</f>
        <v>0</v>
      </c>
      <c r="AZ222" s="14">
        <f>IF(Distances!DM116&lt;&gt;0,ROUNDUP(AZ209+'Délai intermédiaire'!DM116/24,0),0)</f>
        <v>22</v>
      </c>
      <c r="BA222" s="14">
        <f>IF(Distances!DN116&lt;&gt;0,ROUNDUP(BA209+'Délai intermédiaire'!DN116/24,0),0)</f>
        <v>0</v>
      </c>
      <c r="BB222" s="14">
        <f>IF(Distances!DO116&lt;&gt;0,ROUNDUP(BB209+'Délai intermédiaire'!DO116/24,0),0)</f>
        <v>0</v>
      </c>
      <c r="BC222" s="14">
        <f>IF(Distances!DP116&lt;&gt;0,ROUNDUP(BC209+'Délai intermédiaire'!DP116/24,0),0)</f>
        <v>0</v>
      </c>
      <c r="BD222" s="14">
        <f>IF(Distances!DQ116&lt;&gt;0,ROUNDUP(BD209+'Délai intermédiaire'!DQ116/24,0),0)</f>
        <v>12</v>
      </c>
      <c r="BE222" s="14">
        <f>IF(Distances!DR116&lt;&gt;0,ROUNDUP(BE209+'Délai intermédiaire'!DR116/24,0),0)</f>
        <v>0</v>
      </c>
      <c r="BF222" s="14">
        <f>IF(Distances!DS116&lt;&gt;0,ROUNDUP(BF209+'Délai intermédiaire'!DS116/24,0),0)</f>
        <v>22</v>
      </c>
      <c r="BG222" s="14">
        <f>IF(Distances!DT116&lt;&gt;0,ROUNDUP(BG209+'Délai intermédiaire'!DT116/24,0),0)</f>
        <v>20</v>
      </c>
      <c r="BH222" s="14">
        <f>IF(Distances!DU116&lt;&gt;0,ROUNDUP(BH209+'Délai intermédiaire'!DU116/24,0),0)</f>
        <v>10</v>
      </c>
      <c r="BI222" s="14">
        <f>IF(Distances!DV116&lt;&gt;0,ROUNDUP(BI209+'Délai intermédiaire'!DV116/24,0),0)</f>
        <v>13</v>
      </c>
      <c r="BJ222" s="15">
        <f>IF(Distances!DW116&lt;&gt;0,ROUNDUP(BJ209+'Délai intermédiaire'!DW116/24,0),0)</f>
        <v>13</v>
      </c>
    </row>
    <row r="223" spans="1:62" x14ac:dyDescent="0.3">
      <c r="A223" s="10" t="s">
        <v>13</v>
      </c>
      <c r="B223" s="11">
        <f>IF(Distances!BO117&lt;&gt;0,ROUNDUP(B209+'Délai intermédiaire'!BO117/24,0),0)</f>
        <v>3</v>
      </c>
      <c r="C223" s="13">
        <f>IF(Distances!BP117&lt;&gt;0,ROUNDUP(C209+'Délai intermédiaire'!BP117/24,0),0)</f>
        <v>3</v>
      </c>
      <c r="D223" s="13">
        <f>IF(Distances!BQ117&lt;&gt;0,ROUNDUP(D209+'Délai intermédiaire'!BQ117/24,0),0)</f>
        <v>6</v>
      </c>
      <c r="E223" s="13">
        <f>IF(Distances!BR117&lt;&gt;0,ROUNDUP(E209+'Délai intermédiaire'!BR117/24,0),0)</f>
        <v>9</v>
      </c>
      <c r="F223" s="13">
        <f>IF(Distances!BS117&lt;&gt;0,ROUNDUP(F209+'Délai intermédiaire'!BS117/24,0),0)</f>
        <v>5</v>
      </c>
      <c r="G223" s="13">
        <f>IF(Distances!BT117&lt;&gt;0,ROUNDUP(G209+'Délai intermédiaire'!BT117/24,0),0)</f>
        <v>10</v>
      </c>
      <c r="H223" s="13">
        <f>IF(Distances!BU117&lt;&gt;0,ROUNDUP(H209+'Délai intermédiaire'!BU117/24,0),0)</f>
        <v>11</v>
      </c>
      <c r="I223" s="13">
        <f>IF(Distances!BV117&lt;&gt;0,ROUNDUP(I209+'Délai intermédiaire'!BV117/24,0),0)</f>
        <v>9</v>
      </c>
      <c r="J223" s="13">
        <f>IF(Distances!BW117&lt;&gt;0,ROUNDUP(J209+'Délai intermédiaire'!BW117/24,0),0)</f>
        <v>9</v>
      </c>
      <c r="K223" s="13">
        <f>IF(Distances!BX117&lt;&gt;0,ROUNDUP(K209+'Délai intermédiaire'!BX117/24,0),0)</f>
        <v>8</v>
      </c>
      <c r="L223" s="13">
        <f>IF(Distances!BY117&lt;&gt;0,ROUNDUP(L209+'Délai intermédiaire'!BY117/24,0),0)</f>
        <v>13</v>
      </c>
      <c r="M223" s="13">
        <f>IF(Distances!BZ117&lt;&gt;0,ROUNDUP(M209+'Délai intermédiaire'!BZ117/24,0),0)</f>
        <v>12</v>
      </c>
      <c r="N223" s="12">
        <f>IF(Distances!CA117&lt;&gt;0,ROUNDUP(N209+'Délai intermédiaire'!CA117/24,0),0)</f>
        <v>0</v>
      </c>
      <c r="O223" s="14">
        <f>IF(Distances!CB117&lt;&gt;0,ROUNDUP(O209+'Délai intermédiaire'!CB117/24,0),0)</f>
        <v>12</v>
      </c>
      <c r="P223" s="14">
        <f>IF(Distances!CC117&lt;&gt;0,ROUNDUP(P209+'Délai intermédiaire'!CC117/24,0),0)</f>
        <v>10</v>
      </c>
      <c r="Q223" s="14">
        <f>IF(Distances!CD117&lt;&gt;0,ROUNDUP(Q209+'Délai intermédiaire'!CD117/24,0),0)</f>
        <v>10</v>
      </c>
      <c r="R223" s="14">
        <f>IF(Distances!CE117&lt;&gt;0,ROUNDUP(R209+'Délai intermédiaire'!CE117/24,0),0)</f>
        <v>10</v>
      </c>
      <c r="S223" s="14">
        <f>IF(Distances!CF117&lt;&gt;0,ROUNDUP(S209+'Délai intermédiaire'!CF117/24,0),0)</f>
        <v>10</v>
      </c>
      <c r="T223" s="14">
        <f>IF(Distances!CG117&lt;&gt;0,ROUNDUP(T209+'Délai intermédiaire'!CG117/24,0),0)</f>
        <v>10</v>
      </c>
      <c r="U223" s="14">
        <f>IF(Distances!CH117&lt;&gt;0,ROUNDUP(U209+'Délai intermédiaire'!CH117/24,0),0)</f>
        <v>11</v>
      </c>
      <c r="V223" s="14">
        <f>IF(Distances!CI117&lt;&gt;0,ROUNDUP(V209+'Délai intermédiaire'!CI117/24,0),0)</f>
        <v>13</v>
      </c>
      <c r="W223" s="14">
        <f>IF(Distances!CJ117&lt;&gt;0,ROUNDUP(W209+'Délai intermédiaire'!CJ117/24,0),0)</f>
        <v>11</v>
      </c>
      <c r="X223" s="14">
        <f>IF(Distances!CK117&lt;&gt;0,ROUNDUP(X209+'Délai intermédiaire'!CK117/24,0),0)</f>
        <v>11</v>
      </c>
      <c r="Y223" s="14">
        <f>IF(Distances!CL117&lt;&gt;0,ROUNDUP(Y209+'Délai intermédiaire'!CL117/24,0),0)</f>
        <v>11</v>
      </c>
      <c r="Z223" s="14">
        <f>IF(Distances!CM117&lt;&gt;0,ROUNDUP(Z209+'Délai intermédiaire'!CM117/24,0),0)</f>
        <v>13</v>
      </c>
      <c r="AA223" s="14">
        <f>IF(Distances!CN117&lt;&gt;0,ROUNDUP(AA209+'Délai intermédiaire'!CN117/24,0),0)</f>
        <v>13</v>
      </c>
      <c r="AB223" s="14">
        <f>IF(Distances!CO117&lt;&gt;0,ROUNDUP(AB209+'Délai intermédiaire'!CO117/24,0),0)</f>
        <v>11</v>
      </c>
      <c r="AC223" s="14">
        <f>IF(Distances!CP117&lt;&gt;0,ROUNDUP(AC209+'Délai intermédiaire'!CP117/24,0),0)</f>
        <v>11</v>
      </c>
      <c r="AD223" s="14">
        <f>IF(Distances!CQ117&lt;&gt;0,ROUNDUP(AD209+'Délai intermédiaire'!CQ117/24,0),0)</f>
        <v>12</v>
      </c>
      <c r="AE223" s="14">
        <f>IF(Distances!CR117&lt;&gt;0,ROUNDUP(AE209+'Délai intermédiaire'!CR117/24,0),0)</f>
        <v>14</v>
      </c>
      <c r="AF223" s="14">
        <f>IF(Distances!CS117&lt;&gt;0,ROUNDUP(AF209+'Délai intermédiaire'!CS117/24,0),0)</f>
        <v>13</v>
      </c>
      <c r="AG223" s="14">
        <f>IF(Distances!CT117&lt;&gt;0,ROUNDUP(AG209+'Délai intermédiaire'!CT117/24,0),0)</f>
        <v>14</v>
      </c>
      <c r="AH223" s="14">
        <f>IF(Distances!CU117&lt;&gt;0,ROUNDUP(AH209+'Délai intermédiaire'!CU117/24,0),0)</f>
        <v>20</v>
      </c>
      <c r="AI223" s="14">
        <f>IF(Distances!CV117&lt;&gt;0,ROUNDUP(AI209+'Délai intermédiaire'!CV117/24,0),0)</f>
        <v>23</v>
      </c>
      <c r="AJ223" s="14">
        <f>IF(Distances!CW117&lt;&gt;0,ROUNDUP(AJ209+'Délai intermédiaire'!CW117/24,0),0)</f>
        <v>20</v>
      </c>
      <c r="AK223" s="14">
        <f>IF(Distances!CX117&lt;&gt;0,ROUNDUP(AK209+'Délai intermédiaire'!CX117/24,0),0)</f>
        <v>21</v>
      </c>
      <c r="AL223" s="14">
        <f>IF(Distances!CY117&lt;&gt;0,ROUNDUP(AL209+'Délai intermédiaire'!CY117/24,0),0)</f>
        <v>18</v>
      </c>
      <c r="AM223" s="14">
        <f>IF(Distances!CZ117&lt;&gt;0,ROUNDUP(AM209+'Délai intermédiaire'!CZ117/24,0),0)</f>
        <v>18</v>
      </c>
      <c r="AN223" s="14">
        <f>IF(Distances!DA117&lt;&gt;0,ROUNDUP(AN209+'Délai intermédiaire'!DA117/24,0),0)</f>
        <v>18</v>
      </c>
      <c r="AO223" s="14">
        <f>IF(Distances!DB117&lt;&gt;0,ROUNDUP(AO209+'Délai intermédiaire'!DB117/24,0),0)</f>
        <v>19</v>
      </c>
      <c r="AP223" s="14">
        <f>IF(Distances!DC117&lt;&gt;0,ROUNDUP(AP209+'Délai intermédiaire'!DC117/24,0),0)</f>
        <v>19</v>
      </c>
      <c r="AQ223" s="14">
        <f>IF(Distances!DD117&lt;&gt;0,ROUNDUP(AQ209+'Délai intermédiaire'!DD117/24,0),0)</f>
        <v>21</v>
      </c>
      <c r="AR223" s="14">
        <f>IF(Distances!DE117&lt;&gt;0,ROUNDUP(AR209+'Délai intermédiaire'!DE117/24,0),0)</f>
        <v>19</v>
      </c>
      <c r="AS223" s="14">
        <f>IF(Distances!DF117&lt;&gt;0,ROUNDUP(AS209+'Délai intermédiaire'!DF117/24,0),0)</f>
        <v>20</v>
      </c>
      <c r="AT223" s="14">
        <f>IF(Distances!DG117&lt;&gt;0,ROUNDUP(AT209+'Délai intermédiaire'!DG117/24,0),0)</f>
        <v>20</v>
      </c>
      <c r="AU223" s="14">
        <f>IF(Distances!DH117&lt;&gt;0,ROUNDUP(AU209+'Délai intermédiaire'!DH117/24,0),0)</f>
        <v>20</v>
      </c>
      <c r="AV223" s="14">
        <f>IF(Distances!DI117&lt;&gt;0,ROUNDUP(AV209+'Délai intermédiaire'!DI117/24,0),0)</f>
        <v>15</v>
      </c>
      <c r="AW223" s="14">
        <f>IF(Distances!DJ117&lt;&gt;0,ROUNDUP(AW209+'Délai intermédiaire'!DJ117/24,0),0)</f>
        <v>17</v>
      </c>
      <c r="AX223" s="14">
        <f>IF(Distances!DK117&lt;&gt;0,ROUNDUP(AX209+'Délai intermédiaire'!DK117/24,0),0)</f>
        <v>20</v>
      </c>
      <c r="AY223" s="14">
        <f>IF(Distances!DL117&lt;&gt;0,ROUNDUP(AY209+'Délai intermédiaire'!DL117/24,0),0)</f>
        <v>3</v>
      </c>
      <c r="AZ223" s="14">
        <f>IF(Distances!DM117&lt;&gt;0,ROUNDUP(AZ209+'Délai intermédiaire'!DM117/24,0),0)</f>
        <v>20</v>
      </c>
      <c r="BA223" s="14">
        <f>IF(Distances!DN117&lt;&gt;0,ROUNDUP(BA209+'Délai intermédiaire'!DN117/24,0),0)</f>
        <v>24</v>
      </c>
      <c r="BB223" s="14">
        <f>IF(Distances!DO117&lt;&gt;0,ROUNDUP(BB209+'Délai intermédiaire'!DO117/24,0),0)</f>
        <v>13</v>
      </c>
      <c r="BC223" s="14">
        <f>IF(Distances!DP117&lt;&gt;0,ROUNDUP(BC209+'Délai intermédiaire'!DP117/24,0),0)</f>
        <v>21</v>
      </c>
      <c r="BD223" s="14">
        <f>IF(Distances!DQ117&lt;&gt;0,ROUNDUP(BD209+'Délai intermédiaire'!DQ117/24,0),0)</f>
        <v>21</v>
      </c>
      <c r="BE223" s="14">
        <f>IF(Distances!DR117&lt;&gt;0,ROUNDUP(BE209+'Délai intermédiaire'!DR117/24,0),0)</f>
        <v>20</v>
      </c>
      <c r="BF223" s="14">
        <f>IF(Distances!DS117&lt;&gt;0,ROUNDUP(BF209+'Délai intermédiaire'!DS117/24,0),0)</f>
        <v>16</v>
      </c>
      <c r="BG223" s="14">
        <f>IF(Distances!DT117&lt;&gt;0,ROUNDUP(BG209+'Délai intermédiaire'!DT117/24,0),0)</f>
        <v>14</v>
      </c>
      <c r="BH223" s="14">
        <f>IF(Distances!DU117&lt;&gt;0,ROUNDUP(BH209+'Délai intermédiaire'!DU117/24,0),0)</f>
        <v>6</v>
      </c>
      <c r="BI223" s="14">
        <f>IF(Distances!DV117&lt;&gt;0,ROUNDUP(BI209+'Délai intermédiaire'!DV117/24,0),0)</f>
        <v>10</v>
      </c>
      <c r="BJ223" s="15">
        <f>IF(Distances!DW117&lt;&gt;0,ROUNDUP(BJ209+'Délai intermédiaire'!DW117/24,0),0)</f>
        <v>10</v>
      </c>
    </row>
    <row r="224" spans="1:62" x14ac:dyDescent="0.3">
      <c r="A224" s="10" t="s">
        <v>14</v>
      </c>
      <c r="B224" s="16">
        <f>IF(Distances!BO118&lt;&gt;0,ROUNDUP(B209+'Délai intermédiaire'!BO118/24,0),0)</f>
        <v>10</v>
      </c>
      <c r="C224" s="14">
        <f>IF(Distances!BP118&lt;&gt;0,ROUNDUP(C209+'Délai intermédiaire'!BP118/24,0),0)</f>
        <v>11</v>
      </c>
      <c r="D224" s="14">
        <f>IF(Distances!BQ118&lt;&gt;0,ROUNDUP(D209+'Délai intermédiaire'!BQ118/24,0),0)</f>
        <v>11</v>
      </c>
      <c r="E224" s="14">
        <f>IF(Distances!BR118&lt;&gt;0,ROUNDUP(E209+'Délai intermédiaire'!BR118/24,0),0)</f>
        <v>13</v>
      </c>
      <c r="F224" s="14">
        <f>IF(Distances!BS118&lt;&gt;0,ROUNDUP(F209+'Délai intermédiaire'!BS118/24,0),0)</f>
        <v>10</v>
      </c>
      <c r="G224" s="14">
        <f>IF(Distances!BT118&lt;&gt;0,ROUNDUP(G209+'Délai intermédiaire'!BT118/24,0),0)</f>
        <v>15</v>
      </c>
      <c r="H224" s="14">
        <f>IF(Distances!BU118&lt;&gt;0,ROUNDUP(H209+'Délai intermédiaire'!BU118/24,0),0)</f>
        <v>16</v>
      </c>
      <c r="I224" s="14">
        <f>IF(Distances!BV118&lt;&gt;0,ROUNDUP(I209+'Délai intermédiaire'!BV118/24,0),0)</f>
        <v>14</v>
      </c>
      <c r="J224" s="14">
        <f>IF(Distances!BW118&lt;&gt;0,ROUNDUP(J209+'Délai intermédiaire'!BW118/24,0),0)</f>
        <v>12</v>
      </c>
      <c r="K224" s="14">
        <f>IF(Distances!BX118&lt;&gt;0,ROUNDUP(K209+'Délai intermédiaire'!BX118/24,0),0)</f>
        <v>12</v>
      </c>
      <c r="L224" s="14">
        <f>IF(Distances!BY118&lt;&gt;0,ROUNDUP(L209+'Délai intermédiaire'!BY118/24,0),0)</f>
        <v>18</v>
      </c>
      <c r="M224" s="14">
        <f>IF(Distances!BZ118&lt;&gt;0,ROUNDUP(M209+'Délai intermédiaire'!BZ118/24,0),0)</f>
        <v>17</v>
      </c>
      <c r="N224" s="14">
        <f>IF(Distances!CA118&lt;&gt;0,ROUNDUP(N209+'Délai intermédiaire'!CA118/24,0),0)</f>
        <v>12</v>
      </c>
      <c r="O224" s="12">
        <f>IF(Distances!CB118&lt;&gt;0,ROUNDUP(O209+'Délai intermédiaire'!CB118/24,0),0)</f>
        <v>0</v>
      </c>
      <c r="P224" s="13">
        <f>IF(Distances!CC118&lt;&gt;0,ROUNDUP(P209+'Délai intermédiaire'!CC118/24,0),0)</f>
        <v>5</v>
      </c>
      <c r="Q224" s="14">
        <f>IF(Distances!CD118&lt;&gt;0,ROUNDUP(Q209+'Délai intermédiaire'!CD118/24,0),0)</f>
        <v>11</v>
      </c>
      <c r="R224" s="14">
        <f>IF(Distances!CE118&lt;&gt;0,ROUNDUP(R209+'Délai intermédiaire'!CE118/24,0),0)</f>
        <v>11</v>
      </c>
      <c r="S224" s="14">
        <f>IF(Distances!CF118&lt;&gt;0,ROUNDUP(S209+'Délai intermédiaire'!CF118/24,0),0)</f>
        <v>11</v>
      </c>
      <c r="T224" s="14">
        <f>IF(Distances!CG118&lt;&gt;0,ROUNDUP(T209+'Délai intermédiaire'!CG118/24,0),0)</f>
        <v>11</v>
      </c>
      <c r="U224" s="14">
        <f>IF(Distances!CH118&lt;&gt;0,ROUNDUP(U209+'Délai intermédiaire'!CH118/24,0),0)</f>
        <v>10</v>
      </c>
      <c r="V224" s="14">
        <f>IF(Distances!CI118&lt;&gt;0,ROUNDUP(V209+'Délai intermédiaire'!CI118/24,0),0)</f>
        <v>12</v>
      </c>
      <c r="W224" s="14">
        <f>IF(Distances!CJ118&lt;&gt;0,ROUNDUP(W209+'Délai intermédiaire'!CJ118/24,0),0)</f>
        <v>11</v>
      </c>
      <c r="X224" s="14">
        <f>IF(Distances!CK118&lt;&gt;0,ROUNDUP(X209+'Délai intermédiaire'!CK118/24,0),0)</f>
        <v>12</v>
      </c>
      <c r="Y224" s="14">
        <f>IF(Distances!CL118&lt;&gt;0,ROUNDUP(Y209+'Délai intermédiaire'!CL118/24,0),0)</f>
        <v>11</v>
      </c>
      <c r="Z224" s="14">
        <f>IF(Distances!CM118&lt;&gt;0,ROUNDUP(Z209+'Délai intermédiaire'!CM118/24,0),0)</f>
        <v>12</v>
      </c>
      <c r="AA224" s="14">
        <f>IF(Distances!CN118&lt;&gt;0,ROUNDUP(AA209+'Délai intermédiaire'!CN118/24,0),0)</f>
        <v>12</v>
      </c>
      <c r="AB224" s="14">
        <f>IF(Distances!CO118&lt;&gt;0,ROUNDUP(AB209+'Délai intermédiaire'!CO118/24,0),0)</f>
        <v>10</v>
      </c>
      <c r="AC224" s="14">
        <f>IF(Distances!CP118&lt;&gt;0,ROUNDUP(AC209+'Délai intermédiaire'!CP118/24,0),0)</f>
        <v>10</v>
      </c>
      <c r="AD224" s="14">
        <f>IF(Distances!CQ118&lt;&gt;0,ROUNDUP(AD209+'Délai intermédiaire'!CQ118/24,0),0)</f>
        <v>13</v>
      </c>
      <c r="AE224" s="14">
        <f>IF(Distances!CR118&lt;&gt;0,ROUNDUP(AE209+'Délai intermédiaire'!CR118/24,0),0)</f>
        <v>13</v>
      </c>
      <c r="AF224" s="14">
        <f>IF(Distances!CS118&lt;&gt;0,ROUNDUP(AF209+'Délai intermédiaire'!CS118/24,0),0)</f>
        <v>12</v>
      </c>
      <c r="AG224" s="14">
        <f>IF(Distances!CT118&lt;&gt;0,ROUNDUP(AG209+'Délai intermédiaire'!CT118/24,0),0)</f>
        <v>13</v>
      </c>
      <c r="AH224" s="14">
        <f>IF(Distances!CU118&lt;&gt;0,ROUNDUP(AH209+'Délai intermédiaire'!CU118/24,0),0)</f>
        <v>17</v>
      </c>
      <c r="AI224" s="14">
        <f>IF(Distances!CV118&lt;&gt;0,ROUNDUP(AI209+'Délai intermédiaire'!CV118/24,0),0)</f>
        <v>18</v>
      </c>
      <c r="AJ224" s="14">
        <f>IF(Distances!CW118&lt;&gt;0,ROUNDUP(AJ209+'Délai intermédiaire'!CW118/24,0),0)</f>
        <v>17</v>
      </c>
      <c r="AK224" s="14">
        <f>IF(Distances!CX118&lt;&gt;0,ROUNDUP(AK209+'Délai intermédiaire'!CX118/24,0),0)</f>
        <v>17</v>
      </c>
      <c r="AL224" s="14">
        <f>IF(Distances!CY118&lt;&gt;0,ROUNDUP(AL209+'Délai intermédiaire'!CY118/24,0),0)</f>
        <v>22</v>
      </c>
      <c r="AM224" s="14">
        <f>IF(Distances!CZ118&lt;&gt;0,ROUNDUP(AM209+'Délai intermédiaire'!CZ118/24,0),0)</f>
        <v>21</v>
      </c>
      <c r="AN224" s="14">
        <f>IF(Distances!DA118&lt;&gt;0,ROUNDUP(AN209+'Délai intermédiaire'!DA118/24,0),0)</f>
        <v>21</v>
      </c>
      <c r="AO224" s="14">
        <f>IF(Distances!DB118&lt;&gt;0,ROUNDUP(AO209+'Délai intermédiaire'!DB118/24,0),0)</f>
        <v>17</v>
      </c>
      <c r="AP224" s="14">
        <f>IF(Distances!DC118&lt;&gt;0,ROUNDUP(AP209+'Délai intermédiaire'!DC118/24,0),0)</f>
        <v>17</v>
      </c>
      <c r="AQ224" s="14">
        <f>IF(Distances!DD118&lt;&gt;0,ROUNDUP(AQ209+'Délai intermédiaire'!DD118/24,0),0)</f>
        <v>17</v>
      </c>
      <c r="AR224" s="14">
        <f>IF(Distances!DE118&lt;&gt;0,ROUNDUP(AR209+'Délai intermédiaire'!DE118/24,0),0)</f>
        <v>17</v>
      </c>
      <c r="AS224" s="14">
        <f>IF(Distances!DF118&lt;&gt;0,ROUNDUP(AS209+'Délai intermédiaire'!DF118/24,0),0)</f>
        <v>17</v>
      </c>
      <c r="AT224" s="14">
        <f>IF(Distances!DG118&lt;&gt;0,ROUNDUP(AT209+'Délai intermédiaire'!DG118/24,0),0)</f>
        <v>17</v>
      </c>
      <c r="AU224" s="14">
        <f>IF(Distances!DH118&lt;&gt;0,ROUNDUP(AU209+'Délai intermédiaire'!DH118/24,0),0)</f>
        <v>22</v>
      </c>
      <c r="AV224" s="14">
        <f>IF(Distances!DI118&lt;&gt;0,ROUNDUP(AV209+'Délai intermédiaire'!DI118/24,0),0)</f>
        <v>15</v>
      </c>
      <c r="AW224" s="14">
        <f>IF(Distances!DJ118&lt;&gt;0,ROUNDUP(AW209+'Délai intermédiaire'!DJ118/24,0),0)</f>
        <v>18</v>
      </c>
      <c r="AX224" s="14">
        <f>IF(Distances!DK118&lt;&gt;0,ROUNDUP(AX209+'Délai intermédiaire'!DK118/24,0),0)</f>
        <v>24</v>
      </c>
      <c r="AY224" s="14">
        <f>IF(Distances!DL118&lt;&gt;0,ROUNDUP(AY209+'Délai intermédiaire'!DL118/24,0),0)</f>
        <v>3</v>
      </c>
      <c r="AZ224" s="14">
        <f>IF(Distances!DM118&lt;&gt;0,ROUNDUP(AZ209+'Délai intermédiaire'!DM118/24,0),0)</f>
        <v>13</v>
      </c>
      <c r="BA224" s="14">
        <f>IF(Distances!DN118&lt;&gt;0,ROUNDUP(BA209+'Délai intermédiaire'!DN118/24,0),0)</f>
        <v>19</v>
      </c>
      <c r="BB224" s="14">
        <f>IF(Distances!DO118&lt;&gt;0,ROUNDUP(BB209+'Délai intermédiaire'!DO118/24,0),0)</f>
        <v>14</v>
      </c>
      <c r="BC224" s="14">
        <f>IF(Distances!DP118&lt;&gt;0,ROUNDUP(BC209+'Délai intermédiaire'!DP118/24,0),0)</f>
        <v>20</v>
      </c>
      <c r="BD224" s="14">
        <f>IF(Distances!DQ118&lt;&gt;0,ROUNDUP(BD209+'Délai intermédiaire'!DQ118/24,0),0)</f>
        <v>23</v>
      </c>
      <c r="BE224" s="14">
        <f>IF(Distances!DR118&lt;&gt;0,ROUNDUP(BE209+'Délai intermédiaire'!DR118/24,0),0)</f>
        <v>22</v>
      </c>
      <c r="BF224" s="14">
        <f>IF(Distances!DS118&lt;&gt;0,ROUNDUP(BF209+'Délai intermédiaire'!DS118/24,0),0)</f>
        <v>15</v>
      </c>
      <c r="BG224" s="14">
        <f>IF(Distances!DT118&lt;&gt;0,ROUNDUP(BG209+'Délai intermédiaire'!DT118/24,0),0)</f>
        <v>13</v>
      </c>
      <c r="BH224" s="12">
        <f>IF(Distances!DU118&lt;&gt;0,ROUNDUP(BH209+'Délai intermédiaire'!DU118/24,0),0)</f>
        <v>11</v>
      </c>
      <c r="BI224" s="12">
        <f>IF(Distances!DV118&lt;&gt;0,ROUNDUP(BI209+'Délai intermédiaire'!DV118/24,0),0)</f>
        <v>9</v>
      </c>
      <c r="BJ224" s="17">
        <f>IF(Distances!DW118&lt;&gt;0,ROUNDUP(BJ209+'Délai intermédiaire'!DW118/24,0),0)</f>
        <v>10</v>
      </c>
    </row>
    <row r="225" spans="1:62" x14ac:dyDescent="0.3">
      <c r="A225" s="10" t="s">
        <v>15</v>
      </c>
      <c r="B225" s="16">
        <f>IF(Distances!BO119&lt;&gt;0,ROUNDUP(B209+'Délai intermédiaire'!BO119/24,0),0)</f>
        <v>7</v>
      </c>
      <c r="C225" s="14">
        <f>IF(Distances!BP119&lt;&gt;0,ROUNDUP(C209+'Délai intermédiaire'!BP119/24,0),0)</f>
        <v>9</v>
      </c>
      <c r="D225" s="14">
        <f>IF(Distances!BQ119&lt;&gt;0,ROUNDUP(D209+'Délai intermédiaire'!BQ119/24,0),0)</f>
        <v>9</v>
      </c>
      <c r="E225" s="14">
        <f>IF(Distances!BR119&lt;&gt;0,ROUNDUP(E209+'Délai intermédiaire'!BR119/24,0),0)</f>
        <v>11</v>
      </c>
      <c r="F225" s="14">
        <f>IF(Distances!BS119&lt;&gt;0,ROUNDUP(F209+'Délai intermédiaire'!BS119/24,0),0)</f>
        <v>8</v>
      </c>
      <c r="G225" s="14">
        <f>IF(Distances!BT119&lt;&gt;0,ROUNDUP(G209+'Délai intermédiaire'!BT119/24,0),0)</f>
        <v>13</v>
      </c>
      <c r="H225" s="14">
        <f>IF(Distances!BU119&lt;&gt;0,ROUNDUP(H209+'Délai intermédiaire'!BU119/24,0),0)</f>
        <v>14</v>
      </c>
      <c r="I225" s="14">
        <f>IF(Distances!BV119&lt;&gt;0,ROUNDUP(I209+'Délai intermédiaire'!BV119/24,0),0)</f>
        <v>12</v>
      </c>
      <c r="J225" s="14">
        <f>IF(Distances!BW119&lt;&gt;0,ROUNDUP(J209+'Délai intermédiaire'!BW119/24,0),0)</f>
        <v>10</v>
      </c>
      <c r="K225" s="14">
        <f>IF(Distances!BX119&lt;&gt;0,ROUNDUP(K209+'Délai intermédiaire'!BX119/24,0),0)</f>
        <v>10</v>
      </c>
      <c r="L225" s="14">
        <f>IF(Distances!BY119&lt;&gt;0,ROUNDUP(L209+'Délai intermédiaire'!BY119/24,0),0)</f>
        <v>16</v>
      </c>
      <c r="M225" s="14">
        <f>IF(Distances!BZ119&lt;&gt;0,ROUNDUP(M209+'Délai intermédiaire'!BZ119/24,0),0)</f>
        <v>15</v>
      </c>
      <c r="N225" s="14">
        <f>IF(Distances!CA119&lt;&gt;0,ROUNDUP(N209+'Délai intermédiaire'!CA119/24,0),0)</f>
        <v>10</v>
      </c>
      <c r="O225" s="13">
        <f>IF(Distances!CB119&lt;&gt;0,ROUNDUP(O209+'Délai intermédiaire'!CB119/24,0),0)</f>
        <v>5</v>
      </c>
      <c r="P225" s="12">
        <f>IF(Distances!CC119&lt;&gt;0,ROUNDUP(P209+'Délai intermédiaire'!CC119/24,0),0)</f>
        <v>0</v>
      </c>
      <c r="Q225" s="14">
        <f>IF(Distances!CD119&lt;&gt;0,ROUNDUP(Q209+'Délai intermédiaire'!CD119/24,0),0)</f>
        <v>9</v>
      </c>
      <c r="R225" s="14">
        <f>IF(Distances!CE119&lt;&gt;0,ROUNDUP(R209+'Délai intermédiaire'!CE119/24,0),0)</f>
        <v>9</v>
      </c>
      <c r="S225" s="14">
        <f>IF(Distances!CF119&lt;&gt;0,ROUNDUP(S209+'Délai intermédiaire'!CF119/24,0),0)</f>
        <v>9</v>
      </c>
      <c r="T225" s="14">
        <f>IF(Distances!CG119&lt;&gt;0,ROUNDUP(T209+'Délai intermédiaire'!CG119/24,0),0)</f>
        <v>8</v>
      </c>
      <c r="U225" s="14">
        <f>IF(Distances!CH119&lt;&gt;0,ROUNDUP(U209+'Délai intermédiaire'!CH119/24,0),0)</f>
        <v>8</v>
      </c>
      <c r="V225" s="14">
        <f>IF(Distances!CI119&lt;&gt;0,ROUNDUP(V209+'Délai intermédiaire'!CI119/24,0),0)</f>
        <v>10</v>
      </c>
      <c r="W225" s="14">
        <f>IF(Distances!CJ119&lt;&gt;0,ROUNDUP(W209+'Délai intermédiaire'!CJ119/24,0),0)</f>
        <v>9</v>
      </c>
      <c r="X225" s="14">
        <f>IF(Distances!CK119&lt;&gt;0,ROUNDUP(X209+'Délai intermédiaire'!CK119/24,0),0)</f>
        <v>10</v>
      </c>
      <c r="Y225" s="14">
        <f>IF(Distances!CL119&lt;&gt;0,ROUNDUP(Y209+'Délai intermédiaire'!CL119/24,0),0)</f>
        <v>9</v>
      </c>
      <c r="Z225" s="14">
        <f>IF(Distances!CM119&lt;&gt;0,ROUNDUP(Z209+'Délai intermédiaire'!CM119/24,0),0)</f>
        <v>10</v>
      </c>
      <c r="AA225" s="14">
        <f>IF(Distances!CN119&lt;&gt;0,ROUNDUP(AA209+'Délai intermédiaire'!CN119/24,0),0)</f>
        <v>10</v>
      </c>
      <c r="AB225" s="14">
        <f>IF(Distances!CO119&lt;&gt;0,ROUNDUP(AB209+'Délai intermédiaire'!CO119/24,0),0)</f>
        <v>8</v>
      </c>
      <c r="AC225" s="14">
        <f>IF(Distances!CP119&lt;&gt;0,ROUNDUP(AC209+'Délai intermédiaire'!CP119/24,0),0)</f>
        <v>8</v>
      </c>
      <c r="AD225" s="14">
        <f>IF(Distances!CQ119&lt;&gt;0,ROUNDUP(AD209+'Délai intermédiaire'!CQ119/24,0),0)</f>
        <v>11</v>
      </c>
      <c r="AE225" s="14">
        <f>IF(Distances!CR119&lt;&gt;0,ROUNDUP(AE209+'Délai intermédiaire'!CR119/24,0),0)</f>
        <v>11</v>
      </c>
      <c r="AF225" s="14">
        <f>IF(Distances!CS119&lt;&gt;0,ROUNDUP(AF209+'Délai intermédiaire'!CS119/24,0),0)</f>
        <v>10</v>
      </c>
      <c r="AG225" s="14">
        <f>IF(Distances!CT119&lt;&gt;0,ROUNDUP(AG209+'Délai intermédiaire'!CT119/24,0),0)</f>
        <v>11</v>
      </c>
      <c r="AH225" s="14">
        <f>IF(Distances!CU119&lt;&gt;0,ROUNDUP(AH209+'Délai intermédiaire'!CU119/24,0),0)</f>
        <v>17</v>
      </c>
      <c r="AI225" s="14">
        <f>IF(Distances!CV119&lt;&gt;0,ROUNDUP(AI209+'Délai intermédiaire'!CV119/24,0),0)</f>
        <v>18</v>
      </c>
      <c r="AJ225" s="14">
        <f>IF(Distances!CW119&lt;&gt;0,ROUNDUP(AJ209+'Délai intermédiaire'!CW119/24,0),0)</f>
        <v>17</v>
      </c>
      <c r="AK225" s="14">
        <f>IF(Distances!CX119&lt;&gt;0,ROUNDUP(AK209+'Délai intermédiaire'!CX119/24,0),0)</f>
        <v>17</v>
      </c>
      <c r="AL225" s="14">
        <f>IF(Distances!CY119&lt;&gt;0,ROUNDUP(AL209+'Délai intermédiaire'!CY119/24,0),0)</f>
        <v>20</v>
      </c>
      <c r="AM225" s="14">
        <f>IF(Distances!CZ119&lt;&gt;0,ROUNDUP(AM209+'Délai intermédiaire'!CZ119/24,0),0)</f>
        <v>21</v>
      </c>
      <c r="AN225" s="14">
        <f>IF(Distances!DA119&lt;&gt;0,ROUNDUP(AN209+'Délai intermédiaire'!DA119/24,0),0)</f>
        <v>21</v>
      </c>
      <c r="AO225" s="14">
        <f>IF(Distances!DB119&lt;&gt;0,ROUNDUP(AO209+'Délai intermédiaire'!DB119/24,0),0)</f>
        <v>18</v>
      </c>
      <c r="AP225" s="14">
        <f>IF(Distances!DC119&lt;&gt;0,ROUNDUP(AP209+'Délai intermédiaire'!DC119/24,0),0)</f>
        <v>18</v>
      </c>
      <c r="AQ225" s="14">
        <f>IF(Distances!DD119&lt;&gt;0,ROUNDUP(AQ209+'Délai intermédiaire'!DD119/24,0),0)</f>
        <v>16</v>
      </c>
      <c r="AR225" s="14">
        <f>IF(Distances!DE119&lt;&gt;0,ROUNDUP(AR209+'Délai intermédiaire'!DE119/24,0),0)</f>
        <v>16</v>
      </c>
      <c r="AS225" s="14">
        <f>IF(Distances!DF119&lt;&gt;0,ROUNDUP(AS209+'Délai intermédiaire'!DF119/24,0),0)</f>
        <v>17</v>
      </c>
      <c r="AT225" s="14">
        <f>IF(Distances!DG119&lt;&gt;0,ROUNDUP(AT209+'Délai intermédiaire'!DG119/24,0),0)</f>
        <v>17</v>
      </c>
      <c r="AU225" s="14">
        <f>IF(Distances!DH119&lt;&gt;0,ROUNDUP(AU209+'Délai intermédiaire'!DH119/24,0),0)</f>
        <v>22</v>
      </c>
      <c r="AV225" s="14">
        <f>IF(Distances!DI119&lt;&gt;0,ROUNDUP(AV209+'Délai intermédiaire'!DI119/24,0),0)</f>
        <v>13</v>
      </c>
      <c r="AW225" s="14">
        <f>IF(Distances!DJ119&lt;&gt;0,ROUNDUP(AW209+'Délai intermédiaire'!DJ119/24,0),0)</f>
        <v>16</v>
      </c>
      <c r="AX225" s="14">
        <f>IF(Distances!DK119&lt;&gt;0,ROUNDUP(AX209+'Délai intermédiaire'!DK119/24,0),0)</f>
        <v>23</v>
      </c>
      <c r="AY225" s="14">
        <f>IF(Distances!DL119&lt;&gt;0,ROUNDUP(AY209+'Délai intermédiaire'!DL119/24,0),0)</f>
        <v>3</v>
      </c>
      <c r="AZ225" s="14">
        <f>IF(Distances!DM119&lt;&gt;0,ROUNDUP(AZ209+'Délai intermédiaire'!DM119/24,0),0)</f>
        <v>13</v>
      </c>
      <c r="BA225" s="14">
        <f>IF(Distances!DN119&lt;&gt;0,ROUNDUP(BA209+'Délai intermédiaire'!DN119/24,0),0)</f>
        <v>19</v>
      </c>
      <c r="BB225" s="14">
        <f>IF(Distances!DO119&lt;&gt;0,ROUNDUP(BB209+'Délai intermédiaire'!DO119/24,0),0)</f>
        <v>11</v>
      </c>
      <c r="BC225" s="14">
        <f>IF(Distances!DP119&lt;&gt;0,ROUNDUP(BC209+'Délai intermédiaire'!DP119/24,0),0)</f>
        <v>20</v>
      </c>
      <c r="BD225" s="14">
        <f>IF(Distances!DQ119&lt;&gt;0,ROUNDUP(BD209+'Délai intermédiaire'!DQ119/24,0),0)</f>
        <v>23</v>
      </c>
      <c r="BE225" s="14">
        <f>IF(Distances!DR119&lt;&gt;0,ROUNDUP(BE209+'Délai intermédiaire'!DR119/24,0),0)</f>
        <v>22</v>
      </c>
      <c r="BF225" s="14">
        <f>IF(Distances!DS119&lt;&gt;0,ROUNDUP(BF209+'Délai intermédiaire'!DS119/24,0),0)</f>
        <v>13</v>
      </c>
      <c r="BG225" s="14">
        <f>IF(Distances!DT119&lt;&gt;0,ROUNDUP(BG209+'Délai intermédiaire'!DT119/24,0),0)</f>
        <v>11</v>
      </c>
      <c r="BH225" s="13">
        <f>IF(Distances!DU119&lt;&gt;0,ROUNDUP(BH209+'Délai intermédiaire'!DU119/24,0),0)</f>
        <v>9</v>
      </c>
      <c r="BI225" s="13">
        <f>IF(Distances!DV119&lt;&gt;0,ROUNDUP(BI209+'Délai intermédiaire'!DV119/24,0),0)</f>
        <v>11</v>
      </c>
      <c r="BJ225" s="18">
        <f>IF(Distances!DW119&lt;&gt;0,ROUNDUP(BJ209+'Délai intermédiaire'!DW119/24,0),0)</f>
        <v>11</v>
      </c>
    </row>
    <row r="226" spans="1:62" x14ac:dyDescent="0.3">
      <c r="A226" s="10" t="s">
        <v>16</v>
      </c>
      <c r="B226" s="16">
        <f>IF(Distances!BO120&lt;&gt;0,ROUNDUP(B209+'Délai intermédiaire'!BO120/24,0),0)</f>
        <v>0</v>
      </c>
      <c r="C226" s="14">
        <f>IF(Distances!BP120&lt;&gt;0,ROUNDUP(C209+'Délai intermédiaire'!BP120/24,0),0)</f>
        <v>0</v>
      </c>
      <c r="D226" s="14">
        <f>IF(Distances!BQ120&lt;&gt;0,ROUNDUP(D209+'Délai intermédiaire'!BQ120/24,0),0)</f>
        <v>8</v>
      </c>
      <c r="E226" s="14">
        <f>IF(Distances!BR120&lt;&gt;0,ROUNDUP(E209+'Délai intermédiaire'!BR120/24,0),0)</f>
        <v>0</v>
      </c>
      <c r="F226" s="14">
        <f>IF(Distances!BS120&lt;&gt;0,ROUNDUP(F209+'Délai intermédiaire'!BS120/24,0),0)</f>
        <v>8</v>
      </c>
      <c r="G226" s="14">
        <f>IF(Distances!BT120&lt;&gt;0,ROUNDUP(G209+'Délai intermédiaire'!BT120/24,0),0)</f>
        <v>16</v>
      </c>
      <c r="H226" s="14">
        <f>IF(Distances!BU120&lt;&gt;0,ROUNDUP(H209+'Délai intermédiaire'!BU120/24,0),0)</f>
        <v>0</v>
      </c>
      <c r="I226" s="14">
        <f>IF(Distances!BV120&lt;&gt;0,ROUNDUP(I209+'Délai intermédiaire'!BV120/24,0),0)</f>
        <v>0</v>
      </c>
      <c r="J226" s="14">
        <f>IF(Distances!BW120&lt;&gt;0,ROUNDUP(J209+'Délai intermédiaire'!BW120/24,0),0)</f>
        <v>8</v>
      </c>
      <c r="K226" s="14">
        <f>IF(Distances!BX120&lt;&gt;0,ROUNDUP(K209+'Délai intermédiaire'!BX120/24,0),0)</f>
        <v>0</v>
      </c>
      <c r="L226" s="14">
        <f>IF(Distances!BY120&lt;&gt;0,ROUNDUP(L209+'Délai intermédiaire'!BY120/24,0),0)</f>
        <v>18</v>
      </c>
      <c r="M226" s="14">
        <f>IF(Distances!BZ120&lt;&gt;0,ROUNDUP(M209+'Délai intermédiaire'!BZ120/24,0),0)</f>
        <v>0</v>
      </c>
      <c r="N226" s="14">
        <f>IF(Distances!CA120&lt;&gt;0,ROUNDUP(N209+'Délai intermédiaire'!CA120/24,0),0)</f>
        <v>11</v>
      </c>
      <c r="O226" s="14">
        <f>IF(Distances!CB120&lt;&gt;0,ROUNDUP(O209+'Délai intermédiaire'!CB120/24,0),0)</f>
        <v>12</v>
      </c>
      <c r="P226" s="14">
        <f>IF(Distances!CC120&lt;&gt;0,ROUNDUP(P209+'Délai intermédiaire'!CC120/24,0),0)</f>
        <v>10</v>
      </c>
      <c r="Q226" s="12">
        <f>IF(Distances!CD120&lt;&gt;0,ROUNDUP(Q209+'Délai intermédiaire'!CD120/24,0),0)</f>
        <v>0</v>
      </c>
      <c r="R226" s="13">
        <f>IF(Distances!CE120&lt;&gt;0,ROUNDUP(R209+'Délai intermédiaire'!CE120/24,0),0)</f>
        <v>0</v>
      </c>
      <c r="S226" s="13">
        <f>IF(Distances!CF120&lt;&gt;0,ROUNDUP(S209+'Délai intermédiaire'!CF120/24,0),0)</f>
        <v>0</v>
      </c>
      <c r="T226" s="13">
        <f>IF(Distances!CG120&lt;&gt;0,ROUNDUP(T209+'Délai intermédiaire'!CG120/24,0),0)</f>
        <v>2</v>
      </c>
      <c r="U226" s="13">
        <f>IF(Distances!CH120&lt;&gt;0,ROUNDUP(U209+'Délai intermédiaire'!CH120/24,0),0)</f>
        <v>6</v>
      </c>
      <c r="V226" s="13">
        <f>IF(Distances!CI120&lt;&gt;0,ROUNDUP(V209+'Délai intermédiaire'!CI120/24,0),0)</f>
        <v>7</v>
      </c>
      <c r="W226" s="13">
        <f>IF(Distances!CJ120&lt;&gt;0,ROUNDUP(W209+'Délai intermédiaire'!CJ120/24,0),0)</f>
        <v>0</v>
      </c>
      <c r="X226" s="13">
        <f>IF(Distances!CK120&lt;&gt;0,ROUNDUP(X209+'Délai intermédiaire'!CK120/24,0),0)</f>
        <v>3</v>
      </c>
      <c r="Y226" s="13">
        <f>IF(Distances!CL120&lt;&gt;0,ROUNDUP(Y209+'Délai intermédiaire'!CL120/24,0),0)</f>
        <v>2</v>
      </c>
      <c r="Z226" s="13">
        <f>IF(Distances!CM120&lt;&gt;0,ROUNDUP(Z209+'Délai intermédiaire'!CM120/24,0),0)</f>
        <v>7</v>
      </c>
      <c r="AA226" s="13">
        <f>IF(Distances!CN120&lt;&gt;0,ROUNDUP(AA209+'Délai intermédiaire'!CN120/24,0),0)</f>
        <v>7</v>
      </c>
      <c r="AB226" s="13">
        <f>IF(Distances!CO120&lt;&gt;0,ROUNDUP(AB209+'Délai intermédiaire'!CO120/24,0),0)</f>
        <v>5</v>
      </c>
      <c r="AC226" s="13">
        <f>IF(Distances!CP120&lt;&gt;0,ROUNDUP(AC209+'Délai intermédiaire'!CP120/24,0),0)</f>
        <v>0</v>
      </c>
      <c r="AD226" s="13">
        <f>IF(Distances!CQ120&lt;&gt;0,ROUNDUP(AD209+'Délai intermédiaire'!CQ120/24,0),0)</f>
        <v>0</v>
      </c>
      <c r="AE226" s="13">
        <f>IF(Distances!CR120&lt;&gt;0,ROUNDUP(AE209+'Délai intermédiaire'!CR120/24,0),0)</f>
        <v>9</v>
      </c>
      <c r="AF226" s="13">
        <f>IF(Distances!CS120&lt;&gt;0,ROUNDUP(AF209+'Délai intermédiaire'!CS120/24,0),0)</f>
        <v>7</v>
      </c>
      <c r="AG226" s="13">
        <f>IF(Distances!CT120&lt;&gt;0,ROUNDUP(AG209+'Délai intermédiaire'!CT120/24,0),0)</f>
        <v>8</v>
      </c>
      <c r="AH226" s="14">
        <f>IF(Distances!CU120&lt;&gt;0,ROUNDUP(AH209+'Délai intermédiaire'!CU120/24,0),0)</f>
        <v>15</v>
      </c>
      <c r="AI226" s="14">
        <f>IF(Distances!CV120&lt;&gt;0,ROUNDUP(AI209+'Délai intermédiaire'!CV120/24,0),0)</f>
        <v>0</v>
      </c>
      <c r="AJ226" s="14">
        <f>IF(Distances!CW120&lt;&gt;0,ROUNDUP(AJ209+'Délai intermédiaire'!CW120/24,0),0)</f>
        <v>14</v>
      </c>
      <c r="AK226" s="14">
        <f>IF(Distances!CX120&lt;&gt;0,ROUNDUP(AK209+'Délai intermédiaire'!CX120/24,0),0)</f>
        <v>0</v>
      </c>
      <c r="AL226" s="14">
        <f>IF(Distances!CY120&lt;&gt;0,ROUNDUP(AL209+'Délai intermédiaire'!CY120/24,0),0)</f>
        <v>0</v>
      </c>
      <c r="AM226" s="14">
        <f>IF(Distances!CZ120&lt;&gt;0,ROUNDUP(AM209+'Délai intermédiaire'!CZ120/24,0),0)</f>
        <v>0</v>
      </c>
      <c r="AN226" s="14">
        <f>IF(Distances!DA120&lt;&gt;0,ROUNDUP(AN209+'Délai intermédiaire'!DA120/24,0),0)</f>
        <v>21</v>
      </c>
      <c r="AO226" s="14">
        <f>IF(Distances!DB120&lt;&gt;0,ROUNDUP(AO209+'Délai intermédiaire'!DB120/24,0),0)</f>
        <v>0</v>
      </c>
      <c r="AP226" s="14">
        <f>IF(Distances!DC120&lt;&gt;0,ROUNDUP(AP209+'Délai intermédiaire'!DC120/24,0),0)</f>
        <v>0</v>
      </c>
      <c r="AQ226" s="14">
        <f>IF(Distances!DD120&lt;&gt;0,ROUNDUP(AQ209+'Délai intermédiaire'!DD120/24,0),0)</f>
        <v>0</v>
      </c>
      <c r="AR226" s="14">
        <f>IF(Distances!DE120&lt;&gt;0,ROUNDUP(AR209+'Délai intermédiaire'!DE120/24,0),0)</f>
        <v>0</v>
      </c>
      <c r="AS226" s="14">
        <f>IF(Distances!DF120&lt;&gt;0,ROUNDUP(AS209+'Délai intermédiaire'!DF120/24,0),0)</f>
        <v>15</v>
      </c>
      <c r="AT226" s="14">
        <f>IF(Distances!DG120&lt;&gt;0,ROUNDUP(AT209+'Délai intermédiaire'!DG120/24,0),0)</f>
        <v>14</v>
      </c>
      <c r="AU226" s="14">
        <f>IF(Distances!DH120&lt;&gt;0,ROUNDUP(AU209+'Délai intermédiaire'!DH120/24,0),0)</f>
        <v>22</v>
      </c>
      <c r="AV226" s="14">
        <f>IF(Distances!DI120&lt;&gt;0,ROUNDUP(AV209+'Délai intermédiaire'!DI120/24,0),0)</f>
        <v>6</v>
      </c>
      <c r="AW226" s="14">
        <f>IF(Distances!DJ120&lt;&gt;0,ROUNDUP(AW209+'Délai intermédiaire'!DJ120/24,0),0)</f>
        <v>8</v>
      </c>
      <c r="AX226" s="14">
        <f>IF(Distances!DK120&lt;&gt;0,ROUNDUP(AX209+'Délai intermédiaire'!DK120/24,0),0)</f>
        <v>0</v>
      </c>
      <c r="AY226" s="14">
        <f>IF(Distances!DL120&lt;&gt;0,ROUNDUP(AY209+'Délai intermédiaire'!DL120/24,0),0)</f>
        <v>0</v>
      </c>
      <c r="AZ226" s="14">
        <f>IF(Distances!DM120&lt;&gt;0,ROUNDUP(AZ209+'Délai intermédiaire'!DM120/24,0),0)</f>
        <v>14</v>
      </c>
      <c r="BA226" s="14">
        <f>IF(Distances!DN120&lt;&gt;0,ROUNDUP(BA209+'Délai intermédiaire'!DN120/24,0),0)</f>
        <v>0</v>
      </c>
      <c r="BB226" s="13">
        <f>IF(Distances!DO120&lt;&gt;0,ROUNDUP(BB209+'Délai intermédiaire'!DO120/24,0),0)</f>
        <v>0</v>
      </c>
      <c r="BC226" s="14">
        <f>IF(Distances!DP120&lt;&gt;0,ROUNDUP(BC209+'Délai intermédiaire'!DP120/24,0),0)</f>
        <v>0</v>
      </c>
      <c r="BD226" s="14">
        <f>IF(Distances!DQ120&lt;&gt;0,ROUNDUP(BD209+'Délai intermédiaire'!DQ120/24,0),0)</f>
        <v>22</v>
      </c>
      <c r="BE226" s="14">
        <f>IF(Distances!DR120&lt;&gt;0,ROUNDUP(BE209+'Délai intermédiaire'!DR120/24,0),0)</f>
        <v>0</v>
      </c>
      <c r="BF226" s="13">
        <f>IF(Distances!DS120&lt;&gt;0,ROUNDUP(BF209+'Délai intermédiaire'!DS120/24,0),0)</f>
        <v>10</v>
      </c>
      <c r="BG226" s="13">
        <f>IF(Distances!DT120&lt;&gt;0,ROUNDUP(BG209+'Délai intermédiaire'!DT120/24,0),0)</f>
        <v>8</v>
      </c>
      <c r="BH226" s="14">
        <f>IF(Distances!DU120&lt;&gt;0,ROUNDUP(BH209+'Délai intermédiaire'!DU120/24,0),0)</f>
        <v>12</v>
      </c>
      <c r="BI226" s="14">
        <f>IF(Distances!DV120&lt;&gt;0,ROUNDUP(BI209+'Délai intermédiaire'!DV120/24,0),0)</f>
        <v>15</v>
      </c>
      <c r="BJ226" s="15">
        <f>IF(Distances!DW120&lt;&gt;0,ROUNDUP(BJ209+'Délai intermédiaire'!DW120/24,0),0)</f>
        <v>16</v>
      </c>
    </row>
    <row r="227" spans="1:62" x14ac:dyDescent="0.3">
      <c r="A227" s="10" t="s">
        <v>17</v>
      </c>
      <c r="B227" s="16">
        <f>IF(Distances!BO121&lt;&gt;0,ROUNDUP(B209+'Délai intermédiaire'!BO121/24,0),0)</f>
        <v>0</v>
      </c>
      <c r="C227" s="14">
        <f>IF(Distances!BP121&lt;&gt;0,ROUNDUP(C209+'Délai intermédiaire'!BP121/24,0),0)</f>
        <v>0</v>
      </c>
      <c r="D227" s="14">
        <f>IF(Distances!BQ121&lt;&gt;0,ROUNDUP(D209+'Délai intermédiaire'!BQ121/24,0),0)</f>
        <v>8</v>
      </c>
      <c r="E227" s="14">
        <f>IF(Distances!BR121&lt;&gt;0,ROUNDUP(E209+'Délai intermédiaire'!BR121/24,0),0)</f>
        <v>0</v>
      </c>
      <c r="F227" s="14">
        <f>IF(Distances!BS121&lt;&gt;0,ROUNDUP(F209+'Délai intermédiaire'!BS121/24,0),0)</f>
        <v>7</v>
      </c>
      <c r="G227" s="14">
        <f>IF(Distances!BT121&lt;&gt;0,ROUNDUP(G209+'Délai intermédiaire'!BT121/24,0),0)</f>
        <v>15</v>
      </c>
      <c r="H227" s="14">
        <f>IF(Distances!BU121&lt;&gt;0,ROUNDUP(H209+'Délai intermédiaire'!BU121/24,0),0)</f>
        <v>0</v>
      </c>
      <c r="I227" s="14">
        <f>IF(Distances!BV121&lt;&gt;0,ROUNDUP(I209+'Délai intermédiaire'!BV121/24,0),0)</f>
        <v>0</v>
      </c>
      <c r="J227" s="14">
        <f>IF(Distances!BW121&lt;&gt;0,ROUNDUP(J209+'Délai intermédiaire'!BW121/24,0),0)</f>
        <v>8</v>
      </c>
      <c r="K227" s="14">
        <f>IF(Distances!BX121&lt;&gt;0,ROUNDUP(K209+'Délai intermédiaire'!BX121/24,0),0)</f>
        <v>0</v>
      </c>
      <c r="L227" s="14">
        <f>IF(Distances!BY121&lt;&gt;0,ROUNDUP(L209+'Délai intermédiaire'!BY121/24,0),0)</f>
        <v>18</v>
      </c>
      <c r="M227" s="14">
        <f>IF(Distances!BZ121&lt;&gt;0,ROUNDUP(M209+'Délai intermédiaire'!BZ121/24,0),0)</f>
        <v>0</v>
      </c>
      <c r="N227" s="14">
        <f>IF(Distances!CA121&lt;&gt;0,ROUNDUP(N209+'Délai intermédiaire'!CA121/24,0),0)</f>
        <v>11</v>
      </c>
      <c r="O227" s="14">
        <f>IF(Distances!CB121&lt;&gt;0,ROUNDUP(O209+'Délai intermédiaire'!CB121/24,0),0)</f>
        <v>12</v>
      </c>
      <c r="P227" s="14">
        <f>IF(Distances!CC121&lt;&gt;0,ROUNDUP(P209+'Délai intermédiaire'!CC121/24,0),0)</f>
        <v>10</v>
      </c>
      <c r="Q227" s="13">
        <f>IF(Distances!CD121&lt;&gt;0,ROUNDUP(Q209+'Délai intermédiaire'!CD121/24,0),0)</f>
        <v>0</v>
      </c>
      <c r="R227" s="12">
        <f>IF(Distances!CE121&lt;&gt;0,ROUNDUP(R209+'Délai intermédiaire'!CE121/24,0),0)</f>
        <v>0</v>
      </c>
      <c r="S227" s="13">
        <f>IF(Distances!CF121&lt;&gt;0,ROUNDUP(S209+'Délai intermédiaire'!CF121/24,0),0)</f>
        <v>0</v>
      </c>
      <c r="T227" s="13">
        <f>IF(Distances!CG121&lt;&gt;0,ROUNDUP(T209+'Délai intermédiaire'!CG121/24,0),0)</f>
        <v>2</v>
      </c>
      <c r="U227" s="13">
        <f>IF(Distances!CH121&lt;&gt;0,ROUNDUP(U209+'Délai intermédiaire'!CH121/24,0),0)</f>
        <v>5</v>
      </c>
      <c r="V227" s="13">
        <f>IF(Distances!CI121&lt;&gt;0,ROUNDUP(V209+'Délai intermédiaire'!CI121/24,0),0)</f>
        <v>7</v>
      </c>
      <c r="W227" s="13">
        <f>IF(Distances!CJ121&lt;&gt;0,ROUNDUP(W209+'Délai intermédiaire'!CJ121/24,0),0)</f>
        <v>0</v>
      </c>
      <c r="X227" s="13">
        <f>IF(Distances!CK121&lt;&gt;0,ROUNDUP(X209+'Délai intermédiaire'!CK121/24,0),0)</f>
        <v>4</v>
      </c>
      <c r="Y227" s="13">
        <f>IF(Distances!CL121&lt;&gt;0,ROUNDUP(Y209+'Délai intermédiaire'!CL121/24,0),0)</f>
        <v>3</v>
      </c>
      <c r="Z227" s="13">
        <f>IF(Distances!CM121&lt;&gt;0,ROUNDUP(Z209+'Délai intermédiaire'!CM121/24,0),0)</f>
        <v>6</v>
      </c>
      <c r="AA227" s="13">
        <f>IF(Distances!CN121&lt;&gt;0,ROUNDUP(AA209+'Délai intermédiaire'!CN121/24,0),0)</f>
        <v>6</v>
      </c>
      <c r="AB227" s="13">
        <f>IF(Distances!CO121&lt;&gt;0,ROUNDUP(AB209+'Délai intermédiaire'!CO121/24,0),0)</f>
        <v>5</v>
      </c>
      <c r="AC227" s="13">
        <f>IF(Distances!CP121&lt;&gt;0,ROUNDUP(AC209+'Délai intermédiaire'!CP121/24,0),0)</f>
        <v>0</v>
      </c>
      <c r="AD227" s="13">
        <f>IF(Distances!CQ121&lt;&gt;0,ROUNDUP(AD209+'Délai intermédiaire'!CQ121/24,0),0)</f>
        <v>0</v>
      </c>
      <c r="AE227" s="13">
        <f>IF(Distances!CR121&lt;&gt;0,ROUNDUP(AE209+'Délai intermédiaire'!CR121/24,0),0)</f>
        <v>8</v>
      </c>
      <c r="AF227" s="13">
        <f>IF(Distances!CS121&lt;&gt;0,ROUNDUP(AF209+'Délai intermédiaire'!CS121/24,0),0)</f>
        <v>7</v>
      </c>
      <c r="AG227" s="13">
        <f>IF(Distances!CT121&lt;&gt;0,ROUNDUP(AG209+'Délai intermédiaire'!CT121/24,0),0)</f>
        <v>8</v>
      </c>
      <c r="AH227" s="14">
        <f>IF(Distances!CU121&lt;&gt;0,ROUNDUP(AH209+'Délai intermédiaire'!CU121/24,0),0)</f>
        <v>14</v>
      </c>
      <c r="AI227" s="14">
        <f>IF(Distances!CV121&lt;&gt;0,ROUNDUP(AI209+'Délai intermédiaire'!CV121/24,0),0)</f>
        <v>0</v>
      </c>
      <c r="AJ227" s="14">
        <f>IF(Distances!CW121&lt;&gt;0,ROUNDUP(AJ209+'Délai intermédiaire'!CW121/24,0),0)</f>
        <v>14</v>
      </c>
      <c r="AK227" s="14">
        <f>IF(Distances!CX121&lt;&gt;0,ROUNDUP(AK209+'Délai intermédiaire'!CX121/24,0),0)</f>
        <v>0</v>
      </c>
      <c r="AL227" s="14">
        <f>IF(Distances!CY121&lt;&gt;0,ROUNDUP(AL209+'Délai intermédiaire'!CY121/24,0),0)</f>
        <v>0</v>
      </c>
      <c r="AM227" s="14">
        <f>IF(Distances!CZ121&lt;&gt;0,ROUNDUP(AM209+'Délai intermédiaire'!CZ121/24,0),0)</f>
        <v>0</v>
      </c>
      <c r="AN227" s="14">
        <f>IF(Distances!DA121&lt;&gt;0,ROUNDUP(AN209+'Délai intermédiaire'!DA121/24,0),0)</f>
        <v>20</v>
      </c>
      <c r="AO227" s="14">
        <f>IF(Distances!DB121&lt;&gt;0,ROUNDUP(AO209+'Délai intermédiaire'!DB121/24,0),0)</f>
        <v>0</v>
      </c>
      <c r="AP227" s="14">
        <f>IF(Distances!DC121&lt;&gt;0,ROUNDUP(AP209+'Délai intermédiaire'!DC121/24,0),0)</f>
        <v>0</v>
      </c>
      <c r="AQ227" s="14">
        <f>IF(Distances!DD121&lt;&gt;0,ROUNDUP(AQ209+'Délai intermédiaire'!DD121/24,0),0)</f>
        <v>0</v>
      </c>
      <c r="AR227" s="14">
        <f>IF(Distances!DE121&lt;&gt;0,ROUNDUP(AR209+'Délai intermédiaire'!DE121/24,0),0)</f>
        <v>0</v>
      </c>
      <c r="AS227" s="14">
        <f>IF(Distances!DF121&lt;&gt;0,ROUNDUP(AS209+'Délai intermédiaire'!DF121/24,0),0)</f>
        <v>14</v>
      </c>
      <c r="AT227" s="14">
        <f>IF(Distances!DG121&lt;&gt;0,ROUNDUP(AT209+'Délai intermédiaire'!DG121/24,0),0)</f>
        <v>14</v>
      </c>
      <c r="AU227" s="14">
        <f>IF(Distances!DH121&lt;&gt;0,ROUNDUP(AU209+'Délai intermédiaire'!DH121/24,0),0)</f>
        <v>21</v>
      </c>
      <c r="AV227" s="14">
        <f>IF(Distances!DI121&lt;&gt;0,ROUNDUP(AV209+'Délai intermédiaire'!DI121/24,0),0)</f>
        <v>7</v>
      </c>
      <c r="AW227" s="14">
        <f>IF(Distances!DJ121&lt;&gt;0,ROUNDUP(AW209+'Délai intermédiaire'!DJ121/24,0),0)</f>
        <v>9</v>
      </c>
      <c r="AX227" s="14">
        <f>IF(Distances!DK121&lt;&gt;0,ROUNDUP(AX209+'Délai intermédiaire'!DK121/24,0),0)</f>
        <v>0</v>
      </c>
      <c r="AY227" s="14">
        <f>IF(Distances!DL121&lt;&gt;0,ROUNDUP(AY209+'Délai intermédiaire'!DL121/24,0),0)</f>
        <v>0</v>
      </c>
      <c r="AZ227" s="14">
        <f>IF(Distances!DM121&lt;&gt;0,ROUNDUP(AZ209+'Délai intermédiaire'!DM121/24,0),0)</f>
        <v>14</v>
      </c>
      <c r="BA227" s="14">
        <f>IF(Distances!DN121&lt;&gt;0,ROUNDUP(BA209+'Délai intermédiaire'!DN121/24,0),0)</f>
        <v>0</v>
      </c>
      <c r="BB227" s="13">
        <f>IF(Distances!DO121&lt;&gt;0,ROUNDUP(BB209+'Délai intermédiaire'!DO121/24,0),0)</f>
        <v>0</v>
      </c>
      <c r="BC227" s="14">
        <f>IF(Distances!DP121&lt;&gt;0,ROUNDUP(BC209+'Délai intermédiaire'!DP121/24,0),0)</f>
        <v>0</v>
      </c>
      <c r="BD227" s="14">
        <f>IF(Distances!DQ121&lt;&gt;0,ROUNDUP(BD209+'Délai intermédiaire'!DQ121/24,0),0)</f>
        <v>22</v>
      </c>
      <c r="BE227" s="14">
        <f>IF(Distances!DR121&lt;&gt;0,ROUNDUP(BE209+'Délai intermédiaire'!DR121/24,0),0)</f>
        <v>0</v>
      </c>
      <c r="BF227" s="13">
        <f>IF(Distances!DS121&lt;&gt;0,ROUNDUP(BF209+'Délai intermédiaire'!DS121/24,0),0)</f>
        <v>9</v>
      </c>
      <c r="BG227" s="13">
        <f>IF(Distances!DT121&lt;&gt;0,ROUNDUP(BG209+'Délai intermédiaire'!DT121/24,0),0)</f>
        <v>7</v>
      </c>
      <c r="BH227" s="14">
        <f>IF(Distances!DU121&lt;&gt;0,ROUNDUP(BH209+'Délai intermédiaire'!DU121/24,0),0)</f>
        <v>11</v>
      </c>
      <c r="BI227" s="14">
        <f>IF(Distances!DV121&lt;&gt;0,ROUNDUP(BI209+'Délai intermédiaire'!DV121/24,0),0)</f>
        <v>15</v>
      </c>
      <c r="BJ227" s="15">
        <f>IF(Distances!DW121&lt;&gt;0,ROUNDUP(BJ209+'Délai intermédiaire'!DW121/24,0),0)</f>
        <v>16</v>
      </c>
    </row>
    <row r="228" spans="1:62" x14ac:dyDescent="0.3">
      <c r="A228" s="10" t="s">
        <v>18</v>
      </c>
      <c r="B228" s="16">
        <f>IF(Distances!BO122&lt;&gt;0,ROUNDUP(B209+'Délai intermédiaire'!BO122/24,0),0)</f>
        <v>0</v>
      </c>
      <c r="C228" s="14">
        <f>IF(Distances!BP122&lt;&gt;0,ROUNDUP(C209+'Délai intermédiaire'!BP122/24,0),0)</f>
        <v>0</v>
      </c>
      <c r="D228" s="14">
        <f>IF(Distances!BQ122&lt;&gt;0,ROUNDUP(D209+'Délai intermédiaire'!BQ122/24,0),0)</f>
        <v>8</v>
      </c>
      <c r="E228" s="14">
        <f>IF(Distances!BR122&lt;&gt;0,ROUNDUP(E209+'Délai intermédiaire'!BR122/24,0),0)</f>
        <v>0</v>
      </c>
      <c r="F228" s="14">
        <f>IF(Distances!BS122&lt;&gt;0,ROUNDUP(F209+'Délai intermédiaire'!BS122/24,0),0)</f>
        <v>8</v>
      </c>
      <c r="G228" s="14">
        <f>IF(Distances!BT122&lt;&gt;0,ROUNDUP(G209+'Délai intermédiaire'!BT122/24,0),0)</f>
        <v>16</v>
      </c>
      <c r="H228" s="14">
        <f>IF(Distances!BU122&lt;&gt;0,ROUNDUP(H209+'Délai intermédiaire'!BU122/24,0),0)</f>
        <v>0</v>
      </c>
      <c r="I228" s="14">
        <f>IF(Distances!BV122&lt;&gt;0,ROUNDUP(I209+'Délai intermédiaire'!BV122/24,0),0)</f>
        <v>0</v>
      </c>
      <c r="J228" s="14">
        <f>IF(Distances!BW122&lt;&gt;0,ROUNDUP(J209+'Délai intermédiaire'!BW122/24,0),0)</f>
        <v>8</v>
      </c>
      <c r="K228" s="14">
        <f>IF(Distances!BX122&lt;&gt;0,ROUNDUP(K209+'Délai intermédiaire'!BX122/24,0),0)</f>
        <v>0</v>
      </c>
      <c r="L228" s="14">
        <f>IF(Distances!BY122&lt;&gt;0,ROUNDUP(L209+'Délai intermédiaire'!BY122/24,0),0)</f>
        <v>18</v>
      </c>
      <c r="M228" s="14">
        <f>IF(Distances!BZ122&lt;&gt;0,ROUNDUP(M209+'Délai intermédiaire'!BZ122/24,0),0)</f>
        <v>0</v>
      </c>
      <c r="N228" s="14">
        <f>IF(Distances!CA122&lt;&gt;0,ROUNDUP(N209+'Délai intermédiaire'!CA122/24,0),0)</f>
        <v>11</v>
      </c>
      <c r="O228" s="14">
        <f>IF(Distances!CB122&lt;&gt;0,ROUNDUP(O209+'Délai intermédiaire'!CB122/24,0),0)</f>
        <v>12</v>
      </c>
      <c r="P228" s="14">
        <f>IF(Distances!CC122&lt;&gt;0,ROUNDUP(P209+'Délai intermédiaire'!CC122/24,0),0)</f>
        <v>10</v>
      </c>
      <c r="Q228" s="13">
        <f>IF(Distances!CD122&lt;&gt;0,ROUNDUP(Q209+'Délai intermédiaire'!CD122/24,0),0)</f>
        <v>0</v>
      </c>
      <c r="R228" s="13">
        <f>IF(Distances!CE122&lt;&gt;0,ROUNDUP(R209+'Délai intermédiaire'!CE122/24,0),0)</f>
        <v>0</v>
      </c>
      <c r="S228" s="12">
        <f>IF(Distances!CF122&lt;&gt;0,ROUNDUP(S209+'Délai intermédiaire'!CF122/24,0),0)</f>
        <v>0</v>
      </c>
      <c r="T228" s="13">
        <f>IF(Distances!CG122&lt;&gt;0,ROUNDUP(T209+'Délai intermédiaire'!CG122/24,0),0)</f>
        <v>2</v>
      </c>
      <c r="U228" s="13">
        <f>IF(Distances!CH122&lt;&gt;0,ROUNDUP(U209+'Délai intermédiaire'!CH122/24,0),0)</f>
        <v>5</v>
      </c>
      <c r="V228" s="13">
        <f>IF(Distances!CI122&lt;&gt;0,ROUNDUP(V209+'Délai intermédiaire'!CI122/24,0),0)</f>
        <v>7</v>
      </c>
      <c r="W228" s="13">
        <f>IF(Distances!CJ122&lt;&gt;0,ROUNDUP(W209+'Délai intermédiaire'!CJ122/24,0),0)</f>
        <v>0</v>
      </c>
      <c r="X228" s="13">
        <f>IF(Distances!CK122&lt;&gt;0,ROUNDUP(X209+'Délai intermédiaire'!CK122/24,0),0)</f>
        <v>3</v>
      </c>
      <c r="Y228" s="13">
        <f>IF(Distances!CL122&lt;&gt;0,ROUNDUP(Y209+'Délai intermédiaire'!CL122/24,0),0)</f>
        <v>2</v>
      </c>
      <c r="Z228" s="13">
        <f>IF(Distances!CM122&lt;&gt;0,ROUNDUP(Z209+'Délai intermédiaire'!CM122/24,0),0)</f>
        <v>6</v>
      </c>
      <c r="AA228" s="13">
        <f>IF(Distances!CN122&lt;&gt;0,ROUNDUP(AA209+'Délai intermédiaire'!CN122/24,0),0)</f>
        <v>6</v>
      </c>
      <c r="AB228" s="13">
        <f>IF(Distances!CO122&lt;&gt;0,ROUNDUP(AB209+'Délai intermédiaire'!CO122/24,0),0)</f>
        <v>5</v>
      </c>
      <c r="AC228" s="13">
        <f>IF(Distances!CP122&lt;&gt;0,ROUNDUP(AC209+'Délai intermédiaire'!CP122/24,0),0)</f>
        <v>0</v>
      </c>
      <c r="AD228" s="13">
        <f>IF(Distances!CQ122&lt;&gt;0,ROUNDUP(AD209+'Délai intermédiaire'!CQ122/24,0),0)</f>
        <v>0</v>
      </c>
      <c r="AE228" s="13">
        <f>IF(Distances!CR122&lt;&gt;0,ROUNDUP(AE209+'Délai intermédiaire'!CR122/24,0),0)</f>
        <v>8</v>
      </c>
      <c r="AF228" s="13">
        <f>IF(Distances!CS122&lt;&gt;0,ROUNDUP(AF209+'Délai intermédiaire'!CS122/24,0),0)</f>
        <v>7</v>
      </c>
      <c r="AG228" s="13">
        <f>IF(Distances!CT122&lt;&gt;0,ROUNDUP(AG209+'Délai intermédiaire'!CT122/24,0),0)</f>
        <v>8</v>
      </c>
      <c r="AH228" s="14">
        <f>IF(Distances!CU122&lt;&gt;0,ROUNDUP(AH209+'Délai intermédiaire'!CU122/24,0),0)</f>
        <v>14</v>
      </c>
      <c r="AI228" s="14">
        <f>IF(Distances!CV122&lt;&gt;0,ROUNDUP(AI209+'Délai intermédiaire'!CV122/24,0),0)</f>
        <v>0</v>
      </c>
      <c r="AJ228" s="14">
        <f>IF(Distances!CW122&lt;&gt;0,ROUNDUP(AJ209+'Délai intermédiaire'!CW122/24,0),0)</f>
        <v>14</v>
      </c>
      <c r="AK228" s="14">
        <f>IF(Distances!CX122&lt;&gt;0,ROUNDUP(AK209+'Délai intermédiaire'!CX122/24,0),0)</f>
        <v>0</v>
      </c>
      <c r="AL228" s="14">
        <f>IF(Distances!CY122&lt;&gt;0,ROUNDUP(AL209+'Délai intermédiaire'!CY122/24,0),0)</f>
        <v>0</v>
      </c>
      <c r="AM228" s="14">
        <f>IF(Distances!CZ122&lt;&gt;0,ROUNDUP(AM209+'Délai intermédiaire'!CZ122/24,0),0)</f>
        <v>0</v>
      </c>
      <c r="AN228" s="14">
        <f>IF(Distances!DA122&lt;&gt;0,ROUNDUP(AN209+'Délai intermédiaire'!DA122/24,0),0)</f>
        <v>20</v>
      </c>
      <c r="AO228" s="14">
        <f>IF(Distances!DB122&lt;&gt;0,ROUNDUP(AO209+'Délai intermédiaire'!DB122/24,0),0)</f>
        <v>0</v>
      </c>
      <c r="AP228" s="14">
        <f>IF(Distances!DC122&lt;&gt;0,ROUNDUP(AP209+'Délai intermédiaire'!DC122/24,0),0)</f>
        <v>0</v>
      </c>
      <c r="AQ228" s="14">
        <f>IF(Distances!DD122&lt;&gt;0,ROUNDUP(AQ209+'Délai intermédiaire'!DD122/24,0),0)</f>
        <v>0</v>
      </c>
      <c r="AR228" s="14">
        <f>IF(Distances!DE122&lt;&gt;0,ROUNDUP(AR209+'Délai intermédiaire'!DE122/24,0),0)</f>
        <v>0</v>
      </c>
      <c r="AS228" s="14">
        <f>IF(Distances!DF122&lt;&gt;0,ROUNDUP(AS209+'Délai intermédiaire'!DF122/24,0),0)</f>
        <v>14</v>
      </c>
      <c r="AT228" s="14">
        <f>IF(Distances!DG122&lt;&gt;0,ROUNDUP(AT209+'Délai intermédiaire'!DG122/24,0),0)</f>
        <v>14</v>
      </c>
      <c r="AU228" s="14">
        <f>IF(Distances!DH122&lt;&gt;0,ROUNDUP(AU209+'Délai intermédiaire'!DH122/24,0),0)</f>
        <v>21</v>
      </c>
      <c r="AV228" s="14">
        <f>IF(Distances!DI122&lt;&gt;0,ROUNDUP(AV209+'Délai intermédiaire'!DI122/24,0),0)</f>
        <v>6</v>
      </c>
      <c r="AW228" s="14">
        <f>IF(Distances!DJ122&lt;&gt;0,ROUNDUP(AW209+'Délai intermédiaire'!DJ122/24,0),0)</f>
        <v>9</v>
      </c>
      <c r="AX228" s="14">
        <f>IF(Distances!DK122&lt;&gt;0,ROUNDUP(AX209+'Délai intermédiaire'!DK122/24,0),0)</f>
        <v>0</v>
      </c>
      <c r="AY228" s="14">
        <f>IF(Distances!DL122&lt;&gt;0,ROUNDUP(AY209+'Délai intermédiaire'!DL122/24,0),0)</f>
        <v>0</v>
      </c>
      <c r="AZ228" s="14">
        <f>IF(Distances!DM122&lt;&gt;0,ROUNDUP(AZ209+'Délai intermédiaire'!DM122/24,0),0)</f>
        <v>14</v>
      </c>
      <c r="BA228" s="14">
        <f>IF(Distances!DN122&lt;&gt;0,ROUNDUP(BA209+'Délai intermédiaire'!DN122/24,0),0)</f>
        <v>0</v>
      </c>
      <c r="BB228" s="13">
        <f>IF(Distances!DO122&lt;&gt;0,ROUNDUP(BB209+'Délai intermédiaire'!DO122/24,0),0)</f>
        <v>0</v>
      </c>
      <c r="BC228" s="14">
        <f>IF(Distances!DP122&lt;&gt;0,ROUNDUP(BC209+'Délai intermédiaire'!DP122/24,0),0)</f>
        <v>0</v>
      </c>
      <c r="BD228" s="14">
        <f>IF(Distances!DQ122&lt;&gt;0,ROUNDUP(BD209+'Délai intermédiaire'!DQ122/24,0),0)</f>
        <v>22</v>
      </c>
      <c r="BE228" s="14">
        <f>IF(Distances!DR122&lt;&gt;0,ROUNDUP(BE209+'Délai intermédiaire'!DR122/24,0),0)</f>
        <v>0</v>
      </c>
      <c r="BF228" s="13">
        <f>IF(Distances!DS122&lt;&gt;0,ROUNDUP(BF209+'Délai intermédiaire'!DS122/24,0),0)</f>
        <v>9</v>
      </c>
      <c r="BG228" s="13">
        <f>IF(Distances!DT122&lt;&gt;0,ROUNDUP(BG209+'Délai intermédiaire'!DT122/24,0),0)</f>
        <v>7</v>
      </c>
      <c r="BH228" s="14">
        <f>IF(Distances!DU122&lt;&gt;0,ROUNDUP(BH209+'Délai intermédiaire'!DU122/24,0),0)</f>
        <v>12</v>
      </c>
      <c r="BI228" s="14">
        <f>IF(Distances!DV122&lt;&gt;0,ROUNDUP(BI209+'Délai intermédiaire'!DV122/24,0),0)</f>
        <v>15</v>
      </c>
      <c r="BJ228" s="15">
        <f>IF(Distances!DW122&lt;&gt;0,ROUNDUP(BJ209+'Délai intermédiaire'!DW122/24,0),0)</f>
        <v>16</v>
      </c>
    </row>
    <row r="229" spans="1:62" x14ac:dyDescent="0.3">
      <c r="A229" s="10" t="s">
        <v>19</v>
      </c>
      <c r="B229" s="16">
        <f>IF(Distances!BO123&lt;&gt;0,ROUNDUP(B209+'Délai intermédiaire'!BO123/24,0),0)</f>
        <v>8</v>
      </c>
      <c r="C229" s="14">
        <f>IF(Distances!BP123&lt;&gt;0,ROUNDUP(C209+'Délai intermédiaire'!BP123/24,0),0)</f>
        <v>10</v>
      </c>
      <c r="D229" s="14">
        <f>IF(Distances!BQ123&lt;&gt;0,ROUNDUP(D209+'Délai intermédiaire'!BQ123/24,0),0)</f>
        <v>8</v>
      </c>
      <c r="E229" s="14">
        <f>IF(Distances!BR123&lt;&gt;0,ROUNDUP(E209+'Délai intermédiaire'!BR123/24,0),0)</f>
        <v>9</v>
      </c>
      <c r="F229" s="14">
        <f>IF(Distances!BS123&lt;&gt;0,ROUNDUP(F209+'Délai intermédiaire'!BS123/24,0),0)</f>
        <v>8</v>
      </c>
      <c r="G229" s="14">
        <f>IF(Distances!BT123&lt;&gt;0,ROUNDUP(G209+'Délai intermédiaire'!BT123/24,0),0)</f>
        <v>15</v>
      </c>
      <c r="H229" s="14">
        <f>IF(Distances!BU123&lt;&gt;0,ROUNDUP(H209+'Délai intermédiaire'!BU123/24,0),0)</f>
        <v>17</v>
      </c>
      <c r="I229" s="14">
        <f>IF(Distances!BV123&lt;&gt;0,ROUNDUP(I209+'Délai intermédiaire'!BV123/24,0),0)</f>
        <v>15</v>
      </c>
      <c r="J229" s="14">
        <f>IF(Distances!BW123&lt;&gt;0,ROUNDUP(J209+'Délai intermédiaire'!BW123/24,0),0)</f>
        <v>8</v>
      </c>
      <c r="K229" s="14">
        <f>IF(Distances!BX123&lt;&gt;0,ROUNDUP(K209+'Délai intermédiaire'!BX123/24,0),0)</f>
        <v>8</v>
      </c>
      <c r="L229" s="14">
        <f>IF(Distances!BY123&lt;&gt;0,ROUNDUP(L209+'Délai intermédiaire'!BY123/24,0),0)</f>
        <v>18</v>
      </c>
      <c r="M229" s="14">
        <f>IF(Distances!BZ123&lt;&gt;0,ROUNDUP(M209+'Délai intermédiaire'!BZ123/24,0),0)</f>
        <v>18</v>
      </c>
      <c r="N229" s="14">
        <f>IF(Distances!CA123&lt;&gt;0,ROUNDUP(N209+'Délai intermédiaire'!CA123/24,0),0)</f>
        <v>11</v>
      </c>
      <c r="O229" s="14">
        <f>IF(Distances!CB123&lt;&gt;0,ROUNDUP(O209+'Délai intermédiaire'!CB123/24,0),0)</f>
        <v>12</v>
      </c>
      <c r="P229" s="14">
        <f>IF(Distances!CC123&lt;&gt;0,ROUNDUP(P209+'Délai intermédiaire'!CC123/24,0),0)</f>
        <v>9</v>
      </c>
      <c r="Q229" s="13">
        <f>IF(Distances!CD123&lt;&gt;0,ROUNDUP(Q209+'Délai intermédiaire'!CD123/24,0),0)</f>
        <v>2</v>
      </c>
      <c r="R229" s="13">
        <f>IF(Distances!CE123&lt;&gt;0,ROUNDUP(R209+'Délai intermédiaire'!CE123/24,0),0)</f>
        <v>2</v>
      </c>
      <c r="S229" s="13">
        <f>IF(Distances!CF123&lt;&gt;0,ROUNDUP(S209+'Délai intermédiaire'!CF123/24,0),0)</f>
        <v>2</v>
      </c>
      <c r="T229" s="12">
        <f>IF(Distances!CG123&lt;&gt;0,ROUNDUP(T209+'Délai intermédiaire'!CG123/24,0),0)</f>
        <v>0</v>
      </c>
      <c r="U229" s="13">
        <f>IF(Distances!CH123&lt;&gt;0,ROUNDUP(U209+'Délai intermédiaire'!CH123/24,0),0)</f>
        <v>5</v>
      </c>
      <c r="V229" s="13">
        <f>IF(Distances!CI123&lt;&gt;0,ROUNDUP(V209+'Délai intermédiaire'!CI123/24,0),0)</f>
        <v>7</v>
      </c>
      <c r="W229" s="13">
        <f>IF(Distances!CJ123&lt;&gt;0,ROUNDUP(W209+'Délai intermédiaire'!CJ123/24,0),0)</f>
        <v>2</v>
      </c>
      <c r="X229" s="13">
        <f>IF(Distances!CK123&lt;&gt;0,ROUNDUP(X209+'Délai intermédiaire'!CK123/24,0),0)</f>
        <v>3</v>
      </c>
      <c r="Y229" s="13">
        <f>IF(Distances!CL123&lt;&gt;0,ROUNDUP(Y209+'Délai intermédiaire'!CL123/24,0),0)</f>
        <v>2</v>
      </c>
      <c r="Z229" s="13">
        <f>IF(Distances!CM123&lt;&gt;0,ROUNDUP(Z209+'Délai intermédiaire'!CM123/24,0),0)</f>
        <v>6</v>
      </c>
      <c r="AA229" s="13">
        <f>IF(Distances!CN123&lt;&gt;0,ROUNDUP(AA209+'Délai intermédiaire'!CN123/24,0),0)</f>
        <v>6</v>
      </c>
      <c r="AB229" s="13">
        <f>IF(Distances!CO123&lt;&gt;0,ROUNDUP(AB209+'Délai intermédiaire'!CO123/24,0),0)</f>
        <v>4</v>
      </c>
      <c r="AC229" s="13">
        <f>IF(Distances!CP123&lt;&gt;0,ROUNDUP(AC209+'Délai intermédiaire'!CP123/24,0),0)</f>
        <v>4</v>
      </c>
      <c r="AD229" s="13">
        <f>IF(Distances!CQ123&lt;&gt;0,ROUNDUP(AD209+'Délai intermédiaire'!CQ123/24,0),0)</f>
        <v>4</v>
      </c>
      <c r="AE229" s="13">
        <f>IF(Distances!CR123&lt;&gt;0,ROUNDUP(AE209+'Délai intermédiaire'!CR123/24,0),0)</f>
        <v>8</v>
      </c>
      <c r="AF229" s="13">
        <f>IF(Distances!CS123&lt;&gt;0,ROUNDUP(AF209+'Délai intermédiaire'!CS123/24,0),0)</f>
        <v>7</v>
      </c>
      <c r="AG229" s="13">
        <f>IF(Distances!CT123&lt;&gt;0,ROUNDUP(AG209+'Délai intermédiaire'!CT123/24,0),0)</f>
        <v>8</v>
      </c>
      <c r="AH229" s="14">
        <f>IF(Distances!CU123&lt;&gt;0,ROUNDUP(AH209+'Délai intermédiaire'!CU123/24,0),0)</f>
        <v>14</v>
      </c>
      <c r="AI229" s="14">
        <f>IF(Distances!CV123&lt;&gt;0,ROUNDUP(AI209+'Délai intermédiaire'!CV123/24,0),0)</f>
        <v>16</v>
      </c>
      <c r="AJ229" s="14">
        <f>IF(Distances!CW123&lt;&gt;0,ROUNDUP(AJ209+'Délai intermédiaire'!CW123/24,0),0)</f>
        <v>14</v>
      </c>
      <c r="AK229" s="14">
        <f>IF(Distances!CX123&lt;&gt;0,ROUNDUP(AK209+'Délai intermédiaire'!CX123/24,0),0)</f>
        <v>15</v>
      </c>
      <c r="AL229" s="14">
        <f>IF(Distances!CY123&lt;&gt;0,ROUNDUP(AL209+'Délai intermédiaire'!CY123/24,0),0)</f>
        <v>21</v>
      </c>
      <c r="AM229" s="14">
        <f>IF(Distances!CZ123&lt;&gt;0,ROUNDUP(AM209+'Délai intermédiaire'!CZ123/24,0),0)</f>
        <v>20</v>
      </c>
      <c r="AN229" s="14">
        <f>IF(Distances!DA123&lt;&gt;0,ROUNDUP(AN209+'Délai intermédiaire'!DA123/24,0),0)</f>
        <v>20</v>
      </c>
      <c r="AO229" s="14">
        <f>IF(Distances!DB123&lt;&gt;0,ROUNDUP(AO209+'Délai intermédiaire'!DB123/24,0),0)</f>
        <v>21</v>
      </c>
      <c r="AP229" s="14">
        <f>IF(Distances!DC123&lt;&gt;0,ROUNDUP(AP209+'Délai intermédiaire'!DC123/24,0),0)</f>
        <v>22</v>
      </c>
      <c r="AQ229" s="14">
        <f>IF(Distances!DD123&lt;&gt;0,ROUNDUP(AQ209+'Délai intermédiaire'!DD123/24,0),0)</f>
        <v>19</v>
      </c>
      <c r="AR229" s="14">
        <f>IF(Distances!DE123&lt;&gt;0,ROUNDUP(AR209+'Délai intermédiaire'!DE123/24,0),0)</f>
        <v>13</v>
      </c>
      <c r="AS229" s="14">
        <f>IF(Distances!DF123&lt;&gt;0,ROUNDUP(AS209+'Délai intermédiaire'!DF123/24,0),0)</f>
        <v>14</v>
      </c>
      <c r="AT229" s="14">
        <f>IF(Distances!DG123&lt;&gt;0,ROUNDUP(AT209+'Délai intermédiaire'!DG123/24,0),0)</f>
        <v>13</v>
      </c>
      <c r="AU229" s="14">
        <f>IF(Distances!DH123&lt;&gt;0,ROUNDUP(AU209+'Délai intermédiaire'!DH123/24,0),0)</f>
        <v>21</v>
      </c>
      <c r="AV229" s="14">
        <f>IF(Distances!DI123&lt;&gt;0,ROUNDUP(AV209+'Délai intermédiaire'!DI123/24,0),0)</f>
        <v>6</v>
      </c>
      <c r="AW229" s="14">
        <f>IF(Distances!DJ123&lt;&gt;0,ROUNDUP(AW209+'Délai intermédiaire'!DJ123/24,0),0)</f>
        <v>9</v>
      </c>
      <c r="AX229" s="14">
        <f>IF(Distances!DK123&lt;&gt;0,ROUNDUP(AX209+'Délai intermédiaire'!DK123/24,0),0)</f>
        <v>23</v>
      </c>
      <c r="AY229" s="14">
        <f>IF(Distances!DL123&lt;&gt;0,ROUNDUP(AY209+'Délai intermédiaire'!DL123/24,0),0)</f>
        <v>3</v>
      </c>
      <c r="AZ229" s="14">
        <f>IF(Distances!DM123&lt;&gt;0,ROUNDUP(AZ209+'Délai intermédiaire'!DM123/24,0),0)</f>
        <v>13</v>
      </c>
      <c r="BA229" s="14">
        <f>IF(Distances!DN123&lt;&gt;0,ROUNDUP(BA209+'Délai intermédiaire'!DN123/24,0),0)</f>
        <v>18</v>
      </c>
      <c r="BB229" s="13">
        <f>IF(Distances!DO123&lt;&gt;0,ROUNDUP(BB209+'Délai intermédiaire'!DO123/24,0),0)</f>
        <v>5</v>
      </c>
      <c r="BC229" s="14">
        <f>IF(Distances!DP123&lt;&gt;0,ROUNDUP(BC209+'Délai intermédiaire'!DP123/24,0),0)</f>
        <v>19</v>
      </c>
      <c r="BD229" s="14">
        <f>IF(Distances!DQ123&lt;&gt;0,ROUNDUP(BD209+'Délai intermédiaire'!DQ123/24,0),0)</f>
        <v>21</v>
      </c>
      <c r="BE229" s="14">
        <f>IF(Distances!DR123&lt;&gt;0,ROUNDUP(BE209+'Délai intermédiaire'!DR123/24,0),0)</f>
        <v>20</v>
      </c>
      <c r="BF229" s="13">
        <f>IF(Distances!DS123&lt;&gt;0,ROUNDUP(BF209+'Délai intermédiaire'!DS123/24,0),0)</f>
        <v>9</v>
      </c>
      <c r="BG229" s="13">
        <f>IF(Distances!DT123&lt;&gt;0,ROUNDUP(BG209+'Délai intermédiaire'!DT123/24,0),0)</f>
        <v>7</v>
      </c>
      <c r="BH229" s="14">
        <f>IF(Distances!DU123&lt;&gt;0,ROUNDUP(BH209+'Délai intermédiaire'!DU123/24,0),0)</f>
        <v>12</v>
      </c>
      <c r="BI229" s="14">
        <f>IF(Distances!DV123&lt;&gt;0,ROUNDUP(BI209+'Délai intermédiaire'!DV123/24,0),0)</f>
        <v>15</v>
      </c>
      <c r="BJ229" s="15">
        <f>IF(Distances!DW123&lt;&gt;0,ROUNDUP(BJ209+'Délai intermédiaire'!DW123/24,0),0)</f>
        <v>16</v>
      </c>
    </row>
    <row r="230" spans="1:62" x14ac:dyDescent="0.3">
      <c r="A230" s="10" t="s">
        <v>20</v>
      </c>
      <c r="B230" s="16">
        <f>IF(Distances!BO124&lt;&gt;0,ROUNDUP(B209+'Délai intermédiaire'!BO124/24,0),0)</f>
        <v>9</v>
      </c>
      <c r="C230" s="14">
        <f>IF(Distances!BP124&lt;&gt;0,ROUNDUP(C209+'Délai intermédiaire'!BP124/24,0),0)</f>
        <v>11</v>
      </c>
      <c r="D230" s="14">
        <f>IF(Distances!BQ124&lt;&gt;0,ROUNDUP(D209+'Délai intermédiaire'!BQ124/24,0),0)</f>
        <v>9</v>
      </c>
      <c r="E230" s="14">
        <f>IF(Distances!BR124&lt;&gt;0,ROUNDUP(E209+'Délai intermédiaire'!BR124/24,0),0)</f>
        <v>10</v>
      </c>
      <c r="F230" s="14">
        <f>IF(Distances!BS124&lt;&gt;0,ROUNDUP(F209+'Délai intermédiaire'!BS124/24,0),0)</f>
        <v>9</v>
      </c>
      <c r="G230" s="14">
        <f>IF(Distances!BT124&lt;&gt;0,ROUNDUP(G209+'Délai intermédiaire'!BT124/24,0),0)</f>
        <v>14</v>
      </c>
      <c r="H230" s="14">
        <f>IF(Distances!BU124&lt;&gt;0,ROUNDUP(H209+'Délai intermédiaire'!BU124/24,0),0)</f>
        <v>17</v>
      </c>
      <c r="I230" s="14">
        <f>IF(Distances!BV124&lt;&gt;0,ROUNDUP(I209+'Délai intermédiaire'!BV124/24,0),0)</f>
        <v>13</v>
      </c>
      <c r="J230" s="14">
        <f>IF(Distances!BW124&lt;&gt;0,ROUNDUP(J209+'Délai intermédiaire'!BW124/24,0),0)</f>
        <v>10</v>
      </c>
      <c r="K230" s="14">
        <f>IF(Distances!BX124&lt;&gt;0,ROUNDUP(K209+'Délai intermédiaire'!BX124/24,0),0)</f>
        <v>9</v>
      </c>
      <c r="L230" s="14">
        <f>IF(Distances!BY124&lt;&gt;0,ROUNDUP(L209+'Délai intermédiaire'!BY124/24,0),0)</f>
        <v>19</v>
      </c>
      <c r="M230" s="14">
        <f>IF(Distances!BZ124&lt;&gt;0,ROUNDUP(M209+'Délai intermédiaire'!BZ124/24,0),0)</f>
        <v>18</v>
      </c>
      <c r="N230" s="14">
        <f>IF(Distances!CA124&lt;&gt;0,ROUNDUP(N209+'Délai intermédiaire'!CA124/24,0),0)</f>
        <v>12</v>
      </c>
      <c r="O230" s="14">
        <f>IF(Distances!CB124&lt;&gt;0,ROUNDUP(O209+'Délai intermédiaire'!CB124/24,0),0)</f>
        <v>11</v>
      </c>
      <c r="P230" s="14">
        <f>IF(Distances!CC124&lt;&gt;0,ROUNDUP(P209+'Délai intermédiaire'!CC124/24,0),0)</f>
        <v>9</v>
      </c>
      <c r="Q230" s="13">
        <f>IF(Distances!CD124&lt;&gt;0,ROUNDUP(Q209+'Délai intermédiaire'!CD124/24,0),0)</f>
        <v>6</v>
      </c>
      <c r="R230" s="13">
        <f>IF(Distances!CE124&lt;&gt;0,ROUNDUP(R209+'Délai intermédiaire'!CE124/24,0),0)</f>
        <v>5</v>
      </c>
      <c r="S230" s="13">
        <f>IF(Distances!CF124&lt;&gt;0,ROUNDUP(S209+'Délai intermédiaire'!CF124/24,0),0)</f>
        <v>5</v>
      </c>
      <c r="T230" s="13">
        <f>IF(Distances!CG124&lt;&gt;0,ROUNDUP(T209+'Délai intermédiaire'!CG124/24,0),0)</f>
        <v>5</v>
      </c>
      <c r="U230" s="12">
        <f>IF(Distances!CH124&lt;&gt;0,ROUNDUP(U209+'Délai intermédiaire'!CH124/24,0),0)</f>
        <v>0</v>
      </c>
      <c r="V230" s="13">
        <f>IF(Distances!CI124&lt;&gt;0,ROUNDUP(V209+'Délai intermédiaire'!CI124/24,0),0)</f>
        <v>4</v>
      </c>
      <c r="W230" s="13">
        <f>IF(Distances!CJ124&lt;&gt;0,ROUNDUP(W209+'Délai intermédiaire'!CJ124/24,0),0)</f>
        <v>6</v>
      </c>
      <c r="X230" s="13">
        <f>IF(Distances!CK124&lt;&gt;0,ROUNDUP(X209+'Délai intermédiaire'!CK124/24,0),0)</f>
        <v>6</v>
      </c>
      <c r="Y230" s="13">
        <f>IF(Distances!CL124&lt;&gt;0,ROUNDUP(Y209+'Délai intermédiaire'!CL124/24,0),0)</f>
        <v>5</v>
      </c>
      <c r="Z230" s="13">
        <f>IF(Distances!CM124&lt;&gt;0,ROUNDUP(Z209+'Délai intermédiaire'!CM124/24,0),0)</f>
        <v>3</v>
      </c>
      <c r="AA230" s="13">
        <f>IF(Distances!CN124&lt;&gt;0,ROUNDUP(AA209+'Délai intermédiaire'!CN124/24,0),0)</f>
        <v>3</v>
      </c>
      <c r="AB230" s="13">
        <f>IF(Distances!CO124&lt;&gt;0,ROUNDUP(AB209+'Délai intermédiaire'!CO124/24,0),0)</f>
        <v>2</v>
      </c>
      <c r="AC230" s="13">
        <f>IF(Distances!CP124&lt;&gt;0,ROUNDUP(AC209+'Délai intermédiaire'!CP124/24,0),0)</f>
        <v>2</v>
      </c>
      <c r="AD230" s="13">
        <f>IF(Distances!CQ124&lt;&gt;0,ROUNDUP(AD209+'Délai intermédiaire'!CQ124/24,0),0)</f>
        <v>7</v>
      </c>
      <c r="AE230" s="13">
        <f>IF(Distances!CR124&lt;&gt;0,ROUNDUP(AE209+'Délai intermédiaire'!CR124/24,0),0)</f>
        <v>5</v>
      </c>
      <c r="AF230" s="13">
        <f>IF(Distances!CS124&lt;&gt;0,ROUNDUP(AF209+'Délai intermédiaire'!CS124/24,0),0)</f>
        <v>4</v>
      </c>
      <c r="AG230" s="13">
        <f>IF(Distances!CT124&lt;&gt;0,ROUNDUP(AG209+'Délai intermédiaire'!CT124/24,0),0)</f>
        <v>5</v>
      </c>
      <c r="AH230" s="14">
        <f>IF(Distances!CU124&lt;&gt;0,ROUNDUP(AH209+'Délai intermédiaire'!CU124/24,0),0)</f>
        <v>11</v>
      </c>
      <c r="AI230" s="14">
        <f>IF(Distances!CV124&lt;&gt;0,ROUNDUP(AI209+'Délai intermédiaire'!CV124/24,0),0)</f>
        <v>13</v>
      </c>
      <c r="AJ230" s="14">
        <f>IF(Distances!CW124&lt;&gt;0,ROUNDUP(AJ209+'Délai intermédiaire'!CW124/24,0),0)</f>
        <v>11</v>
      </c>
      <c r="AK230" s="14">
        <f>IF(Distances!CX124&lt;&gt;0,ROUNDUP(AK209+'Délai intermédiaire'!CX124/24,0),0)</f>
        <v>12</v>
      </c>
      <c r="AL230" s="14">
        <f>IF(Distances!CY124&lt;&gt;0,ROUNDUP(AL209+'Délai intermédiaire'!CY124/24,0),0)</f>
        <v>18</v>
      </c>
      <c r="AM230" s="14">
        <f>IF(Distances!CZ124&lt;&gt;0,ROUNDUP(AM209+'Délai intermédiaire'!CZ124/24,0),0)</f>
        <v>18</v>
      </c>
      <c r="AN230" s="14">
        <f>IF(Distances!DA124&lt;&gt;0,ROUNDUP(AN209+'Délai intermédiaire'!DA124/24,0),0)</f>
        <v>17</v>
      </c>
      <c r="AO230" s="14">
        <f>IF(Distances!DB124&lt;&gt;0,ROUNDUP(AO209+'Délai intermédiaire'!DB124/24,0),0)</f>
        <v>19</v>
      </c>
      <c r="AP230" s="14">
        <f>IF(Distances!DC124&lt;&gt;0,ROUNDUP(AP209+'Délai intermédiaire'!DC124/24,0),0)</f>
        <v>20</v>
      </c>
      <c r="AQ230" s="14">
        <f>IF(Distances!DD124&lt;&gt;0,ROUNDUP(AQ209+'Délai intermédiaire'!DD124/24,0),0)</f>
        <v>16</v>
      </c>
      <c r="AR230" s="14">
        <f>IF(Distances!DE124&lt;&gt;0,ROUNDUP(AR209+'Délai intermédiaire'!DE124/24,0),0)</f>
        <v>10</v>
      </c>
      <c r="AS230" s="14">
        <f>IF(Distances!DF124&lt;&gt;0,ROUNDUP(AS209+'Délai intermédiaire'!DF124/24,0),0)</f>
        <v>11</v>
      </c>
      <c r="AT230" s="14">
        <f>IF(Distances!DG124&lt;&gt;0,ROUNDUP(AT209+'Délai intermédiaire'!DG124/24,0),0)</f>
        <v>11</v>
      </c>
      <c r="AU230" s="14">
        <f>IF(Distances!DH124&lt;&gt;0,ROUNDUP(AU209+'Délai intermédiaire'!DH124/24,0),0)</f>
        <v>18</v>
      </c>
      <c r="AV230" s="14">
        <f>IF(Distances!DI124&lt;&gt;0,ROUNDUP(AV209+'Délai intermédiaire'!DI124/24,0),0)</f>
        <v>10</v>
      </c>
      <c r="AW230" s="14">
        <f>IF(Distances!DJ124&lt;&gt;0,ROUNDUP(AW209+'Délai intermédiaire'!DJ124/24,0),0)</f>
        <v>12</v>
      </c>
      <c r="AX230" s="14">
        <f>IF(Distances!DK124&lt;&gt;0,ROUNDUP(AX209+'Délai intermédiaire'!DK124/24,0),0)</f>
        <v>20</v>
      </c>
      <c r="AY230" s="14">
        <f>IF(Distances!DL124&lt;&gt;0,ROUNDUP(AY209+'Délai intermédiaire'!DL124/24,0),0)</f>
        <v>3</v>
      </c>
      <c r="AZ230" s="14">
        <f>IF(Distances!DM124&lt;&gt;0,ROUNDUP(AZ209+'Délai intermédiaire'!DM124/24,0),0)</f>
        <v>11</v>
      </c>
      <c r="BA230" s="14">
        <f>IF(Distances!DN124&lt;&gt;0,ROUNDUP(BA209+'Délai intermédiaire'!DN124/24,0),0)</f>
        <v>15</v>
      </c>
      <c r="BB230" s="13">
        <f>IF(Distances!DO124&lt;&gt;0,ROUNDUP(BB209+'Délai intermédiaire'!DO124/24,0),0)</f>
        <v>8</v>
      </c>
      <c r="BC230" s="14">
        <f>IF(Distances!DP124&lt;&gt;0,ROUNDUP(BC209+'Délai intermédiaire'!DP124/24,0),0)</f>
        <v>16</v>
      </c>
      <c r="BD230" s="14">
        <f>IF(Distances!DQ124&lt;&gt;0,ROUNDUP(BD209+'Délai intermédiaire'!DQ124/24,0),0)</f>
        <v>19</v>
      </c>
      <c r="BE230" s="14">
        <f>IF(Distances!DR124&lt;&gt;0,ROUNDUP(BE209+'Délai intermédiaire'!DR124/24,0),0)</f>
        <v>18</v>
      </c>
      <c r="BF230" s="13">
        <f>IF(Distances!DS124&lt;&gt;0,ROUNDUP(BF209+'Délai intermédiaire'!DS124/24,0),0)</f>
        <v>6</v>
      </c>
      <c r="BG230" s="13">
        <f>IF(Distances!DT124&lt;&gt;0,ROUNDUP(BG209+'Délai intermédiaire'!DT124/24,0),0)</f>
        <v>4</v>
      </c>
      <c r="BH230" s="14">
        <f>IF(Distances!DU124&lt;&gt;0,ROUNDUP(BH209+'Délai intermédiaire'!DU124/24,0),0)</f>
        <v>12</v>
      </c>
      <c r="BI230" s="14">
        <f>IF(Distances!DV124&lt;&gt;0,ROUNDUP(BI209+'Délai intermédiaire'!DV124/24,0),0)</f>
        <v>16</v>
      </c>
      <c r="BJ230" s="15">
        <f>IF(Distances!DW124&lt;&gt;0,ROUNDUP(BJ209+'Délai intermédiaire'!DW124/24,0),0)</f>
        <v>17</v>
      </c>
    </row>
    <row r="231" spans="1:62" x14ac:dyDescent="0.3">
      <c r="A231" s="10" t="s">
        <v>21</v>
      </c>
      <c r="B231" s="16">
        <f>IF(Distances!BO125&lt;&gt;0,ROUNDUP(B209+'Délai intermédiaire'!BO125/24,0),0)</f>
        <v>11</v>
      </c>
      <c r="C231" s="14">
        <f>IF(Distances!BP125&lt;&gt;0,ROUNDUP(C209+'Délai intermédiaire'!BP125/24,0),0)</f>
        <v>12</v>
      </c>
      <c r="D231" s="14">
        <f>IF(Distances!BQ125&lt;&gt;0,ROUNDUP(D209+'Délai intermédiaire'!BQ125/24,0),0)</f>
        <v>11</v>
      </c>
      <c r="E231" s="14">
        <f>IF(Distances!BR125&lt;&gt;0,ROUNDUP(E209+'Délai intermédiaire'!BR125/24,0),0)</f>
        <v>12</v>
      </c>
      <c r="F231" s="14">
        <f>IF(Distances!BS125&lt;&gt;0,ROUNDUP(F209+'Délai intermédiaire'!BS125/24,0),0)</f>
        <v>11</v>
      </c>
      <c r="G231" s="14">
        <f>IF(Distances!BT125&lt;&gt;0,ROUNDUP(G209+'Délai intermédiaire'!BT125/24,0),0)</f>
        <v>18</v>
      </c>
      <c r="H231" s="14">
        <f>IF(Distances!BU125&lt;&gt;0,ROUNDUP(H209+'Délai intermédiaire'!BU125/24,0),0)</f>
        <v>19</v>
      </c>
      <c r="I231" s="14">
        <f>IF(Distances!BV125&lt;&gt;0,ROUNDUP(I209+'Délai intermédiaire'!BV125/24,0),0)</f>
        <v>17</v>
      </c>
      <c r="J231" s="14">
        <f>IF(Distances!BW125&lt;&gt;0,ROUNDUP(J209+'Délai intermédiaire'!BW125/24,0),0)</f>
        <v>11</v>
      </c>
      <c r="K231" s="14">
        <f>IF(Distances!BX125&lt;&gt;0,ROUNDUP(K209+'Délai intermédiaire'!BX125/24,0),0)</f>
        <v>11</v>
      </c>
      <c r="L231" s="14">
        <f>IF(Distances!BY125&lt;&gt;0,ROUNDUP(L209+'Délai intermédiaire'!BY125/24,0),0)</f>
        <v>21</v>
      </c>
      <c r="M231" s="14">
        <f>IF(Distances!BZ125&lt;&gt;0,ROUNDUP(M209+'Délai intermédiaire'!BZ125/24,0),0)</f>
        <v>20</v>
      </c>
      <c r="N231" s="14">
        <f>IF(Distances!CA125&lt;&gt;0,ROUNDUP(N209+'Délai intermédiaire'!CA125/24,0),0)</f>
        <v>14</v>
      </c>
      <c r="O231" s="14">
        <f>IF(Distances!CB125&lt;&gt;0,ROUNDUP(O209+'Délai intermédiaire'!CB125/24,0),0)</f>
        <v>13</v>
      </c>
      <c r="P231" s="14">
        <f>IF(Distances!CC125&lt;&gt;0,ROUNDUP(P209+'Délai intermédiaire'!CC125/24,0),0)</f>
        <v>11</v>
      </c>
      <c r="Q231" s="13">
        <f>IF(Distances!CD125&lt;&gt;0,ROUNDUP(Q209+'Délai intermédiaire'!CD125/24,0),0)</f>
        <v>7</v>
      </c>
      <c r="R231" s="13">
        <f>IF(Distances!CE125&lt;&gt;0,ROUNDUP(R209+'Délai intermédiaire'!CE125/24,0),0)</f>
        <v>7</v>
      </c>
      <c r="S231" s="13">
        <f>IF(Distances!CF125&lt;&gt;0,ROUNDUP(S209+'Délai intermédiaire'!CF125/24,0),0)</f>
        <v>7</v>
      </c>
      <c r="T231" s="13">
        <f>IF(Distances!CG125&lt;&gt;0,ROUNDUP(T209+'Délai intermédiaire'!CG125/24,0),0)</f>
        <v>7</v>
      </c>
      <c r="U231" s="13">
        <f>IF(Distances!CH125&lt;&gt;0,ROUNDUP(U209+'Délai intermédiaire'!CH125/24,0),0)</f>
        <v>4</v>
      </c>
      <c r="V231" s="12">
        <f>IF(Distances!CI125&lt;&gt;0,ROUNDUP(V209+'Délai intermédiaire'!CI125/24,0),0)</f>
        <v>0</v>
      </c>
      <c r="W231" s="13">
        <f>IF(Distances!CJ125&lt;&gt;0,ROUNDUP(W209+'Délai intermédiaire'!CJ125/24,0),0)</f>
        <v>7</v>
      </c>
      <c r="X231" s="13">
        <f>IF(Distances!CK125&lt;&gt;0,ROUNDUP(X209+'Délai intermédiaire'!CK125/24,0),0)</f>
        <v>8</v>
      </c>
      <c r="Y231" s="13">
        <f>IF(Distances!CL125&lt;&gt;0,ROUNDUP(Y209+'Délai intermédiaire'!CL125/24,0),0)</f>
        <v>7</v>
      </c>
      <c r="Z231" s="13">
        <f>IF(Distances!CM125&lt;&gt;0,ROUNDUP(Z209+'Délai intermédiaire'!CM125/24,0),0)</f>
        <v>4</v>
      </c>
      <c r="AA231" s="13">
        <f>IF(Distances!CN125&lt;&gt;0,ROUNDUP(AA209+'Délai intermédiaire'!CN125/24,0),0)</f>
        <v>5</v>
      </c>
      <c r="AB231" s="13">
        <f>IF(Distances!CO125&lt;&gt;0,ROUNDUP(AB209+'Délai intermédiaire'!CO125/24,0),0)</f>
        <v>4</v>
      </c>
      <c r="AC231" s="13">
        <f>IF(Distances!CP125&lt;&gt;0,ROUNDUP(AC209+'Délai intermédiaire'!CP125/24,0),0)</f>
        <v>4</v>
      </c>
      <c r="AD231" s="13">
        <f>IF(Distances!CQ125&lt;&gt;0,ROUNDUP(AD209+'Délai intermédiaire'!CQ125/24,0),0)</f>
        <v>9</v>
      </c>
      <c r="AE231" s="13">
        <f>IF(Distances!CR125&lt;&gt;0,ROUNDUP(AE209+'Délai intermédiaire'!CR125/24,0),0)</f>
        <v>3</v>
      </c>
      <c r="AF231" s="13">
        <f>IF(Distances!CS125&lt;&gt;0,ROUNDUP(AF209+'Délai intermédiaire'!CS125/24,0),0)</f>
        <v>2</v>
      </c>
      <c r="AG231" s="13">
        <f>IF(Distances!CT125&lt;&gt;0,ROUNDUP(AG209+'Délai intermédiaire'!CT125/24,0),0)</f>
        <v>3</v>
      </c>
      <c r="AH231" s="14">
        <f>IF(Distances!CU125&lt;&gt;0,ROUNDUP(AH209+'Délai intermédiaire'!CU125/24,0),0)</f>
        <v>12</v>
      </c>
      <c r="AI231" s="14">
        <f>IF(Distances!CV125&lt;&gt;0,ROUNDUP(AI209+'Délai intermédiaire'!CV125/24,0),0)</f>
        <v>13</v>
      </c>
      <c r="AJ231" s="14">
        <f>IF(Distances!CW125&lt;&gt;0,ROUNDUP(AJ209+'Délai intermédiaire'!CW125/24,0),0)</f>
        <v>11</v>
      </c>
      <c r="AK231" s="14">
        <f>IF(Distances!CX125&lt;&gt;0,ROUNDUP(AK209+'Délai intermédiaire'!CX125/24,0),0)</f>
        <v>12</v>
      </c>
      <c r="AL231" s="14">
        <f>IF(Distances!CY125&lt;&gt;0,ROUNDUP(AL209+'Délai intermédiaire'!CY125/24,0),0)</f>
        <v>18</v>
      </c>
      <c r="AM231" s="14">
        <f>IF(Distances!CZ125&lt;&gt;0,ROUNDUP(AM209+'Délai intermédiaire'!CZ125/24,0),0)</f>
        <v>17</v>
      </c>
      <c r="AN231" s="14">
        <f>IF(Distances!DA125&lt;&gt;0,ROUNDUP(AN209+'Délai intermédiaire'!DA125/24,0),0)</f>
        <v>17</v>
      </c>
      <c r="AO231" s="14">
        <f>IF(Distances!DB125&lt;&gt;0,ROUNDUP(AO209+'Délai intermédiaire'!DB125/24,0),0)</f>
        <v>19</v>
      </c>
      <c r="AP231" s="14">
        <f>IF(Distances!DC125&lt;&gt;0,ROUNDUP(AP209+'Délai intermédiaire'!DC125/24,0),0)</f>
        <v>19</v>
      </c>
      <c r="AQ231" s="14">
        <f>IF(Distances!DD125&lt;&gt;0,ROUNDUP(AQ209+'Délai intermédiaire'!DD125/24,0),0)</f>
        <v>16</v>
      </c>
      <c r="AR231" s="14">
        <f>IF(Distances!DE125&lt;&gt;0,ROUNDUP(AR209+'Délai intermédiaire'!DE125/24,0),0)</f>
        <v>10</v>
      </c>
      <c r="AS231" s="14">
        <f>IF(Distances!DF125&lt;&gt;0,ROUNDUP(AS209+'Délai intermédiaire'!DF125/24,0),0)</f>
        <v>11</v>
      </c>
      <c r="AT231" s="14">
        <f>IF(Distances!DG125&lt;&gt;0,ROUNDUP(AT209+'Délai intermédiaire'!DG125/24,0),0)</f>
        <v>10</v>
      </c>
      <c r="AU231" s="14">
        <f>IF(Distances!DH125&lt;&gt;0,ROUNDUP(AU209+'Délai intermédiaire'!DH125/24,0),0)</f>
        <v>18</v>
      </c>
      <c r="AV231" s="14">
        <f>IF(Distances!DI125&lt;&gt;0,ROUNDUP(AV209+'Délai intermédiaire'!DI125/24,0),0)</f>
        <v>11</v>
      </c>
      <c r="AW231" s="14">
        <f>IF(Distances!DJ125&lt;&gt;0,ROUNDUP(AW209+'Délai intermédiaire'!DJ125/24,0),0)</f>
        <v>14</v>
      </c>
      <c r="AX231" s="14">
        <f>IF(Distances!DK125&lt;&gt;0,ROUNDUP(AX209+'Délai intermédiaire'!DK125/24,0),0)</f>
        <v>20</v>
      </c>
      <c r="AY231" s="14">
        <f>IF(Distances!DL125&lt;&gt;0,ROUNDUP(AY209+'Délai intermédiaire'!DL125/24,0),0)</f>
        <v>3</v>
      </c>
      <c r="AZ231" s="14">
        <f>IF(Distances!DM125&lt;&gt;0,ROUNDUP(AZ209+'Délai intermédiaire'!DM125/24,0),0)</f>
        <v>10</v>
      </c>
      <c r="BA231" s="14">
        <f>IF(Distances!DN125&lt;&gt;0,ROUNDUP(BA209+'Délai intermédiaire'!DN125/24,0),0)</f>
        <v>15</v>
      </c>
      <c r="BB231" s="13">
        <f>IF(Distances!DO125&lt;&gt;0,ROUNDUP(BB209+'Délai intermédiaire'!DO125/24,0),0)</f>
        <v>10</v>
      </c>
      <c r="BC231" s="14">
        <f>IF(Distances!DP125&lt;&gt;0,ROUNDUP(BC209+'Délai intermédiaire'!DP125/24,0),0)</f>
        <v>16</v>
      </c>
      <c r="BD231" s="14">
        <f>IF(Distances!DQ125&lt;&gt;0,ROUNDUP(BD209+'Délai intermédiaire'!DQ125/24,0),0)</f>
        <v>19</v>
      </c>
      <c r="BE231" s="14">
        <f>IF(Distances!DR125&lt;&gt;0,ROUNDUP(BE209+'Délai intermédiaire'!DR125/24,0),0)</f>
        <v>18</v>
      </c>
      <c r="BF231" s="13">
        <f>IF(Distances!DS125&lt;&gt;0,ROUNDUP(BF209+'Délai intermédiaire'!DS125/24,0),0)</f>
        <v>6</v>
      </c>
      <c r="BG231" s="13">
        <f>IF(Distances!DT125&lt;&gt;0,ROUNDUP(BG209+'Délai intermédiaire'!DT125/24,0),0)</f>
        <v>4</v>
      </c>
      <c r="BH231" s="14">
        <f>IF(Distances!DU125&lt;&gt;0,ROUNDUP(BH209+'Délai intermédiaire'!DU125/24,0),0)</f>
        <v>14</v>
      </c>
      <c r="BI231" s="14">
        <f>IF(Distances!DV125&lt;&gt;0,ROUNDUP(BI209+'Délai intermédiaire'!DV125/24,0),0)</f>
        <v>18</v>
      </c>
      <c r="BJ231" s="15">
        <f>IF(Distances!DW125&lt;&gt;0,ROUNDUP(BJ209+'Délai intermédiaire'!DW125/24,0),0)</f>
        <v>18</v>
      </c>
    </row>
    <row r="232" spans="1:62" x14ac:dyDescent="0.3">
      <c r="A232" s="10" t="s">
        <v>22</v>
      </c>
      <c r="B232" s="16">
        <f>IF(Distances!BO126&lt;&gt;0,ROUNDUP(B209+'Délai intermédiaire'!BO126/24,0),0)</f>
        <v>0</v>
      </c>
      <c r="C232" s="14">
        <f>IF(Distances!BP126&lt;&gt;0,ROUNDUP(C209+'Délai intermédiaire'!BP126/24,0),0)</f>
        <v>0</v>
      </c>
      <c r="D232" s="14">
        <f>IF(Distances!BQ126&lt;&gt;0,ROUNDUP(D209+'Délai intermédiaire'!BQ126/24,0),0)</f>
        <v>9</v>
      </c>
      <c r="E232" s="14">
        <f>IF(Distances!BR126&lt;&gt;0,ROUNDUP(E209+'Délai intermédiaire'!BR126/24,0),0)</f>
        <v>0</v>
      </c>
      <c r="F232" s="14">
        <f>IF(Distances!BS126&lt;&gt;0,ROUNDUP(F209+'Délai intermédiaire'!BS126/24,0),0)</f>
        <v>8</v>
      </c>
      <c r="G232" s="14">
        <f>IF(Distances!BT126&lt;&gt;0,ROUNDUP(G209+'Délai intermédiaire'!BT126/24,0),0)</f>
        <v>16</v>
      </c>
      <c r="H232" s="14">
        <f>IF(Distances!BU126&lt;&gt;0,ROUNDUP(H209+'Délai intermédiaire'!BU126/24,0),0)</f>
        <v>0</v>
      </c>
      <c r="I232" s="14">
        <f>IF(Distances!BV126&lt;&gt;0,ROUNDUP(I209+'Délai intermédiaire'!BV126/24,0),0)</f>
        <v>0</v>
      </c>
      <c r="J232" s="14">
        <f>IF(Distances!BW126&lt;&gt;0,ROUNDUP(J209+'Délai intermédiaire'!BW126/24,0),0)</f>
        <v>9</v>
      </c>
      <c r="K232" s="14">
        <f>IF(Distances!BX126&lt;&gt;0,ROUNDUP(K209+'Délai intermédiaire'!BX126/24,0),0)</f>
        <v>0</v>
      </c>
      <c r="L232" s="14">
        <f>IF(Distances!BY126&lt;&gt;0,ROUNDUP(L209+'Délai intermédiaire'!BY126/24,0),0)</f>
        <v>19</v>
      </c>
      <c r="M232" s="14">
        <f>IF(Distances!BZ126&lt;&gt;0,ROUNDUP(M209+'Délai intermédiaire'!BZ126/24,0),0)</f>
        <v>0</v>
      </c>
      <c r="N232" s="14">
        <f>IF(Distances!CA126&lt;&gt;0,ROUNDUP(N209+'Délai intermédiaire'!CA126/24,0),0)</f>
        <v>12</v>
      </c>
      <c r="O232" s="14">
        <f>IF(Distances!CB126&lt;&gt;0,ROUNDUP(O209+'Délai intermédiaire'!CB126/24,0),0)</f>
        <v>12</v>
      </c>
      <c r="P232" s="14">
        <f>IF(Distances!CC126&lt;&gt;0,ROUNDUP(P209+'Délai intermédiaire'!CC126/24,0),0)</f>
        <v>10</v>
      </c>
      <c r="Q232" s="13">
        <f>IF(Distances!CD126&lt;&gt;0,ROUNDUP(Q209+'Délai intermédiaire'!CD126/24,0),0)</f>
        <v>0</v>
      </c>
      <c r="R232" s="13">
        <f>IF(Distances!CE126&lt;&gt;0,ROUNDUP(R209+'Délai intermédiaire'!CE126/24,0),0)</f>
        <v>0</v>
      </c>
      <c r="S232" s="13">
        <f>IF(Distances!CF126&lt;&gt;0,ROUNDUP(S209+'Délai intermédiaire'!CF126/24,0),0)</f>
        <v>0</v>
      </c>
      <c r="T232" s="13">
        <f>IF(Distances!CG126&lt;&gt;0,ROUNDUP(T209+'Délai intermédiaire'!CG126/24,0),0)</f>
        <v>2</v>
      </c>
      <c r="U232" s="13">
        <f>IF(Distances!CH126&lt;&gt;0,ROUNDUP(U209+'Délai intermédiaire'!CH126/24,0),0)</f>
        <v>6</v>
      </c>
      <c r="V232" s="13">
        <f>IF(Distances!CI126&lt;&gt;0,ROUNDUP(V209+'Délai intermédiaire'!CI126/24,0),0)</f>
        <v>7</v>
      </c>
      <c r="W232" s="12">
        <f>IF(Distances!CJ126&lt;&gt;0,ROUNDUP(W209+'Délai intermédiaire'!CJ126/24,0),0)</f>
        <v>0</v>
      </c>
      <c r="X232" s="13">
        <f>IF(Distances!CK126&lt;&gt;0,ROUNDUP(X209+'Délai intermédiaire'!CK126/24,0),0)</f>
        <v>2</v>
      </c>
      <c r="Y232" s="13">
        <f>IF(Distances!CL126&lt;&gt;0,ROUNDUP(Y209+'Délai intermédiaire'!CL126/24,0),0)</f>
        <v>2</v>
      </c>
      <c r="Z232" s="13">
        <f>IF(Distances!CM126&lt;&gt;0,ROUNDUP(Z209+'Délai intermédiaire'!CM126/24,0),0)</f>
        <v>7</v>
      </c>
      <c r="AA232" s="13">
        <f>IF(Distances!CN126&lt;&gt;0,ROUNDUP(AA209+'Délai intermédiaire'!CN126/24,0),0)</f>
        <v>7</v>
      </c>
      <c r="AB232" s="13">
        <f>IF(Distances!CO126&lt;&gt;0,ROUNDUP(AB209+'Délai intermédiaire'!CO126/24,0),0)</f>
        <v>5</v>
      </c>
      <c r="AC232" s="13">
        <f>IF(Distances!CP126&lt;&gt;0,ROUNDUP(AC209+'Délai intermédiaire'!CP126/24,0),0)</f>
        <v>0</v>
      </c>
      <c r="AD232" s="13">
        <f>IF(Distances!CQ126&lt;&gt;0,ROUNDUP(AD209+'Délai intermédiaire'!CQ126/24,0),0)</f>
        <v>0</v>
      </c>
      <c r="AE232" s="13">
        <f>IF(Distances!CR126&lt;&gt;0,ROUNDUP(AE209+'Délai intermédiaire'!CR126/24,0),0)</f>
        <v>9</v>
      </c>
      <c r="AF232" s="13">
        <f>IF(Distances!CS126&lt;&gt;0,ROUNDUP(AF209+'Délai intermédiaire'!CS126/24,0),0)</f>
        <v>7</v>
      </c>
      <c r="AG232" s="13">
        <f>IF(Distances!CT126&lt;&gt;0,ROUNDUP(AG209+'Délai intermédiaire'!CT126/24,0),0)</f>
        <v>8</v>
      </c>
      <c r="AH232" s="14">
        <f>IF(Distances!CU126&lt;&gt;0,ROUNDUP(AH209+'Délai intermédiaire'!CU126/24,0),0)</f>
        <v>15</v>
      </c>
      <c r="AI232" s="14">
        <f>IF(Distances!CV126&lt;&gt;0,ROUNDUP(AI209+'Délai intermédiaire'!CV126/24,0),0)</f>
        <v>0</v>
      </c>
      <c r="AJ232" s="14">
        <f>IF(Distances!CW126&lt;&gt;0,ROUNDUP(AJ209+'Délai intermédiaire'!CW126/24,0),0)</f>
        <v>14</v>
      </c>
      <c r="AK232" s="14">
        <f>IF(Distances!CX126&lt;&gt;0,ROUNDUP(AK209+'Délai intermédiaire'!CX126/24,0),0)</f>
        <v>0</v>
      </c>
      <c r="AL232" s="14">
        <f>IF(Distances!CY126&lt;&gt;0,ROUNDUP(AL209+'Délai intermédiaire'!CY126/24,0),0)</f>
        <v>0</v>
      </c>
      <c r="AM232" s="14">
        <f>IF(Distances!CZ126&lt;&gt;0,ROUNDUP(AM209+'Délai intermédiaire'!CZ126/24,0),0)</f>
        <v>0</v>
      </c>
      <c r="AN232" s="14">
        <f>IF(Distances!DA126&lt;&gt;0,ROUNDUP(AN209+'Délai intermédiaire'!DA126/24,0),0)</f>
        <v>21</v>
      </c>
      <c r="AO232" s="14">
        <f>IF(Distances!DB126&lt;&gt;0,ROUNDUP(AO209+'Délai intermédiaire'!DB126/24,0),0)</f>
        <v>0</v>
      </c>
      <c r="AP232" s="14">
        <f>IF(Distances!DC126&lt;&gt;0,ROUNDUP(AP209+'Délai intermédiaire'!DC126/24,0),0)</f>
        <v>0</v>
      </c>
      <c r="AQ232" s="14">
        <f>IF(Distances!DD126&lt;&gt;0,ROUNDUP(AQ209+'Délai intermédiaire'!DD126/24,0),0)</f>
        <v>0</v>
      </c>
      <c r="AR232" s="14">
        <f>IF(Distances!DE126&lt;&gt;0,ROUNDUP(AR209+'Délai intermédiaire'!DE126/24,0),0)</f>
        <v>0</v>
      </c>
      <c r="AS232" s="14">
        <f>IF(Distances!DF126&lt;&gt;0,ROUNDUP(AS209+'Délai intermédiaire'!DF126/24,0),0)</f>
        <v>14</v>
      </c>
      <c r="AT232" s="14">
        <f>IF(Distances!DG126&lt;&gt;0,ROUNDUP(AT209+'Délai intermédiaire'!DG126/24,0),0)</f>
        <v>14</v>
      </c>
      <c r="AU232" s="14">
        <f>IF(Distances!DH126&lt;&gt;0,ROUNDUP(AU209+'Délai intermédiaire'!DH126/24,0),0)</f>
        <v>22</v>
      </c>
      <c r="AV232" s="14">
        <f>IF(Distances!DI126&lt;&gt;0,ROUNDUP(AV209+'Délai intermédiaire'!DI126/24,0),0)</f>
        <v>5</v>
      </c>
      <c r="AW232" s="14">
        <f>IF(Distances!DJ126&lt;&gt;0,ROUNDUP(AW209+'Délai intermédiaire'!DJ126/24,0),0)</f>
        <v>8</v>
      </c>
      <c r="AX232" s="14">
        <f>IF(Distances!DK126&lt;&gt;0,ROUNDUP(AX209+'Délai intermédiaire'!DK126/24,0),0)</f>
        <v>0</v>
      </c>
      <c r="AY232" s="14">
        <f>IF(Distances!DL126&lt;&gt;0,ROUNDUP(AY209+'Délai intermédiaire'!DL126/24,0),0)</f>
        <v>0</v>
      </c>
      <c r="AZ232" s="14">
        <f>IF(Distances!DM126&lt;&gt;0,ROUNDUP(AZ209+'Délai intermédiaire'!DM126/24,0),0)</f>
        <v>14</v>
      </c>
      <c r="BA232" s="14">
        <f>IF(Distances!DN126&lt;&gt;0,ROUNDUP(BA209+'Délai intermédiaire'!DN126/24,0),0)</f>
        <v>0</v>
      </c>
      <c r="BB232" s="12">
        <f>IF(Distances!DO126&lt;&gt;0,ROUNDUP(BB209+'Délai intermédiaire'!DO126/24,0),0)</f>
        <v>0</v>
      </c>
      <c r="BC232" s="14">
        <f>IF(Distances!DP126&lt;&gt;0,ROUNDUP(BC209+'Délai intermédiaire'!DP126/24,0),0)</f>
        <v>0</v>
      </c>
      <c r="BD232" s="14">
        <f>IF(Distances!DQ126&lt;&gt;0,ROUNDUP(BD209+'Délai intermédiaire'!DQ126/24,0),0)</f>
        <v>22</v>
      </c>
      <c r="BE232" s="14">
        <f>IF(Distances!DR126&lt;&gt;0,ROUNDUP(BE209+'Délai intermédiaire'!DR126/24,0),0)</f>
        <v>0</v>
      </c>
      <c r="BF232" s="13">
        <f>IF(Distances!DS126&lt;&gt;0,ROUNDUP(BF209+'Délai intermédiaire'!DS126/24,0),0)</f>
        <v>10</v>
      </c>
      <c r="BG232" s="13">
        <f>IF(Distances!DT126&lt;&gt;0,ROUNDUP(BG209+'Délai intermédiaire'!DT126/24,0),0)</f>
        <v>8</v>
      </c>
      <c r="BH232" s="14">
        <f>IF(Distances!DU126&lt;&gt;0,ROUNDUP(BH209+'Délai intermédiaire'!DU126/24,0),0)</f>
        <v>12</v>
      </c>
      <c r="BI232" s="14">
        <f>IF(Distances!DV126&lt;&gt;0,ROUNDUP(BI209+'Délai intermédiaire'!DV126/24,0),0)</f>
        <v>16</v>
      </c>
      <c r="BJ232" s="15">
        <f>IF(Distances!DW126&lt;&gt;0,ROUNDUP(BJ209+'Délai intermédiaire'!DW126/24,0),0)</f>
        <v>16</v>
      </c>
    </row>
    <row r="233" spans="1:62" x14ac:dyDescent="0.3">
      <c r="A233" s="10" t="s">
        <v>23</v>
      </c>
      <c r="B233" s="16">
        <f>IF(Distances!BO127&lt;&gt;0,ROUNDUP(B209+'Délai intermédiaire'!BO127/24,0),0)</f>
        <v>9</v>
      </c>
      <c r="C233" s="14">
        <f>IF(Distances!BP127&lt;&gt;0,ROUNDUP(C209+'Délai intermédiaire'!BP127/24,0),0)</f>
        <v>11</v>
      </c>
      <c r="D233" s="14">
        <f>IF(Distances!BQ127&lt;&gt;0,ROUNDUP(D209+'Délai intermédiaire'!BQ127/24,0),0)</f>
        <v>9</v>
      </c>
      <c r="E233" s="14">
        <f>IF(Distances!BR127&lt;&gt;0,ROUNDUP(E209+'Délai intermédiaire'!BR127/24,0),0)</f>
        <v>10</v>
      </c>
      <c r="F233" s="14">
        <f>IF(Distances!BS127&lt;&gt;0,ROUNDUP(F209+'Délai intermédiaire'!BS127/24,0),0)</f>
        <v>9</v>
      </c>
      <c r="G233" s="14">
        <f>IF(Distances!BT127&lt;&gt;0,ROUNDUP(G209+'Délai intermédiaire'!BT127/24,0),0)</f>
        <v>17</v>
      </c>
      <c r="H233" s="14">
        <f>IF(Distances!BU127&lt;&gt;0,ROUNDUP(H209+'Délai intermédiaire'!BU127/24,0),0)</f>
        <v>18</v>
      </c>
      <c r="I233" s="14">
        <f>IF(Distances!BV127&lt;&gt;0,ROUNDUP(I209+'Délai intermédiaire'!BV127/24,0),0)</f>
        <v>16</v>
      </c>
      <c r="J233" s="14">
        <f>IF(Distances!BW127&lt;&gt;0,ROUNDUP(J209+'Délai intermédiaire'!BW127/24,0),0)</f>
        <v>9</v>
      </c>
      <c r="K233" s="14">
        <f>IF(Distances!BX127&lt;&gt;0,ROUNDUP(K209+'Délai intermédiaire'!BX127/24,0),0)</f>
        <v>9</v>
      </c>
      <c r="L233" s="14">
        <f>IF(Distances!BY127&lt;&gt;0,ROUNDUP(L209+'Délai intermédiaire'!BY127/24,0),0)</f>
        <v>19</v>
      </c>
      <c r="M233" s="14">
        <f>IF(Distances!BZ127&lt;&gt;0,ROUNDUP(M209+'Délai intermédiaire'!BZ127/24,0),0)</f>
        <v>19</v>
      </c>
      <c r="N233" s="14">
        <f>IF(Distances!CA127&lt;&gt;0,ROUNDUP(N209+'Délai intermédiaire'!CA127/24,0),0)</f>
        <v>12</v>
      </c>
      <c r="O233" s="14">
        <f>IF(Distances!CB127&lt;&gt;0,ROUNDUP(O209+'Délai intermédiaire'!CB127/24,0),0)</f>
        <v>13</v>
      </c>
      <c r="P233" s="14">
        <f>IF(Distances!CC127&lt;&gt;0,ROUNDUP(P209+'Délai intermédiaire'!CC127/24,0),0)</f>
        <v>11</v>
      </c>
      <c r="Q233" s="13">
        <f>IF(Distances!CD127&lt;&gt;0,ROUNDUP(Q209+'Délai intermédiaire'!CD127/24,0),0)</f>
        <v>3</v>
      </c>
      <c r="R233" s="13">
        <f>IF(Distances!CE127&lt;&gt;0,ROUNDUP(R209+'Délai intermédiaire'!CE127/24,0),0)</f>
        <v>4</v>
      </c>
      <c r="S233" s="13">
        <f>IF(Distances!CF127&lt;&gt;0,ROUNDUP(S209+'Délai intermédiaire'!CF127/24,0),0)</f>
        <v>3</v>
      </c>
      <c r="T233" s="13">
        <f>IF(Distances!CG127&lt;&gt;0,ROUNDUP(T209+'Délai intermédiaire'!CG127/24,0),0)</f>
        <v>3</v>
      </c>
      <c r="U233" s="13">
        <f>IF(Distances!CH127&lt;&gt;0,ROUNDUP(U209+'Délai intermédiaire'!CH127/24,0),0)</f>
        <v>6</v>
      </c>
      <c r="V233" s="13">
        <f>IF(Distances!CI127&lt;&gt;0,ROUNDUP(V209+'Délai intermédiaire'!CI127/24,0),0)</f>
        <v>8</v>
      </c>
      <c r="W233" s="13">
        <f>IF(Distances!CJ127&lt;&gt;0,ROUNDUP(W209+'Délai intermédiaire'!CJ127/24,0),0)</f>
        <v>2</v>
      </c>
      <c r="X233" s="12">
        <f>IF(Distances!CK127&lt;&gt;0,ROUNDUP(X209+'Délai intermédiaire'!CK127/24,0),0)</f>
        <v>0</v>
      </c>
      <c r="Y233" s="13">
        <f>IF(Distances!CL127&lt;&gt;0,ROUNDUP(Y209+'Délai intermédiaire'!CL127/24,0),0)</f>
        <v>3</v>
      </c>
      <c r="Z233" s="13">
        <f>IF(Distances!CM127&lt;&gt;0,ROUNDUP(Z209+'Délai intermédiaire'!CM127/24,0),0)</f>
        <v>8</v>
      </c>
      <c r="AA233" s="13">
        <f>IF(Distances!CN127&lt;&gt;0,ROUNDUP(AA209+'Délai intermédiaire'!CN127/24,0),0)</f>
        <v>8</v>
      </c>
      <c r="AB233" s="13">
        <f>IF(Distances!CO127&lt;&gt;0,ROUNDUP(AB209+'Délai intermédiaire'!CO127/24,0),0)</f>
        <v>6</v>
      </c>
      <c r="AC233" s="13">
        <f>IF(Distances!CP127&lt;&gt;0,ROUNDUP(AC209+'Délai intermédiaire'!CP127/24,0),0)</f>
        <v>6</v>
      </c>
      <c r="AD233" s="13">
        <f>IF(Distances!CQ127&lt;&gt;0,ROUNDUP(AD209+'Délai intermédiaire'!CQ127/24,0),0)</f>
        <v>3</v>
      </c>
      <c r="AE233" s="13">
        <f>IF(Distances!CR127&lt;&gt;0,ROUNDUP(AE209+'Délai intermédiaire'!CR127/24,0),0)</f>
        <v>9</v>
      </c>
      <c r="AF233" s="13">
        <f>IF(Distances!CS127&lt;&gt;0,ROUNDUP(AF209+'Délai intermédiaire'!CS127/24,0),0)</f>
        <v>8</v>
      </c>
      <c r="AG233" s="13">
        <f>IF(Distances!CT127&lt;&gt;0,ROUNDUP(AG209+'Délai intermédiaire'!CT127/24,0),0)</f>
        <v>9</v>
      </c>
      <c r="AH233" s="14">
        <f>IF(Distances!CU127&lt;&gt;0,ROUNDUP(AH209+'Délai intermédiaire'!CU127/24,0),0)</f>
        <v>16</v>
      </c>
      <c r="AI233" s="14">
        <f>IF(Distances!CV127&lt;&gt;0,ROUNDUP(AI209+'Délai intermédiaire'!CV127/24,0),0)</f>
        <v>18</v>
      </c>
      <c r="AJ233" s="14">
        <f>IF(Distances!CW127&lt;&gt;0,ROUNDUP(AJ209+'Délai intermédiaire'!CW127/24,0),0)</f>
        <v>15</v>
      </c>
      <c r="AK233" s="14">
        <f>IF(Distances!CX127&lt;&gt;0,ROUNDUP(AK209+'Délai intermédiaire'!CX127/24,0),0)</f>
        <v>16</v>
      </c>
      <c r="AL233" s="14">
        <f>IF(Distances!CY127&lt;&gt;0,ROUNDUP(AL209+'Délai intermédiaire'!CY127/24,0),0)</f>
        <v>22</v>
      </c>
      <c r="AM233" s="14">
        <f>IF(Distances!CZ127&lt;&gt;0,ROUNDUP(AM209+'Délai intermédiaire'!CZ127/24,0),0)</f>
        <v>22</v>
      </c>
      <c r="AN233" s="14">
        <f>IF(Distances!DA127&lt;&gt;0,ROUNDUP(AN209+'Délai intermédiaire'!DA127/24,0),0)</f>
        <v>22</v>
      </c>
      <c r="AO233" s="14">
        <f>IF(Distances!DB127&lt;&gt;0,ROUNDUP(AO209+'Délai intermédiaire'!DB127/24,0),0)</f>
        <v>23</v>
      </c>
      <c r="AP233" s="14">
        <f>IF(Distances!DC127&lt;&gt;0,ROUNDUP(AP209+'Délai intermédiaire'!DC127/24,0),0)</f>
        <v>24</v>
      </c>
      <c r="AQ233" s="14">
        <f>IF(Distances!DD127&lt;&gt;0,ROUNDUP(AQ209+'Délai intermédiaire'!DD127/24,0),0)</f>
        <v>20</v>
      </c>
      <c r="AR233" s="14">
        <f>IF(Distances!DE127&lt;&gt;0,ROUNDUP(AR209+'Délai intermédiaire'!DE127/24,0),0)</f>
        <v>14</v>
      </c>
      <c r="AS233" s="14">
        <f>IF(Distances!DF127&lt;&gt;0,ROUNDUP(AS209+'Délai intermédiaire'!DF127/24,0),0)</f>
        <v>15</v>
      </c>
      <c r="AT233" s="14">
        <f>IF(Distances!DG127&lt;&gt;0,ROUNDUP(AT209+'Délai intermédiaire'!DG127/24,0),0)</f>
        <v>15</v>
      </c>
      <c r="AU233" s="14">
        <f>IF(Distances!DH127&lt;&gt;0,ROUNDUP(AU209+'Délai intermédiaire'!DH127/24,0),0)</f>
        <v>23</v>
      </c>
      <c r="AV233" s="14">
        <f>IF(Distances!DI127&lt;&gt;0,ROUNDUP(AV209+'Délai intermédiaire'!DI127/24,0),0)</f>
        <v>5</v>
      </c>
      <c r="AW233" s="14">
        <f>IF(Distances!DJ127&lt;&gt;0,ROUNDUP(AW209+'Délai intermédiaire'!DJ127/24,0),0)</f>
        <v>7</v>
      </c>
      <c r="AX233" s="14">
        <f>IF(Distances!DK127&lt;&gt;0,ROUNDUP(AX209+'Délai intermédiaire'!DK127/24,0),0)</f>
        <v>24</v>
      </c>
      <c r="AY233" s="14">
        <f>IF(Distances!DL127&lt;&gt;0,ROUNDUP(AY209+'Délai intermédiaire'!DL127/24,0),0)</f>
        <v>3</v>
      </c>
      <c r="AZ233" s="14">
        <f>IF(Distances!DM127&lt;&gt;0,ROUNDUP(AZ209+'Délai intermédiaire'!DM127/24,0),0)</f>
        <v>15</v>
      </c>
      <c r="BA233" s="14">
        <f>IF(Distances!DN127&lt;&gt;0,ROUNDUP(BA209+'Délai intermédiaire'!DN127/24,0),0)</f>
        <v>20</v>
      </c>
      <c r="BB233" s="13">
        <f>IF(Distances!DO127&lt;&gt;0,ROUNDUP(BB209+'Délai intermédiaire'!DO127/24,0),0)</f>
        <v>3</v>
      </c>
      <c r="BC233" s="14">
        <f>IF(Distances!DP127&lt;&gt;0,ROUNDUP(BC209+'Délai intermédiaire'!DP127/24,0),0)</f>
        <v>21</v>
      </c>
      <c r="BD233" s="14">
        <f>IF(Distances!DQ127&lt;&gt;0,ROUNDUP(BD209+'Délai intermédiaire'!DQ127/24,0),0)</f>
        <v>23</v>
      </c>
      <c r="BE233" s="14">
        <f>IF(Distances!DR127&lt;&gt;0,ROUNDUP(BE209+'Délai intermédiaire'!DR127/24,0),0)</f>
        <v>22</v>
      </c>
      <c r="BF233" s="13">
        <f>IF(Distances!DS127&lt;&gt;0,ROUNDUP(BF209+'Délai intermédiaire'!DS127/24,0),0)</f>
        <v>11</v>
      </c>
      <c r="BG233" s="13">
        <f>IF(Distances!DT127&lt;&gt;0,ROUNDUP(BG209+'Délai intermédiaire'!DT127/24,0),0)</f>
        <v>9</v>
      </c>
      <c r="BH233" s="14">
        <f>IF(Distances!DU127&lt;&gt;0,ROUNDUP(BH209+'Délai intermédiaire'!DU127/24,0),0)</f>
        <v>13</v>
      </c>
      <c r="BI233" s="14">
        <f>IF(Distances!DV127&lt;&gt;0,ROUNDUP(BI209+'Délai intermédiaire'!DV127/24,0),0)</f>
        <v>16</v>
      </c>
      <c r="BJ233" s="15">
        <f>IF(Distances!DW127&lt;&gt;0,ROUNDUP(BJ209+'Délai intermédiaire'!DW127/24,0),0)</f>
        <v>17</v>
      </c>
    </row>
    <row r="234" spans="1:62" x14ac:dyDescent="0.3">
      <c r="A234" s="10" t="s">
        <v>24</v>
      </c>
      <c r="B234" s="16">
        <f>IF(Distances!BO128&lt;&gt;0,ROUNDUP(B209+'Délai intermédiaire'!BO128/24,0),0)</f>
        <v>9</v>
      </c>
      <c r="C234" s="14">
        <f>IF(Distances!BP128&lt;&gt;0,ROUNDUP(C209+'Délai intermédiaire'!BP128/24,0),0)</f>
        <v>10</v>
      </c>
      <c r="D234" s="14">
        <f>IF(Distances!BQ128&lt;&gt;0,ROUNDUP(D209+'Délai intermédiaire'!BQ128/24,0),0)</f>
        <v>8</v>
      </c>
      <c r="E234" s="14">
        <f>IF(Distances!BR128&lt;&gt;0,ROUNDUP(E209+'Délai intermédiaire'!BR128/24,0),0)</f>
        <v>9</v>
      </c>
      <c r="F234" s="14">
        <f>IF(Distances!BS128&lt;&gt;0,ROUNDUP(F209+'Délai intermédiaire'!BS128/24,0),0)</f>
        <v>8</v>
      </c>
      <c r="G234" s="14">
        <f>IF(Distances!BT128&lt;&gt;0,ROUNDUP(G209+'Délai intermédiaire'!BT128/24,0),0)</f>
        <v>16</v>
      </c>
      <c r="H234" s="14">
        <f>IF(Distances!BU128&lt;&gt;0,ROUNDUP(H209+'Délai intermédiaire'!BU128/24,0),0)</f>
        <v>17</v>
      </c>
      <c r="I234" s="14">
        <f>IF(Distances!BV128&lt;&gt;0,ROUNDUP(I209+'Délai intermédiaire'!BV128/24,0),0)</f>
        <v>15</v>
      </c>
      <c r="J234" s="14">
        <f>IF(Distances!BW128&lt;&gt;0,ROUNDUP(J209+'Délai intermédiaire'!BW128/24,0),0)</f>
        <v>9</v>
      </c>
      <c r="K234" s="14">
        <f>IF(Distances!BX128&lt;&gt;0,ROUNDUP(K209+'Délai intermédiaire'!BX128/24,0),0)</f>
        <v>8</v>
      </c>
      <c r="L234" s="14">
        <f>IF(Distances!BY128&lt;&gt;0,ROUNDUP(L209+'Délai intermédiaire'!BY128/24,0),0)</f>
        <v>18</v>
      </c>
      <c r="M234" s="14">
        <f>IF(Distances!BZ128&lt;&gt;0,ROUNDUP(M209+'Délai intermédiaire'!BZ128/24,0),0)</f>
        <v>18</v>
      </c>
      <c r="N234" s="14">
        <f>IF(Distances!CA128&lt;&gt;0,ROUNDUP(N209+'Délai intermédiaire'!CA128/24,0),0)</f>
        <v>12</v>
      </c>
      <c r="O234" s="14">
        <f>IF(Distances!CB128&lt;&gt;0,ROUNDUP(O209+'Délai intermédiaire'!CB128/24,0),0)</f>
        <v>12</v>
      </c>
      <c r="P234" s="14">
        <f>IF(Distances!CC128&lt;&gt;0,ROUNDUP(P209+'Délai intermédiaire'!CC128/24,0),0)</f>
        <v>10</v>
      </c>
      <c r="Q234" s="13">
        <f>IF(Distances!CD128&lt;&gt;0,ROUNDUP(Q209+'Délai intermédiaire'!CD128/24,0),0)</f>
        <v>2</v>
      </c>
      <c r="R234" s="13">
        <f>IF(Distances!CE128&lt;&gt;0,ROUNDUP(R209+'Délai intermédiaire'!CE128/24,0),0)</f>
        <v>3</v>
      </c>
      <c r="S234" s="13">
        <f>IF(Distances!CF128&lt;&gt;0,ROUNDUP(S209+'Délai intermédiaire'!CF128/24,0),0)</f>
        <v>2</v>
      </c>
      <c r="T234" s="13">
        <f>IF(Distances!CG128&lt;&gt;0,ROUNDUP(T209+'Délai intermédiaire'!CG128/24,0),0)</f>
        <v>2</v>
      </c>
      <c r="U234" s="13">
        <f>IF(Distances!CH128&lt;&gt;0,ROUNDUP(U209+'Délai intermédiaire'!CH128/24,0),0)</f>
        <v>5</v>
      </c>
      <c r="V234" s="13">
        <f>IF(Distances!CI128&lt;&gt;0,ROUNDUP(V209+'Délai intermédiaire'!CI128/24,0),0)</f>
        <v>7</v>
      </c>
      <c r="W234" s="13">
        <f>IF(Distances!CJ128&lt;&gt;0,ROUNDUP(W209+'Délai intermédiaire'!CJ128/24,0),0)</f>
        <v>2</v>
      </c>
      <c r="X234" s="13">
        <f>IF(Distances!CK128&lt;&gt;0,ROUNDUP(X209+'Délai intermédiaire'!CK128/24,0),0)</f>
        <v>3</v>
      </c>
      <c r="Y234" s="12">
        <f>IF(Distances!CL128&lt;&gt;0,ROUNDUP(Y209+'Délai intermédiaire'!CL128/24,0),0)</f>
        <v>0</v>
      </c>
      <c r="Z234" s="13">
        <f>IF(Distances!CM128&lt;&gt;0,ROUNDUP(Z209+'Délai intermédiaire'!CM128/24,0),0)</f>
        <v>7</v>
      </c>
      <c r="AA234" s="13">
        <f>IF(Distances!CN128&lt;&gt;0,ROUNDUP(AA209+'Délai intermédiaire'!CN128/24,0),0)</f>
        <v>7</v>
      </c>
      <c r="AB234" s="13">
        <f>IF(Distances!CO128&lt;&gt;0,ROUNDUP(AB209+'Délai intermédiaire'!CO128/24,0),0)</f>
        <v>5</v>
      </c>
      <c r="AC234" s="13">
        <f>IF(Distances!CP128&lt;&gt;0,ROUNDUP(AC209+'Délai intermédiaire'!CP128/24,0),0)</f>
        <v>5</v>
      </c>
      <c r="AD234" s="13">
        <f>IF(Distances!CQ128&lt;&gt;0,ROUNDUP(AD209+'Délai intermédiaire'!CQ128/24,0),0)</f>
        <v>4</v>
      </c>
      <c r="AE234" s="13">
        <f>IF(Distances!CR128&lt;&gt;0,ROUNDUP(AE209+'Délai intermédiaire'!CR128/24,0),0)</f>
        <v>8</v>
      </c>
      <c r="AF234" s="13">
        <f>IF(Distances!CS128&lt;&gt;0,ROUNDUP(AF209+'Délai intermédiaire'!CS128/24,0),0)</f>
        <v>7</v>
      </c>
      <c r="AG234" s="13">
        <f>IF(Distances!CT128&lt;&gt;0,ROUNDUP(AG209+'Délai intermédiaire'!CT128/24,0),0)</f>
        <v>8</v>
      </c>
      <c r="AH234" s="14">
        <f>IF(Distances!CU128&lt;&gt;0,ROUNDUP(AH209+'Délai intermédiaire'!CU128/24,0),0)</f>
        <v>14</v>
      </c>
      <c r="AI234" s="14">
        <f>IF(Distances!CV128&lt;&gt;0,ROUNDUP(AI209+'Délai intermédiaire'!CV128/24,0),0)</f>
        <v>16</v>
      </c>
      <c r="AJ234" s="14">
        <f>IF(Distances!CW128&lt;&gt;0,ROUNDUP(AJ209+'Délai intermédiaire'!CW128/24,0),0)</f>
        <v>14</v>
      </c>
      <c r="AK234" s="14">
        <f>IF(Distances!CX128&lt;&gt;0,ROUNDUP(AK209+'Délai intermédiaire'!CX128/24,0),0)</f>
        <v>15</v>
      </c>
      <c r="AL234" s="14">
        <f>IF(Distances!CY128&lt;&gt;0,ROUNDUP(AL209+'Délai intermédiaire'!CY128/24,0),0)</f>
        <v>21</v>
      </c>
      <c r="AM234" s="14">
        <f>IF(Distances!CZ128&lt;&gt;0,ROUNDUP(AM209+'Délai intermédiaire'!CZ128/24,0),0)</f>
        <v>21</v>
      </c>
      <c r="AN234" s="14">
        <f>IF(Distances!DA128&lt;&gt;0,ROUNDUP(AN209+'Délai intermédiaire'!DA128/24,0),0)</f>
        <v>20</v>
      </c>
      <c r="AO234" s="14">
        <f>IF(Distances!DB128&lt;&gt;0,ROUNDUP(AO209+'Délai intermédiaire'!DB128/24,0),0)</f>
        <v>22</v>
      </c>
      <c r="AP234" s="14">
        <f>IF(Distances!DC128&lt;&gt;0,ROUNDUP(AP209+'Délai intermédiaire'!DC128/24,0),0)</f>
        <v>23</v>
      </c>
      <c r="AQ234" s="14">
        <f>IF(Distances!DD128&lt;&gt;0,ROUNDUP(AQ209+'Délai intermédiaire'!DD128/24,0),0)</f>
        <v>19</v>
      </c>
      <c r="AR234" s="14">
        <f>IF(Distances!DE128&lt;&gt;0,ROUNDUP(AR209+'Délai intermédiaire'!DE128/24,0),0)</f>
        <v>13</v>
      </c>
      <c r="AS234" s="14">
        <f>IF(Distances!DF128&lt;&gt;0,ROUNDUP(AS209+'Délai intermédiaire'!DF128/24,0),0)</f>
        <v>14</v>
      </c>
      <c r="AT234" s="14">
        <f>IF(Distances!DG128&lt;&gt;0,ROUNDUP(AT209+'Délai intermédiaire'!DG128/24,0),0)</f>
        <v>14</v>
      </c>
      <c r="AU234" s="14">
        <f>IF(Distances!DH128&lt;&gt;0,ROUNDUP(AU209+'Délai intermédiaire'!DH128/24,0),0)</f>
        <v>21</v>
      </c>
      <c r="AV234" s="14">
        <f>IF(Distances!DI128&lt;&gt;0,ROUNDUP(AV209+'Délai intermédiaire'!DI128/24,0),0)</f>
        <v>6</v>
      </c>
      <c r="AW234" s="14">
        <f>IF(Distances!DJ128&lt;&gt;0,ROUNDUP(AW209+'Délai intermédiaire'!DJ128/24,0),0)</f>
        <v>8</v>
      </c>
      <c r="AX234" s="14">
        <f>IF(Distances!DK128&lt;&gt;0,ROUNDUP(AX209+'Délai intermédiaire'!DK128/24,0),0)</f>
        <v>23</v>
      </c>
      <c r="AY234" s="14">
        <f>IF(Distances!DL128&lt;&gt;0,ROUNDUP(AY209+'Délai intermédiaire'!DL128/24,0),0)</f>
        <v>3</v>
      </c>
      <c r="AZ234" s="14">
        <f>IF(Distances!DM128&lt;&gt;0,ROUNDUP(AZ209+'Délai intermédiaire'!DM128/24,0),0)</f>
        <v>14</v>
      </c>
      <c r="BA234" s="14">
        <f>IF(Distances!DN128&lt;&gt;0,ROUNDUP(BA209+'Délai intermédiaire'!DN128/24,0),0)</f>
        <v>18</v>
      </c>
      <c r="BB234" s="13">
        <f>IF(Distances!DO128&lt;&gt;0,ROUNDUP(BB209+'Délai intermédiaire'!DO128/24,0),0)</f>
        <v>4</v>
      </c>
      <c r="BC234" s="14">
        <f>IF(Distances!DP128&lt;&gt;0,ROUNDUP(BC209+'Délai intermédiaire'!DP128/24,0),0)</f>
        <v>20</v>
      </c>
      <c r="BD234" s="14">
        <f>IF(Distances!DQ128&lt;&gt;0,ROUNDUP(BD209+'Délai intermédiaire'!DQ128/24,0),0)</f>
        <v>22</v>
      </c>
      <c r="BE234" s="14">
        <f>IF(Distances!DR128&lt;&gt;0,ROUNDUP(BE209+'Délai intermédiaire'!DR128/24,0),0)</f>
        <v>21</v>
      </c>
      <c r="BF234" s="13">
        <f>IF(Distances!DS128&lt;&gt;0,ROUNDUP(BF209+'Délai intermédiaire'!DS128/24,0),0)</f>
        <v>10</v>
      </c>
      <c r="BG234" s="13">
        <f>IF(Distances!DT128&lt;&gt;0,ROUNDUP(BG209+'Délai intermédiaire'!DT128/24,0),0)</f>
        <v>8</v>
      </c>
      <c r="BH234" s="14">
        <f>IF(Distances!DU128&lt;&gt;0,ROUNDUP(BH209+'Délai intermédiaire'!DU128/24,0),0)</f>
        <v>12</v>
      </c>
      <c r="BI234" s="14">
        <f>IF(Distances!DV128&lt;&gt;0,ROUNDUP(BI209+'Délai intermédiaire'!DV128/24,0),0)</f>
        <v>16</v>
      </c>
      <c r="BJ234" s="15">
        <f>IF(Distances!DW128&lt;&gt;0,ROUNDUP(BJ209+'Délai intermédiaire'!DW128/24,0),0)</f>
        <v>16</v>
      </c>
    </row>
    <row r="235" spans="1:62" x14ac:dyDescent="0.3">
      <c r="A235" s="10" t="s">
        <v>25</v>
      </c>
      <c r="B235" s="16">
        <f>IF(Distances!BO129&lt;&gt;0,ROUNDUP(B209+'Délai intermédiaire'!BO129/24,0),0)</f>
        <v>10</v>
      </c>
      <c r="C235" s="14">
        <f>IF(Distances!BP129&lt;&gt;0,ROUNDUP(C209+'Délai intermédiaire'!BP129/24,0),0)</f>
        <v>11</v>
      </c>
      <c r="D235" s="14">
        <f>IF(Distances!BQ129&lt;&gt;0,ROUNDUP(D209+'Délai intermédiaire'!BQ129/24,0),0)</f>
        <v>9</v>
      </c>
      <c r="E235" s="14">
        <f>IF(Distances!BR129&lt;&gt;0,ROUNDUP(E209+'Délai intermédiaire'!BR129/24,0),0)</f>
        <v>10</v>
      </c>
      <c r="F235" s="14">
        <f>IF(Distances!BS129&lt;&gt;0,ROUNDUP(F209+'Délai intermédiaire'!BS129/24,0),0)</f>
        <v>9</v>
      </c>
      <c r="G235" s="14">
        <f>IF(Distances!BT129&lt;&gt;0,ROUNDUP(G209+'Délai intermédiaire'!BT129/24,0),0)</f>
        <v>16</v>
      </c>
      <c r="H235" s="14">
        <f>IF(Distances!BU129&lt;&gt;0,ROUNDUP(H209+'Délai intermédiaire'!BU129/24,0),0)</f>
        <v>18</v>
      </c>
      <c r="I235" s="14">
        <f>IF(Distances!BV129&lt;&gt;0,ROUNDUP(I209+'Délai intermédiaire'!BV129/24,0),0)</f>
        <v>16</v>
      </c>
      <c r="J235" s="14">
        <f>IF(Distances!BW129&lt;&gt;0,ROUNDUP(J209+'Délai intermédiaire'!BW129/24,0),0)</f>
        <v>10</v>
      </c>
      <c r="K235" s="14">
        <f>IF(Distances!BX129&lt;&gt;0,ROUNDUP(K209+'Délai intermédiaire'!BX129/24,0),0)</f>
        <v>10</v>
      </c>
      <c r="L235" s="14">
        <f>IF(Distances!BY129&lt;&gt;0,ROUNDUP(L209+'Délai intermédiaire'!BY129/24,0),0)</f>
        <v>19</v>
      </c>
      <c r="M235" s="14">
        <f>IF(Distances!BZ129&lt;&gt;0,ROUNDUP(M209+'Délai intermédiaire'!BZ129/24,0),0)</f>
        <v>19</v>
      </c>
      <c r="N235" s="14">
        <f>IF(Distances!CA129&lt;&gt;0,ROUNDUP(N209+'Délai intermédiaire'!CA129/24,0),0)</f>
        <v>13</v>
      </c>
      <c r="O235" s="14">
        <f>IF(Distances!CB129&lt;&gt;0,ROUNDUP(O209+'Délai intermédiaire'!CB129/24,0),0)</f>
        <v>12</v>
      </c>
      <c r="P235" s="14">
        <f>IF(Distances!CC129&lt;&gt;0,ROUNDUP(P209+'Délai intermédiaire'!CC129/24,0),0)</f>
        <v>10</v>
      </c>
      <c r="Q235" s="13">
        <f>IF(Distances!CD129&lt;&gt;0,ROUNDUP(Q209+'Délai intermédiaire'!CD129/24,0),0)</f>
        <v>6</v>
      </c>
      <c r="R235" s="13">
        <f>IF(Distances!CE129&lt;&gt;0,ROUNDUP(R209+'Délai intermédiaire'!CE129/24,0),0)</f>
        <v>5</v>
      </c>
      <c r="S235" s="13">
        <f>IF(Distances!CF129&lt;&gt;0,ROUNDUP(S209+'Délai intermédiaire'!CF129/24,0),0)</f>
        <v>5</v>
      </c>
      <c r="T235" s="13">
        <f>IF(Distances!CG129&lt;&gt;0,ROUNDUP(T209+'Délai intermédiaire'!CG129/24,0),0)</f>
        <v>5</v>
      </c>
      <c r="U235" s="13">
        <f>IF(Distances!CH129&lt;&gt;0,ROUNDUP(U209+'Délai intermédiaire'!CH129/24,0),0)</f>
        <v>2</v>
      </c>
      <c r="V235" s="13">
        <f>IF(Distances!CI129&lt;&gt;0,ROUNDUP(V209+'Délai intermédiaire'!CI129/24,0),0)</f>
        <v>3</v>
      </c>
      <c r="W235" s="13">
        <f>IF(Distances!CJ129&lt;&gt;0,ROUNDUP(W209+'Délai intermédiaire'!CJ129/24,0),0)</f>
        <v>6</v>
      </c>
      <c r="X235" s="13">
        <f>IF(Distances!CK129&lt;&gt;0,ROUNDUP(X209+'Délai intermédiaire'!CK129/24,0),0)</f>
        <v>7</v>
      </c>
      <c r="Y235" s="13">
        <f>IF(Distances!CL129&lt;&gt;0,ROUNDUP(Y209+'Délai intermédiaire'!CL129/24,0),0)</f>
        <v>6</v>
      </c>
      <c r="Z235" s="12">
        <f>IF(Distances!CM129&lt;&gt;0,ROUNDUP(Z209+'Délai intermédiaire'!CM129/24,0),0)</f>
        <v>0</v>
      </c>
      <c r="AA235" s="13">
        <f>IF(Distances!CN129&lt;&gt;0,ROUNDUP(AA209+'Délai intermédiaire'!CN129/24,0),0)</f>
        <v>3</v>
      </c>
      <c r="AB235" s="13">
        <f>IF(Distances!CO129&lt;&gt;0,ROUNDUP(AB209+'Délai intermédiaire'!CO129/24,0),0)</f>
        <v>3</v>
      </c>
      <c r="AC235" s="13">
        <f>IF(Distances!CP129&lt;&gt;0,ROUNDUP(AC209+'Délai intermédiaire'!CP129/24,0),0)</f>
        <v>2</v>
      </c>
      <c r="AD235" s="13">
        <f>IF(Distances!CQ129&lt;&gt;0,ROUNDUP(AD209+'Délai intermédiaire'!CQ129/24,0),0)</f>
        <v>8</v>
      </c>
      <c r="AE235" s="13">
        <f>IF(Distances!CR129&lt;&gt;0,ROUNDUP(AE209+'Délai intermédiaire'!CR129/24,0),0)</f>
        <v>5</v>
      </c>
      <c r="AF235" s="13">
        <f>IF(Distances!CS129&lt;&gt;0,ROUNDUP(AF209+'Délai intermédiaire'!CS129/24,0),0)</f>
        <v>3</v>
      </c>
      <c r="AG235" s="13">
        <f>IF(Distances!CT129&lt;&gt;0,ROUNDUP(AG209+'Délai intermédiaire'!CT129/24,0),0)</f>
        <v>4</v>
      </c>
      <c r="AH235" s="14">
        <f>IF(Distances!CU129&lt;&gt;0,ROUNDUP(AH209+'Délai intermédiaire'!CU129/24,0),0)</f>
        <v>11</v>
      </c>
      <c r="AI235" s="14">
        <f>IF(Distances!CV129&lt;&gt;0,ROUNDUP(AI209+'Délai intermédiaire'!CV129/24,0),0)</f>
        <v>13</v>
      </c>
      <c r="AJ235" s="14">
        <f>IF(Distances!CW129&lt;&gt;0,ROUNDUP(AJ209+'Délai intermédiaire'!CW129/24,0),0)</f>
        <v>10</v>
      </c>
      <c r="AK235" s="14">
        <f>IF(Distances!CX129&lt;&gt;0,ROUNDUP(AK209+'Délai intermédiaire'!CX129/24,0),0)</f>
        <v>12</v>
      </c>
      <c r="AL235" s="14">
        <f>IF(Distances!CY129&lt;&gt;0,ROUNDUP(AL209+'Délai intermédiaire'!CY129/24,0),0)</f>
        <v>17</v>
      </c>
      <c r="AM235" s="14">
        <f>IF(Distances!CZ129&lt;&gt;0,ROUNDUP(AM209+'Délai intermédiaire'!CZ129/24,0),0)</f>
        <v>17</v>
      </c>
      <c r="AN235" s="14">
        <f>IF(Distances!DA129&lt;&gt;0,ROUNDUP(AN209+'Délai intermédiaire'!DA129/24,0),0)</f>
        <v>17</v>
      </c>
      <c r="AO235" s="14">
        <f>IF(Distances!DB129&lt;&gt;0,ROUNDUP(AO209+'Délai intermédiaire'!DB129/24,0),0)</f>
        <v>18</v>
      </c>
      <c r="AP235" s="14">
        <f>IF(Distances!DC129&lt;&gt;0,ROUNDUP(AP209+'Délai intermédiaire'!DC129/24,0),0)</f>
        <v>19</v>
      </c>
      <c r="AQ235" s="14">
        <f>IF(Distances!DD129&lt;&gt;0,ROUNDUP(AQ209+'Délai intermédiaire'!DD129/24,0),0)</f>
        <v>16</v>
      </c>
      <c r="AR235" s="14">
        <f>IF(Distances!DE129&lt;&gt;0,ROUNDUP(AR209+'Délai intermédiaire'!DE129/24,0),0)</f>
        <v>10</v>
      </c>
      <c r="AS235" s="14">
        <f>IF(Distances!DF129&lt;&gt;0,ROUNDUP(AS209+'Délai intermédiaire'!DF129/24,0),0)</f>
        <v>11</v>
      </c>
      <c r="AT235" s="14">
        <f>IF(Distances!DG129&lt;&gt;0,ROUNDUP(AT209+'Délai intermédiaire'!DG129/24,0),0)</f>
        <v>10</v>
      </c>
      <c r="AU235" s="14">
        <f>IF(Distances!DH129&lt;&gt;0,ROUNDUP(AU209+'Délai intermédiaire'!DH129/24,0),0)</f>
        <v>18</v>
      </c>
      <c r="AV235" s="14">
        <f>IF(Distances!DI129&lt;&gt;0,ROUNDUP(AV209+'Délai intermédiaire'!DI129/24,0),0)</f>
        <v>10</v>
      </c>
      <c r="AW235" s="14">
        <f>IF(Distances!DJ129&lt;&gt;0,ROUNDUP(AW209+'Délai intermédiaire'!DJ129/24,0),0)</f>
        <v>12</v>
      </c>
      <c r="AX235" s="14">
        <f>IF(Distances!DK129&lt;&gt;0,ROUNDUP(AX209+'Délai intermédiaire'!DK129/24,0),0)</f>
        <v>20</v>
      </c>
      <c r="AY235" s="14">
        <f>IF(Distances!DL129&lt;&gt;0,ROUNDUP(AY209+'Délai intermédiaire'!DL129/24,0),0)</f>
        <v>3</v>
      </c>
      <c r="AZ235" s="14">
        <f>IF(Distances!DM129&lt;&gt;0,ROUNDUP(AZ209+'Délai intermédiaire'!DM129/24,0),0)</f>
        <v>10</v>
      </c>
      <c r="BA235" s="14">
        <f>IF(Distances!DN129&lt;&gt;0,ROUNDUP(BA209+'Délai intermédiaire'!DN129/24,0),0)</f>
        <v>15</v>
      </c>
      <c r="BB235" s="13">
        <f>IF(Distances!DO129&lt;&gt;0,ROUNDUP(BB209+'Délai intermédiaire'!DO129/24,0),0)</f>
        <v>8</v>
      </c>
      <c r="BC235" s="14">
        <f>IF(Distances!DP129&lt;&gt;0,ROUNDUP(BC209+'Délai intermédiaire'!DP129/24,0),0)</f>
        <v>16</v>
      </c>
      <c r="BD235" s="14">
        <f>IF(Distances!DQ129&lt;&gt;0,ROUNDUP(BD209+'Délai intermédiaire'!DQ129/24,0),0)</f>
        <v>18</v>
      </c>
      <c r="BE235" s="14">
        <f>IF(Distances!DR129&lt;&gt;0,ROUNDUP(BE209+'Délai intermédiaire'!DR129/24,0),0)</f>
        <v>17</v>
      </c>
      <c r="BF235" s="13">
        <f>IF(Distances!DS129&lt;&gt;0,ROUNDUP(BF209+'Délai intermédiaire'!DS129/24,0),0)</f>
        <v>6</v>
      </c>
      <c r="BG235" s="13">
        <f>IF(Distances!DT129&lt;&gt;0,ROUNDUP(BG209+'Délai intermédiaire'!DT129/24,0),0)</f>
        <v>4</v>
      </c>
      <c r="BH235" s="14">
        <f>IF(Distances!DU129&lt;&gt;0,ROUNDUP(BH209+'Délai intermédiaire'!DU129/24,0),0)</f>
        <v>13</v>
      </c>
      <c r="BI235" s="14">
        <f>IF(Distances!DV129&lt;&gt;0,ROUNDUP(BI209+'Délai intermédiaire'!DV129/24,0),0)</f>
        <v>16</v>
      </c>
      <c r="BJ235" s="15">
        <f>IF(Distances!DW129&lt;&gt;0,ROUNDUP(BJ209+'Délai intermédiaire'!DW129/24,0),0)</f>
        <v>17</v>
      </c>
    </row>
    <row r="236" spans="1:62" x14ac:dyDescent="0.3">
      <c r="A236" s="10" t="s">
        <v>26</v>
      </c>
      <c r="B236" s="16">
        <f>IF(Distances!BO130&lt;&gt;0,ROUNDUP(B209+'Délai intermédiaire'!BO130/24,0),0)</f>
        <v>10</v>
      </c>
      <c r="C236" s="14">
        <f>IF(Distances!BP130&lt;&gt;0,ROUNDUP(C209+'Délai intermédiaire'!BP130/24,0),0)</f>
        <v>11</v>
      </c>
      <c r="D236" s="14">
        <f>IF(Distances!BQ130&lt;&gt;0,ROUNDUP(D209+'Délai intermédiaire'!BQ130/24,0),0)</f>
        <v>9</v>
      </c>
      <c r="E236" s="14">
        <f>IF(Distances!BR130&lt;&gt;0,ROUNDUP(E209+'Délai intermédiaire'!BR130/24,0),0)</f>
        <v>10</v>
      </c>
      <c r="F236" s="14">
        <f>IF(Distances!BS130&lt;&gt;0,ROUNDUP(F209+'Délai intermédiaire'!BS130/24,0),0)</f>
        <v>9</v>
      </c>
      <c r="G236" s="14">
        <f>IF(Distances!BT130&lt;&gt;0,ROUNDUP(G209+'Délai intermédiaire'!BT130/24,0),0)</f>
        <v>16</v>
      </c>
      <c r="H236" s="14">
        <f>IF(Distances!BU130&lt;&gt;0,ROUNDUP(H209+'Délai intermédiaire'!BU130/24,0),0)</f>
        <v>18</v>
      </c>
      <c r="I236" s="14">
        <f>IF(Distances!BV130&lt;&gt;0,ROUNDUP(I209+'Délai intermédiaire'!BV130/24,0),0)</f>
        <v>16</v>
      </c>
      <c r="J236" s="14">
        <f>IF(Distances!BW130&lt;&gt;0,ROUNDUP(J209+'Délai intermédiaire'!BW130/24,0),0)</f>
        <v>10</v>
      </c>
      <c r="K236" s="14">
        <f>IF(Distances!BX130&lt;&gt;0,ROUNDUP(K209+'Délai intermédiaire'!BX130/24,0),0)</f>
        <v>10</v>
      </c>
      <c r="L236" s="14">
        <f>IF(Distances!BY130&lt;&gt;0,ROUNDUP(L209+'Délai intermédiaire'!BY130/24,0),0)</f>
        <v>19</v>
      </c>
      <c r="M236" s="14">
        <f>IF(Distances!BZ130&lt;&gt;0,ROUNDUP(M209+'Délai intermédiaire'!BZ130/24,0),0)</f>
        <v>19</v>
      </c>
      <c r="N236" s="14">
        <f>IF(Distances!CA130&lt;&gt;0,ROUNDUP(N209+'Délai intermédiaire'!CA130/24,0),0)</f>
        <v>13</v>
      </c>
      <c r="O236" s="14">
        <f>IF(Distances!CB130&lt;&gt;0,ROUNDUP(O209+'Délai intermédiaire'!CB130/24,0),0)</f>
        <v>12</v>
      </c>
      <c r="P236" s="14">
        <f>IF(Distances!CC130&lt;&gt;0,ROUNDUP(P209+'Délai intermédiaire'!CC130/24,0),0)</f>
        <v>10</v>
      </c>
      <c r="Q236" s="13">
        <f>IF(Distances!CD130&lt;&gt;0,ROUNDUP(Q209+'Délai intermédiaire'!CD130/24,0),0)</f>
        <v>6</v>
      </c>
      <c r="R236" s="13">
        <f>IF(Distances!CE130&lt;&gt;0,ROUNDUP(R209+'Délai intermédiaire'!CE130/24,0),0)</f>
        <v>5</v>
      </c>
      <c r="S236" s="13">
        <f>IF(Distances!CF130&lt;&gt;0,ROUNDUP(S209+'Délai intermédiaire'!CF130/24,0),0)</f>
        <v>5</v>
      </c>
      <c r="T236" s="13">
        <f>IF(Distances!CG130&lt;&gt;0,ROUNDUP(T209+'Délai intermédiaire'!CG130/24,0),0)</f>
        <v>5</v>
      </c>
      <c r="U236" s="13">
        <f>IF(Distances!CH130&lt;&gt;0,ROUNDUP(U209+'Délai intermédiaire'!CH130/24,0),0)</f>
        <v>2</v>
      </c>
      <c r="V236" s="13">
        <f>IF(Distances!CI130&lt;&gt;0,ROUNDUP(V209+'Délai intermédiaire'!CI130/24,0),0)</f>
        <v>4</v>
      </c>
      <c r="W236" s="13">
        <f>IF(Distances!CJ130&lt;&gt;0,ROUNDUP(W209+'Délai intermédiaire'!CJ130/24,0),0)</f>
        <v>6</v>
      </c>
      <c r="X236" s="13">
        <f>IF(Distances!CK130&lt;&gt;0,ROUNDUP(X209+'Délai intermédiaire'!CK130/24,0),0)</f>
        <v>7</v>
      </c>
      <c r="Y236" s="13">
        <f>IF(Distances!CL130&lt;&gt;0,ROUNDUP(Y209+'Délai intermédiaire'!CL130/24,0),0)</f>
        <v>6</v>
      </c>
      <c r="Z236" s="13">
        <f>IF(Distances!CM130&lt;&gt;0,ROUNDUP(Z209+'Délai intermédiaire'!CM130/24,0),0)</f>
        <v>3</v>
      </c>
      <c r="AA236" s="12">
        <f>IF(Distances!CN130&lt;&gt;0,ROUNDUP(AA209+'Délai intermédiaire'!CN130/24,0),0)</f>
        <v>0</v>
      </c>
      <c r="AB236" s="13">
        <f>IF(Distances!CO130&lt;&gt;0,ROUNDUP(AB209+'Délai intermédiaire'!CO130/24,0),0)</f>
        <v>3</v>
      </c>
      <c r="AC236" s="13">
        <f>IF(Distances!CP130&lt;&gt;0,ROUNDUP(AC209+'Délai intermédiaire'!CP130/24,0),0)</f>
        <v>2</v>
      </c>
      <c r="AD236" s="13">
        <f>IF(Distances!CQ130&lt;&gt;0,ROUNDUP(AD209+'Délai intermédiaire'!CQ130/24,0),0)</f>
        <v>8</v>
      </c>
      <c r="AE236" s="13">
        <f>IF(Distances!CR130&lt;&gt;0,ROUNDUP(AE209+'Délai intermédiaire'!CR130/24,0),0)</f>
        <v>5</v>
      </c>
      <c r="AF236" s="13">
        <f>IF(Distances!CS130&lt;&gt;0,ROUNDUP(AF209+'Délai intermédiaire'!CS130/24,0),0)</f>
        <v>4</v>
      </c>
      <c r="AG236" s="13">
        <f>IF(Distances!CT130&lt;&gt;0,ROUNDUP(AG209+'Délai intermédiaire'!CT130/24,0),0)</f>
        <v>5</v>
      </c>
      <c r="AH236" s="14">
        <f>IF(Distances!CU130&lt;&gt;0,ROUNDUP(AH209+'Délai intermédiaire'!CU130/24,0),0)</f>
        <v>11</v>
      </c>
      <c r="AI236" s="14">
        <f>IF(Distances!CV130&lt;&gt;0,ROUNDUP(AI209+'Délai intermédiaire'!CV130/24,0),0)</f>
        <v>13</v>
      </c>
      <c r="AJ236" s="14">
        <f>IF(Distances!CW130&lt;&gt;0,ROUNDUP(AJ209+'Délai intermédiaire'!CW130/24,0),0)</f>
        <v>11</v>
      </c>
      <c r="AK236" s="14">
        <f>IF(Distances!CX130&lt;&gt;0,ROUNDUP(AK209+'Délai intermédiaire'!CX130/24,0),0)</f>
        <v>12</v>
      </c>
      <c r="AL236" s="14">
        <f>IF(Distances!CY130&lt;&gt;0,ROUNDUP(AL209+'Délai intermédiaire'!CY130/24,0),0)</f>
        <v>18</v>
      </c>
      <c r="AM236" s="14">
        <f>IF(Distances!CZ130&lt;&gt;0,ROUNDUP(AM209+'Délai intermédiaire'!CZ130/24,0),0)</f>
        <v>17</v>
      </c>
      <c r="AN236" s="14">
        <f>IF(Distances!DA130&lt;&gt;0,ROUNDUP(AN209+'Délai intermédiaire'!DA130/24,0),0)</f>
        <v>17</v>
      </c>
      <c r="AO236" s="14">
        <f>IF(Distances!DB130&lt;&gt;0,ROUNDUP(AO209+'Délai intermédiaire'!DB130/24,0),0)</f>
        <v>19</v>
      </c>
      <c r="AP236" s="14">
        <f>IF(Distances!DC130&lt;&gt;0,ROUNDUP(AP209+'Délai intermédiaire'!DC130/24,0),0)</f>
        <v>19</v>
      </c>
      <c r="AQ236" s="14">
        <f>IF(Distances!DD130&lt;&gt;0,ROUNDUP(AQ209+'Délai intermédiaire'!DD130/24,0),0)</f>
        <v>16</v>
      </c>
      <c r="AR236" s="14">
        <f>IF(Distances!DE130&lt;&gt;0,ROUNDUP(AR209+'Délai intermédiaire'!DE130/24,0),0)</f>
        <v>10</v>
      </c>
      <c r="AS236" s="14">
        <f>IF(Distances!DF130&lt;&gt;0,ROUNDUP(AS209+'Délai intermédiaire'!DF130/24,0),0)</f>
        <v>11</v>
      </c>
      <c r="AT236" s="14">
        <f>IF(Distances!DG130&lt;&gt;0,ROUNDUP(AT209+'Délai intermédiaire'!DG130/24,0),0)</f>
        <v>11</v>
      </c>
      <c r="AU236" s="14">
        <f>IF(Distances!DH130&lt;&gt;0,ROUNDUP(AU209+'Délai intermédiaire'!DH130/24,0),0)</f>
        <v>18</v>
      </c>
      <c r="AV236" s="14">
        <f>IF(Distances!DI130&lt;&gt;0,ROUNDUP(AV209+'Délai intermédiaire'!DI130/24,0),0)</f>
        <v>10</v>
      </c>
      <c r="AW236" s="14">
        <f>IF(Distances!DJ130&lt;&gt;0,ROUNDUP(AW209+'Délai intermédiaire'!DJ130/24,0),0)</f>
        <v>12</v>
      </c>
      <c r="AX236" s="14">
        <f>IF(Distances!DK130&lt;&gt;0,ROUNDUP(AX209+'Délai intermédiaire'!DK130/24,0),0)</f>
        <v>20</v>
      </c>
      <c r="AY236" s="14">
        <f>IF(Distances!DL130&lt;&gt;0,ROUNDUP(AY209+'Délai intermédiaire'!DL130/24,0),0)</f>
        <v>3</v>
      </c>
      <c r="AZ236" s="14">
        <f>IF(Distances!DM130&lt;&gt;0,ROUNDUP(AZ209+'Délai intermédiaire'!DM130/24,0),0)</f>
        <v>11</v>
      </c>
      <c r="BA236" s="14">
        <f>IF(Distances!DN130&lt;&gt;0,ROUNDUP(BA209+'Délai intermédiaire'!DN130/24,0),0)</f>
        <v>15</v>
      </c>
      <c r="BB236" s="13">
        <f>IF(Distances!DO130&lt;&gt;0,ROUNDUP(BB209+'Délai intermédiaire'!DO130/24,0),0)</f>
        <v>8</v>
      </c>
      <c r="BC236" s="14">
        <f>IF(Distances!DP130&lt;&gt;0,ROUNDUP(BC209+'Délai intermédiaire'!DP130/24,0),0)</f>
        <v>16</v>
      </c>
      <c r="BD236" s="14">
        <f>IF(Distances!DQ130&lt;&gt;0,ROUNDUP(BD209+'Délai intermédiaire'!DQ130/24,0),0)</f>
        <v>19</v>
      </c>
      <c r="BE236" s="14">
        <f>IF(Distances!DR130&lt;&gt;0,ROUNDUP(BE209+'Délai intermédiaire'!DR130/24,0),0)</f>
        <v>18</v>
      </c>
      <c r="BF236" s="13">
        <f>IF(Distances!DS130&lt;&gt;0,ROUNDUP(BF209+'Délai intermédiaire'!DS130/24,0),0)</f>
        <v>6</v>
      </c>
      <c r="BG236" s="13">
        <f>IF(Distances!DT130&lt;&gt;0,ROUNDUP(BG209+'Délai intermédiaire'!DT130/24,0),0)</f>
        <v>4</v>
      </c>
      <c r="BH236" s="14">
        <f>IF(Distances!DU130&lt;&gt;0,ROUNDUP(BH209+'Délai intermédiaire'!DU130/24,0),0)</f>
        <v>13</v>
      </c>
      <c r="BI236" s="14">
        <f>IF(Distances!DV130&lt;&gt;0,ROUNDUP(BI209+'Délai intermédiaire'!DV130/24,0),0)</f>
        <v>16</v>
      </c>
      <c r="BJ236" s="15">
        <f>IF(Distances!DW130&lt;&gt;0,ROUNDUP(BJ209+'Délai intermédiaire'!DW130/24,0),0)</f>
        <v>17</v>
      </c>
    </row>
    <row r="237" spans="1:62" x14ac:dyDescent="0.3">
      <c r="A237" s="10" t="s">
        <v>27</v>
      </c>
      <c r="B237" s="16">
        <f>IF(Distances!BO131&lt;&gt;0,ROUNDUP(B209+'Délai intermédiaire'!BO131/24,0),0)</f>
        <v>9</v>
      </c>
      <c r="C237" s="14">
        <f>IF(Distances!BP131&lt;&gt;0,ROUNDUP(C209+'Délai intermédiaire'!BP131/24,0),0)</f>
        <v>10</v>
      </c>
      <c r="D237" s="14">
        <f>IF(Distances!BQ131&lt;&gt;0,ROUNDUP(D209+'Délai intermédiaire'!BQ131/24,0),0)</f>
        <v>9</v>
      </c>
      <c r="E237" s="14">
        <f>IF(Distances!BR131&lt;&gt;0,ROUNDUP(E209+'Délai intermédiaire'!BR131/24,0),0)</f>
        <v>10</v>
      </c>
      <c r="F237" s="14">
        <f>IF(Distances!BS131&lt;&gt;0,ROUNDUP(F209+'Délai intermédiaire'!BS131/24,0),0)</f>
        <v>8</v>
      </c>
      <c r="G237" s="14">
        <f>IF(Distances!BT131&lt;&gt;0,ROUNDUP(G209+'Délai intermédiaire'!BT131/24,0),0)</f>
        <v>16</v>
      </c>
      <c r="H237" s="14">
        <f>IF(Distances!BU131&lt;&gt;0,ROUNDUP(H209+'Délai intermédiaire'!BU131/24,0),0)</f>
        <v>17</v>
      </c>
      <c r="I237" s="14">
        <f>IF(Distances!BV131&lt;&gt;0,ROUNDUP(I209+'Délai intermédiaire'!BV131/24,0),0)</f>
        <v>15</v>
      </c>
      <c r="J237" s="14">
        <f>IF(Distances!BW131&lt;&gt;0,ROUNDUP(J209+'Délai intermédiaire'!BW131/24,0),0)</f>
        <v>9</v>
      </c>
      <c r="K237" s="14">
        <f>IF(Distances!BX131&lt;&gt;0,ROUNDUP(K209+'Délai intermédiaire'!BX131/24,0),0)</f>
        <v>9</v>
      </c>
      <c r="L237" s="14">
        <f>IF(Distances!BY131&lt;&gt;0,ROUNDUP(L209+'Délai intermédiaire'!BY131/24,0),0)</f>
        <v>18</v>
      </c>
      <c r="M237" s="14">
        <f>IF(Distances!BZ131&lt;&gt;0,ROUNDUP(M209+'Délai intermédiaire'!BZ131/24,0),0)</f>
        <v>18</v>
      </c>
      <c r="N237" s="14">
        <f>IF(Distances!CA131&lt;&gt;0,ROUNDUP(N209+'Délai intermédiaire'!CA131/24,0),0)</f>
        <v>12</v>
      </c>
      <c r="O237" s="14">
        <f>IF(Distances!CB131&lt;&gt;0,ROUNDUP(O209+'Délai intermédiaire'!CB131/24,0),0)</f>
        <v>11</v>
      </c>
      <c r="P237" s="14">
        <f>IF(Distances!CC131&lt;&gt;0,ROUNDUP(P209+'Délai intermédiaire'!CC131/24,0),0)</f>
        <v>9</v>
      </c>
      <c r="Q237" s="13">
        <f>IF(Distances!CD131&lt;&gt;0,ROUNDUP(Q209+'Délai intermédiaire'!CD131/24,0),0)</f>
        <v>5</v>
      </c>
      <c r="R237" s="13">
        <f>IF(Distances!CE131&lt;&gt;0,ROUNDUP(R209+'Délai intermédiaire'!CE131/24,0),0)</f>
        <v>5</v>
      </c>
      <c r="S237" s="13">
        <f>IF(Distances!CF131&lt;&gt;0,ROUNDUP(S209+'Délai intermédiaire'!CF131/24,0),0)</f>
        <v>5</v>
      </c>
      <c r="T237" s="13">
        <f>IF(Distances!CG131&lt;&gt;0,ROUNDUP(T209+'Délai intermédiaire'!CG131/24,0),0)</f>
        <v>4</v>
      </c>
      <c r="U237" s="13">
        <f>IF(Distances!CH131&lt;&gt;0,ROUNDUP(U209+'Délai intermédiaire'!CH131/24,0),0)</f>
        <v>2</v>
      </c>
      <c r="V237" s="13">
        <f>IF(Distances!CI131&lt;&gt;0,ROUNDUP(V209+'Délai intermédiaire'!CI131/24,0),0)</f>
        <v>4</v>
      </c>
      <c r="W237" s="13">
        <f>IF(Distances!CJ131&lt;&gt;0,ROUNDUP(W209+'Délai intermédiaire'!CJ131/24,0),0)</f>
        <v>5</v>
      </c>
      <c r="X237" s="13">
        <f>IF(Distances!CK131&lt;&gt;0,ROUNDUP(X209+'Délai intermédiaire'!CK131/24,0),0)</f>
        <v>6</v>
      </c>
      <c r="Y237" s="13">
        <f>IF(Distances!CL131&lt;&gt;0,ROUNDUP(Y209+'Délai intermédiaire'!CL131/24,0),0)</f>
        <v>5</v>
      </c>
      <c r="Z237" s="13">
        <f>IF(Distances!CM131&lt;&gt;0,ROUNDUP(Z209+'Délai intermédiaire'!CM131/24,0),0)</f>
        <v>4</v>
      </c>
      <c r="AA237" s="13">
        <f>IF(Distances!CN131&lt;&gt;0,ROUNDUP(AA209+'Délai intermédiaire'!CN131/24,0),0)</f>
        <v>4</v>
      </c>
      <c r="AB237" s="12">
        <f>IF(Distances!CO131&lt;&gt;0,ROUNDUP(AB209+'Délai intermédiaire'!CO131/24,0),0)</f>
        <v>0</v>
      </c>
      <c r="AC237" s="13">
        <f>IF(Distances!CP131&lt;&gt;0,ROUNDUP(AC209+'Délai intermédiaire'!CP131/24,0),0)</f>
        <v>2</v>
      </c>
      <c r="AD237" s="13">
        <f>IF(Distances!CQ131&lt;&gt;0,ROUNDUP(AD209+'Délai intermédiaire'!CQ131/24,0),0)</f>
        <v>7</v>
      </c>
      <c r="AE237" s="13">
        <f>IF(Distances!CR131&lt;&gt;0,ROUNDUP(AE209+'Délai intermédiaire'!CR131/24,0),0)</f>
        <v>5</v>
      </c>
      <c r="AF237" s="13">
        <f>IF(Distances!CS131&lt;&gt;0,ROUNDUP(AF209+'Délai intermédiaire'!CS131/24,0),0)</f>
        <v>4</v>
      </c>
      <c r="AG237" s="13">
        <f>IF(Distances!CT131&lt;&gt;0,ROUNDUP(AG209+'Délai intermédiaire'!CT131/24,0),0)</f>
        <v>5</v>
      </c>
      <c r="AH237" s="14">
        <f>IF(Distances!CU131&lt;&gt;0,ROUNDUP(AH209+'Délai intermédiaire'!CU131/24,0),0)</f>
        <v>12</v>
      </c>
      <c r="AI237" s="14">
        <f>IF(Distances!CV131&lt;&gt;0,ROUNDUP(AI209+'Délai intermédiaire'!CV131/24,0),0)</f>
        <v>14</v>
      </c>
      <c r="AJ237" s="14">
        <f>IF(Distances!CW131&lt;&gt;0,ROUNDUP(AJ209+'Délai intermédiaire'!CW131/24,0),0)</f>
        <v>11</v>
      </c>
      <c r="AK237" s="14">
        <f>IF(Distances!CX131&lt;&gt;0,ROUNDUP(AK209+'Délai intermédiaire'!CX131/24,0),0)</f>
        <v>13</v>
      </c>
      <c r="AL237" s="14">
        <f>IF(Distances!CY131&lt;&gt;0,ROUNDUP(AL209+'Délai intermédiaire'!CY131/24,0),0)</f>
        <v>18</v>
      </c>
      <c r="AM237" s="14">
        <f>IF(Distances!CZ131&lt;&gt;0,ROUNDUP(AM209+'Délai intermédiaire'!CZ131/24,0),0)</f>
        <v>18</v>
      </c>
      <c r="AN237" s="14">
        <f>IF(Distances!DA131&lt;&gt;0,ROUNDUP(AN209+'Délai intermédiaire'!DA131/24,0),0)</f>
        <v>18</v>
      </c>
      <c r="AO237" s="14">
        <f>IF(Distances!DB131&lt;&gt;0,ROUNDUP(AO209+'Délai intermédiaire'!DB131/24,0),0)</f>
        <v>19</v>
      </c>
      <c r="AP237" s="14">
        <f>IF(Distances!DC131&lt;&gt;0,ROUNDUP(AP209+'Délai intermédiaire'!DC131/24,0),0)</f>
        <v>20</v>
      </c>
      <c r="AQ237" s="14">
        <f>IF(Distances!DD131&lt;&gt;0,ROUNDUP(AQ209+'Délai intermédiaire'!DD131/24,0),0)</f>
        <v>16</v>
      </c>
      <c r="AR237" s="14">
        <f>IF(Distances!DE131&lt;&gt;0,ROUNDUP(AR209+'Délai intermédiaire'!DE131/24,0),0)</f>
        <v>11</v>
      </c>
      <c r="AS237" s="14">
        <f>IF(Distances!DF131&lt;&gt;0,ROUNDUP(AS209+'Délai intermédiaire'!DF131/24,0),0)</f>
        <v>11</v>
      </c>
      <c r="AT237" s="14">
        <f>IF(Distances!DG131&lt;&gt;0,ROUNDUP(AT209+'Délai intermédiaire'!DG131/24,0),0)</f>
        <v>11</v>
      </c>
      <c r="AU237" s="14">
        <f>IF(Distances!DH131&lt;&gt;0,ROUNDUP(AU209+'Délai intermédiaire'!DH131/24,0),0)</f>
        <v>19</v>
      </c>
      <c r="AV237" s="14">
        <f>IF(Distances!DI131&lt;&gt;0,ROUNDUP(AV209+'Délai intermédiaire'!DI131/24,0),0)</f>
        <v>9</v>
      </c>
      <c r="AW237" s="14">
        <f>IF(Distances!DJ131&lt;&gt;0,ROUNDUP(AW209+'Délai intermédiaire'!DJ131/24,0),0)</f>
        <v>11</v>
      </c>
      <c r="AX237" s="14">
        <f>IF(Distances!DK131&lt;&gt;0,ROUNDUP(AX209+'Délai intermédiaire'!DK131/24,0),0)</f>
        <v>20</v>
      </c>
      <c r="AY237" s="14">
        <f>IF(Distances!DL131&lt;&gt;0,ROUNDUP(AY209+'Délai intermédiaire'!DL131/24,0),0)</f>
        <v>3</v>
      </c>
      <c r="AZ237" s="14">
        <f>IF(Distances!DM131&lt;&gt;0,ROUNDUP(AZ209+'Délai intermédiaire'!DM131/24,0),0)</f>
        <v>11</v>
      </c>
      <c r="BA237" s="14">
        <f>IF(Distances!DN131&lt;&gt;0,ROUNDUP(BA209+'Délai intermédiaire'!DN131/24,0),0)</f>
        <v>16</v>
      </c>
      <c r="BB237" s="13">
        <f>IF(Distances!DO131&lt;&gt;0,ROUNDUP(BB209+'Délai intermédiaire'!DO131/24,0),0)</f>
        <v>7</v>
      </c>
      <c r="BC237" s="14">
        <f>IF(Distances!DP131&lt;&gt;0,ROUNDUP(BC209+'Délai intermédiaire'!DP131/24,0),0)</f>
        <v>17</v>
      </c>
      <c r="BD237" s="14">
        <f>IF(Distances!DQ131&lt;&gt;0,ROUNDUP(BD209+'Délai intermédiaire'!DQ131/24,0),0)</f>
        <v>19</v>
      </c>
      <c r="BE237" s="14">
        <f>IF(Distances!DR131&lt;&gt;0,ROUNDUP(BE209+'Délai intermédiaire'!DR131/24,0),0)</f>
        <v>18</v>
      </c>
      <c r="BF237" s="13">
        <f>IF(Distances!DS131&lt;&gt;0,ROUNDUP(BF209+'Délai intermédiaire'!DS131/24,0),0)</f>
        <v>7</v>
      </c>
      <c r="BG237" s="13">
        <f>IF(Distances!DT131&lt;&gt;0,ROUNDUP(BG209+'Délai intermédiaire'!DT131/24,0),0)</f>
        <v>5</v>
      </c>
      <c r="BH237" s="14">
        <f>IF(Distances!DU131&lt;&gt;0,ROUNDUP(BH209+'Délai intermédiaire'!DU131/24,0),0)</f>
        <v>12</v>
      </c>
      <c r="BI237" s="14">
        <f>IF(Distances!DV131&lt;&gt;0,ROUNDUP(BI209+'Délai intermédiaire'!DV131/24,0),0)</f>
        <v>16</v>
      </c>
      <c r="BJ237" s="15">
        <f>IF(Distances!DW131&lt;&gt;0,ROUNDUP(BJ209+'Délai intermédiaire'!DW131/24,0),0)</f>
        <v>16</v>
      </c>
    </row>
    <row r="238" spans="1:62" x14ac:dyDescent="0.3">
      <c r="A238" s="10" t="s">
        <v>65</v>
      </c>
      <c r="B238" s="16">
        <f>IF(Distances!BO132&lt;&gt;0,ROUNDUP(B209+'Délai intermédiaire'!BO132/24,0),0)</f>
        <v>0</v>
      </c>
      <c r="C238" s="14">
        <f>IF(Distances!BP132&lt;&gt;0,ROUNDUP(C209+'Délai intermédiaire'!BP132/24,0),0)</f>
        <v>0</v>
      </c>
      <c r="D238" s="14">
        <f>IF(Distances!BQ132&lt;&gt;0,ROUNDUP(D209+'Délai intermédiaire'!BQ132/24,0),0)</f>
        <v>9</v>
      </c>
      <c r="E238" s="14">
        <f>IF(Distances!BR132&lt;&gt;0,ROUNDUP(E209+'Délai intermédiaire'!BR132/24,0),0)</f>
        <v>0</v>
      </c>
      <c r="F238" s="14">
        <f>IF(Distances!BS132&lt;&gt;0,ROUNDUP(F209+'Délai intermédiaire'!BS132/24,0),0)</f>
        <v>8</v>
      </c>
      <c r="G238" s="14">
        <f>IF(Distances!BT132&lt;&gt;0,ROUNDUP(G209+'Délai intermédiaire'!BT132/24,0),0)</f>
        <v>16</v>
      </c>
      <c r="H238" s="14">
        <f>IF(Distances!BU132&lt;&gt;0,ROUNDUP(H209+'Délai intermédiaire'!BU132/24,0),0)</f>
        <v>0</v>
      </c>
      <c r="I238" s="14">
        <f>IF(Distances!BV132&lt;&gt;0,ROUNDUP(I209+'Délai intermédiaire'!BV132/24,0),0)</f>
        <v>0</v>
      </c>
      <c r="J238" s="14">
        <f>IF(Distances!BW132&lt;&gt;0,ROUNDUP(J209+'Délai intermédiaire'!BW132/24,0),0)</f>
        <v>9</v>
      </c>
      <c r="K238" s="14">
        <f>IF(Distances!BX132&lt;&gt;0,ROUNDUP(K209+'Délai intermédiaire'!BX132/24,0),0)</f>
        <v>0</v>
      </c>
      <c r="L238" s="14">
        <f>IF(Distances!BY132&lt;&gt;0,ROUNDUP(L209+'Délai intermédiaire'!BY132/24,0),0)</f>
        <v>18</v>
      </c>
      <c r="M238" s="14">
        <f>IF(Distances!BZ132&lt;&gt;0,ROUNDUP(M209+'Délai intermédiaire'!BZ132/24,0),0)</f>
        <v>0</v>
      </c>
      <c r="N238" s="14">
        <f>IF(Distances!CA132&lt;&gt;0,ROUNDUP(N209+'Délai intermédiaire'!CA132/24,0),0)</f>
        <v>12</v>
      </c>
      <c r="O238" s="14">
        <f>IF(Distances!CB132&lt;&gt;0,ROUNDUP(O209+'Délai intermédiaire'!CB132/24,0),0)</f>
        <v>11</v>
      </c>
      <c r="P238" s="14">
        <f>IF(Distances!CC132&lt;&gt;0,ROUNDUP(P209+'Délai intermédiaire'!CC132/24,0),0)</f>
        <v>9</v>
      </c>
      <c r="Q238" s="13">
        <f>IF(Distances!CD132&lt;&gt;0,ROUNDUP(Q209+'Délai intermédiaire'!CD132/24,0),0)</f>
        <v>0</v>
      </c>
      <c r="R238" s="13">
        <f>IF(Distances!CE132&lt;&gt;0,ROUNDUP(R209+'Délai intermédiaire'!CE132/24,0),0)</f>
        <v>0</v>
      </c>
      <c r="S238" s="13">
        <f>IF(Distances!CF132&lt;&gt;0,ROUNDUP(S209+'Délai intermédiaire'!CF132/24,0),0)</f>
        <v>0</v>
      </c>
      <c r="T238" s="13">
        <f>IF(Distances!CG132&lt;&gt;0,ROUNDUP(T209+'Délai intermédiaire'!CG132/24,0),0)</f>
        <v>4</v>
      </c>
      <c r="U238" s="13">
        <f>IF(Distances!CH132&lt;&gt;0,ROUNDUP(U209+'Délai intermédiaire'!CH132/24,0),0)</f>
        <v>2</v>
      </c>
      <c r="V238" s="13">
        <f>IF(Distances!CI132&lt;&gt;0,ROUNDUP(V209+'Délai intermédiaire'!CI132/24,0),0)</f>
        <v>4</v>
      </c>
      <c r="W238" s="13">
        <f>IF(Distances!CJ132&lt;&gt;0,ROUNDUP(W209+'Délai intermédiaire'!CJ132/24,0),0)</f>
        <v>0</v>
      </c>
      <c r="X238" s="13">
        <f>IF(Distances!CK132&lt;&gt;0,ROUNDUP(X209+'Délai intermédiaire'!CK132/24,0),0)</f>
        <v>6</v>
      </c>
      <c r="Y238" s="13">
        <f>IF(Distances!CL132&lt;&gt;0,ROUNDUP(Y209+'Délai intermédiaire'!CL132/24,0),0)</f>
        <v>5</v>
      </c>
      <c r="Z238" s="13">
        <f>IF(Distances!CM132&lt;&gt;0,ROUNDUP(Z209+'Délai intermédiaire'!CM132/24,0),0)</f>
        <v>3</v>
      </c>
      <c r="AA238" s="13">
        <f>IF(Distances!CN132&lt;&gt;0,ROUNDUP(AA209+'Délai intermédiaire'!CN132/24,0),0)</f>
        <v>3</v>
      </c>
      <c r="AB238" s="13">
        <f>IF(Distances!CO132&lt;&gt;0,ROUNDUP(AB209+'Délai intermédiaire'!CO132/24,0),0)</f>
        <v>2</v>
      </c>
      <c r="AC238" s="12">
        <f>IF(Distances!CP132&lt;&gt;0,ROUNDUP(AC209+'Délai intermédiaire'!CP132/24,0),0)</f>
        <v>0</v>
      </c>
      <c r="AD238" s="13">
        <f>IF(Distances!CQ132&lt;&gt;0,ROUNDUP(AD209+'Délai intermédiaire'!CQ132/24,0),0)</f>
        <v>0</v>
      </c>
      <c r="AE238" s="13">
        <f>IF(Distances!CR132&lt;&gt;0,ROUNDUP(AE209+'Délai intermédiaire'!CR132/24,0),0)</f>
        <v>5</v>
      </c>
      <c r="AF238" s="13">
        <f>IF(Distances!CS132&lt;&gt;0,ROUNDUP(AF209+'Délai intermédiaire'!CS132/24,0),0)</f>
        <v>4</v>
      </c>
      <c r="AG238" s="13">
        <f>IF(Distances!CT132&lt;&gt;0,ROUNDUP(AG209+'Délai intermédiaire'!CT132/24,0),0)</f>
        <v>5</v>
      </c>
      <c r="AH238" s="14">
        <f>IF(Distances!CU132&lt;&gt;0,ROUNDUP(AH209+'Délai intermédiaire'!CU132/24,0),0)</f>
        <v>11</v>
      </c>
      <c r="AI238" s="14">
        <f>IF(Distances!CV132&lt;&gt;0,ROUNDUP(AI209+'Délai intermédiaire'!CV132/24,0),0)</f>
        <v>0</v>
      </c>
      <c r="AJ238" s="14">
        <f>IF(Distances!CW132&lt;&gt;0,ROUNDUP(AJ209+'Délai intermédiaire'!CW132/24,0),0)</f>
        <v>11</v>
      </c>
      <c r="AK238" s="14">
        <f>IF(Distances!CX132&lt;&gt;0,ROUNDUP(AK209+'Délai intermédiaire'!CX132/24,0),0)</f>
        <v>0</v>
      </c>
      <c r="AL238" s="14">
        <f>IF(Distances!CY132&lt;&gt;0,ROUNDUP(AL209+'Délai intermédiaire'!CY132/24,0),0)</f>
        <v>0</v>
      </c>
      <c r="AM238" s="14">
        <f>IF(Distances!CZ132&lt;&gt;0,ROUNDUP(AM209+'Délai intermédiaire'!CZ132/24,0),0)</f>
        <v>0</v>
      </c>
      <c r="AN238" s="14">
        <f>IF(Distances!DA132&lt;&gt;0,ROUNDUP(AN209+'Délai intermédiaire'!DA132/24,0),0)</f>
        <v>17</v>
      </c>
      <c r="AO238" s="14">
        <f>IF(Distances!DB132&lt;&gt;0,ROUNDUP(AO209+'Délai intermédiaire'!DB132/24,0),0)</f>
        <v>0</v>
      </c>
      <c r="AP238" s="14">
        <f>IF(Distances!DC132&lt;&gt;0,ROUNDUP(AP209+'Délai intermédiaire'!DC132/24,0),0)</f>
        <v>0</v>
      </c>
      <c r="AQ238" s="14">
        <f>IF(Distances!DD132&lt;&gt;0,ROUNDUP(AQ209+'Délai intermédiaire'!DD132/24,0),0)</f>
        <v>0</v>
      </c>
      <c r="AR238" s="14">
        <f>IF(Distances!DE132&lt;&gt;0,ROUNDUP(AR209+'Délai intermédiaire'!DE132/24,0),0)</f>
        <v>0</v>
      </c>
      <c r="AS238" s="14">
        <f>IF(Distances!DF132&lt;&gt;0,ROUNDUP(AS209+'Délai intermédiaire'!DF132/24,0),0)</f>
        <v>11</v>
      </c>
      <c r="AT238" s="14">
        <f>IF(Distances!DG132&lt;&gt;0,ROUNDUP(AT209+'Délai intermédiaire'!DG132/24,0),0)</f>
        <v>11</v>
      </c>
      <c r="AU238" s="14">
        <f>IF(Distances!DH132&lt;&gt;0,ROUNDUP(AU209+'Délai intermédiaire'!DH132/24,0),0)</f>
        <v>18</v>
      </c>
      <c r="AV238" s="14">
        <f>IF(Distances!DI132&lt;&gt;0,ROUNDUP(AV209+'Délai intermédiaire'!DI132/24,0),0)</f>
        <v>9</v>
      </c>
      <c r="AW238" s="14">
        <f>IF(Distances!DJ132&lt;&gt;0,ROUNDUP(AW209+'Délai intermédiaire'!DJ132/24,0),0)</f>
        <v>12</v>
      </c>
      <c r="AX238" s="14">
        <f>IF(Distances!DK132&lt;&gt;0,ROUNDUP(AX209+'Délai intermédiaire'!DK132/24,0),0)</f>
        <v>0</v>
      </c>
      <c r="AY238" s="14">
        <f>IF(Distances!DL132&lt;&gt;0,ROUNDUP(AY209+'Délai intermédiaire'!DL132/24,0),0)</f>
        <v>0</v>
      </c>
      <c r="AZ238" s="14">
        <f>IF(Distances!DM132&lt;&gt;0,ROUNDUP(AZ209+'Délai intermédiaire'!DM132/24,0),0)</f>
        <v>11</v>
      </c>
      <c r="BA238" s="14">
        <f>IF(Distances!DN132&lt;&gt;0,ROUNDUP(BA209+'Délai intermédiaire'!DN132/24,0),0)</f>
        <v>0</v>
      </c>
      <c r="BB238" s="13">
        <f>IF(Distances!DO132&lt;&gt;0,ROUNDUP(BB209+'Délai intermédiaire'!DO132/24,0),0)</f>
        <v>0</v>
      </c>
      <c r="BC238" s="14">
        <f>IF(Distances!DP132&lt;&gt;0,ROUNDUP(BC209+'Délai intermédiaire'!DP132/24,0),0)</f>
        <v>0</v>
      </c>
      <c r="BD238" s="14">
        <f>IF(Distances!DQ132&lt;&gt;0,ROUNDUP(BD209+'Délai intermédiaire'!DQ132/24,0),0)</f>
        <v>19</v>
      </c>
      <c r="BE238" s="14">
        <f>IF(Distances!DR132&lt;&gt;0,ROUNDUP(BE209+'Délai intermédiaire'!DR132/24,0),0)</f>
        <v>0</v>
      </c>
      <c r="BF238" s="13">
        <f>IF(Distances!DS132&lt;&gt;0,ROUNDUP(BF209+'Délai intermédiaire'!DS132/24,0),0)</f>
        <v>6</v>
      </c>
      <c r="BG238" s="13">
        <f>IF(Distances!DT132&lt;&gt;0,ROUNDUP(BG209+'Délai intermédiaire'!DT132/24,0),0)</f>
        <v>5</v>
      </c>
      <c r="BH238" s="14">
        <f>IF(Distances!DU132&lt;&gt;0,ROUNDUP(BH209+'Délai intermédiaire'!DU132/24,0),0)</f>
        <v>12</v>
      </c>
      <c r="BI238" s="14">
        <f>IF(Distances!DV132&lt;&gt;0,ROUNDUP(BI209+'Délai intermédiaire'!DV132/24,0),0)</f>
        <v>16</v>
      </c>
      <c r="BJ238" s="15">
        <f>IF(Distances!DW132&lt;&gt;0,ROUNDUP(BJ209+'Délai intermédiaire'!DW132/24,0),0)</f>
        <v>16</v>
      </c>
    </row>
    <row r="239" spans="1:62" x14ac:dyDescent="0.3">
      <c r="A239" s="10" t="s">
        <v>29</v>
      </c>
      <c r="B239" s="16">
        <f>IF(Distances!BO133&lt;&gt;0,ROUNDUP(B209+'Délai intermédiaire'!BO133/24,0),0)</f>
        <v>0</v>
      </c>
      <c r="C239" s="14">
        <f>IF(Distances!BP133&lt;&gt;0,ROUNDUP(C209+'Délai intermédiaire'!BP133/24,0),0)</f>
        <v>0</v>
      </c>
      <c r="D239" s="14">
        <f>IF(Distances!BQ133&lt;&gt;0,ROUNDUP(D209+'Délai intermédiaire'!BQ133/24,0),0)</f>
        <v>9</v>
      </c>
      <c r="E239" s="14">
        <f>IF(Distances!BR133&lt;&gt;0,ROUNDUP(E209+'Délai intermédiaire'!BR133/24,0),0)</f>
        <v>0</v>
      </c>
      <c r="F239" s="14">
        <f>IF(Distances!BS133&lt;&gt;0,ROUNDUP(F209+'Délai intermédiaire'!BS133/24,0),0)</f>
        <v>9</v>
      </c>
      <c r="G239" s="14">
        <f>IF(Distances!BT133&lt;&gt;0,ROUNDUP(G209+'Délai intermédiaire'!BT133/24,0),0)</f>
        <v>16</v>
      </c>
      <c r="H239" s="14">
        <f>IF(Distances!BU133&lt;&gt;0,ROUNDUP(H209+'Délai intermédiaire'!BU133/24,0),0)</f>
        <v>0</v>
      </c>
      <c r="I239" s="14">
        <f>IF(Distances!BV133&lt;&gt;0,ROUNDUP(I209+'Délai intermédiaire'!BV133/24,0),0)</f>
        <v>0</v>
      </c>
      <c r="J239" s="14">
        <f>IF(Distances!BW133&lt;&gt;0,ROUNDUP(J209+'Délai intermédiaire'!BW133/24,0),0)</f>
        <v>9</v>
      </c>
      <c r="K239" s="14">
        <f>IF(Distances!BX133&lt;&gt;0,ROUNDUP(K209+'Délai intermédiaire'!BX133/24,0),0)</f>
        <v>0</v>
      </c>
      <c r="L239" s="14">
        <f>IF(Distances!BY133&lt;&gt;0,ROUNDUP(L209+'Délai intermédiaire'!BY133/24,0),0)</f>
        <v>19</v>
      </c>
      <c r="M239" s="14">
        <f>IF(Distances!BZ133&lt;&gt;0,ROUNDUP(M209+'Délai intermédiaire'!BZ133/24,0),0)</f>
        <v>0</v>
      </c>
      <c r="N239" s="14">
        <f>IF(Distances!CA133&lt;&gt;0,ROUNDUP(N209+'Délai intermédiaire'!CA133/24,0),0)</f>
        <v>12</v>
      </c>
      <c r="O239" s="14">
        <f>IF(Distances!CB133&lt;&gt;0,ROUNDUP(O209+'Délai intermédiaire'!CB133/24,0),0)</f>
        <v>13</v>
      </c>
      <c r="P239" s="14">
        <f>IF(Distances!CC133&lt;&gt;0,ROUNDUP(P209+'Délai intermédiaire'!CC133/24,0),0)</f>
        <v>11</v>
      </c>
      <c r="Q239" s="13">
        <f>IF(Distances!CD133&lt;&gt;0,ROUNDUP(Q209+'Délai intermédiaire'!CD133/24,0),0)</f>
        <v>0</v>
      </c>
      <c r="R239" s="13">
        <f>IF(Distances!CE133&lt;&gt;0,ROUNDUP(R209+'Délai intermédiaire'!CE133/24,0),0)</f>
        <v>0</v>
      </c>
      <c r="S239" s="13">
        <f>IF(Distances!CF133&lt;&gt;0,ROUNDUP(S209+'Délai intermédiaire'!CF133/24,0),0)</f>
        <v>0</v>
      </c>
      <c r="T239" s="13">
        <f>IF(Distances!CG133&lt;&gt;0,ROUNDUP(T209+'Délai intermédiaire'!CG133/24,0),0)</f>
        <v>3</v>
      </c>
      <c r="U239" s="13">
        <f>IF(Distances!CH133&lt;&gt;0,ROUNDUP(U209+'Délai intermédiaire'!CH133/24,0),0)</f>
        <v>6</v>
      </c>
      <c r="V239" s="13">
        <f>IF(Distances!CI133&lt;&gt;0,ROUNDUP(V209+'Délai intermédiaire'!CI133/24,0),0)</f>
        <v>8</v>
      </c>
      <c r="W239" s="13">
        <f>IF(Distances!CJ133&lt;&gt;0,ROUNDUP(W209+'Délai intermédiaire'!CJ133/24,0),0)</f>
        <v>0</v>
      </c>
      <c r="X239" s="13">
        <f>IF(Distances!CK133&lt;&gt;0,ROUNDUP(X209+'Délai intermédiaire'!CK133/24,0),0)</f>
        <v>1</v>
      </c>
      <c r="Y239" s="13">
        <f>IF(Distances!CL133&lt;&gt;0,ROUNDUP(Y209+'Délai intermédiaire'!CL133/24,0),0)</f>
        <v>3</v>
      </c>
      <c r="Z239" s="13">
        <f>IF(Distances!CM133&lt;&gt;0,ROUNDUP(Z209+'Délai intermédiaire'!CM133/24,0),0)</f>
        <v>8</v>
      </c>
      <c r="AA239" s="13">
        <f>IF(Distances!CN133&lt;&gt;0,ROUNDUP(AA209+'Délai intermédiaire'!CN133/24,0),0)</f>
        <v>8</v>
      </c>
      <c r="AB239" s="13">
        <f>IF(Distances!CO133&lt;&gt;0,ROUNDUP(AB209+'Délai intermédiaire'!CO133/24,0),0)</f>
        <v>6</v>
      </c>
      <c r="AC239" s="13">
        <f>IF(Distances!CP133&lt;&gt;0,ROUNDUP(AC209+'Délai intermédiaire'!CP133/24,0),0)</f>
        <v>0</v>
      </c>
      <c r="AD239" s="12">
        <f>IF(Distances!CQ133&lt;&gt;0,ROUNDUP(AD209+'Délai intermédiaire'!CQ133/24,0),0)</f>
        <v>0</v>
      </c>
      <c r="AE239" s="13">
        <f>IF(Distances!CR133&lt;&gt;0,ROUNDUP(AE209+'Délai intermédiaire'!CR133/24,0),0)</f>
        <v>9</v>
      </c>
      <c r="AF239" s="13">
        <f>IF(Distances!CS133&lt;&gt;0,ROUNDUP(AF209+'Délai intermédiaire'!CS133/24,0),0)</f>
        <v>8</v>
      </c>
      <c r="AG239" s="13">
        <f>IF(Distances!CT133&lt;&gt;0,ROUNDUP(AG209+'Délai intermédiaire'!CT133/24,0),0)</f>
        <v>9</v>
      </c>
      <c r="AH239" s="14">
        <f>IF(Distances!CU133&lt;&gt;0,ROUNDUP(AH209+'Délai intermédiaire'!CU133/24,0),0)</f>
        <v>16</v>
      </c>
      <c r="AI239" s="14">
        <f>IF(Distances!CV133&lt;&gt;0,ROUNDUP(AI209+'Délai intermédiaire'!CV133/24,0),0)</f>
        <v>0</v>
      </c>
      <c r="AJ239" s="14">
        <f>IF(Distances!CW133&lt;&gt;0,ROUNDUP(AJ209+'Délai intermédiaire'!CW133/24,0),0)</f>
        <v>15</v>
      </c>
      <c r="AK239" s="14">
        <f>IF(Distances!CX133&lt;&gt;0,ROUNDUP(AK209+'Délai intermédiaire'!CX133/24,0),0)</f>
        <v>0</v>
      </c>
      <c r="AL239" s="14">
        <f>IF(Distances!CY133&lt;&gt;0,ROUNDUP(AL209+'Délai intermédiaire'!CY133/24,0),0)</f>
        <v>0</v>
      </c>
      <c r="AM239" s="14">
        <f>IF(Distances!CZ133&lt;&gt;0,ROUNDUP(AM209+'Délai intermédiaire'!CZ133/24,0),0)</f>
        <v>0</v>
      </c>
      <c r="AN239" s="14">
        <f>IF(Distances!DA133&lt;&gt;0,ROUNDUP(AN209+'Délai intermédiaire'!DA133/24,0),0)</f>
        <v>22</v>
      </c>
      <c r="AO239" s="14">
        <f>IF(Distances!DB133&lt;&gt;0,ROUNDUP(AO209+'Délai intermédiaire'!DB133/24,0),0)</f>
        <v>0</v>
      </c>
      <c r="AP239" s="14">
        <f>IF(Distances!DC133&lt;&gt;0,ROUNDUP(AP209+'Délai intermédiaire'!DC133/24,0),0)</f>
        <v>0</v>
      </c>
      <c r="AQ239" s="14">
        <f>IF(Distances!DD133&lt;&gt;0,ROUNDUP(AQ209+'Délai intermédiaire'!DD133/24,0),0)</f>
        <v>0</v>
      </c>
      <c r="AR239" s="14">
        <f>IF(Distances!DE133&lt;&gt;0,ROUNDUP(AR209+'Délai intermédiaire'!DE133/24,0),0)</f>
        <v>0</v>
      </c>
      <c r="AS239" s="14">
        <f>IF(Distances!DF133&lt;&gt;0,ROUNDUP(AS209+'Délai intermédiaire'!DF133/24,0),0)</f>
        <v>15</v>
      </c>
      <c r="AT239" s="14">
        <f>IF(Distances!DG133&lt;&gt;0,ROUNDUP(AT209+'Délai intermédiaire'!DG133/24,0),0)</f>
        <v>15</v>
      </c>
      <c r="AU239" s="14">
        <f>IF(Distances!DH133&lt;&gt;0,ROUNDUP(AU209+'Délai intermédiaire'!DH133/24,0),0)</f>
        <v>23</v>
      </c>
      <c r="AV239" s="14">
        <f>IF(Distances!DI133&lt;&gt;0,ROUNDUP(AV209+'Délai intermédiaire'!DI133/24,0),0)</f>
        <v>5</v>
      </c>
      <c r="AW239" s="14">
        <f>IF(Distances!DJ133&lt;&gt;0,ROUNDUP(AW209+'Délai intermédiaire'!DJ133/24,0),0)</f>
        <v>7</v>
      </c>
      <c r="AX239" s="14">
        <f>IF(Distances!DK133&lt;&gt;0,ROUNDUP(AX209+'Délai intermédiaire'!DK133/24,0),0)</f>
        <v>0</v>
      </c>
      <c r="AY239" s="14">
        <f>IF(Distances!DL133&lt;&gt;0,ROUNDUP(AY209+'Délai intermédiaire'!DL133/24,0),0)</f>
        <v>0</v>
      </c>
      <c r="AZ239" s="14">
        <f>IF(Distances!DM133&lt;&gt;0,ROUNDUP(AZ209+'Délai intermédiaire'!DM133/24,0),0)</f>
        <v>15</v>
      </c>
      <c r="BA239" s="14">
        <f>IF(Distances!DN133&lt;&gt;0,ROUNDUP(BA209+'Délai intermédiaire'!DN133/24,0),0)</f>
        <v>0</v>
      </c>
      <c r="BB239" s="13">
        <f>IF(Distances!DO133&lt;&gt;0,ROUNDUP(BB209+'Délai intermédiaire'!DO133/24,0),0)</f>
        <v>0</v>
      </c>
      <c r="BC239" s="14">
        <f>IF(Distances!DP133&lt;&gt;0,ROUNDUP(BC209+'Délai intermédiaire'!DP133/24,0),0)</f>
        <v>0</v>
      </c>
      <c r="BD239" s="14">
        <f>IF(Distances!DQ133&lt;&gt;0,ROUNDUP(BD209+'Délai intermédiaire'!DQ133/24,0),0)</f>
        <v>23</v>
      </c>
      <c r="BE239" s="14">
        <f>IF(Distances!DR133&lt;&gt;0,ROUNDUP(BE209+'Délai intermédiaire'!DR133/24,0),0)</f>
        <v>0</v>
      </c>
      <c r="BF239" s="13">
        <f>IF(Distances!DS133&lt;&gt;0,ROUNDUP(BF209+'Délai intermédiaire'!DS133/24,0),0)</f>
        <v>11</v>
      </c>
      <c r="BG239" s="13">
        <f>IF(Distances!DT133&lt;&gt;0,ROUNDUP(BG209+'Délai intermédiaire'!DT133/24,0),0)</f>
        <v>9</v>
      </c>
      <c r="BH239" s="14">
        <f>IF(Distances!DU133&lt;&gt;0,ROUNDUP(BH209+'Délai intermédiaire'!DU133/24,0),0)</f>
        <v>13</v>
      </c>
      <c r="BI239" s="14">
        <f>IF(Distances!DV133&lt;&gt;0,ROUNDUP(BI209+'Délai intermédiaire'!DV133/24,0),0)</f>
        <v>16</v>
      </c>
      <c r="BJ239" s="15">
        <f>IF(Distances!DW133&lt;&gt;0,ROUNDUP(BJ209+'Délai intermédiaire'!DW133/24,0),0)</f>
        <v>17</v>
      </c>
    </row>
    <row r="240" spans="1:62" x14ac:dyDescent="0.3">
      <c r="A240" s="10" t="s">
        <v>30</v>
      </c>
      <c r="B240" s="16">
        <f>IF(Distances!BO134&lt;&gt;0,ROUNDUP(B209+'Délai intermédiaire'!BO134/24,0),0)</f>
        <v>11</v>
      </c>
      <c r="C240" s="14">
        <f>IF(Distances!BP134&lt;&gt;0,ROUNDUP(C209+'Délai intermédiaire'!BP134/24,0),0)</f>
        <v>13</v>
      </c>
      <c r="D240" s="14">
        <f>IF(Distances!BQ134&lt;&gt;0,ROUNDUP(D209+'Délai intermédiaire'!BQ134/24,0),0)</f>
        <v>11</v>
      </c>
      <c r="E240" s="14">
        <f>IF(Distances!BR134&lt;&gt;0,ROUNDUP(E209+'Délai intermédiaire'!BR134/24,0),0)</f>
        <v>12</v>
      </c>
      <c r="F240" s="14">
        <f>IF(Distances!BS134&lt;&gt;0,ROUNDUP(F209+'Délai intermédiaire'!BS134/24,0),0)</f>
        <v>11</v>
      </c>
      <c r="G240" s="14">
        <f>IF(Distances!BT134&lt;&gt;0,ROUNDUP(G209+'Délai intermédiaire'!BT134/24,0),0)</f>
        <v>18</v>
      </c>
      <c r="H240" s="14">
        <f>IF(Distances!BU134&lt;&gt;0,ROUNDUP(H209+'Délai intermédiaire'!BU134/24,0),0)</f>
        <v>19</v>
      </c>
      <c r="I240" s="14">
        <f>IF(Distances!BV134&lt;&gt;0,ROUNDUP(I209+'Délai intermédiaire'!BV134/24,0),0)</f>
        <v>17</v>
      </c>
      <c r="J240" s="14">
        <f>IF(Distances!BW134&lt;&gt;0,ROUNDUP(J209+'Délai intermédiaire'!BW134/24,0),0)</f>
        <v>12</v>
      </c>
      <c r="K240" s="14">
        <f>IF(Distances!BX134&lt;&gt;0,ROUNDUP(K209+'Délai intermédiaire'!BX134/24,0),0)</f>
        <v>11</v>
      </c>
      <c r="L240" s="14">
        <f>IF(Distances!BY134&lt;&gt;0,ROUNDUP(L209+'Délai intermédiaire'!BY134/24,0),0)</f>
        <v>21</v>
      </c>
      <c r="M240" s="14">
        <f>IF(Distances!BZ134&lt;&gt;0,ROUNDUP(M209+'Délai intermédiaire'!BZ134/24,0),0)</f>
        <v>20</v>
      </c>
      <c r="N240" s="14">
        <f>IF(Distances!CA134&lt;&gt;0,ROUNDUP(N209+'Délai intermédiaire'!CA134/24,0),0)</f>
        <v>14</v>
      </c>
      <c r="O240" s="14">
        <f>IF(Distances!CB134&lt;&gt;0,ROUNDUP(O209+'Délai intermédiaire'!CB134/24,0),0)</f>
        <v>13</v>
      </c>
      <c r="P240" s="14">
        <f>IF(Distances!CC134&lt;&gt;0,ROUNDUP(P209+'Délai intermédiaire'!CC134/24,0),0)</f>
        <v>11</v>
      </c>
      <c r="Q240" s="13">
        <f>IF(Distances!CD134&lt;&gt;0,ROUNDUP(Q209+'Délai intermédiaire'!CD134/24,0),0)</f>
        <v>8</v>
      </c>
      <c r="R240" s="13">
        <f>IF(Distances!CE134&lt;&gt;0,ROUNDUP(R209+'Délai intermédiaire'!CE134/24,0),0)</f>
        <v>7</v>
      </c>
      <c r="S240" s="13">
        <f>IF(Distances!CF134&lt;&gt;0,ROUNDUP(S209+'Délai intermédiaire'!CF134/24,0),0)</f>
        <v>7</v>
      </c>
      <c r="T240" s="13">
        <f>IF(Distances!CG134&lt;&gt;0,ROUNDUP(T209+'Délai intermédiaire'!CG134/24,0),0)</f>
        <v>7</v>
      </c>
      <c r="U240" s="13">
        <f>IF(Distances!CH134&lt;&gt;0,ROUNDUP(U209+'Délai intermédiaire'!CH134/24,0),0)</f>
        <v>4</v>
      </c>
      <c r="V240" s="13">
        <f>IF(Distances!CI134&lt;&gt;0,ROUNDUP(V209+'Délai intermédiaire'!CI134/24,0),0)</f>
        <v>2</v>
      </c>
      <c r="W240" s="13">
        <f>IF(Distances!CJ134&lt;&gt;0,ROUNDUP(W209+'Délai intermédiaire'!CJ134/24,0),0)</f>
        <v>8</v>
      </c>
      <c r="X240" s="13">
        <f>IF(Distances!CK134&lt;&gt;0,ROUNDUP(X209+'Délai intermédiaire'!CK134/24,0),0)</f>
        <v>8</v>
      </c>
      <c r="Y240" s="13">
        <f>IF(Distances!CL134&lt;&gt;0,ROUNDUP(Y209+'Délai intermédiaire'!CL134/24,0),0)</f>
        <v>7</v>
      </c>
      <c r="Z240" s="13">
        <f>IF(Distances!CM134&lt;&gt;0,ROUNDUP(Z209+'Délai intermédiaire'!CM134/24,0),0)</f>
        <v>5</v>
      </c>
      <c r="AA240" s="13">
        <f>IF(Distances!CN134&lt;&gt;0,ROUNDUP(AA209+'Délai intermédiaire'!CN134/24,0),0)</f>
        <v>5</v>
      </c>
      <c r="AB240" s="13">
        <f>IF(Distances!CO134&lt;&gt;0,ROUNDUP(AB209+'Délai intermédiaire'!CO134/24,0),0)</f>
        <v>4</v>
      </c>
      <c r="AC240" s="13">
        <f>IF(Distances!CP134&lt;&gt;0,ROUNDUP(AC209+'Délai intermédiaire'!CP134/24,0),0)</f>
        <v>4</v>
      </c>
      <c r="AD240" s="13">
        <f>IF(Distances!CQ134&lt;&gt;0,ROUNDUP(AD209+'Délai intermédiaire'!CQ134/24,0),0)</f>
        <v>9</v>
      </c>
      <c r="AE240" s="12">
        <f>IF(Distances!CR134&lt;&gt;0,ROUNDUP(AE209+'Délai intermédiaire'!CR134/24,0),0)</f>
        <v>0</v>
      </c>
      <c r="AF240" s="13">
        <f>IF(Distances!CS134&lt;&gt;0,ROUNDUP(AF209+'Délai intermédiaire'!CS134/24,0),0)</f>
        <v>2</v>
      </c>
      <c r="AG240" s="13">
        <f>IF(Distances!CT134&lt;&gt;0,ROUNDUP(AG209+'Délai intermédiaire'!CT134/24,0),0)</f>
        <v>3</v>
      </c>
      <c r="AH240" s="14">
        <f>IF(Distances!CU134&lt;&gt;0,ROUNDUP(AH209+'Délai intermédiaire'!CU134/24,0),0)</f>
        <v>11</v>
      </c>
      <c r="AI240" s="14">
        <f>IF(Distances!CV134&lt;&gt;0,ROUNDUP(AI209+'Délai intermédiaire'!CV134/24,0),0)</f>
        <v>13</v>
      </c>
      <c r="AJ240" s="14">
        <f>IF(Distances!CW134&lt;&gt;0,ROUNDUP(AJ209+'Délai intermédiaire'!CW134/24,0),0)</f>
        <v>11</v>
      </c>
      <c r="AK240" s="14">
        <f>IF(Distances!CX134&lt;&gt;0,ROUNDUP(AK209+'Délai intermédiaire'!CX134/24,0),0)</f>
        <v>12</v>
      </c>
      <c r="AL240" s="14">
        <f>IF(Distances!CY134&lt;&gt;0,ROUNDUP(AL209+'Délai intermédiaire'!CY134/24,0),0)</f>
        <v>18</v>
      </c>
      <c r="AM240" s="14">
        <f>IF(Distances!CZ134&lt;&gt;0,ROUNDUP(AM209+'Délai intermédiaire'!CZ134/24,0),0)</f>
        <v>18</v>
      </c>
      <c r="AN240" s="14">
        <f>IF(Distances!DA134&lt;&gt;0,ROUNDUP(AN209+'Délai intermédiaire'!DA134/24,0),0)</f>
        <v>17</v>
      </c>
      <c r="AO240" s="14">
        <f>IF(Distances!DB134&lt;&gt;0,ROUNDUP(AO209+'Délai intermédiaire'!DB134/24,0),0)</f>
        <v>19</v>
      </c>
      <c r="AP240" s="14">
        <f>IF(Distances!DC134&lt;&gt;0,ROUNDUP(AP209+'Délai intermédiaire'!DC134/24,0),0)</f>
        <v>20</v>
      </c>
      <c r="AQ240" s="14">
        <f>IF(Distances!DD134&lt;&gt;0,ROUNDUP(AQ209+'Délai intermédiaire'!DD134/24,0),0)</f>
        <v>16</v>
      </c>
      <c r="AR240" s="14">
        <f>IF(Distances!DE134&lt;&gt;0,ROUNDUP(AR209+'Délai intermédiaire'!DE134/24,0),0)</f>
        <v>10</v>
      </c>
      <c r="AS240" s="14">
        <f>IF(Distances!DF134&lt;&gt;0,ROUNDUP(AS209+'Délai intermédiaire'!DF134/24,0),0)</f>
        <v>11</v>
      </c>
      <c r="AT240" s="14">
        <f>IF(Distances!DG134&lt;&gt;0,ROUNDUP(AT209+'Délai intermédiaire'!DG134/24,0),0)</f>
        <v>11</v>
      </c>
      <c r="AU240" s="14">
        <f>IF(Distances!DH134&lt;&gt;0,ROUNDUP(AU209+'Délai intermédiaire'!DH134/24,0),0)</f>
        <v>18</v>
      </c>
      <c r="AV240" s="12">
        <f>IF(Distances!DI134&lt;&gt;0,ROUNDUP(AV209+'Délai intermédiaire'!DI134/24,0),0)</f>
        <v>12</v>
      </c>
      <c r="AW240" s="14">
        <f>IF(Distances!DJ134&lt;&gt;0,ROUNDUP(AW209+'Délai intermédiaire'!DJ134/24,0),0)</f>
        <v>14</v>
      </c>
      <c r="AX240" s="14">
        <f>IF(Distances!DK134&lt;&gt;0,ROUNDUP(AX209+'Délai intermédiaire'!DK134/24,0),0)</f>
        <v>20</v>
      </c>
      <c r="AY240" s="14">
        <f>IF(Distances!DL134&lt;&gt;0,ROUNDUP(AY209+'Délai intermédiaire'!DL134/24,0),0)</f>
        <v>3</v>
      </c>
      <c r="AZ240" s="14">
        <f>IF(Distances!DM134&lt;&gt;0,ROUNDUP(AZ209+'Délai intermédiaire'!DM134/24,0),0)</f>
        <v>11</v>
      </c>
      <c r="BA240" s="14">
        <f>IF(Distances!DN134&lt;&gt;0,ROUNDUP(BA209+'Délai intermédiaire'!DN134/24,0),0)</f>
        <v>15</v>
      </c>
      <c r="BB240" s="13">
        <f>IF(Distances!DO134&lt;&gt;0,ROUNDUP(BB209+'Délai intermédiaire'!DO134/24,0),0)</f>
        <v>10</v>
      </c>
      <c r="BC240" s="14">
        <f>IF(Distances!DP134&lt;&gt;0,ROUNDUP(BC209+'Délai intermédiaire'!DP134/24,0),0)</f>
        <v>16</v>
      </c>
      <c r="BD240" s="14">
        <f>IF(Distances!DQ134&lt;&gt;0,ROUNDUP(BD209+'Délai intermédiaire'!DQ134/24,0),0)</f>
        <v>19</v>
      </c>
      <c r="BE240" s="14">
        <f>IF(Distances!DR134&lt;&gt;0,ROUNDUP(BE209+'Délai intermédiaire'!DR134/24,0),0)</f>
        <v>18</v>
      </c>
      <c r="BF240" s="12">
        <f>IF(Distances!DS134&lt;&gt;0,ROUNDUP(BF209+'Délai intermédiaire'!DS134/24,0),0)</f>
        <v>6</v>
      </c>
      <c r="BG240" s="13">
        <f>IF(Distances!DT134&lt;&gt;0,ROUNDUP(BG209+'Délai intermédiaire'!DT134/24,0),0)</f>
        <v>4</v>
      </c>
      <c r="BH240" s="14">
        <f>IF(Distances!DU134&lt;&gt;0,ROUNDUP(BH209+'Délai intermédiaire'!DU134/24,0),0)</f>
        <v>14</v>
      </c>
      <c r="BI240" s="14">
        <f>IF(Distances!DV134&lt;&gt;0,ROUNDUP(BI209+'Délai intermédiaire'!DV134/24,0),0)</f>
        <v>18</v>
      </c>
      <c r="BJ240" s="15">
        <f>IF(Distances!DW134&lt;&gt;0,ROUNDUP(BJ209+'Délai intermédiaire'!DW134/24,0),0)</f>
        <v>18</v>
      </c>
    </row>
    <row r="241" spans="1:62" x14ac:dyDescent="0.3">
      <c r="A241" s="10" t="s">
        <v>31</v>
      </c>
      <c r="B241" s="16">
        <f>IF(Distances!BO135&lt;&gt;0,ROUNDUP(B209+'Délai intermédiaire'!BO135/24,0),0)</f>
        <v>11</v>
      </c>
      <c r="C241" s="14">
        <f>IF(Distances!BP135&lt;&gt;0,ROUNDUP(C209+'Délai intermédiaire'!BP135/24,0),0)</f>
        <v>13</v>
      </c>
      <c r="D241" s="14">
        <f>IF(Distances!BQ135&lt;&gt;0,ROUNDUP(D209+'Délai intermédiaire'!BQ135/24,0),0)</f>
        <v>11</v>
      </c>
      <c r="E241" s="14">
        <f>IF(Distances!BR135&lt;&gt;0,ROUNDUP(E209+'Délai intermédiaire'!BR135/24,0),0)</f>
        <v>12</v>
      </c>
      <c r="F241" s="14">
        <f>IF(Distances!BS135&lt;&gt;0,ROUNDUP(F209+'Délai intermédiaire'!BS135/24,0),0)</f>
        <v>11</v>
      </c>
      <c r="G241" s="14">
        <f>IF(Distances!BT135&lt;&gt;0,ROUNDUP(G209+'Délai intermédiaire'!BT135/24,0),0)</f>
        <v>18</v>
      </c>
      <c r="H241" s="14">
        <f>IF(Distances!BU135&lt;&gt;0,ROUNDUP(H209+'Délai intermédiaire'!BU135/24,0),0)</f>
        <v>19</v>
      </c>
      <c r="I241" s="14">
        <f>IF(Distances!BV135&lt;&gt;0,ROUNDUP(I209+'Délai intermédiaire'!BV135/24,0),0)</f>
        <v>17</v>
      </c>
      <c r="J241" s="14">
        <f>IF(Distances!BW135&lt;&gt;0,ROUNDUP(J209+'Délai intermédiaire'!BW135/24,0),0)</f>
        <v>11</v>
      </c>
      <c r="K241" s="14">
        <f>IF(Distances!BX135&lt;&gt;0,ROUNDUP(K209+'Délai intermédiaire'!BX135/24,0),0)</f>
        <v>11</v>
      </c>
      <c r="L241" s="14">
        <f>IF(Distances!BY135&lt;&gt;0,ROUNDUP(L209+'Délai intermédiaire'!BY135/24,0),0)</f>
        <v>21</v>
      </c>
      <c r="M241" s="14">
        <f>IF(Distances!BZ135&lt;&gt;0,ROUNDUP(M209+'Délai intermédiaire'!BZ135/24,0),0)</f>
        <v>20</v>
      </c>
      <c r="N241" s="14">
        <f>IF(Distances!CA135&lt;&gt;0,ROUNDUP(N209+'Délai intermédiaire'!CA135/24,0),0)</f>
        <v>14</v>
      </c>
      <c r="O241" s="14">
        <f>IF(Distances!CB135&lt;&gt;0,ROUNDUP(O209+'Délai intermédiaire'!CB135/24,0),0)</f>
        <v>13</v>
      </c>
      <c r="P241" s="14">
        <f>IF(Distances!CC135&lt;&gt;0,ROUNDUP(P209+'Délai intermédiaire'!CC135/24,0),0)</f>
        <v>11</v>
      </c>
      <c r="Q241" s="13">
        <f>IF(Distances!CD135&lt;&gt;0,ROUNDUP(Q209+'Délai intermédiaire'!CD135/24,0),0)</f>
        <v>7</v>
      </c>
      <c r="R241" s="13">
        <f>IF(Distances!CE135&lt;&gt;0,ROUNDUP(R209+'Délai intermédiaire'!CE135/24,0),0)</f>
        <v>7</v>
      </c>
      <c r="S241" s="13">
        <f>IF(Distances!CF135&lt;&gt;0,ROUNDUP(S209+'Délai intermédiaire'!CF135/24,0),0)</f>
        <v>7</v>
      </c>
      <c r="T241" s="13">
        <f>IF(Distances!CG135&lt;&gt;0,ROUNDUP(T209+'Délai intermédiaire'!CG135/24,0),0)</f>
        <v>7</v>
      </c>
      <c r="U241" s="13">
        <f>IF(Distances!CH135&lt;&gt;0,ROUNDUP(U209+'Délai intermédiaire'!CH135/24,0),0)</f>
        <v>4</v>
      </c>
      <c r="V241" s="13">
        <f>IF(Distances!CI135&lt;&gt;0,ROUNDUP(V209+'Délai intermédiaire'!CI135/24,0),0)</f>
        <v>2</v>
      </c>
      <c r="W241" s="13">
        <f>IF(Distances!CJ135&lt;&gt;0,ROUNDUP(W209+'Délai intermédiaire'!CJ135/24,0),0)</f>
        <v>7</v>
      </c>
      <c r="X241" s="13">
        <f>IF(Distances!CK135&lt;&gt;0,ROUNDUP(X209+'Délai intermédiaire'!CK135/24,0),0)</f>
        <v>8</v>
      </c>
      <c r="Y241" s="13">
        <f>IF(Distances!CL135&lt;&gt;0,ROUNDUP(Y209+'Délai intermédiaire'!CL135/24,0),0)</f>
        <v>7</v>
      </c>
      <c r="Z241" s="13">
        <f>IF(Distances!CM135&lt;&gt;0,ROUNDUP(Z209+'Délai intermédiaire'!CM135/24,0),0)</f>
        <v>4</v>
      </c>
      <c r="AA241" s="13">
        <f>IF(Distances!CN135&lt;&gt;0,ROUNDUP(AA209+'Délai intermédiaire'!CN135/24,0),0)</f>
        <v>5</v>
      </c>
      <c r="AB241" s="13">
        <f>IF(Distances!CO135&lt;&gt;0,ROUNDUP(AB209+'Délai intermédiaire'!CO135/24,0),0)</f>
        <v>4</v>
      </c>
      <c r="AC241" s="13">
        <f>IF(Distances!CP135&lt;&gt;0,ROUNDUP(AC209+'Délai intermédiaire'!CP135/24,0),0)</f>
        <v>4</v>
      </c>
      <c r="AD241" s="13">
        <f>IF(Distances!CQ135&lt;&gt;0,ROUNDUP(AD209+'Délai intermédiaire'!CQ135/24,0),0)</f>
        <v>9</v>
      </c>
      <c r="AE241" s="13">
        <f>IF(Distances!CR135&lt;&gt;0,ROUNDUP(AE209+'Délai intermédiaire'!CR135/24,0),0)</f>
        <v>3</v>
      </c>
      <c r="AF241" s="12">
        <f>IF(Distances!CS135&lt;&gt;0,ROUNDUP(AF209+'Délai intermédiaire'!CS135/24,0),0)</f>
        <v>0</v>
      </c>
      <c r="AG241" s="13">
        <f>IF(Distances!CT135&lt;&gt;0,ROUNDUP(AG209+'Délai intermédiaire'!CT135/24,0),0)</f>
        <v>3</v>
      </c>
      <c r="AH241" s="14">
        <f>IF(Distances!CU135&lt;&gt;0,ROUNDUP(AH209+'Délai intermédiaire'!CU135/24,0),0)</f>
        <v>11</v>
      </c>
      <c r="AI241" s="14">
        <f>IF(Distances!CV135&lt;&gt;0,ROUNDUP(AI209+'Délai intermédiaire'!CV135/24,0),0)</f>
        <v>13</v>
      </c>
      <c r="AJ241" s="14">
        <f>IF(Distances!CW135&lt;&gt;0,ROUNDUP(AJ209+'Délai intermédiaire'!CW135/24,0),0)</f>
        <v>11</v>
      </c>
      <c r="AK241" s="14">
        <f>IF(Distances!CX135&lt;&gt;0,ROUNDUP(AK209+'Délai intermédiaire'!CX135/24,0),0)</f>
        <v>12</v>
      </c>
      <c r="AL241" s="14">
        <f>IF(Distances!CY135&lt;&gt;0,ROUNDUP(AL209+'Délai intermédiaire'!CY135/24,0),0)</f>
        <v>18</v>
      </c>
      <c r="AM241" s="14">
        <f>IF(Distances!CZ135&lt;&gt;0,ROUNDUP(AM209+'Délai intermédiaire'!CZ135/24,0),0)</f>
        <v>17</v>
      </c>
      <c r="AN241" s="14">
        <f>IF(Distances!DA135&lt;&gt;0,ROUNDUP(AN209+'Délai intermédiaire'!DA135/24,0),0)</f>
        <v>17</v>
      </c>
      <c r="AO241" s="14">
        <f>IF(Distances!DB135&lt;&gt;0,ROUNDUP(AO209+'Délai intermédiaire'!DB135/24,0),0)</f>
        <v>19</v>
      </c>
      <c r="AP241" s="14">
        <f>IF(Distances!DC135&lt;&gt;0,ROUNDUP(AP209+'Délai intermédiaire'!DC135/24,0),0)</f>
        <v>19</v>
      </c>
      <c r="AQ241" s="14">
        <f>IF(Distances!DD135&lt;&gt;0,ROUNDUP(AQ209+'Délai intermédiaire'!DD135/24,0),0)</f>
        <v>16</v>
      </c>
      <c r="AR241" s="14">
        <f>IF(Distances!DE135&lt;&gt;0,ROUNDUP(AR209+'Délai intermédiaire'!DE135/24,0),0)</f>
        <v>10</v>
      </c>
      <c r="AS241" s="14">
        <f>IF(Distances!DF135&lt;&gt;0,ROUNDUP(AS209+'Délai intermédiaire'!DF135/24,0),0)</f>
        <v>11</v>
      </c>
      <c r="AT241" s="14">
        <f>IF(Distances!DG135&lt;&gt;0,ROUNDUP(AT209+'Délai intermédiaire'!DG135/24,0),0)</f>
        <v>11</v>
      </c>
      <c r="AU241" s="14">
        <f>IF(Distances!DH135&lt;&gt;0,ROUNDUP(AU209+'Délai intermédiaire'!DH135/24,0),0)</f>
        <v>18</v>
      </c>
      <c r="AV241" s="14">
        <f>IF(Distances!DI135&lt;&gt;0,ROUNDUP(AV209+'Délai intermédiaire'!DI135/24,0),0)</f>
        <v>12</v>
      </c>
      <c r="AW241" s="14">
        <f>IF(Distances!DJ135&lt;&gt;0,ROUNDUP(AW209+'Délai intermédiaire'!DJ135/24,0),0)</f>
        <v>14</v>
      </c>
      <c r="AX241" s="14">
        <f>IF(Distances!DK135&lt;&gt;0,ROUNDUP(AX209+'Délai intermédiaire'!DK135/24,0),0)</f>
        <v>20</v>
      </c>
      <c r="AY241" s="14">
        <f>IF(Distances!DL135&lt;&gt;0,ROUNDUP(AY209+'Délai intermédiaire'!DL135/24,0),0)</f>
        <v>3</v>
      </c>
      <c r="AZ241" s="14">
        <f>IF(Distances!DM135&lt;&gt;0,ROUNDUP(AZ209+'Délai intermédiaire'!DM135/24,0),0)</f>
        <v>11</v>
      </c>
      <c r="BA241" s="14">
        <f>IF(Distances!DN135&lt;&gt;0,ROUNDUP(BA209+'Délai intermédiaire'!DN135/24,0),0)</f>
        <v>15</v>
      </c>
      <c r="BB241" s="13">
        <f>IF(Distances!DO135&lt;&gt;0,ROUNDUP(BB209+'Délai intermédiaire'!DO135/24,0),0)</f>
        <v>10</v>
      </c>
      <c r="BC241" s="14">
        <f>IF(Distances!DP135&lt;&gt;0,ROUNDUP(BC209+'Délai intermédiaire'!DP135/24,0),0)</f>
        <v>16</v>
      </c>
      <c r="BD241" s="14">
        <f>IF(Distances!DQ135&lt;&gt;0,ROUNDUP(BD209+'Délai intermédiaire'!DQ135/24,0),0)</f>
        <v>19</v>
      </c>
      <c r="BE241" s="14">
        <f>IF(Distances!DR135&lt;&gt;0,ROUNDUP(BE209+'Délai intermédiaire'!DR135/24,0),0)</f>
        <v>18</v>
      </c>
      <c r="BF241" s="13">
        <f>IF(Distances!DS135&lt;&gt;0,ROUNDUP(BF209+'Délai intermédiaire'!DS135/24,0),0)</f>
        <v>6</v>
      </c>
      <c r="BG241" s="13">
        <f>IF(Distances!DT135&lt;&gt;0,ROUNDUP(BG209+'Délai intermédiaire'!DT135/24,0),0)</f>
        <v>4</v>
      </c>
      <c r="BH241" s="14">
        <f>IF(Distances!DU135&lt;&gt;0,ROUNDUP(BH209+'Délai intermédiaire'!DU135/24,0),0)</f>
        <v>14</v>
      </c>
      <c r="BI241" s="14">
        <f>IF(Distances!DV135&lt;&gt;0,ROUNDUP(BI209+'Délai intermédiaire'!DV135/24,0),0)</f>
        <v>18</v>
      </c>
      <c r="BJ241" s="15">
        <f>IF(Distances!DW135&lt;&gt;0,ROUNDUP(BJ209+'Délai intermédiaire'!DW135/24,0),0)</f>
        <v>18</v>
      </c>
    </row>
    <row r="242" spans="1:62" x14ac:dyDescent="0.3">
      <c r="A242" s="10" t="s">
        <v>32</v>
      </c>
      <c r="B242" s="16">
        <f>IF(Distances!BO136&lt;&gt;0,ROUNDUP(B209+'Délai intermédiaire'!BO136/24,0),0)</f>
        <v>11</v>
      </c>
      <c r="C242" s="14">
        <f>IF(Distances!BP136&lt;&gt;0,ROUNDUP(C209+'Délai intermédiaire'!BP136/24,0),0)</f>
        <v>13</v>
      </c>
      <c r="D242" s="14">
        <f>IF(Distances!BQ136&lt;&gt;0,ROUNDUP(D209+'Délai intermédiaire'!BQ136/24,0),0)</f>
        <v>11</v>
      </c>
      <c r="E242" s="14">
        <f>IF(Distances!BR136&lt;&gt;0,ROUNDUP(E209+'Délai intermédiaire'!BR136/24,0),0)</f>
        <v>12</v>
      </c>
      <c r="F242" s="14">
        <f>IF(Distances!BS136&lt;&gt;0,ROUNDUP(F209+'Délai intermédiaire'!BS136/24,0),0)</f>
        <v>11</v>
      </c>
      <c r="G242" s="14">
        <f>IF(Distances!BT136&lt;&gt;0,ROUNDUP(G209+'Délai intermédiaire'!BT136/24,0),0)</f>
        <v>18</v>
      </c>
      <c r="H242" s="14">
        <f>IF(Distances!BU136&lt;&gt;0,ROUNDUP(H209+'Délai intermédiaire'!BU136/24,0),0)</f>
        <v>19</v>
      </c>
      <c r="I242" s="14">
        <f>IF(Distances!BV136&lt;&gt;0,ROUNDUP(I209+'Délai intermédiaire'!BV136/24,0),0)</f>
        <v>17</v>
      </c>
      <c r="J242" s="14">
        <f>IF(Distances!BW136&lt;&gt;0,ROUNDUP(J209+'Délai intermédiaire'!BW136/24,0),0)</f>
        <v>11</v>
      </c>
      <c r="K242" s="14">
        <f>IF(Distances!BX136&lt;&gt;0,ROUNDUP(K209+'Délai intermédiaire'!BX136/24,0),0)</f>
        <v>11</v>
      </c>
      <c r="L242" s="14">
        <f>IF(Distances!BY136&lt;&gt;0,ROUNDUP(L209+'Délai intermédiaire'!BY136/24,0),0)</f>
        <v>21</v>
      </c>
      <c r="M242" s="14">
        <f>IF(Distances!BZ136&lt;&gt;0,ROUNDUP(M209+'Délai intermédiaire'!BZ136/24,0),0)</f>
        <v>20</v>
      </c>
      <c r="N242" s="14">
        <f>IF(Distances!CA136&lt;&gt;0,ROUNDUP(N209+'Délai intermédiaire'!CA136/24,0),0)</f>
        <v>14</v>
      </c>
      <c r="O242" s="14">
        <f>IF(Distances!CB136&lt;&gt;0,ROUNDUP(O209+'Délai intermédiaire'!CB136/24,0),0)</f>
        <v>13</v>
      </c>
      <c r="P242" s="14">
        <f>IF(Distances!CC136&lt;&gt;0,ROUNDUP(P209+'Délai intermédiaire'!CC136/24,0),0)</f>
        <v>11</v>
      </c>
      <c r="Q242" s="13">
        <f>IF(Distances!CD136&lt;&gt;0,ROUNDUP(Q209+'Délai intermédiaire'!CD136/24,0),0)</f>
        <v>7</v>
      </c>
      <c r="R242" s="13">
        <f>IF(Distances!CE136&lt;&gt;0,ROUNDUP(R209+'Délai intermédiaire'!CE136/24,0),0)</f>
        <v>7</v>
      </c>
      <c r="S242" s="13">
        <f>IF(Distances!CF136&lt;&gt;0,ROUNDUP(S209+'Délai intermédiaire'!CF136/24,0),0)</f>
        <v>7</v>
      </c>
      <c r="T242" s="13">
        <f>IF(Distances!CG136&lt;&gt;0,ROUNDUP(T209+'Délai intermédiaire'!CG136/24,0),0)</f>
        <v>7</v>
      </c>
      <c r="U242" s="13">
        <f>IF(Distances!CH136&lt;&gt;0,ROUNDUP(U209+'Délai intermédiaire'!CH136/24,0),0)</f>
        <v>4</v>
      </c>
      <c r="V242" s="13">
        <f>IF(Distances!CI136&lt;&gt;0,ROUNDUP(V209+'Délai intermédiaire'!CI136/24,0),0)</f>
        <v>2</v>
      </c>
      <c r="W242" s="13">
        <f>IF(Distances!CJ136&lt;&gt;0,ROUNDUP(W209+'Délai intermédiaire'!CJ136/24,0),0)</f>
        <v>7</v>
      </c>
      <c r="X242" s="13">
        <f>IF(Distances!CK136&lt;&gt;0,ROUNDUP(X209+'Délai intermédiaire'!CK136/24,0),0)</f>
        <v>8</v>
      </c>
      <c r="Y242" s="13">
        <f>IF(Distances!CL136&lt;&gt;0,ROUNDUP(Y209+'Délai intermédiaire'!CL136/24,0),0)</f>
        <v>7</v>
      </c>
      <c r="Z242" s="13">
        <f>IF(Distances!CM136&lt;&gt;0,ROUNDUP(Z209+'Délai intermédiaire'!CM136/24,0),0)</f>
        <v>4</v>
      </c>
      <c r="AA242" s="13">
        <f>IF(Distances!CN136&lt;&gt;0,ROUNDUP(AA209+'Délai intermédiaire'!CN136/24,0),0)</f>
        <v>5</v>
      </c>
      <c r="AB242" s="13">
        <f>IF(Distances!CO136&lt;&gt;0,ROUNDUP(AB209+'Délai intermédiaire'!CO136/24,0),0)</f>
        <v>4</v>
      </c>
      <c r="AC242" s="13">
        <f>IF(Distances!CP136&lt;&gt;0,ROUNDUP(AC209+'Délai intermédiaire'!CP136/24,0),0)</f>
        <v>4</v>
      </c>
      <c r="AD242" s="13">
        <f>IF(Distances!CQ136&lt;&gt;0,ROUNDUP(AD209+'Délai intermédiaire'!CQ136/24,0),0)</f>
        <v>9</v>
      </c>
      <c r="AE242" s="13">
        <f>IF(Distances!CR136&lt;&gt;0,ROUNDUP(AE209+'Délai intermédiaire'!CR136/24,0),0)</f>
        <v>3</v>
      </c>
      <c r="AF242" s="13">
        <f>IF(Distances!CS136&lt;&gt;0,ROUNDUP(AF209+'Délai intermédiaire'!CS136/24,0),0)</f>
        <v>2</v>
      </c>
      <c r="AG242" s="12">
        <f>IF(Distances!CT136&lt;&gt;0,ROUNDUP(AG209+'Délai intermédiaire'!CT136/24,0),0)</f>
        <v>0</v>
      </c>
      <c r="AH242" s="14">
        <f>IF(Distances!CU136&lt;&gt;0,ROUNDUP(AH209+'Délai intermédiaire'!CU136/24,0),0)</f>
        <v>11</v>
      </c>
      <c r="AI242" s="14">
        <f>IF(Distances!CV136&lt;&gt;0,ROUNDUP(AI209+'Délai intermédiaire'!CV136/24,0),0)</f>
        <v>13</v>
      </c>
      <c r="AJ242" s="14">
        <f>IF(Distances!CW136&lt;&gt;0,ROUNDUP(AJ209+'Délai intermédiaire'!CW136/24,0),0)</f>
        <v>11</v>
      </c>
      <c r="AK242" s="14">
        <f>IF(Distances!CX136&lt;&gt;0,ROUNDUP(AK209+'Délai intermédiaire'!CX136/24,0),0)</f>
        <v>12</v>
      </c>
      <c r="AL242" s="14">
        <f>IF(Distances!CY136&lt;&gt;0,ROUNDUP(AL209+'Délai intermédiaire'!CY136/24,0),0)</f>
        <v>18</v>
      </c>
      <c r="AM242" s="14">
        <f>IF(Distances!CZ136&lt;&gt;0,ROUNDUP(AM209+'Délai intermédiaire'!CZ136/24,0),0)</f>
        <v>17</v>
      </c>
      <c r="AN242" s="14">
        <f>IF(Distances!DA136&lt;&gt;0,ROUNDUP(AN209+'Délai intermédiaire'!DA136/24,0),0)</f>
        <v>17</v>
      </c>
      <c r="AO242" s="14">
        <f>IF(Distances!DB136&lt;&gt;0,ROUNDUP(AO209+'Délai intermédiaire'!DB136/24,0),0)</f>
        <v>19</v>
      </c>
      <c r="AP242" s="14">
        <f>IF(Distances!DC136&lt;&gt;0,ROUNDUP(AP209+'Délai intermédiaire'!DC136/24,0),0)</f>
        <v>19</v>
      </c>
      <c r="AQ242" s="14">
        <f>IF(Distances!DD136&lt;&gt;0,ROUNDUP(AQ209+'Délai intermédiaire'!DD136/24,0),0)</f>
        <v>16</v>
      </c>
      <c r="AR242" s="14">
        <f>IF(Distances!DE136&lt;&gt;0,ROUNDUP(AR209+'Délai intermédiaire'!DE136/24,0),0)</f>
        <v>10</v>
      </c>
      <c r="AS242" s="14">
        <f>IF(Distances!DF136&lt;&gt;0,ROUNDUP(AS209+'Délai intermédiaire'!DF136/24,0),0)</f>
        <v>11</v>
      </c>
      <c r="AT242" s="14">
        <f>IF(Distances!DG136&lt;&gt;0,ROUNDUP(AT209+'Délai intermédiaire'!DG136/24,0),0)</f>
        <v>10</v>
      </c>
      <c r="AU242" s="14">
        <f>IF(Distances!DH136&lt;&gt;0,ROUNDUP(AU209+'Délai intermédiaire'!DH136/24,0),0)</f>
        <v>18</v>
      </c>
      <c r="AV242" s="14">
        <f>IF(Distances!DI136&lt;&gt;0,ROUNDUP(AV209+'Délai intermédiaire'!DI136/24,0),0)</f>
        <v>11</v>
      </c>
      <c r="AW242" s="14">
        <f>IF(Distances!DJ136&lt;&gt;0,ROUNDUP(AW209+'Délai intermédiaire'!DJ136/24,0),0)</f>
        <v>14</v>
      </c>
      <c r="AX242" s="14">
        <f>IF(Distances!DK136&lt;&gt;0,ROUNDUP(AX209+'Délai intermédiaire'!DK136/24,0),0)</f>
        <v>20</v>
      </c>
      <c r="AY242" s="14">
        <f>IF(Distances!DL136&lt;&gt;0,ROUNDUP(AY209+'Délai intermédiaire'!DL136/24,0),0)</f>
        <v>3</v>
      </c>
      <c r="AZ242" s="14">
        <f>IF(Distances!DM136&lt;&gt;0,ROUNDUP(AZ209+'Délai intermédiaire'!DM136/24,0),0)</f>
        <v>10</v>
      </c>
      <c r="BA242" s="14">
        <f>IF(Distances!DN136&lt;&gt;0,ROUNDUP(BA209+'Délai intermédiaire'!DN136/24,0),0)</f>
        <v>15</v>
      </c>
      <c r="BB242" s="13">
        <f>IF(Distances!DO136&lt;&gt;0,ROUNDUP(BB209+'Délai intermédiaire'!DO136/24,0),0)</f>
        <v>10</v>
      </c>
      <c r="BC242" s="14">
        <f>IF(Distances!DP136&lt;&gt;0,ROUNDUP(BC209+'Délai intermédiaire'!DP136/24,0),0)</f>
        <v>16</v>
      </c>
      <c r="BD242" s="14">
        <f>IF(Distances!DQ136&lt;&gt;0,ROUNDUP(BD209+'Délai intermédiaire'!DQ136/24,0),0)</f>
        <v>19</v>
      </c>
      <c r="BE242" s="14">
        <f>IF(Distances!DR136&lt;&gt;0,ROUNDUP(BE209+'Délai intermédiaire'!DR136/24,0),0)</f>
        <v>18</v>
      </c>
      <c r="BF242" s="13">
        <f>IF(Distances!DS136&lt;&gt;0,ROUNDUP(BF209+'Délai intermédiaire'!DS136/24,0),0)</f>
        <v>6</v>
      </c>
      <c r="BG242" s="12">
        <f>IF(Distances!DT136&lt;&gt;0,ROUNDUP(BG209+'Délai intermédiaire'!DT136/24,0),0)</f>
        <v>4</v>
      </c>
      <c r="BH242" s="14">
        <f>IF(Distances!DU136&lt;&gt;0,ROUNDUP(BH209+'Délai intermédiaire'!DU136/24,0),0)</f>
        <v>14</v>
      </c>
      <c r="BI242" s="14">
        <f>IF(Distances!DV136&lt;&gt;0,ROUNDUP(BI209+'Délai intermédiaire'!DV136/24,0),0)</f>
        <v>18</v>
      </c>
      <c r="BJ242" s="15">
        <f>IF(Distances!DW136&lt;&gt;0,ROUNDUP(BJ209+'Délai intermédiaire'!DW136/24,0),0)</f>
        <v>18</v>
      </c>
    </row>
    <row r="243" spans="1:62" x14ac:dyDescent="0.3">
      <c r="A243" s="10" t="s">
        <v>33</v>
      </c>
      <c r="B243" s="16">
        <f>IF(Distances!BO137&lt;&gt;0,ROUNDUP(B209+'Délai intermédiaire'!BO137/24,0),0)</f>
        <v>18</v>
      </c>
      <c r="C243" s="14">
        <f>IF(Distances!BP137&lt;&gt;0,ROUNDUP(C209+'Délai intermédiaire'!BP137/24,0),0)</f>
        <v>19</v>
      </c>
      <c r="D243" s="14">
        <f>IF(Distances!BQ137&lt;&gt;0,ROUNDUP(D209+'Délai intermédiaire'!BQ137/24,0),0)</f>
        <v>17</v>
      </c>
      <c r="E243" s="14">
        <f>IF(Distances!BR137&lt;&gt;0,ROUNDUP(E209+'Délai intermédiaire'!BR137/24,0),0)</f>
        <v>18</v>
      </c>
      <c r="F243" s="14">
        <f>IF(Distances!BS137&lt;&gt;0,ROUNDUP(F209+'Délai intermédiaire'!BS137/24,0),0)</f>
        <v>17</v>
      </c>
      <c r="G243" s="14">
        <f>IF(Distances!BT137&lt;&gt;0,ROUNDUP(G209+'Délai intermédiaire'!BT137/24,0),0)</f>
        <v>21</v>
      </c>
      <c r="H243" s="14">
        <f>IF(Distances!BU137&lt;&gt;0,ROUNDUP(H209+'Délai intermédiaire'!BU137/24,0),0)</f>
        <v>19</v>
      </c>
      <c r="I243" s="14">
        <f>IF(Distances!BV137&lt;&gt;0,ROUNDUP(I209+'Délai intermédiaire'!BV137/24,0),0)</f>
        <v>20</v>
      </c>
      <c r="J243" s="14">
        <f>IF(Distances!BW137&lt;&gt;0,ROUNDUP(J209+'Délai intermédiaire'!BW137/24,0),0)</f>
        <v>18</v>
      </c>
      <c r="K243" s="14">
        <f>IF(Distances!BX137&lt;&gt;0,ROUNDUP(K209+'Délai intermédiaire'!BX137/24,0),0)</f>
        <v>17</v>
      </c>
      <c r="L243" s="14">
        <f>IF(Distances!BY137&lt;&gt;0,ROUNDUP(L209+'Délai intermédiaire'!BY137/24,0),0)</f>
        <v>20</v>
      </c>
      <c r="M243" s="14">
        <f>IF(Distances!BZ137&lt;&gt;0,ROUNDUP(M209+'Délai intermédiaire'!BZ137/24,0),0)</f>
        <v>20</v>
      </c>
      <c r="N243" s="14">
        <f>IF(Distances!CA137&lt;&gt;0,ROUNDUP(N209+'Délai intermédiaire'!CA137/24,0),0)</f>
        <v>20</v>
      </c>
      <c r="O243" s="14">
        <f>IF(Distances!CB137&lt;&gt;0,ROUNDUP(O209+'Délai intermédiaire'!CB137/24,0),0)</f>
        <v>17</v>
      </c>
      <c r="P243" s="14">
        <f>IF(Distances!CC137&lt;&gt;0,ROUNDUP(P209+'Délai intermédiaire'!CC137/24,0),0)</f>
        <v>17</v>
      </c>
      <c r="Q243" s="14">
        <f>IF(Distances!CD137&lt;&gt;0,ROUNDUP(Q209+'Délai intermédiaire'!CD137/24,0),0)</f>
        <v>14</v>
      </c>
      <c r="R243" s="14">
        <f>IF(Distances!CE137&lt;&gt;0,ROUNDUP(R209+'Délai intermédiaire'!CE137/24,0),0)</f>
        <v>13</v>
      </c>
      <c r="S243" s="14">
        <f>IF(Distances!CF137&lt;&gt;0,ROUNDUP(S209+'Délai intermédiaire'!CF137/24,0),0)</f>
        <v>13</v>
      </c>
      <c r="T243" s="14">
        <f>IF(Distances!CG137&lt;&gt;0,ROUNDUP(T209+'Délai intermédiaire'!CG137/24,0),0)</f>
        <v>13</v>
      </c>
      <c r="U243" s="14">
        <f>IF(Distances!CH137&lt;&gt;0,ROUNDUP(U209+'Délai intermédiaire'!CH137/24,0),0)</f>
        <v>10</v>
      </c>
      <c r="V243" s="14">
        <f>IF(Distances!CI137&lt;&gt;0,ROUNDUP(V209+'Délai intermédiaire'!CI137/24,0),0)</f>
        <v>10</v>
      </c>
      <c r="W243" s="14">
        <f>IF(Distances!CJ137&lt;&gt;0,ROUNDUP(W209+'Délai intermédiaire'!CJ137/24,0),0)</f>
        <v>14</v>
      </c>
      <c r="X243" s="14">
        <f>IF(Distances!CK137&lt;&gt;0,ROUNDUP(X209+'Délai intermédiaire'!CK137/24,0),0)</f>
        <v>15</v>
      </c>
      <c r="Y243" s="14">
        <f>IF(Distances!CL137&lt;&gt;0,ROUNDUP(Y209+'Délai intermédiaire'!CL137/24,0),0)</f>
        <v>13</v>
      </c>
      <c r="Z243" s="14">
        <f>IF(Distances!CM137&lt;&gt;0,ROUNDUP(Z209+'Délai intermédiaire'!CM137/24,0),0)</f>
        <v>11</v>
      </c>
      <c r="AA243" s="14">
        <f>IF(Distances!CN137&lt;&gt;0,ROUNDUP(AA209+'Délai intermédiaire'!CN137/24,0),0)</f>
        <v>11</v>
      </c>
      <c r="AB243" s="14">
        <f>IF(Distances!CO137&lt;&gt;0,ROUNDUP(AB209+'Délai intermédiaire'!CO137/24,0),0)</f>
        <v>11</v>
      </c>
      <c r="AC243" s="14">
        <f>IF(Distances!CP137&lt;&gt;0,ROUNDUP(AC209+'Délai intermédiaire'!CP137/24,0),0)</f>
        <v>10</v>
      </c>
      <c r="AD243" s="14">
        <f>IF(Distances!CQ137&lt;&gt;0,ROUNDUP(AD209+'Délai intermédiaire'!CQ137/24,0),0)</f>
        <v>16</v>
      </c>
      <c r="AE243" s="14">
        <f>IF(Distances!CR137&lt;&gt;0,ROUNDUP(AE209+'Délai intermédiaire'!CR137/24,0),0)</f>
        <v>11</v>
      </c>
      <c r="AF243" s="14">
        <f>IF(Distances!CS137&lt;&gt;0,ROUNDUP(AF209+'Délai intermédiaire'!CS137/24,0),0)</f>
        <v>10</v>
      </c>
      <c r="AG243" s="14">
        <f>IF(Distances!CT137&lt;&gt;0,ROUNDUP(AG209+'Délai intermédiaire'!CT137/24,0),0)</f>
        <v>11</v>
      </c>
      <c r="AH243" s="12">
        <f>IF(Distances!CU137&lt;&gt;0,ROUNDUP(AH209+'Délai intermédiaire'!CU137/24,0),0)</f>
        <v>0</v>
      </c>
      <c r="AI243" s="13">
        <f>IF(Distances!CV137&lt;&gt;0,ROUNDUP(AI209+'Délai intermédiaire'!CV137/24,0),0)</f>
        <v>7</v>
      </c>
      <c r="AJ243" s="13">
        <f>IF(Distances!CW137&lt;&gt;0,ROUNDUP(AJ209+'Délai intermédiaire'!CW137/24,0),0)</f>
        <v>4</v>
      </c>
      <c r="AK243" s="13">
        <f>IF(Distances!CX137&lt;&gt;0,ROUNDUP(AK209+'Délai intermédiaire'!CX137/24,0),0)</f>
        <v>6</v>
      </c>
      <c r="AL243" s="13">
        <f>IF(Distances!CY137&lt;&gt;0,ROUNDUP(AL209+'Délai intermédiaire'!CY137/24,0),0)</f>
        <v>12</v>
      </c>
      <c r="AM243" s="13">
        <f>IF(Distances!CZ137&lt;&gt;0,ROUNDUP(AM209+'Délai intermédiaire'!CZ137/24,0),0)</f>
        <v>11</v>
      </c>
      <c r="AN243" s="13">
        <f>IF(Distances!DA137&lt;&gt;0,ROUNDUP(AN209+'Délai intermédiaire'!DA137/24,0),0)</f>
        <v>11</v>
      </c>
      <c r="AO243" s="14">
        <f>IF(Distances!DB137&lt;&gt;0,ROUNDUP(AO209+'Délai intermédiaire'!DB137/24,0),0)</f>
        <v>13</v>
      </c>
      <c r="AP243" s="14">
        <f>IF(Distances!DC137&lt;&gt;0,ROUNDUP(AP209+'Délai intermédiaire'!DC137/24,0),0)</f>
        <v>14</v>
      </c>
      <c r="AQ243" s="14">
        <f>IF(Distances!DD137&lt;&gt;0,ROUNDUP(AQ209+'Délai intermédiaire'!DD137/24,0),0)</f>
        <v>10</v>
      </c>
      <c r="AR243" s="13">
        <f>IF(Distances!DE137&lt;&gt;0,ROUNDUP(AR209+'Délai intermédiaire'!DE137/24,0),0)</f>
        <v>5</v>
      </c>
      <c r="AS243" s="13">
        <f>IF(Distances!DF137&lt;&gt;0,ROUNDUP(AS209+'Délai intermédiaire'!DF137/24,0),0)</f>
        <v>6</v>
      </c>
      <c r="AT243" s="13">
        <f>IF(Distances!DG137&lt;&gt;0,ROUNDUP(AT209+'Délai intermédiaire'!DG137/24,0),0)</f>
        <v>6</v>
      </c>
      <c r="AU243" s="13">
        <f>IF(Distances!DH137&lt;&gt;0,ROUNDUP(AU209+'Délai intermédiaire'!DH137/24,0),0)</f>
        <v>12</v>
      </c>
      <c r="AV243" s="13">
        <f>IF(Distances!DI137&lt;&gt;0,ROUNDUP(AV209+'Délai intermédiaire'!DI137/24,0),0)</f>
        <v>18</v>
      </c>
      <c r="AW243" s="12">
        <f>IF(Distances!DJ137&lt;&gt;0,ROUNDUP(AW209+'Délai intermédiaire'!DJ137/24,0),0)</f>
        <v>20</v>
      </c>
      <c r="AX243" s="13">
        <f>IF(Distances!DK137&lt;&gt;0,ROUNDUP(AX209+'Délai intermédiaire'!DK137/24,0),0)</f>
        <v>14</v>
      </c>
      <c r="AY243" s="14">
        <f>IF(Distances!DL137&lt;&gt;0,ROUNDUP(AY209+'Délai intermédiaire'!DL137/24,0),0)</f>
        <v>3</v>
      </c>
      <c r="AZ243" s="14">
        <f>IF(Distances!DM137&lt;&gt;0,ROUNDUP(AZ209+'Délai intermédiaire'!DM137/24,0),0)</f>
        <v>8</v>
      </c>
      <c r="BA243" s="13">
        <f>IF(Distances!DN137&lt;&gt;0,ROUNDUP(BA209+'Délai intermédiaire'!DN137/24,0),0)</f>
        <v>9</v>
      </c>
      <c r="BB243" s="14">
        <f>IF(Distances!DO137&lt;&gt;0,ROUNDUP(BB209+'Délai intermédiaire'!DO137/24,0),0)</f>
        <v>16</v>
      </c>
      <c r="BC243" s="13">
        <f>IF(Distances!DP137&lt;&gt;0,ROUNDUP(BC209+'Délai intermédiaire'!DP137/24,0),0)</f>
        <v>10</v>
      </c>
      <c r="BD243" s="13">
        <f>IF(Distances!DQ137&lt;&gt;0,ROUNDUP(BD209+'Délai intermédiaire'!DQ137/24,0),0)</f>
        <v>12</v>
      </c>
      <c r="BE243" s="13">
        <f>IF(Distances!DR137&lt;&gt;0,ROUNDUP(BE209+'Délai intermédiaire'!DR137/24,0),0)</f>
        <v>11</v>
      </c>
      <c r="BF243" s="14">
        <f>IF(Distances!DS137&lt;&gt;0,ROUNDUP(BF209+'Délai intermédiaire'!DS137/24,0),0)</f>
        <v>11</v>
      </c>
      <c r="BG243" s="14">
        <f>IF(Distances!DT137&lt;&gt;0,ROUNDUP(BG209+'Délai intermédiaire'!DT137/24,0),0)</f>
        <v>10</v>
      </c>
      <c r="BH243" s="14">
        <f>IF(Distances!DU137&lt;&gt;0,ROUNDUP(BH209+'Délai intermédiaire'!DU137/24,0),0)</f>
        <v>26</v>
      </c>
      <c r="BI243" s="14">
        <f>IF(Distances!DV137&lt;&gt;0,ROUNDUP(BI209+'Délai intermédiaire'!DV137/24,0),0)</f>
        <v>24</v>
      </c>
      <c r="BJ243" s="15">
        <f>IF(Distances!DW137&lt;&gt;0,ROUNDUP(BJ209+'Délai intermédiaire'!DW137/24,0),0)</f>
        <v>24</v>
      </c>
    </row>
    <row r="244" spans="1:62" x14ac:dyDescent="0.3">
      <c r="A244" s="10" t="s">
        <v>34</v>
      </c>
      <c r="B244" s="16">
        <f>IF(Distances!BO138&lt;&gt;0,ROUNDUP(B209+'Délai intermédiaire'!BO138/24,0),0)</f>
        <v>0</v>
      </c>
      <c r="C244" s="14">
        <f>IF(Distances!BP138&lt;&gt;0,ROUNDUP(C209+'Délai intermédiaire'!BP138/24,0),0)</f>
        <v>0</v>
      </c>
      <c r="D244" s="14">
        <f>IF(Distances!BQ138&lt;&gt;0,ROUNDUP(D209+'Délai intermédiaire'!BQ138/24,0),0)</f>
        <v>19</v>
      </c>
      <c r="E244" s="14">
        <f>IF(Distances!BR138&lt;&gt;0,ROUNDUP(E209+'Délai intermédiaire'!BR138/24,0),0)</f>
        <v>0</v>
      </c>
      <c r="F244" s="14">
        <f>IF(Distances!BS138&lt;&gt;0,ROUNDUP(F209+'Délai intermédiaire'!BS138/24,0),0)</f>
        <v>19</v>
      </c>
      <c r="G244" s="14">
        <f>IF(Distances!BT138&lt;&gt;0,ROUNDUP(G209+'Délai intermédiaire'!BT138/24,0),0)</f>
        <v>18</v>
      </c>
      <c r="H244" s="14">
        <f>IF(Distances!BU138&lt;&gt;0,ROUNDUP(H209+'Délai intermédiaire'!BU138/24,0),0)</f>
        <v>0</v>
      </c>
      <c r="I244" s="14">
        <f>IF(Distances!BV138&lt;&gt;0,ROUNDUP(I209+'Délai intermédiaire'!BV138/24,0),0)</f>
        <v>0</v>
      </c>
      <c r="J244" s="14">
        <f>IF(Distances!BW138&lt;&gt;0,ROUNDUP(J209+'Délai intermédiaire'!BW138/24,0),0)</f>
        <v>20</v>
      </c>
      <c r="K244" s="14">
        <f>IF(Distances!BX138&lt;&gt;0,ROUNDUP(K209+'Délai intermédiaire'!BX138/24,0),0)</f>
        <v>0</v>
      </c>
      <c r="L244" s="14">
        <f>IF(Distances!BY138&lt;&gt;0,ROUNDUP(L209+'Délai intermédiaire'!BY138/24,0),0)</f>
        <v>18</v>
      </c>
      <c r="M244" s="14">
        <f>IF(Distances!BZ138&lt;&gt;0,ROUNDUP(M209+'Délai intermédiaire'!BZ138/24,0),0)</f>
        <v>0</v>
      </c>
      <c r="N244" s="14">
        <f>IF(Distances!CA138&lt;&gt;0,ROUNDUP(N209+'Délai intermédiaire'!CA138/24,0),0)</f>
        <v>23</v>
      </c>
      <c r="O244" s="14">
        <f>IF(Distances!CB138&lt;&gt;0,ROUNDUP(O209+'Délai intermédiaire'!CB138/24,0),0)</f>
        <v>18</v>
      </c>
      <c r="P244" s="14">
        <f>IF(Distances!CC138&lt;&gt;0,ROUNDUP(P209+'Délai intermédiaire'!CC138/24,0),0)</f>
        <v>18</v>
      </c>
      <c r="Q244" s="14">
        <f>IF(Distances!CD138&lt;&gt;0,ROUNDUP(Q209+'Délai intermédiaire'!CD138/24,0),0)</f>
        <v>0</v>
      </c>
      <c r="R244" s="14">
        <f>IF(Distances!CE138&lt;&gt;0,ROUNDUP(R209+'Délai intermédiaire'!CE138/24,0),0)</f>
        <v>0</v>
      </c>
      <c r="S244" s="14">
        <f>IF(Distances!CF138&lt;&gt;0,ROUNDUP(S209+'Délai intermédiaire'!CF138/24,0),0)</f>
        <v>0</v>
      </c>
      <c r="T244" s="14">
        <f>IF(Distances!CG138&lt;&gt;0,ROUNDUP(T209+'Délai intermédiaire'!CG138/24,0),0)</f>
        <v>15</v>
      </c>
      <c r="U244" s="14">
        <f>IF(Distances!CH138&lt;&gt;0,ROUNDUP(U209+'Délai intermédiaire'!CH138/24,0),0)</f>
        <v>12</v>
      </c>
      <c r="V244" s="14">
        <f>IF(Distances!CI138&lt;&gt;0,ROUNDUP(V209+'Délai intermédiaire'!CI138/24,0),0)</f>
        <v>12</v>
      </c>
      <c r="W244" s="14">
        <f>IF(Distances!CJ138&lt;&gt;0,ROUNDUP(W209+'Délai intermédiaire'!CJ138/24,0),0)</f>
        <v>0</v>
      </c>
      <c r="X244" s="14">
        <f>IF(Distances!CK138&lt;&gt;0,ROUNDUP(X209+'Délai intermédiaire'!CK138/24,0),0)</f>
        <v>17</v>
      </c>
      <c r="Y244" s="14">
        <f>IF(Distances!CL138&lt;&gt;0,ROUNDUP(Y209+'Délai intermédiaire'!CL138/24,0),0)</f>
        <v>15</v>
      </c>
      <c r="Z244" s="14">
        <f>IF(Distances!CM138&lt;&gt;0,ROUNDUP(Z209+'Délai intermédiaire'!CM138/24,0),0)</f>
        <v>13</v>
      </c>
      <c r="AA244" s="14">
        <f>IF(Distances!CN138&lt;&gt;0,ROUNDUP(AA209+'Délai intermédiaire'!CN138/24,0),0)</f>
        <v>13</v>
      </c>
      <c r="AB244" s="14">
        <f>IF(Distances!CO138&lt;&gt;0,ROUNDUP(AB209+'Délai intermédiaire'!CO138/24,0),0)</f>
        <v>13</v>
      </c>
      <c r="AC244" s="14">
        <f>IF(Distances!CP138&lt;&gt;0,ROUNDUP(AC209+'Délai intermédiaire'!CP138/24,0),0)</f>
        <v>0</v>
      </c>
      <c r="AD244" s="14">
        <f>IF(Distances!CQ138&lt;&gt;0,ROUNDUP(AD209+'Délai intermédiaire'!CQ138/24,0),0)</f>
        <v>0</v>
      </c>
      <c r="AE244" s="14">
        <f>IF(Distances!CR138&lt;&gt;0,ROUNDUP(AE209+'Délai intermédiaire'!CR138/24,0),0)</f>
        <v>13</v>
      </c>
      <c r="AF244" s="14">
        <f>IF(Distances!CS138&lt;&gt;0,ROUNDUP(AF209+'Délai intermédiaire'!CS138/24,0),0)</f>
        <v>12</v>
      </c>
      <c r="AG244" s="14">
        <f>IF(Distances!CT138&lt;&gt;0,ROUNDUP(AG209+'Délai intermédiaire'!CT138/24,0),0)</f>
        <v>13</v>
      </c>
      <c r="AH244" s="13">
        <f>IF(Distances!CU138&lt;&gt;0,ROUNDUP(AH209+'Délai intermédiaire'!CU138/24,0),0)</f>
        <v>7</v>
      </c>
      <c r="AI244" s="12">
        <f>IF(Distances!CV138&lt;&gt;0,ROUNDUP(AI209+'Délai intermédiaire'!CV138/24,0),0)</f>
        <v>0</v>
      </c>
      <c r="AJ244" s="13">
        <f>IF(Distances!CW138&lt;&gt;0,ROUNDUP(AJ209+'Délai intermédiaire'!CW138/24,0),0)</f>
        <v>7</v>
      </c>
      <c r="AK244" s="13">
        <f>IF(Distances!CX138&lt;&gt;0,ROUNDUP(AK209+'Délai intermédiaire'!CX138/24,0),0)</f>
        <v>0</v>
      </c>
      <c r="AL244" s="13">
        <f>IF(Distances!CY138&lt;&gt;0,ROUNDUP(AL209+'Délai intermédiaire'!CY138/24,0),0)</f>
        <v>0</v>
      </c>
      <c r="AM244" s="13">
        <f>IF(Distances!CZ138&lt;&gt;0,ROUNDUP(AM209+'Délai intermédiaire'!CZ138/24,0),0)</f>
        <v>0</v>
      </c>
      <c r="AN244" s="13">
        <f>IF(Distances!DA138&lt;&gt;0,ROUNDUP(AN209+'Délai intermédiaire'!DA138/24,0),0)</f>
        <v>9</v>
      </c>
      <c r="AO244" s="14">
        <f>IF(Distances!DB138&lt;&gt;0,ROUNDUP(AO209+'Délai intermédiaire'!DB138/24,0),0)</f>
        <v>0</v>
      </c>
      <c r="AP244" s="14">
        <f>IF(Distances!DC138&lt;&gt;0,ROUNDUP(AP209+'Délai intermédiaire'!DC138/24,0),0)</f>
        <v>0</v>
      </c>
      <c r="AQ244" s="14">
        <f>IF(Distances!DD138&lt;&gt;0,ROUNDUP(AQ209+'Délai intermédiaire'!DD138/24,0),0)</f>
        <v>0</v>
      </c>
      <c r="AR244" s="13">
        <f>IF(Distances!DE138&lt;&gt;0,ROUNDUP(AR209+'Délai intermédiaire'!DE138/24,0),0)</f>
        <v>0</v>
      </c>
      <c r="AS244" s="13">
        <f>IF(Distances!DF138&lt;&gt;0,ROUNDUP(AS209+'Délai intermédiaire'!DF138/24,0),0)</f>
        <v>9</v>
      </c>
      <c r="AT244" s="13">
        <f>IF(Distances!DG138&lt;&gt;0,ROUNDUP(AT209+'Délai intermédiaire'!DG138/24,0),0)</f>
        <v>8</v>
      </c>
      <c r="AU244" s="12">
        <f>IF(Distances!DH138&lt;&gt;0,ROUNDUP(AU209+'Délai intermédiaire'!DH138/24,0),0)</f>
        <v>10</v>
      </c>
      <c r="AV244" s="13">
        <f>IF(Distances!DI138&lt;&gt;0,ROUNDUP(AV209+'Délai intermédiaire'!DI138/24,0),0)</f>
        <v>20</v>
      </c>
      <c r="AW244" s="13">
        <f>IF(Distances!DJ138&lt;&gt;0,ROUNDUP(AW209+'Délai intermédiaire'!DJ138/24,0),0)</f>
        <v>22</v>
      </c>
      <c r="AX244" s="12">
        <f>IF(Distances!DK138&lt;&gt;0,ROUNDUP(AX209+'Délai intermédiaire'!DK138/24,0),0)</f>
        <v>0</v>
      </c>
      <c r="AY244" s="14">
        <f>IF(Distances!DL138&lt;&gt;0,ROUNDUP(AY209+'Délai intermédiaire'!DL138/24,0),0)</f>
        <v>0</v>
      </c>
      <c r="AZ244" s="14">
        <f>IF(Distances!DM138&lt;&gt;0,ROUNDUP(AZ209+'Délai intermédiaire'!DM138/24,0),0)</f>
        <v>9</v>
      </c>
      <c r="BA244" s="13">
        <f>IF(Distances!DN138&lt;&gt;0,ROUNDUP(BA209+'Délai intermédiaire'!DN138/24,0),0)</f>
        <v>0</v>
      </c>
      <c r="BB244" s="14">
        <f>IF(Distances!DO138&lt;&gt;0,ROUNDUP(BB209+'Délai intermédiaire'!DO138/24,0),0)</f>
        <v>0</v>
      </c>
      <c r="BC244" s="12">
        <f>IF(Distances!DP138&lt;&gt;0,ROUNDUP(BC209+'Délai intermédiaire'!DP138/24,0),0)</f>
        <v>0</v>
      </c>
      <c r="BD244" s="12">
        <f>IF(Distances!DQ138&lt;&gt;0,ROUNDUP(BD209+'Délai intermédiaire'!DQ138/24,0),0)</f>
        <v>10</v>
      </c>
      <c r="BE244" s="12">
        <f>IF(Distances!DR138&lt;&gt;0,ROUNDUP(BE209+'Délai intermédiaire'!DR138/24,0),0)</f>
        <v>0</v>
      </c>
      <c r="BF244" s="14">
        <f>IF(Distances!DS138&lt;&gt;0,ROUNDUP(BF209+'Délai intermédiaire'!DS138/24,0),0)</f>
        <v>13</v>
      </c>
      <c r="BG244" s="14">
        <f>IF(Distances!DT138&lt;&gt;0,ROUNDUP(BG209+'Délai intermédiaire'!DT138/24,0),0)</f>
        <v>12</v>
      </c>
      <c r="BH244" s="14">
        <f>IF(Distances!DU138&lt;&gt;0,ROUNDUP(BH209+'Délai intermédiaire'!DU138/24,0),0)</f>
        <v>24</v>
      </c>
      <c r="BI244" s="14">
        <f>IF(Distances!DV138&lt;&gt;0,ROUNDUP(BI209+'Délai intermédiaire'!DV138/24,0),0)</f>
        <v>22</v>
      </c>
      <c r="BJ244" s="15">
        <f>IF(Distances!DW138&lt;&gt;0,ROUNDUP(BJ209+'Délai intermédiaire'!DW138/24,0),0)</f>
        <v>23</v>
      </c>
    </row>
    <row r="245" spans="1:62" x14ac:dyDescent="0.3">
      <c r="A245" s="10" t="s">
        <v>35</v>
      </c>
      <c r="B245" s="16">
        <f>IF(Distances!BO139&lt;&gt;0,ROUNDUP(B209+'Délai intermédiaire'!BO139/24,0),0)</f>
        <v>17</v>
      </c>
      <c r="C245" s="14">
        <f>IF(Distances!BP139&lt;&gt;0,ROUNDUP(C209+'Délai intermédiaire'!BP139/24,0),0)</f>
        <v>19</v>
      </c>
      <c r="D245" s="14">
        <f>IF(Distances!BQ139&lt;&gt;0,ROUNDUP(D209+'Délai intermédiaire'!BQ139/24,0),0)</f>
        <v>17</v>
      </c>
      <c r="E245" s="14">
        <f>IF(Distances!BR139&lt;&gt;0,ROUNDUP(E209+'Délai intermédiaire'!BR139/24,0),0)</f>
        <v>18</v>
      </c>
      <c r="F245" s="14">
        <f>IF(Distances!BS139&lt;&gt;0,ROUNDUP(F209+'Délai intermédiaire'!BS139/24,0),0)</f>
        <v>17</v>
      </c>
      <c r="G245" s="14">
        <f>IF(Distances!BT139&lt;&gt;0,ROUNDUP(G209+'Délai intermédiaire'!BT139/24,0),0)</f>
        <v>20</v>
      </c>
      <c r="H245" s="14">
        <f>IF(Distances!BU139&lt;&gt;0,ROUNDUP(H209+'Délai intermédiaire'!BU139/24,0),0)</f>
        <v>19</v>
      </c>
      <c r="I245" s="14">
        <f>IF(Distances!BV139&lt;&gt;0,ROUNDUP(I209+'Délai intermédiaire'!BV139/24,0),0)</f>
        <v>20</v>
      </c>
      <c r="J245" s="14">
        <f>IF(Distances!BW139&lt;&gt;0,ROUNDUP(J209+'Délai intermédiaire'!BW139/24,0),0)</f>
        <v>17</v>
      </c>
      <c r="K245" s="14">
        <f>IF(Distances!BX139&lt;&gt;0,ROUNDUP(K209+'Délai intermédiaire'!BX139/24,0),0)</f>
        <v>17</v>
      </c>
      <c r="L245" s="14">
        <f>IF(Distances!BY139&lt;&gt;0,ROUNDUP(L209+'Délai intermédiaire'!BY139/24,0),0)</f>
        <v>20</v>
      </c>
      <c r="M245" s="14">
        <f>IF(Distances!BZ139&lt;&gt;0,ROUNDUP(M209+'Délai intermédiaire'!BZ139/24,0),0)</f>
        <v>20</v>
      </c>
      <c r="N245" s="14">
        <f>IF(Distances!CA139&lt;&gt;0,ROUNDUP(N209+'Délai intermédiaire'!CA139/24,0),0)</f>
        <v>20</v>
      </c>
      <c r="O245" s="14">
        <f>IF(Distances!CB139&lt;&gt;0,ROUNDUP(O209+'Délai intermédiaire'!CB139/24,0),0)</f>
        <v>17</v>
      </c>
      <c r="P245" s="14">
        <f>IF(Distances!CC139&lt;&gt;0,ROUNDUP(P209+'Délai intermédiaire'!CC139/24,0),0)</f>
        <v>17</v>
      </c>
      <c r="Q245" s="14">
        <f>IF(Distances!CD139&lt;&gt;0,ROUNDUP(Q209+'Délai intermédiaire'!CD139/24,0),0)</f>
        <v>13</v>
      </c>
      <c r="R245" s="14">
        <f>IF(Distances!CE139&lt;&gt;0,ROUNDUP(R209+'Délai intermédiaire'!CE139/24,0),0)</f>
        <v>13</v>
      </c>
      <c r="S245" s="14">
        <f>IF(Distances!CF139&lt;&gt;0,ROUNDUP(S209+'Délai intermédiaire'!CF139/24,0),0)</f>
        <v>13</v>
      </c>
      <c r="T245" s="14">
        <f>IF(Distances!CG139&lt;&gt;0,ROUNDUP(T209+'Délai intermédiaire'!CG139/24,0),0)</f>
        <v>13</v>
      </c>
      <c r="U245" s="14">
        <f>IF(Distances!CH139&lt;&gt;0,ROUNDUP(U209+'Délai intermédiaire'!CH139/24,0),0)</f>
        <v>10</v>
      </c>
      <c r="V245" s="14">
        <f>IF(Distances!CI139&lt;&gt;0,ROUNDUP(V209+'Délai intermédiaire'!CI139/24,0),0)</f>
        <v>10</v>
      </c>
      <c r="W245" s="14">
        <f>IF(Distances!CJ139&lt;&gt;0,ROUNDUP(W209+'Délai intermédiaire'!CJ139/24,0),0)</f>
        <v>13</v>
      </c>
      <c r="X245" s="14">
        <f>IF(Distances!CK139&lt;&gt;0,ROUNDUP(X209+'Délai intermédiaire'!CK139/24,0),0)</f>
        <v>14</v>
      </c>
      <c r="Y245" s="14">
        <f>IF(Distances!CL139&lt;&gt;0,ROUNDUP(Y209+'Délai intermédiaire'!CL139/24,0),0)</f>
        <v>13</v>
      </c>
      <c r="Z245" s="14">
        <f>IF(Distances!CM139&lt;&gt;0,ROUNDUP(Z209+'Délai intermédiaire'!CM139/24,0),0)</f>
        <v>10</v>
      </c>
      <c r="AA245" s="14">
        <f>IF(Distances!CN139&lt;&gt;0,ROUNDUP(AA209+'Délai intermédiaire'!CN139/24,0),0)</f>
        <v>11</v>
      </c>
      <c r="AB245" s="14">
        <f>IF(Distances!CO139&lt;&gt;0,ROUNDUP(AB209+'Délai intermédiaire'!CO139/24,0),0)</f>
        <v>10</v>
      </c>
      <c r="AC245" s="14">
        <f>IF(Distances!CP139&lt;&gt;0,ROUNDUP(AC209+'Délai intermédiaire'!CP139/24,0),0)</f>
        <v>10</v>
      </c>
      <c r="AD245" s="14">
        <f>IF(Distances!CQ139&lt;&gt;0,ROUNDUP(AD209+'Délai intermédiaire'!CQ139/24,0),0)</f>
        <v>15</v>
      </c>
      <c r="AE245" s="14">
        <f>IF(Distances!CR139&lt;&gt;0,ROUNDUP(AE209+'Délai intermédiaire'!CR139/24,0),0)</f>
        <v>11</v>
      </c>
      <c r="AF245" s="14">
        <f>IF(Distances!CS139&lt;&gt;0,ROUNDUP(AF209+'Délai intermédiaire'!CS139/24,0),0)</f>
        <v>10</v>
      </c>
      <c r="AG245" s="14">
        <f>IF(Distances!CT139&lt;&gt;0,ROUNDUP(AG209+'Délai intermédiaire'!CT139/24,0),0)</f>
        <v>11</v>
      </c>
      <c r="AH245" s="13">
        <f>IF(Distances!CU139&lt;&gt;0,ROUNDUP(AH209+'Délai intermédiaire'!CU139/24,0),0)</f>
        <v>4</v>
      </c>
      <c r="AI245" s="13">
        <f>IF(Distances!CV139&lt;&gt;0,ROUNDUP(AI209+'Délai intermédiaire'!CV139/24,0),0)</f>
        <v>7</v>
      </c>
      <c r="AJ245" s="12">
        <f>IF(Distances!CW139&lt;&gt;0,ROUNDUP(AJ209+'Délai intermédiaire'!CW139/24,0),0)</f>
        <v>0</v>
      </c>
      <c r="AK245" s="13">
        <f>IF(Distances!CX139&lt;&gt;0,ROUNDUP(AK209+'Délai intermédiaire'!CX139/24,0),0)</f>
        <v>6</v>
      </c>
      <c r="AL245" s="13">
        <f>IF(Distances!CY139&lt;&gt;0,ROUNDUP(AL209+'Délai intermédiaire'!CY139/24,0),0)</f>
        <v>11</v>
      </c>
      <c r="AM245" s="13">
        <f>IF(Distances!CZ139&lt;&gt;0,ROUNDUP(AM209+'Délai intermédiaire'!CZ139/24,0),0)</f>
        <v>11</v>
      </c>
      <c r="AN245" s="13">
        <f>IF(Distances!DA139&lt;&gt;0,ROUNDUP(AN209+'Délai intermédiaire'!DA139/24,0),0)</f>
        <v>11</v>
      </c>
      <c r="AO245" s="14">
        <f>IF(Distances!DB139&lt;&gt;0,ROUNDUP(AO209+'Délai intermédiaire'!DB139/24,0),0)</f>
        <v>13</v>
      </c>
      <c r="AP245" s="14">
        <f>IF(Distances!DC139&lt;&gt;0,ROUNDUP(AP209+'Délai intermédiaire'!DC139/24,0),0)</f>
        <v>13</v>
      </c>
      <c r="AQ245" s="14">
        <f>IF(Distances!DD139&lt;&gt;0,ROUNDUP(AQ209+'Délai intermédiaire'!DD139/24,0),0)</f>
        <v>10</v>
      </c>
      <c r="AR245" s="13">
        <f>IF(Distances!DE139&lt;&gt;0,ROUNDUP(AR209+'Délai intermédiaire'!DE139/24,0),0)</f>
        <v>5</v>
      </c>
      <c r="AS245" s="13">
        <f>IF(Distances!DF139&lt;&gt;0,ROUNDUP(AS209+'Délai intermédiaire'!DF139/24,0),0)</f>
        <v>6</v>
      </c>
      <c r="AT245" s="13">
        <f>IF(Distances!DG139&lt;&gt;0,ROUNDUP(AT209+'Délai intermédiaire'!DG139/24,0),0)</f>
        <v>5</v>
      </c>
      <c r="AU245" s="13">
        <f>IF(Distances!DH139&lt;&gt;0,ROUNDUP(AU209+'Délai intermédiaire'!DH139/24,0),0)</f>
        <v>12</v>
      </c>
      <c r="AV245" s="13">
        <f>IF(Distances!DI139&lt;&gt;0,ROUNDUP(AV209+'Délai intermédiaire'!DI139/24,0),0)</f>
        <v>17</v>
      </c>
      <c r="AW245" s="13">
        <f>IF(Distances!DJ139&lt;&gt;0,ROUNDUP(AW209+'Délai intermédiaire'!DJ139/24,0),0)</f>
        <v>20</v>
      </c>
      <c r="AX245" s="13">
        <f>IF(Distances!DK139&lt;&gt;0,ROUNDUP(AX209+'Délai intermédiaire'!DK139/24,0),0)</f>
        <v>13</v>
      </c>
      <c r="AY245" s="14">
        <f>IF(Distances!DL139&lt;&gt;0,ROUNDUP(AY209+'Délai intermédiaire'!DL139/24,0),0)</f>
        <v>3</v>
      </c>
      <c r="AZ245" s="14">
        <f>IF(Distances!DM139&lt;&gt;0,ROUNDUP(AZ209+'Délai intermédiaire'!DM139/24,0),0)</f>
        <v>7</v>
      </c>
      <c r="BA245" s="13">
        <f>IF(Distances!DN139&lt;&gt;0,ROUNDUP(BA209+'Délai intermédiaire'!DN139/24,0),0)</f>
        <v>9</v>
      </c>
      <c r="BB245" s="14">
        <f>IF(Distances!DO139&lt;&gt;0,ROUNDUP(BB209+'Délai intermédiaire'!DO139/24,0),0)</f>
        <v>16</v>
      </c>
      <c r="BC245" s="13">
        <f>IF(Distances!DP139&lt;&gt;0,ROUNDUP(BC209+'Délai intermédiaire'!DP139/24,0),0)</f>
        <v>10</v>
      </c>
      <c r="BD245" s="13">
        <f>IF(Distances!DQ139&lt;&gt;0,ROUNDUP(BD209+'Délai intermédiaire'!DQ139/24,0),0)</f>
        <v>12</v>
      </c>
      <c r="BE245" s="13">
        <f>IF(Distances!DR139&lt;&gt;0,ROUNDUP(BE209+'Délai intermédiaire'!DR139/24,0),0)</f>
        <v>11</v>
      </c>
      <c r="BF245" s="14">
        <f>IF(Distances!DS139&lt;&gt;0,ROUNDUP(BF209+'Délai intermédiaire'!DS139/24,0),0)</f>
        <v>11</v>
      </c>
      <c r="BG245" s="14">
        <f>IF(Distances!DT139&lt;&gt;0,ROUNDUP(BG209+'Délai intermédiaire'!DT139/24,0),0)</f>
        <v>9</v>
      </c>
      <c r="BH245" s="14">
        <f>IF(Distances!DU139&lt;&gt;0,ROUNDUP(BH209+'Délai intermédiaire'!DU139/24,0),0)</f>
        <v>26</v>
      </c>
      <c r="BI245" s="14">
        <f>IF(Distances!DV139&lt;&gt;0,ROUNDUP(BI209+'Délai intermédiaire'!DV139/24,0),0)</f>
        <v>23</v>
      </c>
      <c r="BJ245" s="15">
        <f>IF(Distances!DW139&lt;&gt;0,ROUNDUP(BJ209+'Délai intermédiaire'!DW139/24,0),0)</f>
        <v>24</v>
      </c>
    </row>
    <row r="246" spans="1:62" x14ac:dyDescent="0.3">
      <c r="A246" s="10" t="s">
        <v>36</v>
      </c>
      <c r="B246" s="16">
        <f>IF(Distances!BO140&lt;&gt;0,ROUNDUP(B209+'Délai intermédiaire'!BO140/24,0),0)</f>
        <v>0</v>
      </c>
      <c r="C246" s="14">
        <f>IF(Distances!BP140&lt;&gt;0,ROUNDUP(C209+'Délai intermédiaire'!BP140/24,0),0)</f>
        <v>0</v>
      </c>
      <c r="D246" s="14">
        <f>IF(Distances!BQ140&lt;&gt;0,ROUNDUP(D209+'Délai intermédiaire'!BQ140/24,0),0)</f>
        <v>18</v>
      </c>
      <c r="E246" s="14">
        <f>IF(Distances!BR140&lt;&gt;0,ROUNDUP(E209+'Délai intermédiaire'!BR140/24,0),0)</f>
        <v>0</v>
      </c>
      <c r="F246" s="14">
        <f>IF(Distances!BS140&lt;&gt;0,ROUNDUP(F209+'Délai intermédiaire'!BS140/24,0),0)</f>
        <v>18</v>
      </c>
      <c r="G246" s="14">
        <f>IF(Distances!BT140&lt;&gt;0,ROUNDUP(G209+'Délai intermédiaire'!BT140/24,0),0)</f>
        <v>18</v>
      </c>
      <c r="H246" s="14">
        <f>IF(Distances!BU140&lt;&gt;0,ROUNDUP(H209+'Délai intermédiaire'!BU140/24,0),0)</f>
        <v>0</v>
      </c>
      <c r="I246" s="14">
        <f>IF(Distances!BV140&lt;&gt;0,ROUNDUP(I209+'Délai intermédiaire'!BV140/24,0),0)</f>
        <v>0</v>
      </c>
      <c r="J246" s="14">
        <f>IF(Distances!BW140&lt;&gt;0,ROUNDUP(J209+'Délai intermédiaire'!BW140/24,0),0)</f>
        <v>19</v>
      </c>
      <c r="K246" s="14">
        <f>IF(Distances!BX140&lt;&gt;0,ROUNDUP(K209+'Délai intermédiaire'!BX140/24,0),0)</f>
        <v>0</v>
      </c>
      <c r="L246" s="14">
        <f>IF(Distances!BY140&lt;&gt;0,ROUNDUP(L209+'Délai intermédiaire'!BY140/24,0),0)</f>
        <v>18</v>
      </c>
      <c r="M246" s="14">
        <f>IF(Distances!BZ140&lt;&gt;0,ROUNDUP(M209+'Délai intermédiaire'!BZ140/24,0),0)</f>
        <v>0</v>
      </c>
      <c r="N246" s="14">
        <f>IF(Distances!CA140&lt;&gt;0,ROUNDUP(N209+'Délai intermédiaire'!CA140/24,0),0)</f>
        <v>21</v>
      </c>
      <c r="O246" s="14">
        <f>IF(Distances!CB140&lt;&gt;0,ROUNDUP(O209+'Délai intermédiaire'!CB140/24,0),0)</f>
        <v>17</v>
      </c>
      <c r="P246" s="14">
        <f>IF(Distances!CC140&lt;&gt;0,ROUNDUP(P209+'Délai intermédiaire'!CC140/24,0),0)</f>
        <v>17</v>
      </c>
      <c r="Q246" s="14">
        <f>IF(Distances!CD140&lt;&gt;0,ROUNDUP(Q209+'Délai intermédiaire'!CD140/24,0),0)</f>
        <v>0</v>
      </c>
      <c r="R246" s="14">
        <f>IF(Distances!CE140&lt;&gt;0,ROUNDUP(R209+'Délai intermédiaire'!CE140/24,0),0)</f>
        <v>0</v>
      </c>
      <c r="S246" s="14">
        <f>IF(Distances!CF140&lt;&gt;0,ROUNDUP(S209+'Délai intermédiaire'!CF140/24,0),0)</f>
        <v>0</v>
      </c>
      <c r="T246" s="14">
        <f>IF(Distances!CG140&lt;&gt;0,ROUNDUP(T209+'Délai intermédiaire'!CG140/24,0),0)</f>
        <v>14</v>
      </c>
      <c r="U246" s="14">
        <f>IF(Distances!CH140&lt;&gt;0,ROUNDUP(U209+'Délai intermédiaire'!CH140/24,0),0)</f>
        <v>11</v>
      </c>
      <c r="V246" s="14">
        <f>IF(Distances!CI140&lt;&gt;0,ROUNDUP(V209+'Délai intermédiaire'!CI140/24,0),0)</f>
        <v>11</v>
      </c>
      <c r="W246" s="14">
        <f>IF(Distances!CJ140&lt;&gt;0,ROUNDUP(W209+'Délai intermédiaire'!CJ140/24,0),0)</f>
        <v>0</v>
      </c>
      <c r="X246" s="14">
        <f>IF(Distances!CK140&lt;&gt;0,ROUNDUP(X209+'Délai intermédiaire'!CK140/24,0),0)</f>
        <v>15</v>
      </c>
      <c r="Y246" s="14">
        <f>IF(Distances!CL140&lt;&gt;0,ROUNDUP(Y209+'Délai intermédiaire'!CL140/24,0),0)</f>
        <v>14</v>
      </c>
      <c r="Z246" s="14">
        <f>IF(Distances!CM140&lt;&gt;0,ROUNDUP(Z209+'Délai intermédiaire'!CM140/24,0),0)</f>
        <v>12</v>
      </c>
      <c r="AA246" s="14">
        <f>IF(Distances!CN140&lt;&gt;0,ROUNDUP(AA209+'Délai intermédiaire'!CN140/24,0),0)</f>
        <v>12</v>
      </c>
      <c r="AB246" s="14">
        <f>IF(Distances!CO140&lt;&gt;0,ROUNDUP(AB209+'Délai intermédiaire'!CO140/24,0),0)</f>
        <v>12</v>
      </c>
      <c r="AC246" s="14">
        <f>IF(Distances!CP140&lt;&gt;0,ROUNDUP(AC209+'Délai intermédiaire'!CP140/24,0),0)</f>
        <v>0</v>
      </c>
      <c r="AD246" s="14">
        <f>IF(Distances!CQ140&lt;&gt;0,ROUNDUP(AD209+'Délai intermédiaire'!CQ140/24,0),0)</f>
        <v>0</v>
      </c>
      <c r="AE246" s="14">
        <f>IF(Distances!CR140&lt;&gt;0,ROUNDUP(AE209+'Délai intermédiaire'!CR140/24,0),0)</f>
        <v>12</v>
      </c>
      <c r="AF246" s="14">
        <f>IF(Distances!CS140&lt;&gt;0,ROUNDUP(AF209+'Délai intermédiaire'!CS140/24,0),0)</f>
        <v>11</v>
      </c>
      <c r="AG246" s="14">
        <f>IF(Distances!CT140&lt;&gt;0,ROUNDUP(AG209+'Délai intermédiaire'!CT140/24,0),0)</f>
        <v>12</v>
      </c>
      <c r="AH246" s="13">
        <f>IF(Distances!CU140&lt;&gt;0,ROUNDUP(AH209+'Délai intermédiaire'!CU140/24,0),0)</f>
        <v>6</v>
      </c>
      <c r="AI246" s="13">
        <f>IF(Distances!CV140&lt;&gt;0,ROUNDUP(AI209+'Délai intermédiaire'!CV140/24,0),0)</f>
        <v>0</v>
      </c>
      <c r="AJ246" s="13">
        <f>IF(Distances!CW140&lt;&gt;0,ROUNDUP(AJ209+'Délai intermédiaire'!CW140/24,0),0)</f>
        <v>6</v>
      </c>
      <c r="AK246" s="12">
        <f>IF(Distances!CX140&lt;&gt;0,ROUNDUP(AK209+'Délai intermédiaire'!CX140/24,0),0)</f>
        <v>0</v>
      </c>
      <c r="AL246" s="13">
        <f>IF(Distances!CY140&lt;&gt;0,ROUNDUP(AL209+'Délai intermédiaire'!CY140/24,0),0)</f>
        <v>0</v>
      </c>
      <c r="AM246" s="13">
        <f>IF(Distances!CZ140&lt;&gt;0,ROUNDUP(AM209+'Délai intermédiaire'!CZ140/24,0),0)</f>
        <v>0</v>
      </c>
      <c r="AN246" s="13">
        <f>IF(Distances!DA140&lt;&gt;0,ROUNDUP(AN209+'Délai intermédiaire'!DA140/24,0),0)</f>
        <v>9</v>
      </c>
      <c r="AO246" s="14">
        <f>IF(Distances!DB140&lt;&gt;0,ROUNDUP(AO209+'Délai intermédiaire'!DB140/24,0),0)</f>
        <v>0</v>
      </c>
      <c r="AP246" s="14">
        <f>IF(Distances!DC140&lt;&gt;0,ROUNDUP(AP209+'Délai intermédiaire'!DC140/24,0),0)</f>
        <v>0</v>
      </c>
      <c r="AQ246" s="14">
        <f>IF(Distances!DD140&lt;&gt;0,ROUNDUP(AQ209+'Délai intermédiaire'!DD140/24,0),0)</f>
        <v>0</v>
      </c>
      <c r="AR246" s="13">
        <f>IF(Distances!DE140&lt;&gt;0,ROUNDUP(AR209+'Délai intermédiaire'!DE140/24,0),0)</f>
        <v>0</v>
      </c>
      <c r="AS246" s="13">
        <f>IF(Distances!DF140&lt;&gt;0,ROUNDUP(AS209+'Délai intermédiaire'!DF140/24,0),0)</f>
        <v>8</v>
      </c>
      <c r="AT246" s="13">
        <f>IF(Distances!DG140&lt;&gt;0,ROUNDUP(AT209+'Délai intermédiaire'!DG140/24,0),0)</f>
        <v>7</v>
      </c>
      <c r="AU246" s="13">
        <f>IF(Distances!DH140&lt;&gt;0,ROUNDUP(AU209+'Délai intermédiaire'!DH140/24,0),0)</f>
        <v>10</v>
      </c>
      <c r="AV246" s="13">
        <f>IF(Distances!DI140&lt;&gt;0,ROUNDUP(AV209+'Délai intermédiaire'!DI140/24,0),0)</f>
        <v>19</v>
      </c>
      <c r="AW246" s="13">
        <f>IF(Distances!DJ140&lt;&gt;0,ROUNDUP(AW209+'Délai intermédiaire'!DJ140/24,0),0)</f>
        <v>21</v>
      </c>
      <c r="AX246" s="13">
        <f>IF(Distances!DK140&lt;&gt;0,ROUNDUP(AX209+'Délai intermédiaire'!DK140/24,0),0)</f>
        <v>0</v>
      </c>
      <c r="AY246" s="14">
        <f>IF(Distances!DL140&lt;&gt;0,ROUNDUP(AY209+'Délai intermédiaire'!DL140/24,0),0)</f>
        <v>0</v>
      </c>
      <c r="AZ246" s="14">
        <f>IF(Distances!DM140&lt;&gt;0,ROUNDUP(AZ209+'Délai intermédiaire'!DM140/24,0),0)</f>
        <v>8</v>
      </c>
      <c r="BA246" s="13">
        <f>IF(Distances!DN140&lt;&gt;0,ROUNDUP(BA209+'Délai intermédiaire'!DN140/24,0),0)</f>
        <v>0</v>
      </c>
      <c r="BB246" s="14">
        <f>IF(Distances!DO140&lt;&gt;0,ROUNDUP(BB209+'Délai intermédiaire'!DO140/24,0),0)</f>
        <v>0</v>
      </c>
      <c r="BC246" s="13">
        <f>IF(Distances!DP140&lt;&gt;0,ROUNDUP(BC209+'Délai intermédiaire'!DP140/24,0),0)</f>
        <v>0</v>
      </c>
      <c r="BD246" s="13">
        <f>IF(Distances!DQ140&lt;&gt;0,ROUNDUP(BD209+'Délai intermédiaire'!DQ140/24,0),0)</f>
        <v>10</v>
      </c>
      <c r="BE246" s="13">
        <f>IF(Distances!DR140&lt;&gt;0,ROUNDUP(BE209+'Délai intermédiaire'!DR140/24,0),0)</f>
        <v>0</v>
      </c>
      <c r="BF246" s="14">
        <f>IF(Distances!DS140&lt;&gt;0,ROUNDUP(BF209+'Délai intermédiaire'!DS140/24,0),0)</f>
        <v>12</v>
      </c>
      <c r="BG246" s="14">
        <f>IF(Distances!DT140&lt;&gt;0,ROUNDUP(BG209+'Délai intermédiaire'!DT140/24,0),0)</f>
        <v>11</v>
      </c>
      <c r="BH246" s="14">
        <f>IF(Distances!DU140&lt;&gt;0,ROUNDUP(BH209+'Délai intermédiaire'!DU140/24,0),0)</f>
        <v>24</v>
      </c>
      <c r="BI246" s="14">
        <f>IF(Distances!DV140&lt;&gt;0,ROUNDUP(BI209+'Délai intermédiaire'!DV140/24,0),0)</f>
        <v>22</v>
      </c>
      <c r="BJ246" s="15">
        <f>IF(Distances!DW140&lt;&gt;0,ROUNDUP(BJ209+'Délai intermédiaire'!DW140/24,0),0)</f>
        <v>22</v>
      </c>
    </row>
    <row r="247" spans="1:62" x14ac:dyDescent="0.3">
      <c r="A247" s="10" t="s">
        <v>37</v>
      </c>
      <c r="B247" s="16">
        <f>IF(Distances!BO141&lt;&gt;0,ROUNDUP(B209+'Délai intermédiaire'!BO141/24,0),0)</f>
        <v>0</v>
      </c>
      <c r="C247" s="14">
        <f>IF(Distances!BP141&lt;&gt;0,ROUNDUP(C209+'Délai intermédiaire'!BP141/24,0),0)</f>
        <v>0</v>
      </c>
      <c r="D247" s="14">
        <f>IF(Distances!BQ141&lt;&gt;0,ROUNDUP(D209+'Délai intermédiaire'!BQ141/24,0),0)</f>
        <v>19</v>
      </c>
      <c r="E247" s="14">
        <f>IF(Distances!BR141&lt;&gt;0,ROUNDUP(E209+'Délai intermédiaire'!BR141/24,0),0)</f>
        <v>0</v>
      </c>
      <c r="F247" s="14">
        <f>IF(Distances!BS141&lt;&gt;0,ROUNDUP(F209+'Délai intermédiaire'!BS141/24,0),0)</f>
        <v>18</v>
      </c>
      <c r="G247" s="14">
        <f>IF(Distances!BT141&lt;&gt;0,ROUNDUP(G209+'Délai intermédiaire'!BT141/24,0),0)</f>
        <v>11</v>
      </c>
      <c r="H247" s="14">
        <f>IF(Distances!BU141&lt;&gt;0,ROUNDUP(H209+'Délai intermédiaire'!BU141/24,0),0)</f>
        <v>0</v>
      </c>
      <c r="I247" s="14">
        <f>IF(Distances!BV141&lt;&gt;0,ROUNDUP(I209+'Délai intermédiaire'!BV141/24,0),0)</f>
        <v>0</v>
      </c>
      <c r="J247" s="14">
        <f>IF(Distances!BW141&lt;&gt;0,ROUNDUP(J209+'Délai intermédiaire'!BW141/24,0),0)</f>
        <v>22</v>
      </c>
      <c r="K247" s="14">
        <f>IF(Distances!BX141&lt;&gt;0,ROUNDUP(K209+'Délai intermédiaire'!BX141/24,0),0)</f>
        <v>0</v>
      </c>
      <c r="L247" s="14">
        <f>IF(Distances!BY141&lt;&gt;0,ROUNDUP(L209+'Délai intermédiaire'!BY141/24,0),0)</f>
        <v>10</v>
      </c>
      <c r="M247" s="14">
        <f>IF(Distances!BZ141&lt;&gt;0,ROUNDUP(M209+'Délai intermédiaire'!BZ141/24,0),0)</f>
        <v>0</v>
      </c>
      <c r="N247" s="14">
        <f>IF(Distances!CA141&lt;&gt;0,ROUNDUP(N209+'Délai intermédiaire'!CA141/24,0),0)</f>
        <v>19</v>
      </c>
      <c r="O247" s="14">
        <f>IF(Distances!CB141&lt;&gt;0,ROUNDUP(O209+'Délai intermédiaire'!CB141/24,0),0)</f>
        <v>23</v>
      </c>
      <c r="P247" s="14">
        <f>IF(Distances!CC141&lt;&gt;0,ROUNDUP(P209+'Délai intermédiaire'!CC141/24,0),0)</f>
        <v>21</v>
      </c>
      <c r="Q247" s="14">
        <f>IF(Distances!CD141&lt;&gt;0,ROUNDUP(Q209+'Délai intermédiaire'!CD141/24,0),0)</f>
        <v>0</v>
      </c>
      <c r="R247" s="14">
        <f>IF(Distances!CE141&lt;&gt;0,ROUNDUP(R209+'Délai intermédiaire'!CE141/24,0),0)</f>
        <v>0</v>
      </c>
      <c r="S247" s="14">
        <f>IF(Distances!CF141&lt;&gt;0,ROUNDUP(S209+'Délai intermédiaire'!CF141/24,0),0)</f>
        <v>0</v>
      </c>
      <c r="T247" s="14">
        <f>IF(Distances!CG141&lt;&gt;0,ROUNDUP(T209+'Délai intermédiaire'!CG141/24,0),0)</f>
        <v>21</v>
      </c>
      <c r="U247" s="14">
        <f>IF(Distances!CH141&lt;&gt;0,ROUNDUP(U209+'Délai intermédiaire'!CH141/24,0),0)</f>
        <v>18</v>
      </c>
      <c r="V247" s="14">
        <f>IF(Distances!CI141&lt;&gt;0,ROUNDUP(V209+'Délai intermédiaire'!CI141/24,0),0)</f>
        <v>18</v>
      </c>
      <c r="W247" s="14">
        <f>IF(Distances!CJ141&lt;&gt;0,ROUNDUP(W209+'Délai intermédiaire'!CJ141/24,0),0)</f>
        <v>0</v>
      </c>
      <c r="X247" s="14">
        <f>IF(Distances!CK141&lt;&gt;0,ROUNDUP(X209+'Délai intermédiaire'!CK141/24,0),0)</f>
        <v>22</v>
      </c>
      <c r="Y247" s="14">
        <f>IF(Distances!CL141&lt;&gt;0,ROUNDUP(Y209+'Délai intermédiaire'!CL141/24,0),0)</f>
        <v>21</v>
      </c>
      <c r="Z247" s="14">
        <f>IF(Distances!CM141&lt;&gt;0,ROUNDUP(Z209+'Délai intermédiaire'!CM141/24,0),0)</f>
        <v>18</v>
      </c>
      <c r="AA247" s="14">
        <f>IF(Distances!CN141&lt;&gt;0,ROUNDUP(AA209+'Délai intermédiaire'!CN141/24,0),0)</f>
        <v>19</v>
      </c>
      <c r="AB247" s="14">
        <f>IF(Distances!CO141&lt;&gt;0,ROUNDUP(AB209+'Délai intermédiaire'!CO141/24,0),0)</f>
        <v>2</v>
      </c>
      <c r="AC247" s="14">
        <f>IF(Distances!CP141&lt;&gt;0,ROUNDUP(AC209+'Délai intermédiaire'!CP141/24,0),0)</f>
        <v>0</v>
      </c>
      <c r="AD247" s="14">
        <f>IF(Distances!CQ141&lt;&gt;0,ROUNDUP(AD209+'Délai intermédiaire'!CQ141/24,0),0)</f>
        <v>0</v>
      </c>
      <c r="AE247" s="14">
        <f>IF(Distances!CR141&lt;&gt;0,ROUNDUP(AE209+'Délai intermédiaire'!CR141/24,0),0)</f>
        <v>19</v>
      </c>
      <c r="AF247" s="14">
        <f>IF(Distances!CS141&lt;&gt;0,ROUNDUP(AF209+'Délai intermédiaire'!CS141/24,0),0)</f>
        <v>18</v>
      </c>
      <c r="AG247" s="14">
        <f>IF(Distances!CT141&lt;&gt;0,ROUNDUP(AG209+'Délai intermédiaire'!CT141/24,0),0)</f>
        <v>19</v>
      </c>
      <c r="AH247" s="13">
        <f>IF(Distances!CU141&lt;&gt;0,ROUNDUP(AH209+'Délai intermédiaire'!CU141/24,0),0)</f>
        <v>13</v>
      </c>
      <c r="AI247" s="13">
        <f>IF(Distances!CV141&lt;&gt;0,ROUNDUP(AI209+'Délai intermédiaire'!CV141/24,0),0)</f>
        <v>0</v>
      </c>
      <c r="AJ247" s="13">
        <f>IF(Distances!CW141&lt;&gt;0,ROUNDUP(AJ209+'Délai intermédiaire'!CW141/24,0),0)</f>
        <v>12</v>
      </c>
      <c r="AK247" s="13">
        <f>IF(Distances!CX141&lt;&gt;0,ROUNDUP(AK209+'Délai intermédiaire'!CX141/24,0),0)</f>
        <v>0</v>
      </c>
      <c r="AL247" s="12">
        <f>IF(Distances!CY141&lt;&gt;0,ROUNDUP(AL209+'Délai intermédiaire'!CY141/24,0),0)</f>
        <v>0</v>
      </c>
      <c r="AM247" s="13">
        <f>IF(Distances!CZ141&lt;&gt;0,ROUNDUP(AM209+'Délai intermédiaire'!CZ141/24,0),0)</f>
        <v>0</v>
      </c>
      <c r="AN247" s="13">
        <f>IF(Distances!DA141&lt;&gt;0,ROUNDUP(AN209+'Délai intermédiaire'!DA141/24,0),0)</f>
        <v>3</v>
      </c>
      <c r="AO247" s="14">
        <f>IF(Distances!DB141&lt;&gt;0,ROUNDUP(AO209+'Délai intermédiaire'!DB141/24,0),0)</f>
        <v>0</v>
      </c>
      <c r="AP247" s="14">
        <f>IF(Distances!DC141&lt;&gt;0,ROUNDUP(AP209+'Délai intermédiaire'!DC141/24,0),0)</f>
        <v>0</v>
      </c>
      <c r="AQ247" s="14">
        <f>IF(Distances!DD141&lt;&gt;0,ROUNDUP(AQ209+'Délai intermédiaire'!DD141/24,0),0)</f>
        <v>0</v>
      </c>
      <c r="AR247" s="13">
        <f>IF(Distances!DE141&lt;&gt;0,ROUNDUP(AR209+'Délai intermédiaire'!DE141/24,0),0)</f>
        <v>0</v>
      </c>
      <c r="AS247" s="13">
        <f>IF(Distances!DF141&lt;&gt;0,ROUNDUP(AS209+'Délai intermédiaire'!DF141/24,0),0)</f>
        <v>14</v>
      </c>
      <c r="AT247" s="13">
        <f>IF(Distances!DG141&lt;&gt;0,ROUNDUP(AT209+'Délai intermédiaire'!DG141/24,0),0)</f>
        <v>14</v>
      </c>
      <c r="AU247" s="13">
        <f>IF(Distances!DH141&lt;&gt;0,ROUNDUP(AU209+'Délai intermédiaire'!DH141/24,0),0)</f>
        <v>4</v>
      </c>
      <c r="AV247" s="13">
        <f>IF(Distances!DI141&lt;&gt;0,ROUNDUP(AV209+'Délai intermédiaire'!DI141/24,0),0)</f>
        <v>25</v>
      </c>
      <c r="AW247" s="13">
        <f>IF(Distances!DJ141&lt;&gt;0,ROUNDUP(AW209+'Délai intermédiaire'!DJ141/24,0),0)</f>
        <v>28</v>
      </c>
      <c r="AX247" s="13">
        <f>IF(Distances!DK141&lt;&gt;0,ROUNDUP(AX209+'Délai intermédiaire'!DK141/24,0),0)</f>
        <v>0</v>
      </c>
      <c r="AY247" s="14">
        <f>IF(Distances!DL141&lt;&gt;0,ROUNDUP(AY209+'Délai intermédiaire'!DL141/24,0),0)</f>
        <v>0</v>
      </c>
      <c r="AZ247" s="14">
        <f>IF(Distances!DM141&lt;&gt;0,ROUNDUP(AZ209+'Délai intermédiaire'!DM141/24,0),0)</f>
        <v>15</v>
      </c>
      <c r="BA247" s="13">
        <f>IF(Distances!DN141&lt;&gt;0,ROUNDUP(BA209+'Délai intermédiaire'!DN141/24,0),0)</f>
        <v>0</v>
      </c>
      <c r="BB247" s="14">
        <f>IF(Distances!DO141&lt;&gt;0,ROUNDUP(BB209+'Délai intermédiaire'!DO141/24,0),0)</f>
        <v>0</v>
      </c>
      <c r="BC247" s="13">
        <f>IF(Distances!DP141&lt;&gt;0,ROUNDUP(BC209+'Délai intermédiaire'!DP141/24,0),0)</f>
        <v>0</v>
      </c>
      <c r="BD247" s="13">
        <f>IF(Distances!DQ141&lt;&gt;0,ROUNDUP(BD209+'Délai intermédiaire'!DQ141/24,0),0)</f>
        <v>5</v>
      </c>
      <c r="BE247" s="13">
        <f>IF(Distances!DR141&lt;&gt;0,ROUNDUP(BE209+'Délai intermédiaire'!DR141/24,0),0)</f>
        <v>0</v>
      </c>
      <c r="BF247" s="14">
        <f>IF(Distances!DS141&lt;&gt;0,ROUNDUP(BF209+'Délai intermédiaire'!DS141/24,0),0)</f>
        <v>19</v>
      </c>
      <c r="BG247" s="14">
        <f>IF(Distances!DT141&lt;&gt;0,ROUNDUP(BG209+'Délai intermédiaire'!DT141/24,0),0)</f>
        <v>17</v>
      </c>
      <c r="BH247" s="14">
        <f>IF(Distances!DU141&lt;&gt;0,ROUNDUP(BH209+'Délai intermédiaire'!DU141/24,0),0)</f>
        <v>16</v>
      </c>
      <c r="BI247" s="14">
        <f>IF(Distances!DV141&lt;&gt;0,ROUNDUP(BI209+'Délai intermédiaire'!DV141/24,0),0)</f>
        <v>19</v>
      </c>
      <c r="BJ247" s="15">
        <f>IF(Distances!DW141&lt;&gt;0,ROUNDUP(BJ209+'Délai intermédiaire'!DW141/24,0),0)</f>
        <v>19</v>
      </c>
    </row>
    <row r="248" spans="1:62" x14ac:dyDescent="0.3">
      <c r="A248" s="10" t="s">
        <v>38</v>
      </c>
      <c r="B248" s="16">
        <f>IF(Distances!BO142&lt;&gt;0,ROUNDUP(B209+'Délai intermédiaire'!BO142/24,0),0)</f>
        <v>0</v>
      </c>
      <c r="C248" s="14">
        <f>IF(Distances!BP142&lt;&gt;0,ROUNDUP(C209+'Délai intermédiaire'!BP142/24,0),0)</f>
        <v>0</v>
      </c>
      <c r="D248" s="14">
        <f>IF(Distances!BQ142&lt;&gt;0,ROUNDUP(D209+'Délai intermédiaire'!BQ142/24,0),0)</f>
        <v>20</v>
      </c>
      <c r="E248" s="14">
        <f>IF(Distances!BR142&lt;&gt;0,ROUNDUP(E209+'Délai intermédiaire'!BR142/24,0),0)</f>
        <v>0</v>
      </c>
      <c r="F248" s="14">
        <f>IF(Distances!BS142&lt;&gt;0,ROUNDUP(F209+'Délai intermédiaire'!BS142/24,0),0)</f>
        <v>19</v>
      </c>
      <c r="G248" s="14">
        <f>IF(Distances!BT142&lt;&gt;0,ROUNDUP(G209+'Délai intermédiaire'!BT142/24,0),0)</f>
        <v>11</v>
      </c>
      <c r="H248" s="14">
        <f>IF(Distances!BU142&lt;&gt;0,ROUNDUP(H209+'Délai intermédiaire'!BU142/24,0),0)</f>
        <v>0</v>
      </c>
      <c r="I248" s="14">
        <f>IF(Distances!BV142&lt;&gt;0,ROUNDUP(I209+'Délai intermédiaire'!BV142/24,0),0)</f>
        <v>0</v>
      </c>
      <c r="J248" s="14">
        <f>IF(Distances!BW142&lt;&gt;0,ROUNDUP(J209+'Délai intermédiaire'!BW142/24,0),0)</f>
        <v>22</v>
      </c>
      <c r="K248" s="14">
        <f>IF(Distances!BX142&lt;&gt;0,ROUNDUP(K209+'Délai intermédiaire'!BX142/24,0),0)</f>
        <v>0</v>
      </c>
      <c r="L248" s="14">
        <f>IF(Distances!BY142&lt;&gt;0,ROUNDUP(L209+'Délai intermédiaire'!BY142/24,0),0)</f>
        <v>11</v>
      </c>
      <c r="M248" s="14">
        <f>IF(Distances!BZ142&lt;&gt;0,ROUNDUP(M209+'Délai intermédiaire'!BZ142/24,0),0)</f>
        <v>0</v>
      </c>
      <c r="N248" s="14">
        <f>IF(Distances!CA142&lt;&gt;0,ROUNDUP(N209+'Délai intermédiaire'!CA142/24,0),0)</f>
        <v>19</v>
      </c>
      <c r="O248" s="14">
        <f>IF(Distances!CB142&lt;&gt;0,ROUNDUP(O209+'Délai intermédiaire'!CB142/24,0),0)</f>
        <v>22</v>
      </c>
      <c r="P248" s="14">
        <f>IF(Distances!CC142&lt;&gt;0,ROUNDUP(P209+'Délai intermédiaire'!CC142/24,0),0)</f>
        <v>22</v>
      </c>
      <c r="Q248" s="14">
        <f>IF(Distances!CD142&lt;&gt;0,ROUNDUP(Q209+'Délai intermédiaire'!CD142/24,0),0)</f>
        <v>0</v>
      </c>
      <c r="R248" s="14">
        <f>IF(Distances!CE142&lt;&gt;0,ROUNDUP(R209+'Délai intermédiaire'!CE142/24,0),0)</f>
        <v>0</v>
      </c>
      <c r="S248" s="14">
        <f>IF(Distances!CF142&lt;&gt;0,ROUNDUP(S209+'Délai intermédiaire'!CF142/24,0),0)</f>
        <v>0</v>
      </c>
      <c r="T248" s="14">
        <f>IF(Distances!CG142&lt;&gt;0,ROUNDUP(T209+'Délai intermédiaire'!CG142/24,0),0)</f>
        <v>20</v>
      </c>
      <c r="U248" s="14">
        <f>IF(Distances!CH142&lt;&gt;0,ROUNDUP(U209+'Délai intermédiaire'!CH142/24,0),0)</f>
        <v>18</v>
      </c>
      <c r="V248" s="14">
        <f>IF(Distances!CI142&lt;&gt;0,ROUNDUP(V209+'Délai intermédiaire'!CI142/24,0),0)</f>
        <v>17</v>
      </c>
      <c r="W248" s="14">
        <f>IF(Distances!CJ142&lt;&gt;0,ROUNDUP(W209+'Délai intermédiaire'!CJ142/24,0),0)</f>
        <v>0</v>
      </c>
      <c r="X248" s="14">
        <f>IF(Distances!CK142&lt;&gt;0,ROUNDUP(X209+'Délai intermédiaire'!CK142/24,0),0)</f>
        <v>22</v>
      </c>
      <c r="Y248" s="14">
        <f>IF(Distances!CL142&lt;&gt;0,ROUNDUP(Y209+'Délai intermédiaire'!CL142/24,0),0)</f>
        <v>21</v>
      </c>
      <c r="Z248" s="14">
        <f>IF(Distances!CM142&lt;&gt;0,ROUNDUP(Z209+'Délai intermédiaire'!CM142/24,0),0)</f>
        <v>18</v>
      </c>
      <c r="AA248" s="14">
        <f>IF(Distances!CN142&lt;&gt;0,ROUNDUP(AA209+'Délai intermédiaire'!CN142/24,0),0)</f>
        <v>18</v>
      </c>
      <c r="AB248" s="14">
        <f>IF(Distances!CO142&lt;&gt;0,ROUNDUP(AB209+'Délai intermédiaire'!CO142/24,0),0)</f>
        <v>18</v>
      </c>
      <c r="AC248" s="14">
        <f>IF(Distances!CP142&lt;&gt;0,ROUNDUP(AC209+'Délai intermédiaire'!CP142/24,0),0)</f>
        <v>0</v>
      </c>
      <c r="AD248" s="14">
        <f>IF(Distances!CQ142&lt;&gt;0,ROUNDUP(AD209+'Délai intermédiaire'!CQ142/24,0),0)</f>
        <v>0</v>
      </c>
      <c r="AE248" s="14">
        <f>IF(Distances!CR142&lt;&gt;0,ROUNDUP(AE209+'Délai intermédiaire'!CR142/24,0),0)</f>
        <v>19</v>
      </c>
      <c r="AF248" s="14">
        <f>IF(Distances!CS142&lt;&gt;0,ROUNDUP(AF209+'Délai intermédiaire'!CS142/24,0),0)</f>
        <v>17</v>
      </c>
      <c r="AG248" s="14">
        <f>IF(Distances!CT142&lt;&gt;0,ROUNDUP(AG209+'Délai intermédiaire'!CT142/24,0),0)</f>
        <v>18</v>
      </c>
      <c r="AH248" s="13">
        <f>IF(Distances!CU142&lt;&gt;0,ROUNDUP(AH209+'Délai intermédiaire'!CU142/24,0),0)</f>
        <v>12</v>
      </c>
      <c r="AI248" s="13">
        <f>IF(Distances!CV142&lt;&gt;0,ROUNDUP(AI209+'Délai intermédiaire'!CV142/24,0),0)</f>
        <v>0</v>
      </c>
      <c r="AJ248" s="13">
        <f>IF(Distances!CW142&lt;&gt;0,ROUNDUP(AJ209+'Délai intermédiaire'!CW142/24,0),0)</f>
        <v>12</v>
      </c>
      <c r="AK248" s="13">
        <f>IF(Distances!CX142&lt;&gt;0,ROUNDUP(AK209+'Délai intermédiaire'!CX142/24,0),0)</f>
        <v>0</v>
      </c>
      <c r="AL248" s="13">
        <f>IF(Distances!CY142&lt;&gt;0,ROUNDUP(AL209+'Délai intermédiaire'!CY142/24,0),0)</f>
        <v>0</v>
      </c>
      <c r="AM248" s="12">
        <f>IF(Distances!CZ142&lt;&gt;0,ROUNDUP(AM209+'Délai intermédiaire'!CZ142/24,0),0)</f>
        <v>0</v>
      </c>
      <c r="AN248" s="13">
        <f>IF(Distances!DA142&lt;&gt;0,ROUNDUP(AN209+'Délai intermédiaire'!DA142/24,0),0)</f>
        <v>2</v>
      </c>
      <c r="AO248" s="14">
        <f>IF(Distances!DB142&lt;&gt;0,ROUNDUP(AO209+'Délai intermédiaire'!DB142/24,0),0)</f>
        <v>0</v>
      </c>
      <c r="AP248" s="14">
        <f>IF(Distances!DC142&lt;&gt;0,ROUNDUP(AP209+'Délai intermédiaire'!DC142/24,0),0)</f>
        <v>0</v>
      </c>
      <c r="AQ248" s="14">
        <f>IF(Distances!DD142&lt;&gt;0,ROUNDUP(AQ209+'Délai intermédiaire'!DD142/24,0),0)</f>
        <v>0</v>
      </c>
      <c r="AR248" s="13">
        <f>IF(Distances!DE142&lt;&gt;0,ROUNDUP(AR209+'Délai intermédiaire'!DE142/24,0),0)</f>
        <v>0</v>
      </c>
      <c r="AS248" s="13">
        <f>IF(Distances!DF142&lt;&gt;0,ROUNDUP(AS209+'Délai intermédiaire'!DF142/24,0),0)</f>
        <v>14</v>
      </c>
      <c r="AT248" s="13">
        <f>IF(Distances!DG142&lt;&gt;0,ROUNDUP(AT209+'Délai intermédiaire'!DG142/24,0),0)</f>
        <v>14</v>
      </c>
      <c r="AU248" s="13">
        <f>IF(Distances!DH142&lt;&gt;0,ROUNDUP(AU209+'Délai intermédiaire'!DH142/24,0),0)</f>
        <v>4</v>
      </c>
      <c r="AV248" s="13">
        <f>IF(Distances!DI142&lt;&gt;0,ROUNDUP(AV209+'Délai intermédiaire'!DI142/24,0),0)</f>
        <v>25</v>
      </c>
      <c r="AW248" s="13">
        <f>IF(Distances!DJ142&lt;&gt;0,ROUNDUP(AW209+'Délai intermédiaire'!DJ142/24,0),0)</f>
        <v>27</v>
      </c>
      <c r="AX248" s="13">
        <f>IF(Distances!DK142&lt;&gt;0,ROUNDUP(AX209+'Délai intermédiaire'!DK142/24,0),0)</f>
        <v>0</v>
      </c>
      <c r="AY248" s="14">
        <f>IF(Distances!DL142&lt;&gt;0,ROUNDUP(AY209+'Délai intermédiaire'!DL142/24,0),0)</f>
        <v>0</v>
      </c>
      <c r="AZ248" s="14">
        <f>IF(Distances!DM142&lt;&gt;0,ROUNDUP(AZ209+'Délai intermédiaire'!DM142/24,0),0)</f>
        <v>14</v>
      </c>
      <c r="BA248" s="13">
        <f>IF(Distances!DN142&lt;&gt;0,ROUNDUP(BA209+'Délai intermédiaire'!DN142/24,0),0)</f>
        <v>0</v>
      </c>
      <c r="BB248" s="14">
        <f>IF(Distances!DO142&lt;&gt;0,ROUNDUP(BB209+'Délai intermédiaire'!DO142/24,0),0)</f>
        <v>0</v>
      </c>
      <c r="BC248" s="13">
        <f>IF(Distances!DP142&lt;&gt;0,ROUNDUP(BC209+'Délai intermédiaire'!DP142/24,0),0)</f>
        <v>0</v>
      </c>
      <c r="BD248" s="13">
        <f>IF(Distances!DQ142&lt;&gt;0,ROUNDUP(BD209+'Délai intermédiaire'!DQ142/24,0),0)</f>
        <v>4</v>
      </c>
      <c r="BE248" s="13">
        <f>IF(Distances!DR142&lt;&gt;0,ROUNDUP(BE209+'Délai intermédiaire'!DR142/24,0),0)</f>
        <v>0</v>
      </c>
      <c r="BF248" s="14">
        <f>IF(Distances!DS142&lt;&gt;0,ROUNDUP(BF209+'Délai intermédiaire'!DS142/24,0),0)</f>
        <v>19</v>
      </c>
      <c r="BG248" s="14">
        <f>IF(Distances!DT142&lt;&gt;0,ROUNDUP(BG209+'Délai intermédiaire'!DT142/24,0),0)</f>
        <v>17</v>
      </c>
      <c r="BH248" s="14">
        <f>IF(Distances!DU142&lt;&gt;0,ROUNDUP(BH209+'Délai intermédiaire'!DU142/24,0),0)</f>
        <v>17</v>
      </c>
      <c r="BI248" s="14">
        <f>IF(Distances!DV142&lt;&gt;0,ROUNDUP(BI209+'Délai intermédiaire'!DV142/24,0),0)</f>
        <v>19</v>
      </c>
      <c r="BJ248" s="15">
        <f>IF(Distances!DW142&lt;&gt;0,ROUNDUP(BJ209+'Délai intermédiaire'!DW142/24,0),0)</f>
        <v>20</v>
      </c>
    </row>
    <row r="249" spans="1:62" x14ac:dyDescent="0.3">
      <c r="A249" s="10" t="s">
        <v>39</v>
      </c>
      <c r="B249" s="16">
        <f>IF(Distances!BO143&lt;&gt;0,ROUNDUP(B209+'Délai intermédiaire'!BO143/24,0),0)</f>
        <v>18</v>
      </c>
      <c r="C249" s="14">
        <f>IF(Distances!BP143&lt;&gt;0,ROUNDUP(C209+'Délai intermédiaire'!BP143/24,0),0)</f>
        <v>18</v>
      </c>
      <c r="D249" s="14">
        <f>IF(Distances!BQ143&lt;&gt;0,ROUNDUP(D209+'Délai intermédiaire'!BQ143/24,0),0)</f>
        <v>20</v>
      </c>
      <c r="E249" s="14">
        <f>IF(Distances!BR143&lt;&gt;0,ROUNDUP(E209+'Délai intermédiaire'!BR143/24,0),0)</f>
        <v>23</v>
      </c>
      <c r="F249" s="14">
        <f>IF(Distances!BS143&lt;&gt;0,ROUNDUP(F209+'Délai intermédiaire'!BS143/24,0),0)</f>
        <v>19</v>
      </c>
      <c r="G249" s="14">
        <f>IF(Distances!BT143&lt;&gt;0,ROUNDUP(G209+'Délai intermédiaire'!BT143/24,0),0)</f>
        <v>11</v>
      </c>
      <c r="H249" s="14">
        <f>IF(Distances!BU143&lt;&gt;0,ROUNDUP(H209+'Délai intermédiaire'!BU143/24,0),0)</f>
        <v>10</v>
      </c>
      <c r="I249" s="14">
        <f>IF(Distances!BV143&lt;&gt;0,ROUNDUP(I209+'Délai intermédiaire'!BV143/24,0),0)</f>
        <v>11</v>
      </c>
      <c r="J249" s="14">
        <f>IF(Distances!BW143&lt;&gt;0,ROUNDUP(J209+'Délai intermédiaire'!BW143/24,0),0)</f>
        <v>23</v>
      </c>
      <c r="K249" s="14">
        <f>IF(Distances!BX143&lt;&gt;0,ROUNDUP(K209+'Délai intermédiaire'!BX143/24,0),0)</f>
        <v>22</v>
      </c>
      <c r="L249" s="14">
        <f>IF(Distances!BY143&lt;&gt;0,ROUNDUP(L209+'Délai intermédiaire'!BY143/24,0),0)</f>
        <v>11</v>
      </c>
      <c r="M249" s="14">
        <f>IF(Distances!BZ143&lt;&gt;0,ROUNDUP(M209+'Délai intermédiaire'!BZ143/24,0),0)</f>
        <v>11</v>
      </c>
      <c r="N249" s="14">
        <f>IF(Distances!CA143&lt;&gt;0,ROUNDUP(N209+'Délai intermédiaire'!CA143/24,0),0)</f>
        <v>19</v>
      </c>
      <c r="O249" s="14">
        <f>IF(Distances!CB143&lt;&gt;0,ROUNDUP(O209+'Délai intermédiaire'!CB143/24,0),0)</f>
        <v>22</v>
      </c>
      <c r="P249" s="14">
        <f>IF(Distances!CC143&lt;&gt;0,ROUNDUP(P209+'Délai intermédiaire'!CC143/24,0),0)</f>
        <v>22</v>
      </c>
      <c r="Q249" s="14">
        <f>IF(Distances!CD143&lt;&gt;0,ROUNDUP(Q209+'Délai intermédiaire'!CD143/24,0),0)</f>
        <v>21</v>
      </c>
      <c r="R249" s="14">
        <f>IF(Distances!CE143&lt;&gt;0,ROUNDUP(R209+'Délai intermédiaire'!CE143/24,0),0)</f>
        <v>20</v>
      </c>
      <c r="S249" s="14">
        <f>IF(Distances!CF143&lt;&gt;0,ROUNDUP(S209+'Délai intermédiaire'!CF143/24,0),0)</f>
        <v>20</v>
      </c>
      <c r="T249" s="14">
        <f>IF(Distances!CG143&lt;&gt;0,ROUNDUP(T209+'Délai intermédiaire'!CG143/24,0),0)</f>
        <v>20</v>
      </c>
      <c r="U249" s="14">
        <f>IF(Distances!CH143&lt;&gt;0,ROUNDUP(U209+'Délai intermédiaire'!CH143/24,0),0)</f>
        <v>17</v>
      </c>
      <c r="V249" s="14">
        <f>IF(Distances!CI143&lt;&gt;0,ROUNDUP(V209+'Délai intermédiaire'!CI143/24,0),0)</f>
        <v>17</v>
      </c>
      <c r="W249" s="14">
        <f>IF(Distances!CJ143&lt;&gt;0,ROUNDUP(W209+'Délai intermédiaire'!CJ143/24,0),0)</f>
        <v>21</v>
      </c>
      <c r="X249" s="14">
        <f>IF(Distances!CK143&lt;&gt;0,ROUNDUP(X209+'Délai intermédiaire'!CK143/24,0),0)</f>
        <v>22</v>
      </c>
      <c r="Y249" s="14">
        <f>IF(Distances!CL143&lt;&gt;0,ROUNDUP(Y209+'Délai intermédiaire'!CL143/24,0),0)</f>
        <v>20</v>
      </c>
      <c r="Z249" s="14">
        <f>IF(Distances!CM143&lt;&gt;0,ROUNDUP(Z209+'Délai intermédiaire'!CM143/24,0),0)</f>
        <v>18</v>
      </c>
      <c r="AA249" s="14">
        <f>IF(Distances!CN143&lt;&gt;0,ROUNDUP(AA209+'Délai intermédiaire'!CN143/24,0),0)</f>
        <v>18</v>
      </c>
      <c r="AB249" s="14">
        <f>IF(Distances!CO143&lt;&gt;0,ROUNDUP(AB209+'Délai intermédiaire'!CO143/24,0),0)</f>
        <v>18</v>
      </c>
      <c r="AC249" s="14">
        <f>IF(Distances!CP143&lt;&gt;0,ROUNDUP(AC209+'Délai intermédiaire'!CP143/24,0),0)</f>
        <v>17</v>
      </c>
      <c r="AD249" s="14">
        <f>IF(Distances!CQ143&lt;&gt;0,ROUNDUP(AD209+'Délai intermédiaire'!CQ143/24,0),0)</f>
        <v>23</v>
      </c>
      <c r="AE249" s="14">
        <f>IF(Distances!CR143&lt;&gt;0,ROUNDUP(AE209+'Délai intermédiaire'!CR143/24,0),0)</f>
        <v>18</v>
      </c>
      <c r="AF249" s="14">
        <f>IF(Distances!CS143&lt;&gt;0,ROUNDUP(AF209+'Délai intermédiaire'!CS143/24,0),0)</f>
        <v>17</v>
      </c>
      <c r="AG249" s="14">
        <f>IF(Distances!CT143&lt;&gt;0,ROUNDUP(AG209+'Délai intermédiaire'!CT143/24,0),0)</f>
        <v>18</v>
      </c>
      <c r="AH249" s="13">
        <f>IF(Distances!CU143&lt;&gt;0,ROUNDUP(AH209+'Délai intermédiaire'!CU143/24,0),0)</f>
        <v>12</v>
      </c>
      <c r="AI249" s="13">
        <f>IF(Distances!CV143&lt;&gt;0,ROUNDUP(AI209+'Délai intermédiaire'!CV143/24,0),0)</f>
        <v>10</v>
      </c>
      <c r="AJ249" s="13">
        <f>IF(Distances!CW143&lt;&gt;0,ROUNDUP(AJ209+'Délai intermédiaire'!CW143/24,0),0)</f>
        <v>12</v>
      </c>
      <c r="AK249" s="13">
        <f>IF(Distances!CX143&lt;&gt;0,ROUNDUP(AK209+'Délai intermédiaire'!CX143/24,0),0)</f>
        <v>10</v>
      </c>
      <c r="AL249" s="13">
        <f>IF(Distances!CY143&lt;&gt;0,ROUNDUP(AL209+'Délai intermédiaire'!CY143/24,0),0)</f>
        <v>3</v>
      </c>
      <c r="AM249" s="13">
        <f>IF(Distances!CZ143&lt;&gt;0,ROUNDUP(AM209+'Délai intermédiaire'!CZ143/24,0),0)</f>
        <v>2</v>
      </c>
      <c r="AN249" s="12">
        <f>IF(Distances!DA143&lt;&gt;0,ROUNDUP(AN209+'Délai intermédiaire'!DA143/24,0),0)</f>
        <v>0</v>
      </c>
      <c r="AO249" s="14">
        <f>IF(Distances!DB143&lt;&gt;0,ROUNDUP(AO209+'Délai intermédiaire'!DB143/24,0),0)</f>
        <v>11</v>
      </c>
      <c r="AP249" s="14">
        <f>IF(Distances!DC143&lt;&gt;0,ROUNDUP(AP209+'Délai intermédiaire'!DC143/24,0),0)</f>
        <v>10</v>
      </c>
      <c r="AQ249" s="14">
        <f>IF(Distances!DD143&lt;&gt;0,ROUNDUP(AQ209+'Délai intermédiaire'!DD143/24,0),0)</f>
        <v>10</v>
      </c>
      <c r="AR249" s="13">
        <f>IF(Distances!DE143&lt;&gt;0,ROUNDUP(AR209+'Délai intermédiaire'!DE143/24,0),0)</f>
        <v>13</v>
      </c>
      <c r="AS249" s="13">
        <f>IF(Distances!DF143&lt;&gt;0,ROUNDUP(AS209+'Délai intermédiaire'!DF143/24,0),0)</f>
        <v>14</v>
      </c>
      <c r="AT249" s="13">
        <f>IF(Distances!DG143&lt;&gt;0,ROUNDUP(AT209+'Délai intermédiaire'!DG143/24,0),0)</f>
        <v>13</v>
      </c>
      <c r="AU249" s="13">
        <f>IF(Distances!DH143&lt;&gt;0,ROUNDUP(AU209+'Délai intermédiaire'!DH143/24,0),0)</f>
        <v>3</v>
      </c>
      <c r="AV249" s="13">
        <f>IF(Distances!DI143&lt;&gt;0,ROUNDUP(AV209+'Délai intermédiaire'!DI143/24,0),0)</f>
        <v>25</v>
      </c>
      <c r="AW249" s="13">
        <f>IF(Distances!DJ143&lt;&gt;0,ROUNDUP(AW209+'Délai intermédiaire'!DJ143/24,0),0)</f>
        <v>27</v>
      </c>
      <c r="AX249" s="13">
        <f>IF(Distances!DK143&lt;&gt;0,ROUNDUP(AX209+'Délai intermédiaire'!DK143/24,0),0)</f>
        <v>5</v>
      </c>
      <c r="AY249" s="14">
        <f>IF(Distances!DL143&lt;&gt;0,ROUNDUP(AY209+'Délai intermédiaire'!DL143/24,0),0)</f>
        <v>3</v>
      </c>
      <c r="AZ249" s="14">
        <f>IF(Distances!DM143&lt;&gt;0,ROUNDUP(AZ209+'Délai intermédiaire'!DM143/24,0),0)</f>
        <v>14</v>
      </c>
      <c r="BA249" s="13">
        <f>IF(Distances!DN143&lt;&gt;0,ROUNDUP(BA209+'Délai intermédiaire'!DN143/24,0),0)</f>
        <v>7</v>
      </c>
      <c r="BB249" s="14">
        <f>IF(Distances!DO143&lt;&gt;0,ROUNDUP(BB209+'Délai intermédiaire'!DO143/24,0),0)</f>
        <v>23</v>
      </c>
      <c r="BC249" s="13">
        <f>IF(Distances!DP143&lt;&gt;0,ROUNDUP(BC209+'Délai intermédiaire'!DP143/24,0),0)</f>
        <v>5</v>
      </c>
      <c r="BD249" s="13">
        <f>IF(Distances!DQ143&lt;&gt;0,ROUNDUP(BD209+'Délai intermédiaire'!DQ143/24,0),0)</f>
        <v>4</v>
      </c>
      <c r="BE249" s="13">
        <f>IF(Distances!DR143&lt;&gt;0,ROUNDUP(BE209+'Délai intermédiaire'!DR143/24,0),0)</f>
        <v>4</v>
      </c>
      <c r="BF249" s="14">
        <f>IF(Distances!DS143&lt;&gt;0,ROUNDUP(BF209+'Délai intermédiaire'!DS143/24,0),0)</f>
        <v>18</v>
      </c>
      <c r="BG249" s="14">
        <f>IF(Distances!DT143&lt;&gt;0,ROUNDUP(BG209+'Délai intermédiaire'!DT143/24,0),0)</f>
        <v>17</v>
      </c>
      <c r="BH249" s="14">
        <f>IF(Distances!DU143&lt;&gt;0,ROUNDUP(BH209+'Délai intermédiaire'!DU143/24,0),0)</f>
        <v>17</v>
      </c>
      <c r="BI249" s="14">
        <f>IF(Distances!DV143&lt;&gt;0,ROUNDUP(BI209+'Délai intermédiaire'!DV143/24,0),0)</f>
        <v>20</v>
      </c>
      <c r="BJ249" s="15">
        <f>IF(Distances!DW143&lt;&gt;0,ROUNDUP(BJ209+'Délai intermédiaire'!DW143/24,0),0)</f>
        <v>20</v>
      </c>
    </row>
    <row r="250" spans="1:62" x14ac:dyDescent="0.3">
      <c r="A250" s="10" t="s">
        <v>40</v>
      </c>
      <c r="B250" s="16">
        <f>IF(Distances!BO144&lt;&gt;0,ROUNDUP(B209+'Délai intermédiaire'!BO144/24,0),0)</f>
        <v>0</v>
      </c>
      <c r="C250" s="14">
        <f>IF(Distances!BP144&lt;&gt;0,ROUNDUP(C209+'Délai intermédiaire'!BP144/24,0),0)</f>
        <v>0</v>
      </c>
      <c r="D250" s="14">
        <f>IF(Distances!BQ144&lt;&gt;0,ROUNDUP(D209+'Délai intermédiaire'!BQ144/24,0),0)</f>
        <v>20</v>
      </c>
      <c r="E250" s="14">
        <f>IF(Distances!BR144&lt;&gt;0,ROUNDUP(E209+'Délai intermédiaire'!BR144/24,0),0)</f>
        <v>0</v>
      </c>
      <c r="F250" s="14">
        <f>IF(Distances!BS144&lt;&gt;0,ROUNDUP(F209+'Délai intermédiaire'!BS144/24,0),0)</f>
        <v>19</v>
      </c>
      <c r="G250" s="14">
        <f>IF(Distances!BT144&lt;&gt;0,ROUNDUP(G209+'Délai intermédiaire'!BT144/24,0),0)</f>
        <v>14</v>
      </c>
      <c r="H250" s="14">
        <f>IF(Distances!BU144&lt;&gt;0,ROUNDUP(H209+'Délai intermédiaire'!BU144/24,0),0)</f>
        <v>0</v>
      </c>
      <c r="I250" s="14">
        <f>IF(Distances!BV144&lt;&gt;0,ROUNDUP(I209+'Délai intermédiaire'!BV144/24,0),0)</f>
        <v>0</v>
      </c>
      <c r="J250" s="14">
        <f>IF(Distances!BW144&lt;&gt;0,ROUNDUP(J209+'Délai intermédiaire'!BW144/24,0),0)</f>
        <v>22</v>
      </c>
      <c r="K250" s="14">
        <f>IF(Distances!BX144&lt;&gt;0,ROUNDUP(K209+'Délai intermédiaire'!BX144/24,0),0)</f>
        <v>0</v>
      </c>
      <c r="L250" s="14">
        <f>IF(Distances!BY144&lt;&gt;0,ROUNDUP(L209+'Délai intermédiaire'!BY144/24,0),0)</f>
        <v>16</v>
      </c>
      <c r="M250" s="14">
        <f>IF(Distances!BZ144&lt;&gt;0,ROUNDUP(M209+'Délai intermédiaire'!BZ144/24,0),0)</f>
        <v>0</v>
      </c>
      <c r="N250" s="14">
        <f>IF(Distances!CA144&lt;&gt;0,ROUNDUP(N209+'Délai intermédiaire'!CA144/24,0),0)</f>
        <v>19</v>
      </c>
      <c r="O250" s="14">
        <f>IF(Distances!CB144&lt;&gt;0,ROUNDUP(O209+'Délai intermédiaire'!CB144/24,0),0)</f>
        <v>17</v>
      </c>
      <c r="P250" s="14">
        <f>IF(Distances!CC144&lt;&gt;0,ROUNDUP(P209+'Délai intermédiaire'!CC144/24,0),0)</f>
        <v>18</v>
      </c>
      <c r="Q250" s="14">
        <f>IF(Distances!CD144&lt;&gt;0,ROUNDUP(Q209+'Délai intermédiaire'!CD144/24,0),0)</f>
        <v>0</v>
      </c>
      <c r="R250" s="14">
        <f>IF(Distances!CE144&lt;&gt;0,ROUNDUP(R209+'Délai intermédiaire'!CE144/24,0),0)</f>
        <v>0</v>
      </c>
      <c r="S250" s="14">
        <f>IF(Distances!CF144&lt;&gt;0,ROUNDUP(S209+'Délai intermédiaire'!CF144/24,0),0)</f>
        <v>0</v>
      </c>
      <c r="T250" s="14">
        <f>IF(Distances!CG144&lt;&gt;0,ROUNDUP(T209+'Délai intermédiaire'!CG144/24,0),0)</f>
        <v>20</v>
      </c>
      <c r="U250" s="14">
        <f>IF(Distances!CH144&lt;&gt;0,ROUNDUP(U209+'Délai intermédiaire'!CH144/24,0),0)</f>
        <v>18</v>
      </c>
      <c r="V250" s="14">
        <f>IF(Distances!CI144&lt;&gt;0,ROUNDUP(V209+'Délai intermédiaire'!CI144/24,0),0)</f>
        <v>18</v>
      </c>
      <c r="W250" s="14">
        <f>IF(Distances!CJ144&lt;&gt;0,ROUNDUP(W209+'Délai intermédiaire'!CJ144/24,0),0)</f>
        <v>0</v>
      </c>
      <c r="X250" s="14">
        <f>IF(Distances!CK144&lt;&gt;0,ROUNDUP(X209+'Délai intermédiaire'!CK144/24,0),0)</f>
        <v>22</v>
      </c>
      <c r="Y250" s="14">
        <f>IF(Distances!CL144&lt;&gt;0,ROUNDUP(Y209+'Délai intermédiaire'!CL144/24,0),0)</f>
        <v>21</v>
      </c>
      <c r="Z250" s="14">
        <f>IF(Distances!CM144&lt;&gt;0,ROUNDUP(Z209+'Délai intermédiaire'!CM144/24,0),0)</f>
        <v>18</v>
      </c>
      <c r="AA250" s="14">
        <f>IF(Distances!CN144&lt;&gt;0,ROUNDUP(AA209+'Délai intermédiaire'!CN144/24,0),0)</f>
        <v>19</v>
      </c>
      <c r="AB250" s="14">
        <f>IF(Distances!CO144&lt;&gt;0,ROUNDUP(AB209+'Délai intermédiaire'!CO144/24,0),0)</f>
        <v>18</v>
      </c>
      <c r="AC250" s="14">
        <f>IF(Distances!CP144&lt;&gt;0,ROUNDUP(AC209+'Délai intermédiaire'!CP144/24,0),0)</f>
        <v>0</v>
      </c>
      <c r="AD250" s="14">
        <f>IF(Distances!CQ144&lt;&gt;0,ROUNDUP(AD209+'Délai intermédiaire'!CQ144/24,0),0)</f>
        <v>0</v>
      </c>
      <c r="AE250" s="14">
        <f>IF(Distances!CR144&lt;&gt;0,ROUNDUP(AE209+'Délai intermédiaire'!CR144/24,0),0)</f>
        <v>19</v>
      </c>
      <c r="AF250" s="14">
        <f>IF(Distances!CS144&lt;&gt;0,ROUNDUP(AF209+'Délai intermédiaire'!CS144/24,0),0)</f>
        <v>18</v>
      </c>
      <c r="AG250" s="14">
        <f>IF(Distances!CT144&lt;&gt;0,ROUNDUP(AG209+'Délai intermédiaire'!CT144/24,0),0)</f>
        <v>19</v>
      </c>
      <c r="AH250" s="14">
        <f>IF(Distances!CU144&lt;&gt;0,ROUNDUP(AH209+'Délai intermédiaire'!CU144/24,0),0)</f>
        <v>13</v>
      </c>
      <c r="AI250" s="14">
        <f>IF(Distances!CV144&lt;&gt;0,ROUNDUP(AI209+'Délai intermédiaire'!CV144/24,0),0)</f>
        <v>0</v>
      </c>
      <c r="AJ250" s="14">
        <f>IF(Distances!CW144&lt;&gt;0,ROUNDUP(AJ209+'Délai intermédiaire'!CW144/24,0),0)</f>
        <v>13</v>
      </c>
      <c r="AK250" s="14">
        <f>IF(Distances!CX144&lt;&gt;0,ROUNDUP(AK209+'Délai intermédiaire'!CX144/24,0),0)</f>
        <v>0</v>
      </c>
      <c r="AL250" s="14">
        <f>IF(Distances!CY144&lt;&gt;0,ROUNDUP(AL209+'Délai intermédiaire'!CY144/24,0),0)</f>
        <v>0</v>
      </c>
      <c r="AM250" s="14">
        <f>IF(Distances!CZ144&lt;&gt;0,ROUNDUP(AM209+'Délai intermédiaire'!CZ144/24,0),0)</f>
        <v>0</v>
      </c>
      <c r="AN250" s="14">
        <f>IF(Distances!DA144&lt;&gt;0,ROUNDUP(AN209+'Délai intermédiaire'!DA144/24,0),0)</f>
        <v>10</v>
      </c>
      <c r="AO250" s="12">
        <f>IF(Distances!DB144&lt;&gt;0,ROUNDUP(AO209+'Délai intermédiaire'!DB144/24,0),0)</f>
        <v>0</v>
      </c>
      <c r="AP250" s="19">
        <f>IF(Distances!DC144&lt;&gt;0,ROUNDUP(AP209+'Délai intermédiaire'!DC144/24,0),0)</f>
        <v>0</v>
      </c>
      <c r="AQ250" s="19">
        <f>IF(Distances!DD144&lt;&gt;0,ROUNDUP(AQ209+'Délai intermédiaire'!DD144/24,0),0)</f>
        <v>0</v>
      </c>
      <c r="AR250" s="14">
        <f>IF(Distances!DE144&lt;&gt;0,ROUNDUP(AR209+'Délai intermédiaire'!DE144/24,0),0)</f>
        <v>0</v>
      </c>
      <c r="AS250" s="14">
        <f>IF(Distances!DF144&lt;&gt;0,ROUNDUP(AS209+'Délai intermédiaire'!DF144/24,0),0)</f>
        <v>15</v>
      </c>
      <c r="AT250" s="14">
        <f>IF(Distances!DG144&lt;&gt;0,ROUNDUP(AT209+'Délai intermédiaire'!DG144/24,0),0)</f>
        <v>14</v>
      </c>
      <c r="AU250" s="14">
        <f>IF(Distances!DH144&lt;&gt;0,ROUNDUP(AU209+'Délai intermédiaire'!DH144/24,0),0)</f>
        <v>12</v>
      </c>
      <c r="AV250" s="14">
        <f>IF(Distances!DI144&lt;&gt;0,ROUNDUP(AV209+'Délai intermédiaire'!DI144/24,0),0)</f>
        <v>25</v>
      </c>
      <c r="AW250" s="14">
        <f>IF(Distances!DJ144&lt;&gt;0,ROUNDUP(AW209+'Délai intermédiaire'!DJ144/24,0),0)</f>
        <v>28</v>
      </c>
      <c r="AX250" s="14">
        <f>IF(Distances!DK144&lt;&gt;0,ROUNDUP(AX209+'Délai intermédiaire'!DK144/24,0),0)</f>
        <v>0</v>
      </c>
      <c r="AY250" s="14">
        <f>IF(Distances!DL144&lt;&gt;0,ROUNDUP(AY209+'Délai intermédiaire'!DL144/24,0),0)</f>
        <v>0</v>
      </c>
      <c r="AZ250" s="14">
        <f>IF(Distances!DM144&lt;&gt;0,ROUNDUP(AZ209+'Délai intermédiaire'!DM144/24,0),0)</f>
        <v>13</v>
      </c>
      <c r="BA250" s="14">
        <f>IF(Distances!DN144&lt;&gt;0,ROUNDUP(BA209+'Délai intermédiaire'!DN144/24,0),0)</f>
        <v>0</v>
      </c>
      <c r="BB250" s="14">
        <f>IF(Distances!DO144&lt;&gt;0,ROUNDUP(BB209+'Délai intermédiaire'!DO144/24,0),0)</f>
        <v>0</v>
      </c>
      <c r="BC250" s="14">
        <f>IF(Distances!DP144&lt;&gt;0,ROUNDUP(BC209+'Délai intermédiaire'!DP144/24,0),0)</f>
        <v>0</v>
      </c>
      <c r="BD250" s="14">
        <f>IF(Distances!DQ144&lt;&gt;0,ROUNDUP(BD209+'Délai intermédiaire'!DQ144/24,0),0)</f>
        <v>12</v>
      </c>
      <c r="BE250" s="14">
        <f>IF(Distances!DR144&lt;&gt;0,ROUNDUP(BE209+'Délai intermédiaire'!DR144/24,0),0)</f>
        <v>0</v>
      </c>
      <c r="BF250" s="14">
        <f>IF(Distances!DS144&lt;&gt;0,ROUNDUP(BF209+'Délai intermédiaire'!DS144/24,0),0)</f>
        <v>19</v>
      </c>
      <c r="BG250" s="14">
        <f>IF(Distances!DT144&lt;&gt;0,ROUNDUP(BG209+'Délai intermédiaire'!DT144/24,0),0)</f>
        <v>17</v>
      </c>
      <c r="BH250" s="14">
        <f>IF(Distances!DU144&lt;&gt;0,ROUNDUP(BH209+'Délai intermédiaire'!DU144/24,0),0)</f>
        <v>16</v>
      </c>
      <c r="BI250" s="14">
        <f>IF(Distances!DV144&lt;&gt;0,ROUNDUP(BI209+'Délai intermédiaire'!DV144/24,0),0)</f>
        <v>14</v>
      </c>
      <c r="BJ250" s="15">
        <f>IF(Distances!DW144&lt;&gt;0,ROUNDUP(BJ209+'Délai intermédiaire'!DW144/24,0),0)</f>
        <v>14</v>
      </c>
    </row>
    <row r="251" spans="1:62" x14ac:dyDescent="0.3">
      <c r="A251" s="10" t="s">
        <v>41</v>
      </c>
      <c r="B251" s="16">
        <f>IF(Distances!BO145&lt;&gt;0,ROUNDUP(B209+'Délai intermédiaire'!BO145/24,0),0)</f>
        <v>0</v>
      </c>
      <c r="C251" s="14">
        <f>IF(Distances!BP145&lt;&gt;0,ROUNDUP(C209+'Délai intermédiaire'!BP145/24,0),0)</f>
        <v>0</v>
      </c>
      <c r="D251" s="14">
        <f>IF(Distances!BQ145&lt;&gt;0,ROUNDUP(D209+'Délai intermédiaire'!BQ145/24,0),0)</f>
        <v>19</v>
      </c>
      <c r="E251" s="14">
        <f>IF(Distances!BR145&lt;&gt;0,ROUNDUP(E209+'Délai intermédiaire'!BR145/24,0),0)</f>
        <v>0</v>
      </c>
      <c r="F251" s="14">
        <f>IF(Distances!BS145&lt;&gt;0,ROUNDUP(F209+'Délai intermédiaire'!BS145/24,0),0)</f>
        <v>18</v>
      </c>
      <c r="G251" s="14">
        <f>IF(Distances!BT145&lt;&gt;0,ROUNDUP(G209+'Délai intermédiaire'!BT145/24,0),0)</f>
        <v>13</v>
      </c>
      <c r="H251" s="14">
        <f>IF(Distances!BU145&lt;&gt;0,ROUNDUP(H209+'Délai intermédiaire'!BU145/24,0),0)</f>
        <v>0</v>
      </c>
      <c r="I251" s="14">
        <f>IF(Distances!BV145&lt;&gt;0,ROUNDUP(I209+'Délai intermédiaire'!BV145/24,0),0)</f>
        <v>0</v>
      </c>
      <c r="J251" s="14">
        <f>IF(Distances!BW145&lt;&gt;0,ROUNDUP(J209+'Délai intermédiaire'!BW145/24,0),0)</f>
        <v>22</v>
      </c>
      <c r="K251" s="14">
        <f>IF(Distances!BX145&lt;&gt;0,ROUNDUP(K209+'Délai intermédiaire'!BX145/24,0),0)</f>
        <v>0</v>
      </c>
      <c r="L251" s="14">
        <f>IF(Distances!BY145&lt;&gt;0,ROUNDUP(L209+'Délai intermédiaire'!BY145/24,0),0)</f>
        <v>15</v>
      </c>
      <c r="M251" s="14">
        <f>IF(Distances!BZ145&lt;&gt;0,ROUNDUP(M209+'Délai intermédiaire'!BZ145/24,0),0)</f>
        <v>0</v>
      </c>
      <c r="N251" s="14">
        <f>IF(Distances!CA145&lt;&gt;0,ROUNDUP(N209+'Délai intermédiaire'!CA145/24,0),0)</f>
        <v>19</v>
      </c>
      <c r="O251" s="14">
        <f>IF(Distances!CB145&lt;&gt;0,ROUNDUP(O209+'Délai intermédiaire'!CB145/24,0),0)</f>
        <v>17</v>
      </c>
      <c r="P251" s="14">
        <f>IF(Distances!CC145&lt;&gt;0,ROUNDUP(P209+'Délai intermédiaire'!CC145/24,0),0)</f>
        <v>18</v>
      </c>
      <c r="Q251" s="14">
        <f>IF(Distances!CD145&lt;&gt;0,ROUNDUP(Q209+'Délai intermédiaire'!CD145/24,0),0)</f>
        <v>0</v>
      </c>
      <c r="R251" s="14">
        <f>IF(Distances!CE145&lt;&gt;0,ROUNDUP(R209+'Délai intermédiaire'!CE145/24,0),0)</f>
        <v>0</v>
      </c>
      <c r="S251" s="14">
        <f>IF(Distances!CF145&lt;&gt;0,ROUNDUP(S209+'Délai intermédiaire'!CF145/24,0),0)</f>
        <v>0</v>
      </c>
      <c r="T251" s="14">
        <f>IF(Distances!CG145&lt;&gt;0,ROUNDUP(T209+'Délai intermédiaire'!CG145/24,0),0)</f>
        <v>21</v>
      </c>
      <c r="U251" s="14">
        <f>IF(Distances!CH145&lt;&gt;0,ROUNDUP(U209+'Délai intermédiaire'!CH145/24,0),0)</f>
        <v>19</v>
      </c>
      <c r="V251" s="14">
        <f>IF(Distances!CI145&lt;&gt;0,ROUNDUP(V209+'Délai intermédiaire'!CI145/24,0),0)</f>
        <v>18</v>
      </c>
      <c r="W251" s="14">
        <f>IF(Distances!CJ145&lt;&gt;0,ROUNDUP(W209+'Délai intermédiaire'!CJ145/24,0),0)</f>
        <v>0</v>
      </c>
      <c r="X251" s="14">
        <f>IF(Distances!CK145&lt;&gt;0,ROUNDUP(X209+'Délai intermédiaire'!CK145/24,0),0)</f>
        <v>23</v>
      </c>
      <c r="Y251" s="14">
        <f>IF(Distances!CL145&lt;&gt;0,ROUNDUP(Y209+'Délai intermédiaire'!CL145/24,0),0)</f>
        <v>22</v>
      </c>
      <c r="Z251" s="14">
        <f>IF(Distances!CM145&lt;&gt;0,ROUNDUP(Z209+'Délai intermédiaire'!CM145/24,0),0)</f>
        <v>19</v>
      </c>
      <c r="AA251" s="14">
        <f>IF(Distances!CN145&lt;&gt;0,ROUNDUP(AA209+'Délai intermédiaire'!CN145/24,0),0)</f>
        <v>19</v>
      </c>
      <c r="AB251" s="14">
        <f>IF(Distances!CO145&lt;&gt;0,ROUNDUP(AB209+'Délai intermédiaire'!CO145/24,0),0)</f>
        <v>19</v>
      </c>
      <c r="AC251" s="14">
        <f>IF(Distances!CP145&lt;&gt;0,ROUNDUP(AC209+'Délai intermédiaire'!CP145/24,0),0)</f>
        <v>0</v>
      </c>
      <c r="AD251" s="14">
        <f>IF(Distances!CQ145&lt;&gt;0,ROUNDUP(AD209+'Délai intermédiaire'!CQ145/24,0),0)</f>
        <v>0</v>
      </c>
      <c r="AE251" s="14">
        <f>IF(Distances!CR145&lt;&gt;0,ROUNDUP(AE209+'Délai intermédiaire'!CR145/24,0),0)</f>
        <v>20</v>
      </c>
      <c r="AF251" s="14">
        <f>IF(Distances!CS145&lt;&gt;0,ROUNDUP(AF209+'Délai intermédiaire'!CS145/24,0),0)</f>
        <v>18</v>
      </c>
      <c r="AG251" s="14">
        <f>IF(Distances!CT145&lt;&gt;0,ROUNDUP(AG209+'Délai intermédiaire'!CT145/24,0),0)</f>
        <v>19</v>
      </c>
      <c r="AH251" s="14">
        <f>IF(Distances!CU145&lt;&gt;0,ROUNDUP(AH209+'Délai intermédiaire'!CU145/24,0),0)</f>
        <v>14</v>
      </c>
      <c r="AI251" s="14">
        <f>IF(Distances!CV145&lt;&gt;0,ROUNDUP(AI209+'Délai intermédiaire'!CV145/24,0),0)</f>
        <v>0</v>
      </c>
      <c r="AJ251" s="14">
        <f>IF(Distances!CW145&lt;&gt;0,ROUNDUP(AJ209+'Délai intermédiaire'!CW145/24,0),0)</f>
        <v>13</v>
      </c>
      <c r="AK251" s="14">
        <f>IF(Distances!CX145&lt;&gt;0,ROUNDUP(AK209+'Délai intermédiaire'!CX145/24,0),0)</f>
        <v>0</v>
      </c>
      <c r="AL251" s="14">
        <f>IF(Distances!CY145&lt;&gt;0,ROUNDUP(AL209+'Délai intermédiaire'!CY145/24,0),0)</f>
        <v>0</v>
      </c>
      <c r="AM251" s="14">
        <f>IF(Distances!CZ145&lt;&gt;0,ROUNDUP(AM209+'Délai intermédiaire'!CZ145/24,0),0)</f>
        <v>0</v>
      </c>
      <c r="AN251" s="14">
        <f>IF(Distances!DA145&lt;&gt;0,ROUNDUP(AN209+'Délai intermédiaire'!DA145/24,0),0)</f>
        <v>9</v>
      </c>
      <c r="AO251" s="13">
        <f>IF(Distances!DB145&lt;&gt;0,ROUNDUP(AO209+'Délai intermédiaire'!DB145/24,0),0)</f>
        <v>0</v>
      </c>
      <c r="AP251" s="12">
        <f>IF(Distances!DC145&lt;&gt;0,ROUNDUP(AP209+'Délai intermédiaire'!DC145/24,0),0)</f>
        <v>0</v>
      </c>
      <c r="AQ251" s="13">
        <f>IF(Distances!DD145&lt;&gt;0,ROUNDUP(AQ209+'Délai intermédiaire'!DD145/24,0),0)</f>
        <v>0</v>
      </c>
      <c r="AR251" s="14">
        <f>IF(Distances!DE145&lt;&gt;0,ROUNDUP(AR209+'Délai intermédiaire'!DE145/24,0),0)</f>
        <v>0</v>
      </c>
      <c r="AS251" s="14">
        <f>IF(Distances!DF145&lt;&gt;0,ROUNDUP(AS209+'Délai intermédiaire'!DF145/24,0),0)</f>
        <v>16</v>
      </c>
      <c r="AT251" s="14">
        <f>IF(Distances!DG145&lt;&gt;0,ROUNDUP(AT209+'Délai intermédiaire'!DG145/24,0),0)</f>
        <v>15</v>
      </c>
      <c r="AU251" s="14">
        <f>IF(Distances!DH145&lt;&gt;0,ROUNDUP(AU209+'Délai intermédiaire'!DH145/24,0),0)</f>
        <v>11</v>
      </c>
      <c r="AV251" s="14">
        <f>IF(Distances!DI145&lt;&gt;0,ROUNDUP(AV209+'Délai intermédiaire'!DI145/24,0),0)</f>
        <v>26</v>
      </c>
      <c r="AW251" s="14">
        <f>IF(Distances!DJ145&lt;&gt;0,ROUNDUP(AW209+'Délai intermédiaire'!DJ145/24,0),0)</f>
        <v>28</v>
      </c>
      <c r="AX251" s="14">
        <f>IF(Distances!DK145&lt;&gt;0,ROUNDUP(AX209+'Délai intermédiaire'!DK145/24,0),0)</f>
        <v>0</v>
      </c>
      <c r="AY251" s="14">
        <f>IF(Distances!DL145&lt;&gt;0,ROUNDUP(AY209+'Délai intermédiaire'!DL145/24,0),0)</f>
        <v>0</v>
      </c>
      <c r="AZ251" s="14">
        <f>IF(Distances!DM145&lt;&gt;0,ROUNDUP(AZ209+'Délai intermédiaire'!DM145/24,0),0)</f>
        <v>14</v>
      </c>
      <c r="BA251" s="14">
        <f>IF(Distances!DN145&lt;&gt;0,ROUNDUP(BA209+'Délai intermédiaire'!DN145/24,0),0)</f>
        <v>0</v>
      </c>
      <c r="BB251" s="14">
        <f>IF(Distances!DO145&lt;&gt;0,ROUNDUP(BB209+'Délai intermédiaire'!DO145/24,0),0)</f>
        <v>0</v>
      </c>
      <c r="BC251" s="14">
        <f>IF(Distances!DP145&lt;&gt;0,ROUNDUP(BC209+'Délai intermédiaire'!DP145/24,0),0)</f>
        <v>0</v>
      </c>
      <c r="BD251" s="14">
        <f>IF(Distances!DQ145&lt;&gt;0,ROUNDUP(BD209+'Délai intermédiaire'!DQ145/24,0),0)</f>
        <v>11</v>
      </c>
      <c r="BE251" s="14">
        <f>IF(Distances!DR145&lt;&gt;0,ROUNDUP(BE209+'Délai intermédiaire'!DR145/24,0),0)</f>
        <v>0</v>
      </c>
      <c r="BF251" s="14">
        <f>IF(Distances!DS145&lt;&gt;0,ROUNDUP(BF209+'Délai intermédiaire'!DS145/24,0),0)</f>
        <v>20</v>
      </c>
      <c r="BG251" s="14">
        <f>IF(Distances!DT145&lt;&gt;0,ROUNDUP(BG209+'Délai intermédiaire'!DT145/24,0),0)</f>
        <v>18</v>
      </c>
      <c r="BH251" s="14">
        <f>IF(Distances!DU145&lt;&gt;0,ROUNDUP(BH209+'Délai intermédiaire'!DU145/24,0),0)</f>
        <v>16</v>
      </c>
      <c r="BI251" s="14">
        <f>IF(Distances!DV145&lt;&gt;0,ROUNDUP(BI209+'Délai intermédiaire'!DV145/24,0),0)</f>
        <v>13</v>
      </c>
      <c r="BJ251" s="15">
        <f>IF(Distances!DW145&lt;&gt;0,ROUNDUP(BJ209+'Délai intermédiaire'!DW145/24,0),0)</f>
        <v>14</v>
      </c>
    </row>
    <row r="252" spans="1:62" x14ac:dyDescent="0.3">
      <c r="A252" s="10" t="s">
        <v>42</v>
      </c>
      <c r="B252" s="16">
        <f>IF(Distances!BO146&lt;&gt;0,ROUNDUP(B209+'Délai intermédiaire'!BO146/24,0),0)</f>
        <v>0</v>
      </c>
      <c r="C252" s="14">
        <f>IF(Distances!BP146&lt;&gt;0,ROUNDUP(C209+'Délai intermédiaire'!BP146/24,0),0)</f>
        <v>0</v>
      </c>
      <c r="D252" s="14">
        <f>IF(Distances!BQ146&lt;&gt;0,ROUNDUP(D209+'Délai intermédiaire'!BQ146/24,0),0)</f>
        <v>22</v>
      </c>
      <c r="E252" s="14">
        <f>IF(Distances!BR146&lt;&gt;0,ROUNDUP(E209+'Délai intermédiaire'!BR146/24,0),0)</f>
        <v>0</v>
      </c>
      <c r="F252" s="14">
        <f>IF(Distances!BS146&lt;&gt;0,ROUNDUP(F209+'Délai intermédiaire'!BS146/24,0),0)</f>
        <v>21</v>
      </c>
      <c r="G252" s="14">
        <f>IF(Distances!BT146&lt;&gt;0,ROUNDUP(G209+'Délai intermédiaire'!BT146/24,0),0)</f>
        <v>17</v>
      </c>
      <c r="H252" s="14">
        <f>IF(Distances!BU146&lt;&gt;0,ROUNDUP(H209+'Délai intermédiaire'!BU146/24,0),0)</f>
        <v>0</v>
      </c>
      <c r="I252" s="14">
        <f>IF(Distances!BV146&lt;&gt;0,ROUNDUP(I209+'Délai intermédiaire'!BV146/24,0),0)</f>
        <v>0</v>
      </c>
      <c r="J252" s="14">
        <f>IF(Distances!BW146&lt;&gt;0,ROUNDUP(J209+'Délai intermédiaire'!BW146/24,0),0)</f>
        <v>23</v>
      </c>
      <c r="K252" s="14">
        <f>IF(Distances!BX146&lt;&gt;0,ROUNDUP(K209+'Délai intermédiaire'!BX146/24,0),0)</f>
        <v>0</v>
      </c>
      <c r="L252" s="14">
        <f>IF(Distances!BY146&lt;&gt;0,ROUNDUP(L209+'Délai intermédiaire'!BY146/24,0),0)</f>
        <v>18</v>
      </c>
      <c r="M252" s="14">
        <f>IF(Distances!BZ146&lt;&gt;0,ROUNDUP(M209+'Délai intermédiaire'!BZ146/24,0),0)</f>
        <v>0</v>
      </c>
      <c r="N252" s="14">
        <f>IF(Distances!CA146&lt;&gt;0,ROUNDUP(N209+'Délai intermédiaire'!CA146/24,0),0)</f>
        <v>21</v>
      </c>
      <c r="O252" s="14">
        <f>IF(Distances!CB146&lt;&gt;0,ROUNDUP(O209+'Délai intermédiaire'!CB146/24,0),0)</f>
        <v>17</v>
      </c>
      <c r="P252" s="14">
        <f>IF(Distances!CC146&lt;&gt;0,ROUNDUP(P209+'Délai intermédiaire'!CC146/24,0),0)</f>
        <v>16</v>
      </c>
      <c r="Q252" s="14">
        <f>IF(Distances!CD146&lt;&gt;0,ROUNDUP(Q209+'Délai intermédiaire'!CD146/24,0),0)</f>
        <v>0</v>
      </c>
      <c r="R252" s="14">
        <f>IF(Distances!CE146&lt;&gt;0,ROUNDUP(R209+'Délai intermédiaire'!CE146/24,0),0)</f>
        <v>0</v>
      </c>
      <c r="S252" s="14">
        <f>IF(Distances!CF146&lt;&gt;0,ROUNDUP(S209+'Délai intermédiaire'!CF146/24,0),0)</f>
        <v>0</v>
      </c>
      <c r="T252" s="14">
        <f>IF(Distances!CG146&lt;&gt;0,ROUNDUP(T209+'Délai intermédiaire'!CG146/24,0),0)</f>
        <v>18</v>
      </c>
      <c r="U252" s="14">
        <f>IF(Distances!CH146&lt;&gt;0,ROUNDUP(U209+'Délai intermédiaire'!CH146/24,0),0)</f>
        <v>15</v>
      </c>
      <c r="V252" s="14">
        <f>IF(Distances!CI146&lt;&gt;0,ROUNDUP(V209+'Délai intermédiaire'!CI146/24,0),0)</f>
        <v>15</v>
      </c>
      <c r="W252" s="14">
        <f>IF(Distances!CJ146&lt;&gt;0,ROUNDUP(W209+'Délai intermédiaire'!CJ146/24,0),0)</f>
        <v>0</v>
      </c>
      <c r="X252" s="14">
        <f>IF(Distances!CK146&lt;&gt;0,ROUNDUP(X209+'Délai intermédiaire'!CK146/24,0),0)</f>
        <v>19</v>
      </c>
      <c r="Y252" s="14">
        <f>IF(Distances!CL146&lt;&gt;0,ROUNDUP(Y209+'Délai intermédiaire'!CL146/24,0),0)</f>
        <v>18</v>
      </c>
      <c r="Z252" s="14">
        <f>IF(Distances!CM146&lt;&gt;0,ROUNDUP(Z209+'Délai intermédiaire'!CM146/24,0),0)</f>
        <v>16</v>
      </c>
      <c r="AA252" s="14">
        <f>IF(Distances!CN146&lt;&gt;0,ROUNDUP(AA209+'Délai intermédiaire'!CN146/24,0),0)</f>
        <v>16</v>
      </c>
      <c r="AB252" s="14">
        <f>IF(Distances!CO146&lt;&gt;0,ROUNDUP(AB209+'Délai intermédiaire'!CO146/24,0),0)</f>
        <v>15</v>
      </c>
      <c r="AC252" s="14">
        <f>IF(Distances!CP146&lt;&gt;0,ROUNDUP(AC209+'Délai intermédiaire'!CP146/24,0),0)</f>
        <v>0</v>
      </c>
      <c r="AD252" s="14">
        <f>IF(Distances!CQ146&lt;&gt;0,ROUNDUP(AD209+'Délai intermédiaire'!CQ146/24,0),0)</f>
        <v>0</v>
      </c>
      <c r="AE252" s="14">
        <f>IF(Distances!CR146&lt;&gt;0,ROUNDUP(AE209+'Délai intermédiaire'!CR146/24,0),0)</f>
        <v>16</v>
      </c>
      <c r="AF252" s="14">
        <f>IF(Distances!CS146&lt;&gt;0,ROUNDUP(AF209+'Délai intermédiaire'!CS146/24,0),0)</f>
        <v>15</v>
      </c>
      <c r="AG252" s="14">
        <f>IF(Distances!CT146&lt;&gt;0,ROUNDUP(AG209+'Délai intermédiaire'!CT146/24,0),0)</f>
        <v>16</v>
      </c>
      <c r="AH252" s="14">
        <f>IF(Distances!CU146&lt;&gt;0,ROUNDUP(AH209+'Délai intermédiaire'!CU146/24,0),0)</f>
        <v>10</v>
      </c>
      <c r="AI252" s="14">
        <f>IF(Distances!CV146&lt;&gt;0,ROUNDUP(AI209+'Délai intermédiaire'!CV146/24,0),0)</f>
        <v>0</v>
      </c>
      <c r="AJ252" s="14">
        <f>IF(Distances!CW146&lt;&gt;0,ROUNDUP(AJ209+'Délai intermédiaire'!CW146/24,0),0)</f>
        <v>10</v>
      </c>
      <c r="AK252" s="14">
        <f>IF(Distances!CX146&lt;&gt;0,ROUNDUP(AK209+'Délai intermédiaire'!CX146/24,0),0)</f>
        <v>0</v>
      </c>
      <c r="AL252" s="14">
        <f>IF(Distances!CY146&lt;&gt;0,ROUNDUP(AL209+'Délai intermédiaire'!CY146/24,0),0)</f>
        <v>0</v>
      </c>
      <c r="AM252" s="14">
        <f>IF(Distances!CZ146&lt;&gt;0,ROUNDUP(AM209+'Délai intermédiaire'!CZ146/24,0),0)</f>
        <v>0</v>
      </c>
      <c r="AN252" s="14">
        <f>IF(Distances!DA146&lt;&gt;0,ROUNDUP(AN209+'Délai intermédiaire'!DA146/24,0),0)</f>
        <v>9</v>
      </c>
      <c r="AO252" s="13">
        <f>IF(Distances!DB146&lt;&gt;0,ROUNDUP(AO209+'Délai intermédiaire'!DB146/24,0),0)</f>
        <v>0</v>
      </c>
      <c r="AP252" s="13">
        <f>IF(Distances!DC146&lt;&gt;0,ROUNDUP(AP209+'Délai intermédiaire'!DC146/24,0),0)</f>
        <v>0</v>
      </c>
      <c r="AQ252" s="12">
        <f>IF(Distances!DD146&lt;&gt;0,ROUNDUP(AQ209+'Délai intermédiaire'!DD146/24,0),0)</f>
        <v>0</v>
      </c>
      <c r="AR252" s="14">
        <f>IF(Distances!DE146&lt;&gt;0,ROUNDUP(AR209+'Délai intermédiaire'!DE146/24,0),0)</f>
        <v>0</v>
      </c>
      <c r="AS252" s="14">
        <f>IF(Distances!DF146&lt;&gt;0,ROUNDUP(AS209+'Délai intermédiaire'!DF146/24,0),0)</f>
        <v>12</v>
      </c>
      <c r="AT252" s="14">
        <f>IF(Distances!DG146&lt;&gt;0,ROUNDUP(AT209+'Délai intermédiaire'!DG146/24,0),0)</f>
        <v>12</v>
      </c>
      <c r="AU252" s="14">
        <f>IF(Distances!DH146&lt;&gt;0,ROUNDUP(AU209+'Délai intermédiaire'!DH146/24,0),0)</f>
        <v>10</v>
      </c>
      <c r="AV252" s="14">
        <f>IF(Distances!DI146&lt;&gt;0,ROUNDUP(AV209+'Délai intermédiaire'!DI146/24,0),0)</f>
        <v>23</v>
      </c>
      <c r="AW252" s="14">
        <f>IF(Distances!DJ146&lt;&gt;0,ROUNDUP(AW209+'Délai intermédiaire'!DJ146/24,0),0)</f>
        <v>25</v>
      </c>
      <c r="AX252" s="14">
        <f>IF(Distances!DK146&lt;&gt;0,ROUNDUP(AX209+'Délai intermédiaire'!DK146/24,0),0)</f>
        <v>0</v>
      </c>
      <c r="AY252" s="14">
        <f>IF(Distances!DL146&lt;&gt;0,ROUNDUP(AY209+'Délai intermédiaire'!DL146/24,0),0)</f>
        <v>0</v>
      </c>
      <c r="AZ252" s="14">
        <f>IF(Distances!DM146&lt;&gt;0,ROUNDUP(AZ209+'Délai intermédiaire'!DM146/24,0),0)</f>
        <v>11</v>
      </c>
      <c r="BA252" s="14">
        <f>IF(Distances!DN146&lt;&gt;0,ROUNDUP(BA209+'Délai intermédiaire'!DN146/24,0),0)</f>
        <v>0</v>
      </c>
      <c r="BB252" s="14">
        <f>IF(Distances!DO146&lt;&gt;0,ROUNDUP(BB209+'Délai intermédiaire'!DO146/24,0),0)</f>
        <v>0</v>
      </c>
      <c r="BC252" s="14">
        <f>IF(Distances!DP146&lt;&gt;0,ROUNDUP(BC209+'Délai intermédiaire'!DP146/24,0),0)</f>
        <v>0</v>
      </c>
      <c r="BD252" s="14">
        <f>IF(Distances!DQ146&lt;&gt;0,ROUNDUP(BD209+'Délai intermédiaire'!DQ146/24,0),0)</f>
        <v>11</v>
      </c>
      <c r="BE252" s="14">
        <f>IF(Distances!DR146&lt;&gt;0,ROUNDUP(BE209+'Délai intermédiaire'!DR146/24,0),0)</f>
        <v>0</v>
      </c>
      <c r="BF252" s="14">
        <f>IF(Distances!DS146&lt;&gt;0,ROUNDUP(BF209+'Délai intermédiaire'!DS146/24,0),0)</f>
        <v>16</v>
      </c>
      <c r="BG252" s="14">
        <f>IF(Distances!DT146&lt;&gt;0,ROUNDUP(BG209+'Délai intermédiaire'!DT146/24,0),0)</f>
        <v>14</v>
      </c>
      <c r="BH252" s="14">
        <f>IF(Distances!DU146&lt;&gt;0,ROUNDUP(BH209+'Délai intermédiaire'!DU146/24,0),0)</f>
        <v>19</v>
      </c>
      <c r="BI252" s="14">
        <f>IF(Distances!DV146&lt;&gt;0,ROUNDUP(BI209+'Délai intermédiaire'!DV146/24,0),0)</f>
        <v>16</v>
      </c>
      <c r="BJ252" s="15">
        <f>IF(Distances!DW146&lt;&gt;0,ROUNDUP(BJ209+'Délai intermédiaire'!DW146/24,0),0)</f>
        <v>17</v>
      </c>
    </row>
    <row r="253" spans="1:62" x14ac:dyDescent="0.3">
      <c r="A253" s="10" t="s">
        <v>43</v>
      </c>
      <c r="B253" s="16">
        <f>IF(Distances!BO147&lt;&gt;0,ROUNDUP(B209+'Délai intermédiaire'!BO147/24,0),0)</f>
        <v>0</v>
      </c>
      <c r="C253" s="14">
        <f>IF(Distances!BP147&lt;&gt;0,ROUNDUP(C209+'Délai intermédiaire'!BP147/24,0),0)</f>
        <v>0</v>
      </c>
      <c r="D253" s="14">
        <f>IF(Distances!BQ147&lt;&gt;0,ROUNDUP(D209+'Délai intermédiaire'!BQ147/24,0),0)</f>
        <v>16</v>
      </c>
      <c r="E253" s="14">
        <f>IF(Distances!BR147&lt;&gt;0,ROUNDUP(E209+'Délai intermédiaire'!BR147/24,0),0)</f>
        <v>0</v>
      </c>
      <c r="F253" s="14">
        <f>IF(Distances!BS147&lt;&gt;0,ROUNDUP(F209+'Délai intermédiaire'!BS147/24,0),0)</f>
        <v>16</v>
      </c>
      <c r="G253" s="14">
        <f>IF(Distances!BT147&lt;&gt;0,ROUNDUP(G209+'Délai intermédiaire'!BT147/24,0),0)</f>
        <v>21</v>
      </c>
      <c r="H253" s="14">
        <f>IF(Distances!BU147&lt;&gt;0,ROUNDUP(H209+'Délai intermédiaire'!BU147/24,0),0)</f>
        <v>0</v>
      </c>
      <c r="I253" s="14">
        <f>IF(Distances!BV147&lt;&gt;0,ROUNDUP(I209+'Délai intermédiaire'!BV147/24,0),0)</f>
        <v>0</v>
      </c>
      <c r="J253" s="14">
        <f>IF(Distances!BW147&lt;&gt;0,ROUNDUP(J209+'Délai intermédiaire'!BW147/24,0),0)</f>
        <v>17</v>
      </c>
      <c r="K253" s="14">
        <f>IF(Distances!BX147&lt;&gt;0,ROUNDUP(K209+'Délai intermédiaire'!BX147/24,0),0)</f>
        <v>0</v>
      </c>
      <c r="L253" s="14">
        <f>IF(Distances!BY147&lt;&gt;0,ROUNDUP(L209+'Délai intermédiaire'!BY147/24,0),0)</f>
        <v>21</v>
      </c>
      <c r="M253" s="14">
        <f>IF(Distances!BZ147&lt;&gt;0,ROUNDUP(M209+'Délai intermédiaire'!BZ147/24,0),0)</f>
        <v>0</v>
      </c>
      <c r="N253" s="14">
        <f>IF(Distances!CA147&lt;&gt;0,ROUNDUP(N209+'Délai intermédiaire'!CA147/24,0),0)</f>
        <v>19</v>
      </c>
      <c r="O253" s="14">
        <f>IF(Distances!CB147&lt;&gt;0,ROUNDUP(O209+'Délai intermédiaire'!CB147/24,0),0)</f>
        <v>17</v>
      </c>
      <c r="P253" s="14">
        <f>IF(Distances!CC147&lt;&gt;0,ROUNDUP(P209+'Délai intermédiaire'!CC147/24,0),0)</f>
        <v>16</v>
      </c>
      <c r="Q253" s="14">
        <f>IF(Distances!CD147&lt;&gt;0,ROUNDUP(Q209+'Délai intermédiaire'!CD147/24,0),0)</f>
        <v>0</v>
      </c>
      <c r="R253" s="14">
        <f>IF(Distances!CE147&lt;&gt;0,ROUNDUP(R209+'Délai intermédiaire'!CE147/24,0),0)</f>
        <v>0</v>
      </c>
      <c r="S253" s="14">
        <f>IF(Distances!CF147&lt;&gt;0,ROUNDUP(S209+'Délai intermédiaire'!CF147/24,0),0)</f>
        <v>0</v>
      </c>
      <c r="T253" s="14">
        <f>IF(Distances!CG147&lt;&gt;0,ROUNDUP(T209+'Délai intermédiaire'!CG147/24,0),0)</f>
        <v>12</v>
      </c>
      <c r="U253" s="14">
        <f>IF(Distances!CH147&lt;&gt;0,ROUNDUP(U209+'Délai intermédiaire'!CH147/24,0),0)</f>
        <v>9</v>
      </c>
      <c r="V253" s="14">
        <f>IF(Distances!CI147&lt;&gt;0,ROUNDUP(V209+'Délai intermédiaire'!CI147/24,0),0)</f>
        <v>9</v>
      </c>
      <c r="W253" s="14">
        <f>IF(Distances!CJ147&lt;&gt;0,ROUNDUP(W209+'Délai intermédiaire'!CJ147/24,0),0)</f>
        <v>0</v>
      </c>
      <c r="X253" s="14">
        <f>IF(Distances!CK147&lt;&gt;0,ROUNDUP(X209+'Délai intermédiaire'!CK147/24,0),0)</f>
        <v>13</v>
      </c>
      <c r="Y253" s="14">
        <f>IF(Distances!CL147&lt;&gt;0,ROUNDUP(Y209+'Délai intermédiaire'!CL147/24,0),0)</f>
        <v>12</v>
      </c>
      <c r="Z253" s="14">
        <f>IF(Distances!CM147&lt;&gt;0,ROUNDUP(Z209+'Délai intermédiaire'!CM147/24,0),0)</f>
        <v>10</v>
      </c>
      <c r="AA253" s="14">
        <f>IF(Distances!CN147&lt;&gt;0,ROUNDUP(AA209+'Délai intermédiaire'!CN147/24,0),0)</f>
        <v>10</v>
      </c>
      <c r="AB253" s="14">
        <f>IF(Distances!CO147&lt;&gt;0,ROUNDUP(AB209+'Délai intermédiaire'!CO147/24,0),0)</f>
        <v>10</v>
      </c>
      <c r="AC253" s="14">
        <f>IF(Distances!CP147&lt;&gt;0,ROUNDUP(AC209+'Délai intermédiaire'!CP147/24,0),0)</f>
        <v>0</v>
      </c>
      <c r="AD253" s="14">
        <f>IF(Distances!CQ147&lt;&gt;0,ROUNDUP(AD209+'Délai intermédiaire'!CQ147/24,0),0)</f>
        <v>0</v>
      </c>
      <c r="AE253" s="14">
        <f>IF(Distances!CR147&lt;&gt;0,ROUNDUP(AE209+'Délai intermédiaire'!CR147/24,0),0)</f>
        <v>10</v>
      </c>
      <c r="AF253" s="14">
        <f>IF(Distances!CS147&lt;&gt;0,ROUNDUP(AF209+'Délai intermédiaire'!CS147/24,0),0)</f>
        <v>9</v>
      </c>
      <c r="AG253" s="14">
        <f>IF(Distances!CT147&lt;&gt;0,ROUNDUP(AG209+'Délai intermédiaire'!CT147/24,0),0)</f>
        <v>10</v>
      </c>
      <c r="AH253" s="13">
        <f>IF(Distances!CU147&lt;&gt;0,ROUNDUP(AH209+'Délai intermédiaire'!CU147/24,0),0)</f>
        <v>5</v>
      </c>
      <c r="AI253" s="13">
        <f>IF(Distances!CV147&lt;&gt;0,ROUNDUP(AI209+'Délai intermédiaire'!CV147/24,0),0)</f>
        <v>0</v>
      </c>
      <c r="AJ253" s="13">
        <f>IF(Distances!CW147&lt;&gt;0,ROUNDUP(AJ209+'Délai intermédiaire'!CW147/24,0),0)</f>
        <v>5</v>
      </c>
      <c r="AK253" s="13">
        <f>IF(Distances!CX147&lt;&gt;0,ROUNDUP(AK209+'Délai intermédiaire'!CX147/24,0),0)</f>
        <v>0</v>
      </c>
      <c r="AL253" s="13">
        <f>IF(Distances!CY147&lt;&gt;0,ROUNDUP(AL209+'Délai intermédiaire'!CY147/24,0),0)</f>
        <v>0</v>
      </c>
      <c r="AM253" s="13">
        <f>IF(Distances!CZ147&lt;&gt;0,ROUNDUP(AM209+'Délai intermédiaire'!CZ147/24,0),0)</f>
        <v>0</v>
      </c>
      <c r="AN253" s="13">
        <f>IF(Distances!DA147&lt;&gt;0,ROUNDUP(AN209+'Délai intermédiaire'!DA147/24,0),0)</f>
        <v>12</v>
      </c>
      <c r="AO253" s="14">
        <f>IF(Distances!DB147&lt;&gt;0,ROUNDUP(AO209+'Délai intermédiaire'!DB147/24,0),0)</f>
        <v>0</v>
      </c>
      <c r="AP253" s="14">
        <f>IF(Distances!DC147&lt;&gt;0,ROUNDUP(AP209+'Délai intermédiaire'!DC147/24,0),0)</f>
        <v>0</v>
      </c>
      <c r="AQ253" s="14">
        <f>IF(Distances!DD147&lt;&gt;0,ROUNDUP(AQ209+'Délai intermédiaire'!DD147/24,0),0)</f>
        <v>0</v>
      </c>
      <c r="AR253" s="12">
        <f>IF(Distances!DE147&lt;&gt;0,ROUNDUP(AR209+'Délai intermédiaire'!DE147/24,0),0)</f>
        <v>0</v>
      </c>
      <c r="AS253" s="13">
        <f>IF(Distances!DF147&lt;&gt;0,ROUNDUP(AS209+'Délai intermédiaire'!DF147/24,0),0)</f>
        <v>3</v>
      </c>
      <c r="AT253" s="13">
        <f>IF(Distances!DG147&lt;&gt;0,ROUNDUP(AT209+'Délai intermédiaire'!DG147/24,0),0)</f>
        <v>3</v>
      </c>
      <c r="AU253" s="13">
        <f>IF(Distances!DH147&lt;&gt;0,ROUNDUP(AU209+'Délai intermédiaire'!DH147/24,0),0)</f>
        <v>13</v>
      </c>
      <c r="AV253" s="13">
        <f>IF(Distances!DI147&lt;&gt;0,ROUNDUP(AV209+'Délai intermédiaire'!DI147/24,0),0)</f>
        <v>17</v>
      </c>
      <c r="AW253" s="13">
        <f>IF(Distances!DJ147&lt;&gt;0,ROUNDUP(AW209+'Délai intermédiaire'!DJ147/24,0),0)</f>
        <v>19</v>
      </c>
      <c r="AX253" s="13">
        <f>IF(Distances!DK147&lt;&gt;0,ROUNDUP(AX209+'Délai intermédiaire'!DK147/24,0),0)</f>
        <v>0</v>
      </c>
      <c r="AY253" s="14">
        <f>IF(Distances!DL147&lt;&gt;0,ROUNDUP(AY209+'Délai intermédiaire'!DL147/24,0),0)</f>
        <v>0</v>
      </c>
      <c r="AZ253" s="14">
        <f>IF(Distances!DM147&lt;&gt;0,ROUNDUP(AZ209+'Délai intermédiaire'!DM147/24,0),0)</f>
        <v>7</v>
      </c>
      <c r="BA253" s="13">
        <f>IF(Distances!DN147&lt;&gt;0,ROUNDUP(BA209+'Délai intermédiaire'!DN147/24,0),0)</f>
        <v>0</v>
      </c>
      <c r="BB253" s="14">
        <f>IF(Distances!DO147&lt;&gt;0,ROUNDUP(BB209+'Délai intermédiaire'!DO147/24,0),0)</f>
        <v>0</v>
      </c>
      <c r="BC253" s="13">
        <f>IF(Distances!DP147&lt;&gt;0,ROUNDUP(BC209+'Délai intermédiaire'!DP147/24,0),0)</f>
        <v>0</v>
      </c>
      <c r="BD253" s="13">
        <f>IF(Distances!DQ147&lt;&gt;0,ROUNDUP(BD209+'Délai intermédiaire'!DQ147/24,0),0)</f>
        <v>13</v>
      </c>
      <c r="BE253" s="13">
        <f>IF(Distances!DR147&lt;&gt;0,ROUNDUP(BE209+'Délai intermédiaire'!DR147/24,0),0)</f>
        <v>0</v>
      </c>
      <c r="BF253" s="14">
        <f>IF(Distances!DS147&lt;&gt;0,ROUNDUP(BF209+'Délai intermédiaire'!DS147/24,0),0)</f>
        <v>10</v>
      </c>
      <c r="BG253" s="14">
        <f>IF(Distances!DT147&lt;&gt;0,ROUNDUP(BG209+'Délai intermédiaire'!DT147/24,0),0)</f>
        <v>9</v>
      </c>
      <c r="BH253" s="14">
        <f>IF(Distances!DU147&lt;&gt;0,ROUNDUP(BH209+'Délai intermédiaire'!DU147/24,0),0)</f>
        <v>27</v>
      </c>
      <c r="BI253" s="14">
        <f>IF(Distances!DV147&lt;&gt;0,ROUNDUP(BI209+'Délai intermédiaire'!DV147/24,0),0)</f>
        <v>25</v>
      </c>
      <c r="BJ253" s="15">
        <f>IF(Distances!DW147&lt;&gt;0,ROUNDUP(BJ209+'Délai intermédiaire'!DW147/24,0),0)</f>
        <v>25</v>
      </c>
    </row>
    <row r="254" spans="1:62" x14ac:dyDescent="0.3">
      <c r="A254" s="10" t="s">
        <v>44</v>
      </c>
      <c r="B254" s="16">
        <f>IF(Distances!BO148&lt;&gt;0,ROUNDUP(B209+'Délai intermédiaire'!BO148/24,0),0)</f>
        <v>17</v>
      </c>
      <c r="C254" s="14">
        <f>IF(Distances!BP148&lt;&gt;0,ROUNDUP(C209+'Délai intermédiaire'!BP148/24,0),0)</f>
        <v>19</v>
      </c>
      <c r="D254" s="14">
        <f>IF(Distances!BQ148&lt;&gt;0,ROUNDUP(D209+'Délai intermédiaire'!BQ148/24,0),0)</f>
        <v>17</v>
      </c>
      <c r="E254" s="14">
        <f>IF(Distances!BR148&lt;&gt;0,ROUNDUP(E209+'Délai intermédiaire'!BR148/24,0),0)</f>
        <v>18</v>
      </c>
      <c r="F254" s="14">
        <f>IF(Distances!BS148&lt;&gt;0,ROUNDUP(F209+'Délai intermédiaire'!BS148/24,0),0)</f>
        <v>17</v>
      </c>
      <c r="G254" s="14">
        <f>IF(Distances!BT148&lt;&gt;0,ROUNDUP(G209+'Délai intermédiaire'!BT148/24,0),0)</f>
        <v>22</v>
      </c>
      <c r="H254" s="14">
        <f>IF(Distances!BU148&lt;&gt;0,ROUNDUP(H209+'Délai intermédiaire'!BU148/24,0),0)</f>
        <v>21</v>
      </c>
      <c r="I254" s="14">
        <f>IF(Distances!BV148&lt;&gt;0,ROUNDUP(I209+'Délai intermédiaire'!BV148/24,0),0)</f>
        <v>22</v>
      </c>
      <c r="J254" s="14">
        <f>IF(Distances!BW148&lt;&gt;0,ROUNDUP(J209+'Délai intermédiaire'!BW148/24,0),0)</f>
        <v>17</v>
      </c>
      <c r="K254" s="14">
        <f>IF(Distances!BX148&lt;&gt;0,ROUNDUP(K209+'Délai intermédiaire'!BX148/24,0),0)</f>
        <v>17</v>
      </c>
      <c r="L254" s="14">
        <f>IF(Distances!BY148&lt;&gt;0,ROUNDUP(L209+'Délai intermédiaire'!BY148/24,0),0)</f>
        <v>22</v>
      </c>
      <c r="M254" s="14">
        <f>IF(Distances!BZ148&lt;&gt;0,ROUNDUP(M209+'Délai intermédiaire'!BZ148/24,0),0)</f>
        <v>22</v>
      </c>
      <c r="N254" s="14">
        <f>IF(Distances!CA148&lt;&gt;0,ROUNDUP(N209+'Délai intermédiaire'!CA148/24,0),0)</f>
        <v>20</v>
      </c>
      <c r="O254" s="14">
        <f>IF(Distances!CB148&lt;&gt;0,ROUNDUP(O209+'Délai intermédiaire'!CB148/24,0),0)</f>
        <v>17</v>
      </c>
      <c r="P254" s="14">
        <f>IF(Distances!CC148&lt;&gt;0,ROUNDUP(P209+'Délai intermédiaire'!CC148/24,0),0)</f>
        <v>17</v>
      </c>
      <c r="Q254" s="14">
        <f>IF(Distances!CD148&lt;&gt;0,ROUNDUP(Q209+'Délai intermédiaire'!CD148/24,0),0)</f>
        <v>14</v>
      </c>
      <c r="R254" s="14">
        <f>IF(Distances!CE148&lt;&gt;0,ROUNDUP(R209+'Délai intermédiaire'!CE148/24,0),0)</f>
        <v>13</v>
      </c>
      <c r="S254" s="14">
        <f>IF(Distances!CF148&lt;&gt;0,ROUNDUP(S209+'Délai intermédiaire'!CF148/24,0),0)</f>
        <v>13</v>
      </c>
      <c r="T254" s="14">
        <f>IF(Distances!CG148&lt;&gt;0,ROUNDUP(T209+'Délai intermédiaire'!CG148/24,0),0)</f>
        <v>13</v>
      </c>
      <c r="U254" s="14">
        <f>IF(Distances!CH148&lt;&gt;0,ROUNDUP(U209+'Délai intermédiaire'!CH148/24,0),0)</f>
        <v>10</v>
      </c>
      <c r="V254" s="14">
        <f>IF(Distances!CI148&lt;&gt;0,ROUNDUP(V209+'Délai intermédiaire'!CI148/24,0),0)</f>
        <v>10</v>
      </c>
      <c r="W254" s="14">
        <f>IF(Distances!CJ148&lt;&gt;0,ROUNDUP(W209+'Délai intermédiaire'!CJ148/24,0),0)</f>
        <v>13</v>
      </c>
      <c r="X254" s="14">
        <f>IF(Distances!CK148&lt;&gt;0,ROUNDUP(X209+'Délai intermédiaire'!CK148/24,0),0)</f>
        <v>14</v>
      </c>
      <c r="Y254" s="14">
        <f>IF(Distances!CL148&lt;&gt;0,ROUNDUP(Y209+'Délai intermédiaire'!CL148/24,0),0)</f>
        <v>13</v>
      </c>
      <c r="Z254" s="14">
        <f>IF(Distances!CM148&lt;&gt;0,ROUNDUP(Z209+'Délai intermédiaire'!CM148/24,0),0)</f>
        <v>11</v>
      </c>
      <c r="AA254" s="14">
        <f>IF(Distances!CN148&lt;&gt;0,ROUNDUP(AA209+'Délai intermédiaire'!CN148/24,0),0)</f>
        <v>11</v>
      </c>
      <c r="AB254" s="14">
        <f>IF(Distances!CO148&lt;&gt;0,ROUNDUP(AB209+'Délai intermédiaire'!CO148/24,0),0)</f>
        <v>10</v>
      </c>
      <c r="AC254" s="14">
        <f>IF(Distances!CP148&lt;&gt;0,ROUNDUP(AC209+'Délai intermédiaire'!CP148/24,0),0)</f>
        <v>10</v>
      </c>
      <c r="AD254" s="14">
        <f>IF(Distances!CQ148&lt;&gt;0,ROUNDUP(AD209+'Délai intermédiaire'!CQ148/24,0),0)</f>
        <v>15</v>
      </c>
      <c r="AE254" s="14">
        <f>IF(Distances!CR148&lt;&gt;0,ROUNDUP(AE209+'Délai intermédiaire'!CR148/24,0),0)</f>
        <v>11</v>
      </c>
      <c r="AF254" s="14">
        <f>IF(Distances!CS148&lt;&gt;0,ROUNDUP(AF209+'Délai intermédiaire'!CS148/24,0),0)</f>
        <v>10</v>
      </c>
      <c r="AG254" s="14">
        <f>IF(Distances!CT148&lt;&gt;0,ROUNDUP(AG209+'Délai intermédiaire'!CT148/24,0),0)</f>
        <v>11</v>
      </c>
      <c r="AH254" s="13">
        <f>IF(Distances!CU148&lt;&gt;0,ROUNDUP(AH209+'Délai intermédiaire'!CU148/24,0),0)</f>
        <v>6</v>
      </c>
      <c r="AI254" s="13">
        <f>IF(Distances!CV148&lt;&gt;0,ROUNDUP(AI209+'Délai intermédiaire'!CV148/24,0),0)</f>
        <v>9</v>
      </c>
      <c r="AJ254" s="13">
        <f>IF(Distances!CW148&lt;&gt;0,ROUNDUP(AJ209+'Délai intermédiaire'!CW148/24,0),0)</f>
        <v>6</v>
      </c>
      <c r="AK254" s="13">
        <f>IF(Distances!CX148&lt;&gt;0,ROUNDUP(AK209+'Délai intermédiaire'!CX148/24,0),0)</f>
        <v>8</v>
      </c>
      <c r="AL254" s="13">
        <f>IF(Distances!CY148&lt;&gt;0,ROUNDUP(AL209+'Délai intermédiaire'!CY148/24,0),0)</f>
        <v>13</v>
      </c>
      <c r="AM254" s="13">
        <f>IF(Distances!CZ148&lt;&gt;0,ROUNDUP(AM209+'Délai intermédiaire'!CZ148/24,0),0)</f>
        <v>13</v>
      </c>
      <c r="AN254" s="13">
        <f>IF(Distances!DA148&lt;&gt;0,ROUNDUP(AN209+'Délai intermédiaire'!DA148/24,0),0)</f>
        <v>13</v>
      </c>
      <c r="AO254" s="14">
        <f>IF(Distances!DB148&lt;&gt;0,ROUNDUP(AO209+'Délai intermédiaire'!DB148/24,0),0)</f>
        <v>15</v>
      </c>
      <c r="AP254" s="14">
        <f>IF(Distances!DC148&lt;&gt;0,ROUNDUP(AP209+'Délai intermédiaire'!DC148/24,0),0)</f>
        <v>16</v>
      </c>
      <c r="AQ254" s="14">
        <f>IF(Distances!DD148&lt;&gt;0,ROUNDUP(AQ209+'Délai intermédiaire'!DD148/24,0),0)</f>
        <v>12</v>
      </c>
      <c r="AR254" s="13">
        <f>IF(Distances!DE148&lt;&gt;0,ROUNDUP(AR209+'Délai intermédiaire'!DE148/24,0),0)</f>
        <v>3</v>
      </c>
      <c r="AS254" s="12">
        <f>IF(Distances!DF148&lt;&gt;0,ROUNDUP(AS209+'Délai intermédiaire'!DF148/24,0),0)</f>
        <v>0</v>
      </c>
      <c r="AT254" s="13">
        <f>IF(Distances!DG148&lt;&gt;0,ROUNDUP(AT209+'Délai intermédiaire'!DG148/24,0),0)</f>
        <v>4</v>
      </c>
      <c r="AU254" s="13">
        <f>IF(Distances!DH148&lt;&gt;0,ROUNDUP(AU209+'Délai intermédiaire'!DH148/24,0),0)</f>
        <v>14</v>
      </c>
      <c r="AV254" s="13">
        <f>IF(Distances!DI148&lt;&gt;0,ROUNDUP(AV209+'Délai intermédiaire'!DI148/24,0),0)</f>
        <v>18</v>
      </c>
      <c r="AW254" s="13">
        <f>IF(Distances!DJ148&lt;&gt;0,ROUNDUP(AW209+'Délai intermédiaire'!DJ148/24,0),0)</f>
        <v>20</v>
      </c>
      <c r="AX254" s="13">
        <f>IF(Distances!DK148&lt;&gt;0,ROUNDUP(AX209+'Délai intermédiaire'!DK148/24,0),0)</f>
        <v>16</v>
      </c>
      <c r="AY254" s="12">
        <f>IF(Distances!DL148&lt;&gt;0,ROUNDUP(AY209+'Délai intermédiaire'!DL148/24,0),0)</f>
        <v>3</v>
      </c>
      <c r="AZ254" s="12">
        <f>IF(Distances!DM148&lt;&gt;0,ROUNDUP(AZ209+'Délai intermédiaire'!DM148/24,0),0)</f>
        <v>8</v>
      </c>
      <c r="BA254" s="13">
        <f>IF(Distances!DN148&lt;&gt;0,ROUNDUP(BA209+'Délai intermédiaire'!DN148/24,0),0)</f>
        <v>11</v>
      </c>
      <c r="BB254" s="14">
        <f>IF(Distances!DO148&lt;&gt;0,ROUNDUP(BB209+'Délai intermédiaire'!DO148/24,0),0)</f>
        <v>16</v>
      </c>
      <c r="BC254" s="13">
        <f>IF(Distances!DP148&lt;&gt;0,ROUNDUP(BC209+'Délai intermédiaire'!DP148/24,0),0)</f>
        <v>12</v>
      </c>
      <c r="BD254" s="13">
        <f>IF(Distances!DQ148&lt;&gt;0,ROUNDUP(BD209+'Délai intermédiaire'!DQ148/24,0),0)</f>
        <v>14</v>
      </c>
      <c r="BE254" s="13">
        <f>IF(Distances!DR148&lt;&gt;0,ROUNDUP(BE209+'Délai intermédiaire'!DR148/24,0),0)</f>
        <v>13</v>
      </c>
      <c r="BF254" s="14">
        <f>IF(Distances!DS148&lt;&gt;0,ROUNDUP(BF209+'Délai intermédiaire'!DS148/24,0),0)</f>
        <v>11</v>
      </c>
      <c r="BG254" s="14">
        <f>IF(Distances!DT148&lt;&gt;0,ROUNDUP(BG209+'Délai intermédiaire'!DT148/24,0),0)</f>
        <v>9</v>
      </c>
      <c r="BH254" s="14">
        <f>IF(Distances!DU148&lt;&gt;0,ROUNDUP(BH209+'Délai intermédiaire'!DU148/24,0),0)</f>
        <v>28</v>
      </c>
      <c r="BI254" s="14">
        <f>IF(Distances!DV148&lt;&gt;0,ROUNDUP(BI209+'Délai intermédiaire'!DV148/24,0),0)</f>
        <v>25</v>
      </c>
      <c r="BJ254" s="15">
        <f>IF(Distances!DW148&lt;&gt;0,ROUNDUP(BJ209+'Délai intermédiaire'!DW148/24,0),0)</f>
        <v>26</v>
      </c>
    </row>
    <row r="255" spans="1:62" x14ac:dyDescent="0.3">
      <c r="A255" s="20" t="s">
        <v>45</v>
      </c>
      <c r="B255" s="21">
        <f>IF(Distances!BO149&lt;&gt;0,ROUNDUP(B209+'Délai intermédiaire'!BO149/24,0),0)</f>
        <v>17</v>
      </c>
      <c r="C255" s="22">
        <f>IF(Distances!BP149&lt;&gt;0,ROUNDUP(C209+'Délai intermédiaire'!BP149/24,0),0)</f>
        <v>18</v>
      </c>
      <c r="D255" s="22">
        <f>IF(Distances!BQ149&lt;&gt;0,ROUNDUP(D209+'Délai intermédiaire'!BQ149/24,0),0)</f>
        <v>17</v>
      </c>
      <c r="E255" s="22">
        <f>IF(Distances!BR149&lt;&gt;0,ROUNDUP(E209+'Délai intermédiaire'!BR149/24,0),0)</f>
        <v>18</v>
      </c>
      <c r="F255" s="22">
        <f>IF(Distances!BS149&lt;&gt;0,ROUNDUP(F209+'Délai intermédiaire'!BS149/24,0),0)</f>
        <v>16</v>
      </c>
      <c r="G255" s="22">
        <f>IF(Distances!BT149&lt;&gt;0,ROUNDUP(G209+'Délai intermédiaire'!BT149/24,0),0)</f>
        <v>22</v>
      </c>
      <c r="H255" s="22">
        <f>IF(Distances!BU149&lt;&gt;0,ROUNDUP(H209+'Délai intermédiaire'!BU149/24,0),0)</f>
        <v>20</v>
      </c>
      <c r="I255" s="22">
        <f>IF(Distances!BV149&lt;&gt;0,ROUNDUP(I209+'Délai intermédiaire'!BV149/24,0),0)</f>
        <v>21</v>
      </c>
      <c r="J255" s="22">
        <f>IF(Distances!BW149&lt;&gt;0,ROUNDUP(J209+'Délai intermédiaire'!BW149/24,0),0)</f>
        <v>17</v>
      </c>
      <c r="K255" s="22">
        <f>IF(Distances!BX149&lt;&gt;0,ROUNDUP(K209+'Délai intermédiaire'!BX149/24,0),0)</f>
        <v>17</v>
      </c>
      <c r="L255" s="22">
        <f>IF(Distances!BY149&lt;&gt;0,ROUNDUP(L209+'Délai intermédiaire'!BY149/24,0),0)</f>
        <v>22</v>
      </c>
      <c r="M255" s="22">
        <f>IF(Distances!BZ149&lt;&gt;0,ROUNDUP(M209+'Délai intermédiaire'!BZ149/24,0),0)</f>
        <v>21</v>
      </c>
      <c r="N255" s="22">
        <f>IF(Distances!CA149&lt;&gt;0,ROUNDUP(N209+'Délai intermédiaire'!CA149/24,0),0)</f>
        <v>20</v>
      </c>
      <c r="O255" s="22">
        <f>IF(Distances!CB149&lt;&gt;0,ROUNDUP(O209+'Délai intermédiaire'!CB149/24,0),0)</f>
        <v>17</v>
      </c>
      <c r="P255" s="22">
        <f>IF(Distances!CC149&lt;&gt;0,ROUNDUP(P209+'Délai intermédiaire'!CC149/24,0),0)</f>
        <v>17</v>
      </c>
      <c r="Q255" s="22">
        <f>IF(Distances!CD149&lt;&gt;0,ROUNDUP(Q209+'Délai intermédiaire'!CD149/24,0),0)</f>
        <v>13</v>
      </c>
      <c r="R255" s="22">
        <f>IF(Distances!CE149&lt;&gt;0,ROUNDUP(R209+'Délai intermédiaire'!CE149/24,0),0)</f>
        <v>13</v>
      </c>
      <c r="S255" s="22">
        <f>IF(Distances!CF149&lt;&gt;0,ROUNDUP(S209+'Délai intermédiaire'!CF149/24,0),0)</f>
        <v>13</v>
      </c>
      <c r="T255" s="22">
        <f>IF(Distances!CG149&lt;&gt;0,ROUNDUP(T209+'Délai intermédiaire'!CG149/24,0),0)</f>
        <v>12</v>
      </c>
      <c r="U255" s="22">
        <f>IF(Distances!CH149&lt;&gt;0,ROUNDUP(U209+'Délai intermédiaire'!CH149/24,0),0)</f>
        <v>10</v>
      </c>
      <c r="V255" s="22">
        <f>IF(Distances!CI149&lt;&gt;0,ROUNDUP(V209+'Délai intermédiaire'!CI149/24,0),0)</f>
        <v>9</v>
      </c>
      <c r="W255" s="22">
        <f>IF(Distances!CJ149&lt;&gt;0,ROUNDUP(W209+'Délai intermédiaire'!CJ149/24,0),0)</f>
        <v>13</v>
      </c>
      <c r="X255" s="22">
        <f>IF(Distances!CK149&lt;&gt;0,ROUNDUP(X209+'Délai intermédiaire'!CK149/24,0),0)</f>
        <v>14</v>
      </c>
      <c r="Y255" s="22">
        <f>IF(Distances!CL149&lt;&gt;0,ROUNDUP(Y209+'Délai intermédiaire'!CL149/24,0),0)</f>
        <v>13</v>
      </c>
      <c r="Z255" s="22">
        <f>IF(Distances!CM149&lt;&gt;0,ROUNDUP(Z209+'Délai intermédiaire'!CM149/24,0),0)</f>
        <v>10</v>
      </c>
      <c r="AA255" s="22">
        <f>IF(Distances!CN149&lt;&gt;0,ROUNDUP(AA209+'Délai intermédiaire'!CN149/24,0),0)</f>
        <v>11</v>
      </c>
      <c r="AB255" s="22">
        <f>IF(Distances!CO149&lt;&gt;0,ROUNDUP(AB209+'Délai intermédiaire'!CO149/24,0),0)</f>
        <v>10</v>
      </c>
      <c r="AC255" s="22">
        <f>IF(Distances!CP149&lt;&gt;0,ROUNDUP(AC209+'Délai intermédiaire'!CP149/24,0),0)</f>
        <v>10</v>
      </c>
      <c r="AD255" s="22">
        <f>IF(Distances!CQ149&lt;&gt;0,ROUNDUP(AD209+'Délai intermédiaire'!CQ149/24,0),0)</f>
        <v>15</v>
      </c>
      <c r="AE255" s="22">
        <f>IF(Distances!CR149&lt;&gt;0,ROUNDUP(AE209+'Délai intermédiaire'!CR149/24,0),0)</f>
        <v>11</v>
      </c>
      <c r="AF255" s="22">
        <f>IF(Distances!CS149&lt;&gt;0,ROUNDUP(AF209+'Délai intermédiaire'!CS149/24,0),0)</f>
        <v>10</v>
      </c>
      <c r="AG255" s="22">
        <f>IF(Distances!CT149&lt;&gt;0,ROUNDUP(AG209+'Délai intermédiaire'!CT149/24,0),0)</f>
        <v>10</v>
      </c>
      <c r="AH255" s="23">
        <f>IF(Distances!CU149&lt;&gt;0,ROUNDUP(AH209+'Délai intermédiaire'!CU149/24,0),0)</f>
        <v>6</v>
      </c>
      <c r="AI255" s="23">
        <f>IF(Distances!CV149&lt;&gt;0,ROUNDUP(AI209+'Délai intermédiaire'!CV149/24,0),0)</f>
        <v>8</v>
      </c>
      <c r="AJ255" s="23">
        <f>IF(Distances!CW149&lt;&gt;0,ROUNDUP(AJ209+'Délai intermédiaire'!CW149/24,0),0)</f>
        <v>5</v>
      </c>
      <c r="AK255" s="23">
        <f>IF(Distances!CX149&lt;&gt;0,ROUNDUP(AK209+'Délai intermédiaire'!CX149/24,0),0)</f>
        <v>7</v>
      </c>
      <c r="AL255" s="23">
        <f>IF(Distances!CY149&lt;&gt;0,ROUNDUP(AL209+'Délai intermédiaire'!CY149/24,0),0)</f>
        <v>13</v>
      </c>
      <c r="AM255" s="23">
        <f>IF(Distances!CZ149&lt;&gt;0,ROUNDUP(AM209+'Délai intermédiaire'!CZ149/24,0),0)</f>
        <v>13</v>
      </c>
      <c r="AN255" s="23">
        <f>IF(Distances!DA149&lt;&gt;0,ROUNDUP(AN209+'Délai intermédiaire'!DA149/24,0),0)</f>
        <v>12</v>
      </c>
      <c r="AO255" s="22">
        <f>IF(Distances!DB149&lt;&gt;0,ROUNDUP(AO209+'Délai intermédiaire'!DB149/24,0),0)</f>
        <v>14</v>
      </c>
      <c r="AP255" s="22">
        <f>IF(Distances!DC149&lt;&gt;0,ROUNDUP(AP209+'Délai intermédiaire'!DC149/24,0),0)</f>
        <v>15</v>
      </c>
      <c r="AQ255" s="22">
        <f>IF(Distances!DD149&lt;&gt;0,ROUNDUP(AQ209+'Délai intermédiaire'!DD149/24,0),0)</f>
        <v>12</v>
      </c>
      <c r="AR255" s="23">
        <f>IF(Distances!DE149&lt;&gt;0,ROUNDUP(AR209+'Délai intermédiaire'!DE149/24,0),0)</f>
        <v>3</v>
      </c>
      <c r="AS255" s="23">
        <f>IF(Distances!DF149&lt;&gt;0,ROUNDUP(AS209+'Délai intermédiaire'!DF149/24,0),0)</f>
        <v>4</v>
      </c>
      <c r="AT255" s="24">
        <f>IF(Distances!DG149&lt;&gt;0,ROUNDUP(AT209+'Délai intermédiaire'!DG149/24,0),0)</f>
        <v>0</v>
      </c>
      <c r="AU255" s="23">
        <f>IF(Distances!DH149&lt;&gt;0,ROUNDUP(AU209+'Délai intermédiaire'!DH149/24,0),0)</f>
        <v>13</v>
      </c>
      <c r="AV255" s="23">
        <f>IF(Distances!DI149&lt;&gt;0,ROUNDUP(AV209+'Délai intermédiaire'!DI149/24,0),0)</f>
        <v>17</v>
      </c>
      <c r="AW255" s="23">
        <f>IF(Distances!DJ149&lt;&gt;0,ROUNDUP(AW209+'Délai intermédiaire'!DJ149/24,0),0)</f>
        <v>19</v>
      </c>
      <c r="AX255" s="23">
        <f>IF(Distances!DK149&lt;&gt;0,ROUNDUP(AX209+'Délai intermédiaire'!DK149/24,0),0)</f>
        <v>15</v>
      </c>
      <c r="AY255" s="22">
        <f>IF(Distances!DL149&lt;&gt;0,ROUNDUP(AY209+'Délai intermédiaire'!DL149/24,0),0)</f>
        <v>3</v>
      </c>
      <c r="AZ255" s="22">
        <f>IF(Distances!DM149&lt;&gt;0,ROUNDUP(AZ209+'Délai intermédiaire'!DM149/24,0),0)</f>
        <v>7</v>
      </c>
      <c r="BA255" s="24">
        <f>IF(Distances!DN149&lt;&gt;0,ROUNDUP(BA209+'Délai intermédiaire'!DN149/24,0),0)</f>
        <v>10</v>
      </c>
      <c r="BB255" s="22">
        <f>IF(Distances!DO149&lt;&gt;0,ROUNDUP(BB209+'Délai intermédiaire'!DO149/24,0),0)</f>
        <v>15</v>
      </c>
      <c r="BC255" s="23">
        <f>IF(Distances!DP149&lt;&gt;0,ROUNDUP(BC209+'Délai intermédiaire'!DP149/24,0),0)</f>
        <v>11</v>
      </c>
      <c r="BD255" s="23">
        <f>IF(Distances!DQ149&lt;&gt;0,ROUNDUP(BD209+'Délai intermédiaire'!DQ149/24,0),0)</f>
        <v>14</v>
      </c>
      <c r="BE255" s="23">
        <f>IF(Distances!DR149&lt;&gt;0,ROUNDUP(BE209+'Délai intermédiaire'!DR149/24,0),0)</f>
        <v>13</v>
      </c>
      <c r="BF255" s="22">
        <f>IF(Distances!DS149&lt;&gt;0,ROUNDUP(BF209+'Délai intermédiaire'!DS149/24,0),0)</f>
        <v>11</v>
      </c>
      <c r="BG255" s="22">
        <f>IF(Distances!DT149&lt;&gt;0,ROUNDUP(BG209+'Délai intermédiaire'!DT149/24,0),0)</f>
        <v>9</v>
      </c>
      <c r="BH255" s="22">
        <f>IF(Distances!DU149&lt;&gt;0,ROUNDUP(BH209+'Délai intermédiaire'!DU149/24,0),0)</f>
        <v>28</v>
      </c>
      <c r="BI255" s="22">
        <f>IF(Distances!DV149&lt;&gt;0,ROUNDUP(BI209+'Délai intermédiaire'!DV149/24,0),0)</f>
        <v>25</v>
      </c>
      <c r="BJ255" s="25">
        <f>IF(Distances!DW149&lt;&gt;0,ROUNDUP(BJ209+'Délai intermédiaire'!DW149/24,0),0)</f>
        <v>26</v>
      </c>
    </row>
    <row r="258" spans="1:62" ht="21" x14ac:dyDescent="0.3">
      <c r="A258" s="55" t="s">
        <v>138</v>
      </c>
      <c r="B258" s="57"/>
      <c r="C258" s="56"/>
    </row>
    <row r="260" spans="1:62" x14ac:dyDescent="0.3">
      <c r="A260" s="44" t="s">
        <v>132</v>
      </c>
      <c r="B260" s="45">
        <v>1</v>
      </c>
      <c r="C260" s="46">
        <v>1</v>
      </c>
      <c r="D260" s="46">
        <v>1</v>
      </c>
      <c r="E260" s="46">
        <v>1</v>
      </c>
      <c r="F260" s="46">
        <v>1</v>
      </c>
      <c r="G260" s="46">
        <v>1</v>
      </c>
      <c r="H260" s="46">
        <v>1</v>
      </c>
      <c r="I260" s="46">
        <v>1</v>
      </c>
      <c r="J260" s="46">
        <v>2</v>
      </c>
      <c r="K260" s="46">
        <v>2</v>
      </c>
      <c r="L260" s="46">
        <v>2</v>
      </c>
      <c r="M260" s="46">
        <v>2</v>
      </c>
      <c r="N260" s="46">
        <v>2</v>
      </c>
      <c r="O260" s="46">
        <v>2</v>
      </c>
      <c r="P260" s="46">
        <v>2</v>
      </c>
      <c r="Q260" s="46">
        <v>1</v>
      </c>
      <c r="R260" s="46">
        <v>1</v>
      </c>
      <c r="S260" s="46">
        <v>1</v>
      </c>
      <c r="T260" s="46">
        <v>1</v>
      </c>
      <c r="U260" s="46">
        <v>1</v>
      </c>
      <c r="V260" s="46">
        <v>1</v>
      </c>
      <c r="W260" s="46">
        <v>1</v>
      </c>
      <c r="X260" s="46">
        <v>1</v>
      </c>
      <c r="Y260" s="46">
        <v>1</v>
      </c>
      <c r="Z260" s="46">
        <v>2</v>
      </c>
      <c r="AA260" s="46">
        <v>2</v>
      </c>
      <c r="AB260" s="46">
        <v>1</v>
      </c>
      <c r="AC260" s="46">
        <v>1</v>
      </c>
      <c r="AD260" s="46">
        <v>2</v>
      </c>
      <c r="AE260" s="46">
        <v>2</v>
      </c>
      <c r="AF260" s="46">
        <v>1</v>
      </c>
      <c r="AG260" s="46">
        <v>2</v>
      </c>
      <c r="AH260" s="46">
        <v>2</v>
      </c>
      <c r="AI260" s="46">
        <v>2</v>
      </c>
      <c r="AJ260" s="46">
        <v>2</v>
      </c>
      <c r="AK260" s="46">
        <v>2</v>
      </c>
      <c r="AL260" s="46">
        <v>1</v>
      </c>
      <c r="AM260" s="46">
        <v>1</v>
      </c>
      <c r="AN260" s="46">
        <v>1</v>
      </c>
      <c r="AO260" s="46">
        <v>2</v>
      </c>
      <c r="AP260" s="46">
        <v>2</v>
      </c>
      <c r="AQ260" s="46">
        <v>2</v>
      </c>
      <c r="AR260" s="46">
        <v>2</v>
      </c>
      <c r="AS260" s="46">
        <v>2</v>
      </c>
      <c r="AT260" s="46">
        <v>2</v>
      </c>
      <c r="AU260" s="46">
        <v>2</v>
      </c>
      <c r="AV260" s="46">
        <v>3</v>
      </c>
      <c r="AW260" s="46">
        <v>3</v>
      </c>
      <c r="AX260" s="46">
        <v>3</v>
      </c>
      <c r="AY260" s="46">
        <v>2</v>
      </c>
      <c r="AZ260" s="46">
        <v>2</v>
      </c>
      <c r="BA260" s="46">
        <v>2</v>
      </c>
      <c r="BB260" s="46">
        <v>2</v>
      </c>
      <c r="BC260" s="46">
        <v>2</v>
      </c>
      <c r="BD260" s="46">
        <v>2</v>
      </c>
      <c r="BE260" s="46">
        <v>2</v>
      </c>
      <c r="BF260" s="46">
        <v>2</v>
      </c>
      <c r="BG260" s="46">
        <v>2</v>
      </c>
      <c r="BH260" s="46">
        <v>2</v>
      </c>
      <c r="BI260" s="46">
        <v>2</v>
      </c>
      <c r="BJ260" s="47">
        <v>2</v>
      </c>
    </row>
    <row r="261" spans="1:62" x14ac:dyDescent="0.3">
      <c r="A261" s="1" t="s">
        <v>66</v>
      </c>
      <c r="B261" s="2" t="s">
        <v>1</v>
      </c>
      <c r="C261" s="3" t="s">
        <v>2</v>
      </c>
      <c r="D261" s="3" t="s">
        <v>3</v>
      </c>
      <c r="E261" s="3" t="s">
        <v>4</v>
      </c>
      <c r="F261" s="3" t="s">
        <v>5</v>
      </c>
      <c r="G261" s="3" t="s">
        <v>6</v>
      </c>
      <c r="H261" s="3" t="s">
        <v>7</v>
      </c>
      <c r="I261" s="3" t="s">
        <v>8</v>
      </c>
      <c r="J261" s="3" t="s">
        <v>9</v>
      </c>
      <c r="K261" s="3" t="s">
        <v>10</v>
      </c>
      <c r="L261" s="3" t="s">
        <v>11</v>
      </c>
      <c r="M261" s="3" t="s">
        <v>12</v>
      </c>
      <c r="N261" s="3" t="s">
        <v>13</v>
      </c>
      <c r="O261" s="3" t="s">
        <v>14</v>
      </c>
      <c r="P261" s="3" t="s">
        <v>15</v>
      </c>
      <c r="Q261" s="3" t="s">
        <v>16</v>
      </c>
      <c r="R261" s="3" t="s">
        <v>17</v>
      </c>
      <c r="S261" s="3" t="s">
        <v>18</v>
      </c>
      <c r="T261" s="3" t="s">
        <v>19</v>
      </c>
      <c r="U261" s="3" t="s">
        <v>20</v>
      </c>
      <c r="V261" s="3" t="s">
        <v>21</v>
      </c>
      <c r="W261" s="3" t="s">
        <v>22</v>
      </c>
      <c r="X261" s="3" t="s">
        <v>23</v>
      </c>
      <c r="Y261" s="3" t="s">
        <v>24</v>
      </c>
      <c r="Z261" s="3" t="s">
        <v>25</v>
      </c>
      <c r="AA261" s="3" t="s">
        <v>26</v>
      </c>
      <c r="AB261" s="3" t="s">
        <v>27</v>
      </c>
      <c r="AC261" s="3" t="s">
        <v>28</v>
      </c>
      <c r="AD261" s="3" t="s">
        <v>29</v>
      </c>
      <c r="AE261" s="3" t="s">
        <v>30</v>
      </c>
      <c r="AF261" s="3" t="s">
        <v>31</v>
      </c>
      <c r="AG261" s="3" t="s">
        <v>133</v>
      </c>
      <c r="AH261" s="3" t="s">
        <v>33</v>
      </c>
      <c r="AI261" s="3" t="s">
        <v>34</v>
      </c>
      <c r="AJ261" s="3" t="s">
        <v>35</v>
      </c>
      <c r="AK261" s="3" t="s">
        <v>36</v>
      </c>
      <c r="AL261" s="3" t="s">
        <v>37</v>
      </c>
      <c r="AM261" s="3" t="s">
        <v>38</v>
      </c>
      <c r="AN261" s="3" t="s">
        <v>39</v>
      </c>
      <c r="AO261" s="3" t="s">
        <v>40</v>
      </c>
      <c r="AP261" s="3" t="s">
        <v>41</v>
      </c>
      <c r="AQ261" s="3" t="s">
        <v>42</v>
      </c>
      <c r="AR261" s="3" t="s">
        <v>43</v>
      </c>
      <c r="AS261" s="3" t="s">
        <v>44</v>
      </c>
      <c r="AT261" s="3" t="s">
        <v>45</v>
      </c>
      <c r="AU261" s="3" t="s">
        <v>46</v>
      </c>
      <c r="AV261" s="3" t="s">
        <v>47</v>
      </c>
      <c r="AW261" s="3" t="s">
        <v>48</v>
      </c>
      <c r="AX261" s="3" t="s">
        <v>49</v>
      </c>
      <c r="AY261" s="3" t="s">
        <v>50</v>
      </c>
      <c r="AZ261" s="3" t="s">
        <v>51</v>
      </c>
      <c r="BA261" s="3" t="s">
        <v>52</v>
      </c>
      <c r="BB261" s="3" t="s">
        <v>53</v>
      </c>
      <c r="BC261" s="3" t="s">
        <v>54</v>
      </c>
      <c r="BD261" s="3" t="s">
        <v>55</v>
      </c>
      <c r="BE261" s="3" t="s">
        <v>56</v>
      </c>
      <c r="BF261" s="3" t="s">
        <v>57</v>
      </c>
      <c r="BG261" s="3" t="s">
        <v>58</v>
      </c>
      <c r="BH261" s="3" t="s">
        <v>59</v>
      </c>
      <c r="BI261" s="3" t="s">
        <v>60</v>
      </c>
      <c r="BJ261" s="4" t="s">
        <v>61</v>
      </c>
    </row>
    <row r="262" spans="1:62" x14ac:dyDescent="0.3">
      <c r="A262" s="5" t="s">
        <v>1</v>
      </c>
      <c r="B262" s="6">
        <f>IF(Distances!EA105&lt;&gt;0,ROUNDUP(B260+'Délai intermédiaire'!EA105/24,0),0)</f>
        <v>0</v>
      </c>
      <c r="C262" s="7">
        <f>IF(Distances!EB105&lt;&gt;0,ROUNDUP(C260+'Délai intermédiaire'!EB105/24,0),0)</f>
        <v>0</v>
      </c>
      <c r="D262" s="7">
        <f>IF(Distances!EC105&lt;&gt;0,ROUNDUP(D260+'Délai intermédiaire'!EC105/24,0),0)</f>
        <v>4</v>
      </c>
      <c r="E262" s="7">
        <f>IF(Distances!ED105&lt;&gt;0,ROUNDUP(E260+'Délai intermédiaire'!ED105/24,0),0)</f>
        <v>0</v>
      </c>
      <c r="F262" s="7">
        <f>IF(Distances!EE105&lt;&gt;0,ROUNDUP(F260+'Délai intermédiaire'!EE105/24,0),0)</f>
        <v>3</v>
      </c>
      <c r="G262" s="7">
        <f>IF(Distances!EF105&lt;&gt;0,ROUNDUP(G260+'Délai intermédiaire'!EF105/24,0),0)</f>
        <v>11</v>
      </c>
      <c r="H262" s="7">
        <f>IF(Distances!EG105&lt;&gt;0,ROUNDUP(H260+'Délai intermédiaire'!EG105/24,0),0)</f>
        <v>0</v>
      </c>
      <c r="I262" s="7">
        <f>IF(Distances!EH105&lt;&gt;0,ROUNDUP(I260+'Délai intermédiaire'!EH105/24,0),0)</f>
        <v>0</v>
      </c>
      <c r="J262" s="7">
        <f>IF(Distances!EI105&lt;&gt;0,ROUNDUP(J260+'Délai intermédiaire'!EI105/24,0),0)</f>
        <v>7</v>
      </c>
      <c r="K262" s="7">
        <f>IF(Distances!EJ105&lt;&gt;0,ROUNDUP(K260+'Délai intermédiaire'!EJ105/24,0),0)</f>
        <v>0</v>
      </c>
      <c r="L262" s="7">
        <f>IF(Distances!EK105&lt;&gt;0,ROUNDUP(L260+'Délai intermédiaire'!EK105/24,0),0)</f>
        <v>0</v>
      </c>
      <c r="M262" s="7">
        <f>IF(Distances!EL105&lt;&gt;0,ROUNDUP(M260+'Délai intermédiaire'!EL105/24,0),0)</f>
        <v>0</v>
      </c>
      <c r="N262" s="7">
        <f>IF(Distances!EM105&lt;&gt;0,ROUNDUP(N260+'Délai intermédiaire'!EM105/24,0),0)</f>
        <v>0</v>
      </c>
      <c r="O262" s="8">
        <f>IF(Distances!EN105&lt;&gt;0,ROUNDUP(O260+'Délai intermédiaire'!EN105/24,0),0)</f>
        <v>0</v>
      </c>
      <c r="P262" s="8">
        <f>IF(Distances!EO105&lt;&gt;0,ROUNDUP(P260+'Délai intermédiaire'!EO105/24,0),0)</f>
        <v>0</v>
      </c>
      <c r="Q262" s="8">
        <f>IF(Distances!EP105&lt;&gt;0,ROUNDUP(Q260+'Délai intermédiaire'!EP105/24,0),0)</f>
        <v>0</v>
      </c>
      <c r="R262" s="8">
        <f>IF(Distances!EQ105&lt;&gt;0,ROUNDUP(R260+'Délai intermédiaire'!EQ105/24,0),0)</f>
        <v>0</v>
      </c>
      <c r="S262" s="8">
        <f>IF(Distances!ER105&lt;&gt;0,ROUNDUP(S260+'Délai intermédiaire'!ER105/24,0),0)</f>
        <v>0</v>
      </c>
      <c r="T262" s="8">
        <f>IF(Distances!ES105&lt;&gt;0,ROUNDUP(T260+'Délai intermédiaire'!ES105/24,0),0)</f>
        <v>8</v>
      </c>
      <c r="U262" s="8">
        <f>IF(Distances!ET105&lt;&gt;0,ROUNDUP(U260+'Délai intermédiaire'!ET105/24,0),0)</f>
        <v>9</v>
      </c>
      <c r="V262" s="8">
        <f>IF(Distances!EU105&lt;&gt;0,ROUNDUP(V260+'Délai intermédiaire'!EU105/24,0),0)</f>
        <v>11</v>
      </c>
      <c r="W262" s="8">
        <f>IF(Distances!EV105&lt;&gt;0,ROUNDUP(W260+'Délai intermédiaire'!EV105/24,0),0)</f>
        <v>0</v>
      </c>
      <c r="X262" s="8">
        <f>IF(Distances!EW105&lt;&gt;0,ROUNDUP(X260+'Délai intermédiaire'!EW105/24,0),0)</f>
        <v>9</v>
      </c>
      <c r="Y262" s="8">
        <f>IF(Distances!EX105&lt;&gt;0,ROUNDUP(Y260+'Délai intermédiaire'!EX105/24,0),0)</f>
        <v>9</v>
      </c>
      <c r="Z262" s="8">
        <f>IF(Distances!EY105&lt;&gt;0,ROUNDUP(Z260+'Délai intermédiaire'!EY105/24,0),0)</f>
        <v>11</v>
      </c>
      <c r="AA262" s="8">
        <f>IF(Distances!EZ105&lt;&gt;0,ROUNDUP(AA260+'Délai intermédiaire'!EZ105/24,0),0)</f>
        <v>11</v>
      </c>
      <c r="AB262" s="8">
        <f>IF(Distances!FA105&lt;&gt;0,ROUNDUP(AB260+'Délai intermédiaire'!FA105/24,0),0)</f>
        <v>9</v>
      </c>
      <c r="AC262" s="8">
        <f>IF(Distances!FB105&lt;&gt;0,ROUNDUP(AC260+'Délai intermédiaire'!FB105/24,0),0)</f>
        <v>0</v>
      </c>
      <c r="AD262" s="8">
        <f>IF(Distances!FC105&lt;&gt;0,ROUNDUP(AD260+'Délai intermédiaire'!FC105/24,0),0)</f>
        <v>0</v>
      </c>
      <c r="AE262" s="8">
        <f>IF(Distances!FD105&lt;&gt;0,ROUNDUP(AE260+'Délai intermédiaire'!FD105/24,0),0)</f>
        <v>13</v>
      </c>
      <c r="AF262" s="8">
        <f>IF(Distances!FE105&lt;&gt;0,ROUNDUP(AF260+'Délai intermédiaire'!FE105/24,0),0)</f>
        <v>12</v>
      </c>
      <c r="AG262" s="8">
        <f>IF(Distances!FF105&lt;&gt;0,ROUNDUP(AG260+'Délai intermédiaire'!FF105/24,0),0)</f>
        <v>12</v>
      </c>
      <c r="AH262" s="8">
        <f>IF(Distances!FG105&lt;&gt;0,ROUNDUP(AH260+'Délai intermédiaire'!FG105/24,0),0)</f>
        <v>18</v>
      </c>
      <c r="AI262" s="8">
        <f>IF(Distances!FH105&lt;&gt;0,ROUNDUP(AI260+'Délai intermédiaire'!FH105/24,0),0)</f>
        <v>0</v>
      </c>
      <c r="AJ262" s="8">
        <f>IF(Distances!FI105&lt;&gt;0,ROUNDUP(AJ260+'Délai intermédiaire'!FI105/24,0),0)</f>
        <v>18</v>
      </c>
      <c r="AK262" s="8">
        <f>IF(Distances!FJ105&lt;&gt;0,ROUNDUP(AK260+'Délai intermédiaire'!FJ105/24,0),0)</f>
        <v>0</v>
      </c>
      <c r="AL262" s="8">
        <f>IF(Distances!FK105&lt;&gt;0,ROUNDUP(AL260+'Délai intermédiaire'!FK105/24,0),0)</f>
        <v>0</v>
      </c>
      <c r="AM262" s="8">
        <f>IF(Distances!FL105&lt;&gt;0,ROUNDUP(AM260+'Délai intermédiaire'!FL105/24,0),0)</f>
        <v>0</v>
      </c>
      <c r="AN262" s="8">
        <f>IF(Distances!FM105&lt;&gt;0,ROUNDUP(AN260+'Délai intermédiaire'!FM105/24,0),0)</f>
        <v>18</v>
      </c>
      <c r="AO262" s="8">
        <f>IF(Distances!FN105&lt;&gt;0,ROUNDUP(AO260+'Délai intermédiaire'!FN105/24,0),0)</f>
        <v>0</v>
      </c>
      <c r="AP262" s="8">
        <f>IF(Distances!FO105&lt;&gt;0,ROUNDUP(AP260+'Délai intermédiaire'!FO105/24,0),0)</f>
        <v>0</v>
      </c>
      <c r="AQ262" s="8">
        <f>IF(Distances!FP105&lt;&gt;0,ROUNDUP(AQ260+'Délai intermédiaire'!FP105/24,0),0)</f>
        <v>0</v>
      </c>
      <c r="AR262" s="8">
        <f>IF(Distances!FQ105&lt;&gt;0,ROUNDUP(AR260+'Délai intermédiaire'!FQ105/24,0),0)</f>
        <v>0</v>
      </c>
      <c r="AS262" s="8">
        <f>IF(Distances!FR105&lt;&gt;0,ROUNDUP(AS260+'Délai intermédiaire'!FR105/24,0),0)</f>
        <v>0</v>
      </c>
      <c r="AT262" s="8">
        <f>IF(Distances!FS105&lt;&gt;0,ROUNDUP(AT260+'Délai intermédiaire'!FS105/24,0),0)</f>
        <v>0</v>
      </c>
      <c r="AU262" s="8">
        <f>IF(Distances!FT105&lt;&gt;0,ROUNDUP(AU260+'Délai intermédiaire'!FT105/24,0),0)</f>
        <v>19</v>
      </c>
      <c r="AV262" s="8">
        <f>IF(Distances!FU105&lt;&gt;0,ROUNDUP(AV260+'Délai intermédiaire'!FU105/24,0),0)</f>
        <v>13</v>
      </c>
      <c r="AW262" s="8">
        <f>IF(Distances!FV105&lt;&gt;0,ROUNDUP(AW260+'Délai intermédiaire'!FV105/24,0),0)</f>
        <v>15</v>
      </c>
      <c r="AX262" s="8">
        <f>IF(Distances!FW105&lt;&gt;0,ROUNDUP(AX260+'Délai intermédiaire'!FW105/24,0),0)</f>
        <v>0</v>
      </c>
      <c r="AY262" s="8">
        <f>IF(Distances!FX105&lt;&gt;0,ROUNDUP(AY260+'Délai intermédiaire'!FX105/24,0),0)</f>
        <v>0</v>
      </c>
      <c r="AZ262" s="8">
        <f>IF(Distances!FY105&lt;&gt;0,ROUNDUP(AZ260+'Délai intermédiaire'!FY105/24,0),0)</f>
        <v>18</v>
      </c>
      <c r="BA262" s="8">
        <f>IF(Distances!FZ105&lt;&gt;0,ROUNDUP(BA260+'Délai intermédiaire'!FZ105/24,0),0)</f>
        <v>0</v>
      </c>
      <c r="BB262" s="8">
        <f>IF(Distances!GA105&lt;&gt;0,ROUNDUP(BB260+'Délai intermédiaire'!GA105/24,0),0)</f>
        <v>0</v>
      </c>
      <c r="BC262" s="8">
        <f>IF(Distances!GB105&lt;&gt;0,ROUNDUP(BC260+'Délai intermédiaire'!GB105/24,0),0)</f>
        <v>0</v>
      </c>
      <c r="BD262" s="8">
        <f>IF(Distances!GC105&lt;&gt;0,ROUNDUP(BD260+'Délai intermédiaire'!GC105/24,0),0)</f>
        <v>20</v>
      </c>
      <c r="BE262" s="8">
        <f>IF(Distances!GD105&lt;&gt;0,ROUNDUP(BE260+'Délai intermédiaire'!GD105/24,0),0)</f>
        <v>0</v>
      </c>
      <c r="BF262" s="8">
        <f>IF(Distances!GE105&lt;&gt;0,ROUNDUP(BF260+'Délai intermédiaire'!GE105/24,0),0)</f>
        <v>6</v>
      </c>
      <c r="BG262" s="8">
        <f>IF(Distances!GF105&lt;&gt;0,ROUNDUP(BG260+'Délai intermédiaire'!GF105/24,0),0)</f>
        <v>0</v>
      </c>
      <c r="BH262" s="8">
        <f>IF(Distances!GG105&lt;&gt;0,ROUNDUP(BH260+'Délai intermédiaire'!GG105/24,0),0)</f>
        <v>0</v>
      </c>
      <c r="BI262" s="8">
        <f>IF(Distances!GH105&lt;&gt;0,ROUNDUP(BI260+'Délai intermédiaire'!GH105/24,0),0)</f>
        <v>0</v>
      </c>
      <c r="BJ262" s="9">
        <f>IF(Distances!GI105&lt;&gt;0,ROUNDUP(BJ260+'Délai intermédiaire'!GI105/24,0),0)</f>
        <v>0</v>
      </c>
    </row>
    <row r="263" spans="1:62" x14ac:dyDescent="0.3">
      <c r="A263" s="10" t="s">
        <v>2</v>
      </c>
      <c r="B263" s="11">
        <f>IF(Distances!EA106&lt;&gt;0,ROUNDUP(B260+'Délai intermédiaire'!EA106/24,0),0)</f>
        <v>0</v>
      </c>
      <c r="C263" s="12">
        <f>IF(Distances!EB106&lt;&gt;0,ROUNDUP(C260+'Délai intermédiaire'!EB106/24,0),0)</f>
        <v>0</v>
      </c>
      <c r="D263" s="13">
        <f>IF(Distances!EC106&lt;&gt;0,ROUNDUP(D260+'Délai intermédiaire'!EC106/24,0),0)</f>
        <v>6</v>
      </c>
      <c r="E263" s="13">
        <f>IF(Distances!ED106&lt;&gt;0,ROUNDUP(E260+'Délai intermédiaire'!ED106/24,0),0)</f>
        <v>0</v>
      </c>
      <c r="F263" s="13">
        <f>IF(Distances!EE106&lt;&gt;0,ROUNDUP(F260+'Délai intermédiaire'!EE106/24,0),0)</f>
        <v>4</v>
      </c>
      <c r="G263" s="13">
        <f>IF(Distances!EF106&lt;&gt;0,ROUNDUP(G260+'Délai intermédiaire'!EF106/24,0),0)</f>
        <v>11</v>
      </c>
      <c r="H263" s="13">
        <f>IF(Distances!EG106&lt;&gt;0,ROUNDUP(H260+'Délai intermédiaire'!EG106/24,0),0)</f>
        <v>0</v>
      </c>
      <c r="I263" s="13">
        <f>IF(Distances!EH106&lt;&gt;0,ROUNDUP(I260+'Délai intermédiaire'!EH106/24,0),0)</f>
        <v>0</v>
      </c>
      <c r="J263" s="13">
        <f>IF(Distances!EI106&lt;&gt;0,ROUNDUP(J260+'Délai intermédiaire'!EI106/24,0),0)</f>
        <v>8</v>
      </c>
      <c r="K263" s="13">
        <f>IF(Distances!EJ106&lt;&gt;0,ROUNDUP(K260+'Délai intermédiaire'!EJ106/24,0),0)</f>
        <v>0</v>
      </c>
      <c r="L263" s="13">
        <f>IF(Distances!EK106&lt;&gt;0,ROUNDUP(L260+'Délai intermédiaire'!EK106/24,0),0)</f>
        <v>0</v>
      </c>
      <c r="M263" s="13">
        <f>IF(Distances!EL106&lt;&gt;0,ROUNDUP(M260+'Délai intermédiaire'!EL106/24,0),0)</f>
        <v>0</v>
      </c>
      <c r="N263" s="13">
        <f>IF(Distances!EM106&lt;&gt;0,ROUNDUP(N260+'Délai intermédiaire'!EM106/24,0),0)</f>
        <v>0</v>
      </c>
      <c r="O263" s="14">
        <f>IF(Distances!EN106&lt;&gt;0,ROUNDUP(O260+'Délai intermédiaire'!EN106/24,0),0)</f>
        <v>0</v>
      </c>
      <c r="P263" s="14">
        <f>IF(Distances!EO106&lt;&gt;0,ROUNDUP(P260+'Délai intermédiaire'!EO106/24,0),0)</f>
        <v>0</v>
      </c>
      <c r="Q263" s="14">
        <f>IF(Distances!EP106&lt;&gt;0,ROUNDUP(Q260+'Délai intermédiaire'!EP106/24,0),0)</f>
        <v>0</v>
      </c>
      <c r="R263" s="14">
        <f>IF(Distances!EQ106&lt;&gt;0,ROUNDUP(R260+'Délai intermédiaire'!EQ106/24,0),0)</f>
        <v>0</v>
      </c>
      <c r="S263" s="14">
        <f>IF(Distances!ER106&lt;&gt;0,ROUNDUP(S260+'Délai intermédiaire'!ER106/24,0),0)</f>
        <v>0</v>
      </c>
      <c r="T263" s="14">
        <f>IF(Distances!ES106&lt;&gt;0,ROUNDUP(T260+'Délai intermédiaire'!ES106/24,0),0)</f>
        <v>10</v>
      </c>
      <c r="U263" s="14">
        <f>IF(Distances!ET106&lt;&gt;0,ROUNDUP(U260+'Délai intermédiaire'!ET106/24,0),0)</f>
        <v>11</v>
      </c>
      <c r="V263" s="14">
        <f>IF(Distances!EU106&lt;&gt;0,ROUNDUP(V260+'Délai intermédiaire'!EU106/24,0),0)</f>
        <v>13</v>
      </c>
      <c r="W263" s="14">
        <f>IF(Distances!EV106&lt;&gt;0,ROUNDUP(W260+'Délai intermédiaire'!EV106/24,0),0)</f>
        <v>0</v>
      </c>
      <c r="X263" s="14">
        <f>IF(Distances!EW106&lt;&gt;0,ROUNDUP(X260+'Délai intermédiaire'!EW106/24,0),0)</f>
        <v>11</v>
      </c>
      <c r="Y263" s="14">
        <f>IF(Distances!EX106&lt;&gt;0,ROUNDUP(Y260+'Délai intermédiaire'!EX106/24,0),0)</f>
        <v>10</v>
      </c>
      <c r="Z263" s="14">
        <f>IF(Distances!EY106&lt;&gt;0,ROUNDUP(Z260+'Délai intermédiaire'!EY106/24,0),0)</f>
        <v>12</v>
      </c>
      <c r="AA263" s="14">
        <f>IF(Distances!EZ106&lt;&gt;0,ROUNDUP(AA260+'Délai intermédiaire'!EZ106/24,0),0)</f>
        <v>12</v>
      </c>
      <c r="AB263" s="14">
        <f>IF(Distances!FA106&lt;&gt;0,ROUNDUP(AB260+'Délai intermédiaire'!FA106/24,0),0)</f>
        <v>10</v>
      </c>
      <c r="AC263" s="14">
        <f>IF(Distances!FB106&lt;&gt;0,ROUNDUP(AC260+'Délai intermédiaire'!FB106/24,0),0)</f>
        <v>0</v>
      </c>
      <c r="AD263" s="14">
        <f>IF(Distances!FC106&lt;&gt;0,ROUNDUP(AD260+'Délai intermédiaire'!FC106/24,0),0)</f>
        <v>0</v>
      </c>
      <c r="AE263" s="14">
        <f>IF(Distances!FD106&lt;&gt;0,ROUNDUP(AE260+'Délai intermédiaire'!FD106/24,0),0)</f>
        <v>14</v>
      </c>
      <c r="AF263" s="14">
        <f>IF(Distances!FE106&lt;&gt;0,ROUNDUP(AF260+'Délai intermédiaire'!FE106/24,0),0)</f>
        <v>13</v>
      </c>
      <c r="AG263" s="14">
        <f>IF(Distances!FF106&lt;&gt;0,ROUNDUP(AG260+'Délai intermédiaire'!FF106/24,0),0)</f>
        <v>14</v>
      </c>
      <c r="AH263" s="14">
        <f>IF(Distances!FG106&lt;&gt;0,ROUNDUP(AH260+'Délai intermédiaire'!FG106/24,0),0)</f>
        <v>20</v>
      </c>
      <c r="AI263" s="14">
        <f>IF(Distances!FH106&lt;&gt;0,ROUNDUP(AI260+'Délai intermédiaire'!FH106/24,0),0)</f>
        <v>0</v>
      </c>
      <c r="AJ263" s="14">
        <f>IF(Distances!FI106&lt;&gt;0,ROUNDUP(AJ260+'Délai intermédiaire'!FI106/24,0),0)</f>
        <v>20</v>
      </c>
      <c r="AK263" s="14">
        <f>IF(Distances!FJ106&lt;&gt;0,ROUNDUP(AK260+'Délai intermédiaire'!FJ106/24,0),0)</f>
        <v>0</v>
      </c>
      <c r="AL263" s="14">
        <f>IF(Distances!FK106&lt;&gt;0,ROUNDUP(AL260+'Délai intermédiaire'!FK106/24,0),0)</f>
        <v>0</v>
      </c>
      <c r="AM263" s="14">
        <f>IF(Distances!FL106&lt;&gt;0,ROUNDUP(AM260+'Délai intermédiaire'!FL106/24,0),0)</f>
        <v>0</v>
      </c>
      <c r="AN263" s="14">
        <f>IF(Distances!FM106&lt;&gt;0,ROUNDUP(AN260+'Délai intermédiaire'!FM106/24,0),0)</f>
        <v>18</v>
      </c>
      <c r="AO263" s="14">
        <f>IF(Distances!FN106&lt;&gt;0,ROUNDUP(AO260+'Délai intermédiaire'!FN106/24,0),0)</f>
        <v>0</v>
      </c>
      <c r="AP263" s="14">
        <f>IF(Distances!FO106&lt;&gt;0,ROUNDUP(AP260+'Délai intermédiaire'!FO106/24,0),0)</f>
        <v>0</v>
      </c>
      <c r="AQ263" s="14">
        <f>IF(Distances!FP106&lt;&gt;0,ROUNDUP(AQ260+'Délai intermédiaire'!FP106/24,0),0)</f>
        <v>0</v>
      </c>
      <c r="AR263" s="14">
        <f>IF(Distances!FQ106&lt;&gt;0,ROUNDUP(AR260+'Délai intermédiaire'!FQ106/24,0),0)</f>
        <v>0</v>
      </c>
      <c r="AS263" s="14">
        <f>IF(Distances!FR106&lt;&gt;0,ROUNDUP(AS260+'Délai intermédiaire'!FR106/24,0),0)</f>
        <v>0</v>
      </c>
      <c r="AT263" s="14">
        <f>IF(Distances!FS106&lt;&gt;0,ROUNDUP(AT260+'Délai intermédiaire'!FS106/24,0),0)</f>
        <v>0</v>
      </c>
      <c r="AU263" s="14">
        <f>IF(Distances!FT106&lt;&gt;0,ROUNDUP(AU260+'Délai intermédiaire'!FT106/24,0),0)</f>
        <v>20</v>
      </c>
      <c r="AV263" s="14">
        <f>IF(Distances!FU106&lt;&gt;0,ROUNDUP(AV260+'Délai intermédiaire'!FU106/24,0),0)</f>
        <v>14</v>
      </c>
      <c r="AW263" s="14">
        <f>IF(Distances!FV106&lt;&gt;0,ROUNDUP(AW260+'Délai intermédiaire'!FV106/24,0),0)</f>
        <v>16</v>
      </c>
      <c r="AX263" s="14">
        <f>IF(Distances!FW106&lt;&gt;0,ROUNDUP(AX260+'Délai intermédiaire'!FW106/24,0),0)</f>
        <v>0</v>
      </c>
      <c r="AY263" s="14">
        <f>IF(Distances!FX106&lt;&gt;0,ROUNDUP(AY260+'Délai intermédiaire'!FX106/24,0),0)</f>
        <v>0</v>
      </c>
      <c r="AZ263" s="14">
        <f>IF(Distances!FY106&lt;&gt;0,ROUNDUP(AZ260+'Délai intermédiaire'!FY106/24,0),0)</f>
        <v>19</v>
      </c>
      <c r="BA263" s="14">
        <f>IF(Distances!FZ106&lt;&gt;0,ROUNDUP(BA260+'Délai intermédiaire'!FZ106/24,0),0)</f>
        <v>0</v>
      </c>
      <c r="BB263" s="14">
        <f>IF(Distances!GA106&lt;&gt;0,ROUNDUP(BB260+'Délai intermédiaire'!GA106/24,0),0)</f>
        <v>0</v>
      </c>
      <c r="BC263" s="14">
        <f>IF(Distances!GB106&lt;&gt;0,ROUNDUP(BC260+'Délai intermédiaire'!GB106/24,0),0)</f>
        <v>0</v>
      </c>
      <c r="BD263" s="14">
        <f>IF(Distances!GC106&lt;&gt;0,ROUNDUP(BD260+'Délai intermédiaire'!GC106/24,0),0)</f>
        <v>20</v>
      </c>
      <c r="BE263" s="14">
        <f>IF(Distances!GD106&lt;&gt;0,ROUNDUP(BE260+'Délai intermédiaire'!GD106/24,0),0)</f>
        <v>0</v>
      </c>
      <c r="BF263" s="14">
        <f>IF(Distances!GE106&lt;&gt;0,ROUNDUP(BF260+'Délai intermédiaire'!GE106/24,0),0)</f>
        <v>15</v>
      </c>
      <c r="BG263" s="14">
        <f>IF(Distances!GF106&lt;&gt;0,ROUNDUP(BG260+'Délai intermédiaire'!GF106/24,0),0)</f>
        <v>0</v>
      </c>
      <c r="BH263" s="14">
        <f>IF(Distances!GG106&lt;&gt;0,ROUNDUP(BH260+'Délai intermédiaire'!GG106/24,0),0)</f>
        <v>0</v>
      </c>
      <c r="BI263" s="14">
        <f>IF(Distances!GH106&lt;&gt;0,ROUNDUP(BI260+'Délai intermédiaire'!GH106/24,0),0)</f>
        <v>0</v>
      </c>
      <c r="BJ263" s="15">
        <f>IF(Distances!GI106&lt;&gt;0,ROUNDUP(BJ260+'Délai intermédiaire'!GI106/24,0),0)</f>
        <v>0</v>
      </c>
    </row>
    <row r="264" spans="1:62" x14ac:dyDescent="0.3">
      <c r="A264" s="10" t="s">
        <v>3</v>
      </c>
      <c r="B264" s="11">
        <f>IF(Distances!EA107&lt;&gt;0,ROUNDUP(B260+'Délai intermédiaire'!EA107/24,0),0)</f>
        <v>4</v>
      </c>
      <c r="C264" s="13">
        <f>IF(Distances!EB107&lt;&gt;0,ROUNDUP(C260+'Délai intermédiaire'!EB107/24,0),0)</f>
        <v>6</v>
      </c>
      <c r="D264" s="12">
        <f>IF(Distances!EC107&lt;&gt;0,ROUNDUP(D260+'Délai intermédiaire'!EC107/24,0),0)</f>
        <v>0</v>
      </c>
      <c r="E264" s="13">
        <f>IF(Distances!ED107&lt;&gt;0,ROUNDUP(E260+'Délai intermédiaire'!ED107/24,0),0)</f>
        <v>7</v>
      </c>
      <c r="F264" s="13">
        <f>IF(Distances!EE107&lt;&gt;0,ROUNDUP(F260+'Délai intermédiaire'!EE107/24,0),0)</f>
        <v>3</v>
      </c>
      <c r="G264" s="13">
        <f>IF(Distances!EF107&lt;&gt;0,ROUNDUP(G260+'Délai intermédiaire'!EF107/24,0),0)</f>
        <v>13</v>
      </c>
      <c r="H264" s="13">
        <f>IF(Distances!EG107&lt;&gt;0,ROUNDUP(H260+'Délai intermédiaire'!EG107/24,0),0)</f>
        <v>13</v>
      </c>
      <c r="I264" s="13">
        <f>IF(Distances!EH107&lt;&gt;0,ROUNDUP(I260+'Délai intermédiaire'!EH107/24,0),0)</f>
        <v>11</v>
      </c>
      <c r="J264" s="13">
        <f>IF(Distances!EI107&lt;&gt;0,ROUNDUP(J260+'Délai intermédiaire'!EI107/24,0),0)</f>
        <v>6</v>
      </c>
      <c r="K264" s="13">
        <f>IF(Distances!EJ107&lt;&gt;0,ROUNDUP(K260+'Délai intermédiaire'!EJ107/24,0),0)</f>
        <v>6</v>
      </c>
      <c r="L264" s="13">
        <f>IF(Distances!EK107&lt;&gt;0,ROUNDUP(L260+'Délai intermédiaire'!EK107/24,0),0)</f>
        <v>14</v>
      </c>
      <c r="M264" s="13">
        <f>IF(Distances!EL107&lt;&gt;0,ROUNDUP(M260+'Délai intermédiaire'!EL107/24,0),0)</f>
        <v>14</v>
      </c>
      <c r="N264" s="13">
        <f>IF(Distances!EM107&lt;&gt;0,ROUNDUP(N260+'Délai intermédiaire'!EM107/24,0),0)</f>
        <v>7</v>
      </c>
      <c r="O264" s="14">
        <f>IF(Distances!EN107&lt;&gt;0,ROUNDUP(O260+'Délai intermédiaire'!EN107/24,0),0)</f>
        <v>12</v>
      </c>
      <c r="P264" s="14">
        <f>IF(Distances!EO107&lt;&gt;0,ROUNDUP(P260+'Délai intermédiaire'!EO107/24,0),0)</f>
        <v>10</v>
      </c>
      <c r="Q264" s="14">
        <f>IF(Distances!EP107&lt;&gt;0,ROUNDUP(Q260+'Délai intermédiaire'!EP107/24,0),0)</f>
        <v>8</v>
      </c>
      <c r="R264" s="14">
        <f>IF(Distances!EQ107&lt;&gt;0,ROUNDUP(R260+'Délai intermédiaire'!EQ107/24,0),0)</f>
        <v>8</v>
      </c>
      <c r="S264" s="14">
        <f>IF(Distances!ER107&lt;&gt;0,ROUNDUP(S260+'Délai intermédiaire'!ER107/24,0),0)</f>
        <v>8</v>
      </c>
      <c r="T264" s="14">
        <f>IF(Distances!ES107&lt;&gt;0,ROUNDUP(T260+'Délai intermédiaire'!ES107/24,0),0)</f>
        <v>8</v>
      </c>
      <c r="U264" s="14">
        <f>IF(Distances!ET107&lt;&gt;0,ROUNDUP(U260+'Délai intermédiaire'!ET107/24,0),0)</f>
        <v>9</v>
      </c>
      <c r="V264" s="14">
        <f>IF(Distances!EU107&lt;&gt;0,ROUNDUP(V260+'Délai intermédiaire'!EU107/24,0),0)</f>
        <v>11</v>
      </c>
      <c r="W264" s="14">
        <f>IF(Distances!EV107&lt;&gt;0,ROUNDUP(W260+'Délai intermédiaire'!EV107/24,0),0)</f>
        <v>9</v>
      </c>
      <c r="X264" s="14">
        <f>IF(Distances!EW107&lt;&gt;0,ROUNDUP(X260+'Délai intermédiaire'!EW107/24,0),0)</f>
        <v>9</v>
      </c>
      <c r="Y264" s="14">
        <f>IF(Distances!EX107&lt;&gt;0,ROUNDUP(Y260+'Délai intermédiaire'!EX107/24,0),0)</f>
        <v>9</v>
      </c>
      <c r="Z264" s="14">
        <f>IF(Distances!EY107&lt;&gt;0,ROUNDUP(Z260+'Délai intermédiaire'!EY107/24,0),0)</f>
        <v>11</v>
      </c>
      <c r="AA264" s="14">
        <f>IF(Distances!EZ107&lt;&gt;0,ROUNDUP(AA260+'Délai intermédiaire'!EZ107/24,0),0)</f>
        <v>11</v>
      </c>
      <c r="AB264" s="14">
        <f>IF(Distances!FA107&lt;&gt;0,ROUNDUP(AB260+'Délai intermédiaire'!FA107/24,0),0)</f>
        <v>9</v>
      </c>
      <c r="AC264" s="14">
        <f>IF(Distances!FB107&lt;&gt;0,ROUNDUP(AC260+'Délai intermédiaire'!FB107/24,0),0)</f>
        <v>9</v>
      </c>
      <c r="AD264" s="14">
        <f>IF(Distances!FC107&lt;&gt;0,ROUNDUP(AD260+'Délai intermédiaire'!FC107/24,0),0)</f>
        <v>10</v>
      </c>
      <c r="AE264" s="14">
        <f>IF(Distances!FD107&lt;&gt;0,ROUNDUP(AE260+'Délai intermédiaire'!FD107/24,0),0)</f>
        <v>13</v>
      </c>
      <c r="AF264" s="14">
        <f>IF(Distances!FE107&lt;&gt;0,ROUNDUP(AF260+'Délai intermédiaire'!FE107/24,0),0)</f>
        <v>12</v>
      </c>
      <c r="AG264" s="14">
        <f>IF(Distances!FF107&lt;&gt;0,ROUNDUP(AG260+'Délai intermédiaire'!FF107/24,0),0)</f>
        <v>12</v>
      </c>
      <c r="AH264" s="14">
        <f>IF(Distances!FG107&lt;&gt;0,ROUNDUP(AH260+'Délai intermédiaire'!FG107/24,0),0)</f>
        <v>18</v>
      </c>
      <c r="AI264" s="14">
        <f>IF(Distances!FH107&lt;&gt;0,ROUNDUP(AI260+'Délai intermédiaire'!FH107/24,0),0)</f>
        <v>21</v>
      </c>
      <c r="AJ264" s="14">
        <f>IF(Distances!FI107&lt;&gt;0,ROUNDUP(AJ260+'Délai intermédiaire'!FI107/24,0),0)</f>
        <v>18</v>
      </c>
      <c r="AK264" s="14">
        <f>IF(Distances!FJ107&lt;&gt;0,ROUNDUP(AK260+'Délai intermédiaire'!FJ107/24,0),0)</f>
        <v>20</v>
      </c>
      <c r="AL264" s="14">
        <f>IF(Distances!FK107&lt;&gt;0,ROUNDUP(AL260+'Délai intermédiaire'!FK107/24,0),0)</f>
        <v>20</v>
      </c>
      <c r="AM264" s="14">
        <f>IF(Distances!FL107&lt;&gt;0,ROUNDUP(AM260+'Délai intermédiaire'!FL107/24,0),0)</f>
        <v>20</v>
      </c>
      <c r="AN264" s="14">
        <f>IF(Distances!FM107&lt;&gt;0,ROUNDUP(AN260+'Délai intermédiaire'!FM107/24,0),0)</f>
        <v>20</v>
      </c>
      <c r="AO264" s="14">
        <f>IF(Distances!FN107&lt;&gt;0,ROUNDUP(AO260+'Délai intermédiaire'!FN107/24,0),0)</f>
        <v>21</v>
      </c>
      <c r="AP264" s="14">
        <f>IF(Distances!FO107&lt;&gt;0,ROUNDUP(AP260+'Délai intermédiaire'!FO107/24,0),0)</f>
        <v>20</v>
      </c>
      <c r="AQ264" s="14">
        <f>IF(Distances!FP107&lt;&gt;0,ROUNDUP(AQ260+'Délai intermédiaire'!FP107/24,0),0)</f>
        <v>23</v>
      </c>
      <c r="AR264" s="14">
        <f>IF(Distances!FQ107&lt;&gt;0,ROUNDUP(AR260+'Délai intermédiaire'!FQ107/24,0),0)</f>
        <v>18</v>
      </c>
      <c r="AS264" s="14">
        <f>IF(Distances!FR107&lt;&gt;0,ROUNDUP(AS260+'Délai intermédiaire'!FR107/24,0),0)</f>
        <v>18</v>
      </c>
      <c r="AT264" s="14">
        <f>IF(Distances!FS107&lt;&gt;0,ROUNDUP(AT260+'Délai intermédiaire'!FS107/24,0),0)</f>
        <v>18</v>
      </c>
      <c r="AU264" s="14">
        <f>IF(Distances!FT107&lt;&gt;0,ROUNDUP(AU260+'Délai intermédiaire'!FT107/24,0),0)</f>
        <v>22</v>
      </c>
      <c r="AV264" s="14">
        <f>IF(Distances!FU107&lt;&gt;0,ROUNDUP(AV260+'Délai intermédiaire'!FU107/24,0),0)</f>
        <v>13</v>
      </c>
      <c r="AW264" s="14">
        <f>IF(Distances!FV107&lt;&gt;0,ROUNDUP(AW260+'Délai intermédiaire'!FV107/24,0),0)</f>
        <v>15</v>
      </c>
      <c r="AX264" s="14">
        <f>IF(Distances!FW107&lt;&gt;0,ROUNDUP(AX260+'Délai intermédiaire'!FW107/24,0),0)</f>
        <v>22</v>
      </c>
      <c r="AY264" s="14">
        <f>IF(Distances!FX107&lt;&gt;0,ROUNDUP(AY260+'Délai intermédiaire'!FX107/24,0),0)</f>
        <v>4</v>
      </c>
      <c r="AZ264" s="14">
        <f>IF(Distances!FY107&lt;&gt;0,ROUNDUP(AZ260+'Délai intermédiaire'!FY107/24,0),0)</f>
        <v>18</v>
      </c>
      <c r="BA264" s="14">
        <f>IF(Distances!FZ107&lt;&gt;0,ROUNDUP(BA260+'Délai intermédiaire'!FZ107/24,0),0)</f>
        <v>23</v>
      </c>
      <c r="BB264" s="14">
        <f>IF(Distances!GA107&lt;&gt;0,ROUNDUP(BB260+'Délai intermédiaire'!GA107/24,0),0)</f>
        <v>11</v>
      </c>
      <c r="BC264" s="14">
        <f>IF(Distances!GB107&lt;&gt;0,ROUNDUP(BC260+'Délai intermédiaire'!GB107/24,0),0)</f>
        <v>23</v>
      </c>
      <c r="BD264" s="14">
        <f>IF(Distances!GC107&lt;&gt;0,ROUNDUP(BD260+'Délai intermédiaire'!GC107/24,0),0)</f>
        <v>22</v>
      </c>
      <c r="BE264" s="14">
        <f>IF(Distances!GD107&lt;&gt;0,ROUNDUP(BE260+'Délai intermédiaire'!GD107/24,0),0)</f>
        <v>22</v>
      </c>
      <c r="BF264" s="14">
        <f>IF(Distances!GE107&lt;&gt;0,ROUNDUP(BF260+'Délai intermédiaire'!GE107/24,0),0)</f>
        <v>14</v>
      </c>
      <c r="BG264" s="14">
        <f>IF(Distances!GF107&lt;&gt;0,ROUNDUP(BG260+'Délai intermédiaire'!GF107/24,0),0)</f>
        <v>12</v>
      </c>
      <c r="BH264" s="14">
        <f>IF(Distances!GG107&lt;&gt;0,ROUNDUP(BH260+'Délai intermédiaire'!GG107/24,0),0)</f>
        <v>8</v>
      </c>
      <c r="BI264" s="14">
        <f>IF(Distances!GH107&lt;&gt;0,ROUNDUP(BI260+'Délai intermédiaire'!GH107/24,0),0)</f>
        <v>12</v>
      </c>
      <c r="BJ264" s="15">
        <f>IF(Distances!GI107&lt;&gt;0,ROUNDUP(BJ260+'Délai intermédiaire'!GI107/24,0),0)</f>
        <v>12</v>
      </c>
    </row>
    <row r="265" spans="1:62" x14ac:dyDescent="0.3">
      <c r="A265" s="10" t="s">
        <v>4</v>
      </c>
      <c r="B265" s="11">
        <f>IF(Distances!EA108&lt;&gt;0,ROUNDUP(B260+'Délai intermédiaire'!EA108/24,0),0)</f>
        <v>0</v>
      </c>
      <c r="C265" s="13">
        <f>IF(Distances!EB108&lt;&gt;0,ROUNDUP(C260+'Délai intermédiaire'!EB108/24,0),0)</f>
        <v>0</v>
      </c>
      <c r="D265" s="13">
        <f>IF(Distances!EC108&lt;&gt;0,ROUNDUP(D260+'Délai intermédiaire'!EC108/24,0),0)</f>
        <v>7</v>
      </c>
      <c r="E265" s="12">
        <f>IF(Distances!ED108&lt;&gt;0,ROUNDUP(E260+'Délai intermédiaire'!ED108/24,0),0)</f>
        <v>0</v>
      </c>
      <c r="F265" s="13">
        <f>IF(Distances!EE108&lt;&gt;0,ROUNDUP(F260+'Délai intermédiaire'!EE108/24,0),0)</f>
        <v>7</v>
      </c>
      <c r="G265" s="13">
        <f>IF(Distances!EF108&lt;&gt;0,ROUNDUP(G260+'Délai intermédiaire'!EF108/24,0),0)</f>
        <v>16</v>
      </c>
      <c r="H265" s="13">
        <f>IF(Distances!EG108&lt;&gt;0,ROUNDUP(H260+'Délai intermédiaire'!EG108/24,0),0)</f>
        <v>0</v>
      </c>
      <c r="I265" s="13">
        <f>IF(Distances!EH108&lt;&gt;0,ROUNDUP(I260+'Délai intermédiaire'!EH108/24,0),0)</f>
        <v>0</v>
      </c>
      <c r="J265" s="13">
        <f>IF(Distances!EI108&lt;&gt;0,ROUNDUP(J260+'Délai intermédiaire'!EI108/24,0),0)</f>
        <v>5</v>
      </c>
      <c r="K265" s="13">
        <f>IF(Distances!EJ108&lt;&gt;0,ROUNDUP(K260+'Délai intermédiaire'!EJ108/24,0),0)</f>
        <v>0</v>
      </c>
      <c r="L265" s="13">
        <f>IF(Distances!EK108&lt;&gt;0,ROUNDUP(L260+'Délai intermédiaire'!EK108/24,0),0)</f>
        <v>0</v>
      </c>
      <c r="M265" s="13">
        <f>IF(Distances!EL108&lt;&gt;0,ROUNDUP(M260+'Délai intermédiaire'!EL108/24,0),0)</f>
        <v>0</v>
      </c>
      <c r="N265" s="13">
        <f>IF(Distances!EM108&lt;&gt;0,ROUNDUP(N260+'Délai intermédiaire'!EM108/24,0),0)</f>
        <v>0</v>
      </c>
      <c r="O265" s="14">
        <f>IF(Distances!EN108&lt;&gt;0,ROUNDUP(O260+'Délai intermédiaire'!EN108/24,0),0)</f>
        <v>0</v>
      </c>
      <c r="P265" s="14">
        <f>IF(Distances!EO108&lt;&gt;0,ROUNDUP(P260+'Délai intermédiaire'!EO108/24,0),0)</f>
        <v>0</v>
      </c>
      <c r="Q265" s="14">
        <f>IF(Distances!EP108&lt;&gt;0,ROUNDUP(Q260+'Délai intermédiaire'!EP108/24,0),0)</f>
        <v>0</v>
      </c>
      <c r="R265" s="14">
        <f>IF(Distances!EQ108&lt;&gt;0,ROUNDUP(R260+'Délai intermédiaire'!EQ108/24,0),0)</f>
        <v>0</v>
      </c>
      <c r="S265" s="14">
        <f>IF(Distances!ER108&lt;&gt;0,ROUNDUP(S260+'Délai intermédiaire'!ER108/24,0),0)</f>
        <v>0</v>
      </c>
      <c r="T265" s="14">
        <f>IF(Distances!ES108&lt;&gt;0,ROUNDUP(T260+'Délai intermédiaire'!ES108/24,0),0)</f>
        <v>9</v>
      </c>
      <c r="U265" s="14">
        <f>IF(Distances!ET108&lt;&gt;0,ROUNDUP(U260+'Délai intermédiaire'!ET108/24,0),0)</f>
        <v>10</v>
      </c>
      <c r="V265" s="14">
        <f>IF(Distances!EU108&lt;&gt;0,ROUNDUP(V260+'Délai intermédiaire'!EU108/24,0),0)</f>
        <v>12</v>
      </c>
      <c r="W265" s="14">
        <f>IF(Distances!EV108&lt;&gt;0,ROUNDUP(W260+'Délai intermédiaire'!EV108/24,0),0)</f>
        <v>0</v>
      </c>
      <c r="X265" s="14">
        <f>IF(Distances!EW108&lt;&gt;0,ROUNDUP(X260+'Délai intermédiaire'!EW108/24,0),0)</f>
        <v>10</v>
      </c>
      <c r="Y265" s="14">
        <f>IF(Distances!EX108&lt;&gt;0,ROUNDUP(Y260+'Délai intermédiaire'!EX108/24,0),0)</f>
        <v>9</v>
      </c>
      <c r="Z265" s="14">
        <f>IF(Distances!EY108&lt;&gt;0,ROUNDUP(Z260+'Délai intermédiaire'!EY108/24,0),0)</f>
        <v>11</v>
      </c>
      <c r="AA265" s="14">
        <f>IF(Distances!EZ108&lt;&gt;0,ROUNDUP(AA260+'Délai intermédiaire'!EZ108/24,0),0)</f>
        <v>11</v>
      </c>
      <c r="AB265" s="14">
        <f>IF(Distances!FA108&lt;&gt;0,ROUNDUP(AB260+'Délai intermédiaire'!FA108/24,0),0)</f>
        <v>10</v>
      </c>
      <c r="AC265" s="14">
        <f>IF(Distances!FB108&lt;&gt;0,ROUNDUP(AC260+'Délai intermédiaire'!FB108/24,0),0)</f>
        <v>0</v>
      </c>
      <c r="AD265" s="14">
        <f>IF(Distances!FC108&lt;&gt;0,ROUNDUP(AD260+'Délai intermédiaire'!FC108/24,0),0)</f>
        <v>0</v>
      </c>
      <c r="AE265" s="14">
        <f>IF(Distances!FD108&lt;&gt;0,ROUNDUP(AE260+'Délai intermédiaire'!FD108/24,0),0)</f>
        <v>13</v>
      </c>
      <c r="AF265" s="14">
        <f>IF(Distances!FE108&lt;&gt;0,ROUNDUP(AF260+'Délai intermédiaire'!FE108/24,0),0)</f>
        <v>12</v>
      </c>
      <c r="AG265" s="14">
        <f>IF(Distances!FF108&lt;&gt;0,ROUNDUP(AG260+'Délai intermédiaire'!FF108/24,0),0)</f>
        <v>13</v>
      </c>
      <c r="AH265" s="14">
        <f>IF(Distances!FG108&lt;&gt;0,ROUNDUP(AH260+'Délai intermédiaire'!FG108/24,0),0)</f>
        <v>19</v>
      </c>
      <c r="AI265" s="14">
        <f>IF(Distances!FH108&lt;&gt;0,ROUNDUP(AI260+'Délai intermédiaire'!FH108/24,0),0)</f>
        <v>0</v>
      </c>
      <c r="AJ265" s="14">
        <f>IF(Distances!FI108&lt;&gt;0,ROUNDUP(AJ260+'Délai intermédiaire'!FI108/24,0),0)</f>
        <v>19</v>
      </c>
      <c r="AK265" s="14">
        <f>IF(Distances!FJ108&lt;&gt;0,ROUNDUP(AK260+'Délai intermédiaire'!FJ108/24,0),0)</f>
        <v>0</v>
      </c>
      <c r="AL265" s="14">
        <f>IF(Distances!FK108&lt;&gt;0,ROUNDUP(AL260+'Délai intermédiaire'!FK108/24,0),0)</f>
        <v>0</v>
      </c>
      <c r="AM265" s="14">
        <f>IF(Distances!FL108&lt;&gt;0,ROUNDUP(AM260+'Délai intermédiaire'!FL108/24,0),0)</f>
        <v>0</v>
      </c>
      <c r="AN265" s="14">
        <f>IF(Distances!FM108&lt;&gt;0,ROUNDUP(AN260+'Délai intermédiaire'!FM108/24,0),0)</f>
        <v>23</v>
      </c>
      <c r="AO265" s="14">
        <f>IF(Distances!FN108&lt;&gt;0,ROUNDUP(AO260+'Délai intermédiaire'!FN108/24,0),0)</f>
        <v>0</v>
      </c>
      <c r="AP265" s="14">
        <f>IF(Distances!FO108&lt;&gt;0,ROUNDUP(AP260+'Délai intermédiaire'!FO108/24,0),0)</f>
        <v>0</v>
      </c>
      <c r="AQ265" s="14">
        <f>IF(Distances!FP108&lt;&gt;0,ROUNDUP(AQ260+'Délai intermédiaire'!FP108/24,0),0)</f>
        <v>0</v>
      </c>
      <c r="AR265" s="14">
        <f>IF(Distances!FQ108&lt;&gt;0,ROUNDUP(AR260+'Délai intermédiaire'!FQ108/24,0),0)</f>
        <v>0</v>
      </c>
      <c r="AS265" s="14">
        <f>IF(Distances!FR108&lt;&gt;0,ROUNDUP(AS260+'Délai intermédiaire'!FR108/24,0),0)</f>
        <v>0</v>
      </c>
      <c r="AT265" s="14">
        <f>IF(Distances!FS108&lt;&gt;0,ROUNDUP(AT260+'Délai intermédiaire'!FS108/24,0),0)</f>
        <v>0</v>
      </c>
      <c r="AU265" s="14">
        <f>IF(Distances!FT108&lt;&gt;0,ROUNDUP(AU260+'Délai intermédiaire'!FT108/24,0),0)</f>
        <v>25</v>
      </c>
      <c r="AV265" s="14">
        <f>IF(Distances!FU108&lt;&gt;0,ROUNDUP(AV260+'Délai intermédiaire'!FU108/24,0),0)</f>
        <v>13</v>
      </c>
      <c r="AW265" s="14">
        <f>IF(Distances!FV108&lt;&gt;0,ROUNDUP(AW260+'Délai intermédiaire'!FV108/24,0),0)</f>
        <v>15</v>
      </c>
      <c r="AX265" s="14">
        <f>IF(Distances!FW108&lt;&gt;0,ROUNDUP(AX260+'Délai intermédiaire'!FW108/24,0),0)</f>
        <v>0</v>
      </c>
      <c r="AY265" s="14">
        <f>IF(Distances!FX108&lt;&gt;0,ROUNDUP(AY260+'Délai intermédiaire'!FX108/24,0),0)</f>
        <v>0</v>
      </c>
      <c r="AZ265" s="14">
        <f>IF(Distances!FY108&lt;&gt;0,ROUNDUP(AZ260+'Délai intermédiaire'!FY108/24,0),0)</f>
        <v>19</v>
      </c>
      <c r="BA265" s="14">
        <f>IF(Distances!FZ108&lt;&gt;0,ROUNDUP(BA260+'Délai intermédiaire'!FZ108/24,0),0)</f>
        <v>0</v>
      </c>
      <c r="BB265" s="14">
        <f>IF(Distances!GA108&lt;&gt;0,ROUNDUP(BB260+'Délai intermédiaire'!GA108/24,0),0)</f>
        <v>0</v>
      </c>
      <c r="BC265" s="14">
        <f>IF(Distances!GB108&lt;&gt;0,ROUNDUP(BC260+'Délai intermédiaire'!GB108/24,0),0)</f>
        <v>0</v>
      </c>
      <c r="BD265" s="14">
        <f>IF(Distances!GC108&lt;&gt;0,ROUNDUP(BD260+'Délai intermédiaire'!GC108/24,0),0)</f>
        <v>25</v>
      </c>
      <c r="BE265" s="14">
        <f>IF(Distances!GD108&lt;&gt;0,ROUNDUP(BE260+'Délai intermédiaire'!GD108/24,0),0)</f>
        <v>0</v>
      </c>
      <c r="BF265" s="14">
        <f>IF(Distances!GE108&lt;&gt;0,ROUNDUP(BF260+'Délai intermédiaire'!GE108/24,0),0)</f>
        <v>15</v>
      </c>
      <c r="BG265" s="14">
        <f>IF(Distances!GF108&lt;&gt;0,ROUNDUP(BG260+'Délai intermédiaire'!GF108/24,0),0)</f>
        <v>0</v>
      </c>
      <c r="BH265" s="14">
        <f>IF(Distances!GG108&lt;&gt;0,ROUNDUP(BH260+'Délai intermédiaire'!GG108/24,0),0)</f>
        <v>0</v>
      </c>
      <c r="BI265" s="14">
        <f>IF(Distances!GH108&lt;&gt;0,ROUNDUP(BI260+'Délai intermédiaire'!GH108/24,0),0)</f>
        <v>0</v>
      </c>
      <c r="BJ265" s="15">
        <f>IF(Distances!GI108&lt;&gt;0,ROUNDUP(BJ260+'Délai intermédiaire'!GI108/24,0),0)</f>
        <v>0</v>
      </c>
    </row>
    <row r="266" spans="1:62" x14ac:dyDescent="0.3">
      <c r="A266" s="10" t="s">
        <v>5</v>
      </c>
      <c r="B266" s="11">
        <f>IF(Distances!EA109&lt;&gt;0,ROUNDUP(B260+'Délai intermédiaire'!EA109/24,0),0)</f>
        <v>3</v>
      </c>
      <c r="C266" s="13">
        <f>IF(Distances!EB109&lt;&gt;0,ROUNDUP(C260+'Délai intermédiaire'!EB109/24,0),0)</f>
        <v>4</v>
      </c>
      <c r="D266" s="13">
        <f>IF(Distances!EC109&lt;&gt;0,ROUNDUP(D260+'Délai intermédiaire'!EC109/24,0),0)</f>
        <v>3</v>
      </c>
      <c r="E266" s="13">
        <f>IF(Distances!ED109&lt;&gt;0,ROUNDUP(E260+'Délai intermédiaire'!ED109/24,0),0)</f>
        <v>7</v>
      </c>
      <c r="F266" s="12">
        <f>IF(Distances!EE109&lt;&gt;0,ROUNDUP(F260+'Délai intermédiaire'!EE109/24,0),0)</f>
        <v>0</v>
      </c>
      <c r="G266" s="13">
        <f>IF(Distances!EF109&lt;&gt;0,ROUNDUP(G260+'Délai intermédiaire'!EF109/24,0),0)</f>
        <v>12</v>
      </c>
      <c r="H266" s="13">
        <f>IF(Distances!EG109&lt;&gt;0,ROUNDUP(H260+'Délai intermédiaire'!EG109/24,0),0)</f>
        <v>12</v>
      </c>
      <c r="I266" s="13">
        <f>IF(Distances!EH109&lt;&gt;0,ROUNDUP(I260+'Délai intermédiaire'!EH109/24,0),0)</f>
        <v>10</v>
      </c>
      <c r="J266" s="13">
        <f>IF(Distances!EI109&lt;&gt;0,ROUNDUP(J260+'Délai intermédiaire'!EI109/24,0),0)</f>
        <v>6</v>
      </c>
      <c r="K266" s="13">
        <f>IF(Distances!EJ109&lt;&gt;0,ROUNDUP(K260+'Délai intermédiaire'!EJ109/24,0),0)</f>
        <v>6</v>
      </c>
      <c r="L266" s="13">
        <f>IF(Distances!EK109&lt;&gt;0,ROUNDUP(L260+'Délai intermédiaire'!EK109/24,0),0)</f>
        <v>13</v>
      </c>
      <c r="M266" s="13">
        <f>IF(Distances!EL109&lt;&gt;0,ROUNDUP(M260+'Délai intermédiaire'!EL109/24,0),0)</f>
        <v>13</v>
      </c>
      <c r="N266" s="13">
        <f>IF(Distances!EM109&lt;&gt;0,ROUNDUP(N260+'Délai intermédiaire'!EM109/24,0),0)</f>
        <v>6</v>
      </c>
      <c r="O266" s="14">
        <f>IF(Distances!EN109&lt;&gt;0,ROUNDUP(O260+'Délai intermédiaire'!EN109/24,0),0)</f>
        <v>11</v>
      </c>
      <c r="P266" s="14">
        <f>IF(Distances!EO109&lt;&gt;0,ROUNDUP(P260+'Délai intermédiaire'!EO109/24,0),0)</f>
        <v>9</v>
      </c>
      <c r="Q266" s="14">
        <f>IF(Distances!EP109&lt;&gt;0,ROUNDUP(Q260+'Délai intermédiaire'!EP109/24,0),0)</f>
        <v>8</v>
      </c>
      <c r="R266" s="14">
        <f>IF(Distances!EQ109&lt;&gt;0,ROUNDUP(R260+'Délai intermédiaire'!EQ109/24,0),0)</f>
        <v>7</v>
      </c>
      <c r="S266" s="14">
        <f>IF(Distances!ER109&lt;&gt;0,ROUNDUP(S260+'Délai intermédiaire'!ER109/24,0),0)</f>
        <v>8</v>
      </c>
      <c r="T266" s="14">
        <f>IF(Distances!ES109&lt;&gt;0,ROUNDUP(T260+'Délai intermédiaire'!ES109/24,0),0)</f>
        <v>8</v>
      </c>
      <c r="U266" s="14">
        <f>IF(Distances!ET109&lt;&gt;0,ROUNDUP(U260+'Délai intermédiaire'!ET109/24,0),0)</f>
        <v>9</v>
      </c>
      <c r="V266" s="14">
        <f>IF(Distances!EU109&lt;&gt;0,ROUNDUP(V260+'Délai intermédiaire'!EU109/24,0),0)</f>
        <v>11</v>
      </c>
      <c r="W266" s="14">
        <f>IF(Distances!EV109&lt;&gt;0,ROUNDUP(W260+'Délai intermédiaire'!EV109/24,0),0)</f>
        <v>8</v>
      </c>
      <c r="X266" s="14">
        <f>IF(Distances!EW109&lt;&gt;0,ROUNDUP(X260+'Délai intermédiaire'!EW109/24,0),0)</f>
        <v>9</v>
      </c>
      <c r="Y266" s="14">
        <f>IF(Distances!EX109&lt;&gt;0,ROUNDUP(Y260+'Délai intermédiaire'!EX109/24,0),0)</f>
        <v>8</v>
      </c>
      <c r="Z266" s="14">
        <f>IF(Distances!EY109&lt;&gt;0,ROUNDUP(Z260+'Délai intermédiaire'!EY109/24,0),0)</f>
        <v>10</v>
      </c>
      <c r="AA266" s="14">
        <f>IF(Distances!EZ109&lt;&gt;0,ROUNDUP(AA260+'Délai intermédiaire'!EZ109/24,0),0)</f>
        <v>10</v>
      </c>
      <c r="AB266" s="14">
        <f>IF(Distances!FA109&lt;&gt;0,ROUNDUP(AB260+'Délai intermédiaire'!FA109/24,0),0)</f>
        <v>8</v>
      </c>
      <c r="AC266" s="14">
        <f>IF(Distances!FB109&lt;&gt;0,ROUNDUP(AC260+'Délai intermédiaire'!FB109/24,0),0)</f>
        <v>8</v>
      </c>
      <c r="AD266" s="14">
        <f>IF(Distances!FC109&lt;&gt;0,ROUNDUP(AD260+'Délai intermédiaire'!FC109/24,0),0)</f>
        <v>10</v>
      </c>
      <c r="AE266" s="14">
        <f>IF(Distances!FD109&lt;&gt;0,ROUNDUP(AE260+'Délai intermédiaire'!FD109/24,0),0)</f>
        <v>12</v>
      </c>
      <c r="AF266" s="14">
        <f>IF(Distances!FE109&lt;&gt;0,ROUNDUP(AF260+'Délai intermédiaire'!FE109/24,0),0)</f>
        <v>11</v>
      </c>
      <c r="AG266" s="14">
        <f>IF(Distances!FF109&lt;&gt;0,ROUNDUP(AG260+'Délai intermédiaire'!FF109/24,0),0)</f>
        <v>12</v>
      </c>
      <c r="AH266" s="14">
        <f>IF(Distances!FG109&lt;&gt;0,ROUNDUP(AH260+'Délai intermédiaire'!FG109/24,0),0)</f>
        <v>18</v>
      </c>
      <c r="AI266" s="14">
        <f>IF(Distances!FH109&lt;&gt;0,ROUNDUP(AI260+'Délai intermédiaire'!FH109/24,0),0)</f>
        <v>20</v>
      </c>
      <c r="AJ266" s="14">
        <f>IF(Distances!FI109&lt;&gt;0,ROUNDUP(AJ260+'Délai intermédiaire'!FI109/24,0),0)</f>
        <v>18</v>
      </c>
      <c r="AK266" s="14">
        <f>IF(Distances!FJ109&lt;&gt;0,ROUNDUP(AK260+'Délai intermédiaire'!FJ109/24,0),0)</f>
        <v>19</v>
      </c>
      <c r="AL266" s="14">
        <f>IF(Distances!FK109&lt;&gt;0,ROUNDUP(AL260+'Délai intermédiaire'!FK109/24,0),0)</f>
        <v>18</v>
      </c>
      <c r="AM266" s="14">
        <f>IF(Distances!FL109&lt;&gt;0,ROUNDUP(AM260+'Délai intermédiaire'!FL109/24,0),0)</f>
        <v>19</v>
      </c>
      <c r="AN266" s="14">
        <f>IF(Distances!FM109&lt;&gt;0,ROUNDUP(AN260+'Délai intermédiaire'!FM109/24,0),0)</f>
        <v>19</v>
      </c>
      <c r="AO266" s="14">
        <f>IF(Distances!FN109&lt;&gt;0,ROUNDUP(AO260+'Délai intermédiaire'!FN109/24,0),0)</f>
        <v>20</v>
      </c>
      <c r="AP266" s="14">
        <f>IF(Distances!FO109&lt;&gt;0,ROUNDUP(AP260+'Délai intermédiaire'!FO109/24,0),0)</f>
        <v>19</v>
      </c>
      <c r="AQ266" s="14">
        <f>IF(Distances!FP109&lt;&gt;0,ROUNDUP(AQ260+'Délai intermédiaire'!FP109/24,0),0)</f>
        <v>22</v>
      </c>
      <c r="AR266" s="14">
        <f>IF(Distances!FQ109&lt;&gt;0,ROUNDUP(AR260+'Délai intermédiaire'!FQ109/24,0),0)</f>
        <v>17</v>
      </c>
      <c r="AS266" s="14">
        <f>IF(Distances!FR109&lt;&gt;0,ROUNDUP(AS260+'Délai intermédiaire'!FR109/24,0),0)</f>
        <v>17</v>
      </c>
      <c r="AT266" s="14">
        <f>IF(Distances!FS109&lt;&gt;0,ROUNDUP(AT260+'Délai intermédiaire'!FS109/24,0),0)</f>
        <v>17</v>
      </c>
      <c r="AU266" s="14">
        <f>IF(Distances!FT109&lt;&gt;0,ROUNDUP(AU260+'Délai intermédiaire'!FT109/24,0),0)</f>
        <v>21</v>
      </c>
      <c r="AV266" s="14">
        <f>IF(Distances!FU109&lt;&gt;0,ROUNDUP(AV260+'Délai intermédiaire'!FU109/24,0),0)</f>
        <v>12</v>
      </c>
      <c r="AW266" s="14">
        <f>IF(Distances!FV109&lt;&gt;0,ROUNDUP(AW260+'Délai intermédiaire'!FV109/24,0),0)</f>
        <v>14</v>
      </c>
      <c r="AX266" s="14">
        <f>IF(Distances!FW109&lt;&gt;0,ROUNDUP(AX260+'Délai intermédiaire'!FW109/24,0),0)</f>
        <v>20</v>
      </c>
      <c r="AY266" s="14">
        <f>IF(Distances!FX109&lt;&gt;0,ROUNDUP(AY260+'Délai intermédiaire'!FX109/24,0),0)</f>
        <v>3</v>
      </c>
      <c r="AZ266" s="14">
        <f>IF(Distances!FY109&lt;&gt;0,ROUNDUP(AZ260+'Délai intermédiaire'!FY109/24,0),0)</f>
        <v>17</v>
      </c>
      <c r="BA266" s="14">
        <f>IF(Distances!FZ109&lt;&gt;0,ROUNDUP(BA260+'Délai intermédiaire'!FZ109/24,0),0)</f>
        <v>22</v>
      </c>
      <c r="BB266" s="14">
        <f>IF(Distances!GA109&lt;&gt;0,ROUNDUP(BB260+'Délai intermédiaire'!GA109/24,0),0)</f>
        <v>10</v>
      </c>
      <c r="BC266" s="14">
        <f>IF(Distances!GB109&lt;&gt;0,ROUNDUP(BC260+'Délai intermédiaire'!GB109/24,0),0)</f>
        <v>22</v>
      </c>
      <c r="BD266" s="14">
        <f>IF(Distances!GC109&lt;&gt;0,ROUNDUP(BD260+'Délai intermédiaire'!GC109/24,0),0)</f>
        <v>21</v>
      </c>
      <c r="BE266" s="14">
        <f>IF(Distances!GD109&lt;&gt;0,ROUNDUP(BE260+'Délai intermédiaire'!GD109/24,0),0)</f>
        <v>21</v>
      </c>
      <c r="BF266" s="14">
        <f>IF(Distances!GE109&lt;&gt;0,ROUNDUP(BF260+'Délai intermédiaire'!GE109/24,0),0)</f>
        <v>13</v>
      </c>
      <c r="BG266" s="14">
        <f>IF(Distances!GF109&lt;&gt;0,ROUNDUP(BG260+'Délai intermédiaire'!GF109/24,0),0)</f>
        <v>11</v>
      </c>
      <c r="BH266" s="14">
        <f>IF(Distances!GG109&lt;&gt;0,ROUNDUP(BH260+'Délai intermédiaire'!GG109/24,0),0)</f>
        <v>7</v>
      </c>
      <c r="BI266" s="14">
        <f>IF(Distances!GH109&lt;&gt;0,ROUNDUP(BI260+'Délai intermédiaire'!GH109/24,0),0)</f>
        <v>10</v>
      </c>
      <c r="BJ266" s="15">
        <f>IF(Distances!GI109&lt;&gt;0,ROUNDUP(BJ260+'Délai intermédiaire'!GI109/24,0),0)</f>
        <v>10</v>
      </c>
    </row>
    <row r="267" spans="1:62" x14ac:dyDescent="0.3">
      <c r="A267" s="10" t="s">
        <v>6</v>
      </c>
      <c r="B267" s="11">
        <f>IF(Distances!EA110&lt;&gt;0,ROUNDUP(B260+'Délai intermédiaire'!EA110/24,0),0)</f>
        <v>11</v>
      </c>
      <c r="C267" s="13">
        <f>IF(Distances!EB110&lt;&gt;0,ROUNDUP(C260+'Délai intermédiaire'!EB110/24,0),0)</f>
        <v>11</v>
      </c>
      <c r="D267" s="13">
        <f>IF(Distances!EC110&lt;&gt;0,ROUNDUP(D260+'Délai intermédiaire'!EC110/24,0),0)</f>
        <v>13</v>
      </c>
      <c r="E267" s="13">
        <f>IF(Distances!ED110&lt;&gt;0,ROUNDUP(E260+'Délai intermédiaire'!ED110/24,0),0)</f>
        <v>16</v>
      </c>
      <c r="F267" s="13">
        <f>IF(Distances!EE110&lt;&gt;0,ROUNDUP(F260+'Délai intermédiaire'!EE110/24,0),0)</f>
        <v>12</v>
      </c>
      <c r="G267" s="12">
        <f>IF(Distances!EF110&lt;&gt;0,ROUNDUP(G260+'Délai intermédiaire'!EF110/24,0),0)</f>
        <v>0</v>
      </c>
      <c r="H267" s="13">
        <f>IF(Distances!EG110&lt;&gt;0,ROUNDUP(H260+'Délai intermédiaire'!EG110/24,0),0)</f>
        <v>5</v>
      </c>
      <c r="I267" s="13">
        <f>IF(Distances!EH110&lt;&gt;0,ROUNDUP(I260+'Délai intermédiaire'!EH110/24,0),0)</f>
        <v>3</v>
      </c>
      <c r="J267" s="13">
        <f>IF(Distances!EI110&lt;&gt;0,ROUNDUP(J260+'Délai intermédiaire'!EI110/24,0),0)</f>
        <v>15</v>
      </c>
      <c r="K267" s="13">
        <f>IF(Distances!EJ110&lt;&gt;0,ROUNDUP(K260+'Délai intermédiaire'!EJ110/24,0),0)</f>
        <v>15</v>
      </c>
      <c r="L267" s="13">
        <f>IF(Distances!EK110&lt;&gt;0,ROUNDUP(L260+'Délai intermédiaire'!EK110/24,0),0)</f>
        <v>6</v>
      </c>
      <c r="M267" s="13">
        <f>IF(Distances!EL110&lt;&gt;0,ROUNDUP(M260+'Délai intermédiaire'!EL110/24,0),0)</f>
        <v>6</v>
      </c>
      <c r="N267" s="13">
        <f>IF(Distances!EM110&lt;&gt;0,ROUNDUP(N260+'Délai intermédiaire'!EM110/24,0),0)</f>
        <v>12</v>
      </c>
      <c r="O267" s="14">
        <f>IF(Distances!EN110&lt;&gt;0,ROUNDUP(O260+'Délai intermédiaire'!EN110/24,0),0)</f>
        <v>17</v>
      </c>
      <c r="P267" s="14">
        <f>IF(Distances!EO110&lt;&gt;0,ROUNDUP(P260+'Délai intermédiaire'!EO110/24,0),0)</f>
        <v>15</v>
      </c>
      <c r="Q267" s="14">
        <f>IF(Distances!EP110&lt;&gt;0,ROUNDUP(Q260+'Délai intermédiaire'!EP110/24,0),0)</f>
        <v>17</v>
      </c>
      <c r="R267" s="14">
        <f>IF(Distances!EQ110&lt;&gt;0,ROUNDUP(R260+'Délai intermédiaire'!EQ110/24,0),0)</f>
        <v>16</v>
      </c>
      <c r="S267" s="14">
        <f>IF(Distances!ER110&lt;&gt;0,ROUNDUP(S260+'Délai intermédiaire'!ER110/24,0),0)</f>
        <v>17</v>
      </c>
      <c r="T267" s="14">
        <f>IF(Distances!ES110&lt;&gt;0,ROUNDUP(T260+'Délai intermédiaire'!ES110/24,0),0)</f>
        <v>17</v>
      </c>
      <c r="U267" s="14">
        <f>IF(Distances!ET110&lt;&gt;0,ROUNDUP(U260+'Délai intermédiaire'!ET110/24,0),0)</f>
        <v>15</v>
      </c>
      <c r="V267" s="14">
        <f>IF(Distances!EU110&lt;&gt;0,ROUNDUP(V260+'Délai intermédiaire'!EU110/24,0),0)</f>
        <v>19</v>
      </c>
      <c r="W267" s="14">
        <f>IF(Distances!EV110&lt;&gt;0,ROUNDUP(W260+'Délai intermédiaire'!EV110/24,0),0)</f>
        <v>17</v>
      </c>
      <c r="X267" s="14">
        <f>IF(Distances!EW110&lt;&gt;0,ROUNDUP(X260+'Délai intermédiaire'!EW110/24,0),0)</f>
        <v>18</v>
      </c>
      <c r="Y267" s="14">
        <f>IF(Distances!EX110&lt;&gt;0,ROUNDUP(Y260+'Délai intermédiaire'!EX110/24,0),0)</f>
        <v>17</v>
      </c>
      <c r="Z267" s="14">
        <f>IF(Distances!EY110&lt;&gt;0,ROUNDUP(Z260+'Délai intermédiaire'!EY110/24,0),0)</f>
        <v>19</v>
      </c>
      <c r="AA267" s="14">
        <f>IF(Distances!EZ110&lt;&gt;0,ROUNDUP(AA260+'Délai intermédiaire'!EZ110/24,0),0)</f>
        <v>19</v>
      </c>
      <c r="AB267" s="14">
        <f>IF(Distances!FA110&lt;&gt;0,ROUNDUP(AB260+'Délai intermédiaire'!FA110/24,0),0)</f>
        <v>17</v>
      </c>
      <c r="AC267" s="14">
        <f>IF(Distances!FB110&lt;&gt;0,ROUNDUP(AC260+'Délai intermédiaire'!FB110/24,0),0)</f>
        <v>17</v>
      </c>
      <c r="AD267" s="14">
        <f>IF(Distances!FC110&lt;&gt;0,ROUNDUP(AD260+'Délai intermédiaire'!FC110/24,0),0)</f>
        <v>19</v>
      </c>
      <c r="AE267" s="14">
        <f>IF(Distances!FD110&lt;&gt;0,ROUNDUP(AE260+'Délai intermédiaire'!FD110/24,0),0)</f>
        <v>20</v>
      </c>
      <c r="AF267" s="14">
        <f>IF(Distances!FE110&lt;&gt;0,ROUNDUP(AF260+'Délai intermédiaire'!FE110/24,0),0)</f>
        <v>19</v>
      </c>
      <c r="AG267" s="14">
        <f>IF(Distances!FF110&lt;&gt;0,ROUNDUP(AG260+'Délai intermédiaire'!FF110/24,0),0)</f>
        <v>20</v>
      </c>
      <c r="AH267" s="14">
        <f>IF(Distances!FG110&lt;&gt;0,ROUNDUP(AH260+'Délai intermédiaire'!FG110/24,0),0)</f>
        <v>23</v>
      </c>
      <c r="AI267" s="14">
        <f>IF(Distances!FH110&lt;&gt;0,ROUNDUP(AI260+'Délai intermédiaire'!FH110/24,0),0)</f>
        <v>21</v>
      </c>
      <c r="AJ267" s="14">
        <f>IF(Distances!FI110&lt;&gt;0,ROUNDUP(AJ260+'Délai intermédiaire'!FI110/24,0),0)</f>
        <v>23</v>
      </c>
      <c r="AK267" s="14">
        <f>IF(Distances!FJ110&lt;&gt;0,ROUNDUP(AK260+'Délai intermédiaire'!FJ110/24,0),0)</f>
        <v>20</v>
      </c>
      <c r="AL267" s="14">
        <f>IF(Distances!FK110&lt;&gt;0,ROUNDUP(AL260+'Délai intermédiaire'!FK110/24,0),0)</f>
        <v>12</v>
      </c>
      <c r="AM267" s="14">
        <f>IF(Distances!FL110&lt;&gt;0,ROUNDUP(AM260+'Délai intermédiaire'!FL110/24,0),0)</f>
        <v>12</v>
      </c>
      <c r="AN267" s="14">
        <f>IF(Distances!FM110&lt;&gt;0,ROUNDUP(AN260+'Délai intermédiaire'!FM110/24,0),0)</f>
        <v>13</v>
      </c>
      <c r="AO267" s="14">
        <f>IF(Distances!FN110&lt;&gt;0,ROUNDUP(AO260+'Délai intermédiaire'!FN110/24,0),0)</f>
        <v>17</v>
      </c>
      <c r="AP267" s="14">
        <f>IF(Distances!FO110&lt;&gt;0,ROUNDUP(AP260+'Délai intermédiaire'!FO110/24,0),0)</f>
        <v>16</v>
      </c>
      <c r="AQ267" s="14">
        <f>IF(Distances!FP110&lt;&gt;0,ROUNDUP(AQ260+'Délai intermédiaire'!FP110/24,0),0)</f>
        <v>19</v>
      </c>
      <c r="AR267" s="14">
        <f>IF(Distances!FQ110&lt;&gt;0,ROUNDUP(AR260+'Délai intermédiaire'!FQ110/24,0),0)</f>
        <v>24</v>
      </c>
      <c r="AS267" s="14">
        <f>IF(Distances!FR110&lt;&gt;0,ROUNDUP(AS260+'Délai intermédiaire'!FR110/24,0),0)</f>
        <v>24</v>
      </c>
      <c r="AT267" s="14">
        <f>IF(Distances!FS110&lt;&gt;0,ROUNDUP(AT260+'Délai intermédiaire'!FS110/24,0),0)</f>
        <v>24</v>
      </c>
      <c r="AU267" s="14">
        <f>IF(Distances!FT110&lt;&gt;0,ROUNDUP(AU260+'Délai intermédiaire'!FT110/24,0),0)</f>
        <v>14</v>
      </c>
      <c r="AV267" s="14">
        <f>IF(Distances!FU110&lt;&gt;0,ROUNDUP(AV260+'Délai intermédiaire'!FU110/24,0),0)</f>
        <v>21</v>
      </c>
      <c r="AW267" s="14">
        <f>IF(Distances!FV110&lt;&gt;0,ROUNDUP(AW260+'Délai intermédiaire'!FV110/24,0),0)</f>
        <v>23</v>
      </c>
      <c r="AX267" s="14">
        <f>IF(Distances!FW110&lt;&gt;0,ROUNDUP(AX260+'Délai intermédiaire'!FW110/24,0),0)</f>
        <v>14</v>
      </c>
      <c r="AY267" s="14">
        <f>IF(Distances!FX110&lt;&gt;0,ROUNDUP(AY260+'Délai intermédiaire'!FX110/24,0),0)</f>
        <v>4</v>
      </c>
      <c r="AZ267" s="14">
        <f>IF(Distances!FY110&lt;&gt;0,ROUNDUP(AZ260+'Délai intermédiaire'!FY110/24,0),0)</f>
        <v>25</v>
      </c>
      <c r="BA267" s="14">
        <f>IF(Distances!FZ110&lt;&gt;0,ROUNDUP(BA260+'Délai intermédiaire'!FZ110/24,0),0)</f>
        <v>18</v>
      </c>
      <c r="BB267" s="14">
        <f>IF(Distances!GA110&lt;&gt;0,ROUNDUP(BB260+'Délai intermédiaire'!GA110/24,0),0)</f>
        <v>19</v>
      </c>
      <c r="BC267" s="14">
        <f>IF(Distances!GB110&lt;&gt;0,ROUNDUP(BC260+'Délai intermédiaire'!GB110/24,0),0)</f>
        <v>15</v>
      </c>
      <c r="BD267" s="14">
        <f>IF(Distances!GC110&lt;&gt;0,ROUNDUP(BD260+'Délai intermédiaire'!GC110/24,0),0)</f>
        <v>15</v>
      </c>
      <c r="BE267" s="14">
        <f>IF(Distances!GD110&lt;&gt;0,ROUNDUP(BE260+'Délai intermédiaire'!GD110/24,0),0)</f>
        <v>14</v>
      </c>
      <c r="BF267" s="14">
        <f>IF(Distances!GE110&lt;&gt;0,ROUNDUP(BF260+'Délai intermédiaire'!GE110/24,0),0)</f>
        <v>22</v>
      </c>
      <c r="BG267" s="14">
        <f>IF(Distances!GF110&lt;&gt;0,ROUNDUP(BG260+'Délai intermédiaire'!GF110/24,0),0)</f>
        <v>20</v>
      </c>
      <c r="BH267" s="14">
        <f>IF(Distances!GG110&lt;&gt;0,ROUNDUP(BH260+'Délai intermédiaire'!GG110/24,0),0)</f>
        <v>10</v>
      </c>
      <c r="BI267" s="14">
        <f>IF(Distances!GH110&lt;&gt;0,ROUNDUP(BI260+'Délai intermédiaire'!GH110/24,0),0)</f>
        <v>13</v>
      </c>
      <c r="BJ267" s="15">
        <f>IF(Distances!GI110&lt;&gt;0,ROUNDUP(BJ260+'Délai intermédiaire'!GI110/24,0),0)</f>
        <v>13</v>
      </c>
    </row>
    <row r="268" spans="1:62" x14ac:dyDescent="0.3">
      <c r="A268" s="10" t="s">
        <v>63</v>
      </c>
      <c r="B268" s="11">
        <f>IF(Distances!EA111&lt;&gt;0,ROUNDUP(B260+'Délai intermédiaire'!EA111/24,0),0)</f>
        <v>0</v>
      </c>
      <c r="C268" s="13">
        <f>IF(Distances!EB111&lt;&gt;0,ROUNDUP(C260+'Délai intermédiaire'!EB111/24,0),0)</f>
        <v>0</v>
      </c>
      <c r="D268" s="13">
        <f>IF(Distances!EC111&lt;&gt;0,ROUNDUP(D260+'Délai intermédiaire'!EC111/24,0),0)</f>
        <v>13</v>
      </c>
      <c r="E268" s="13">
        <f>IF(Distances!ED111&lt;&gt;0,ROUNDUP(E260+'Délai intermédiaire'!ED111/24,0),0)</f>
        <v>0</v>
      </c>
      <c r="F268" s="13">
        <f>IF(Distances!EE111&lt;&gt;0,ROUNDUP(F260+'Délai intermédiaire'!EE111/24,0),0)</f>
        <v>12</v>
      </c>
      <c r="G268" s="13">
        <f>IF(Distances!EF111&lt;&gt;0,ROUNDUP(G260+'Délai intermédiaire'!EF111/24,0),0)</f>
        <v>5</v>
      </c>
      <c r="H268" s="12">
        <f>IF(Distances!EG111&lt;&gt;0,ROUNDUP(H260+'Délai intermédiaire'!EG111/24,0),0)</f>
        <v>0</v>
      </c>
      <c r="I268" s="13">
        <f>IF(Distances!EH111&lt;&gt;0,ROUNDUP(I260+'Délai intermédiaire'!EH111/24,0),0)</f>
        <v>0</v>
      </c>
      <c r="J268" s="13">
        <f>IF(Distances!EI111&lt;&gt;0,ROUNDUP(J260+'Délai intermédiaire'!EI111/24,0),0)</f>
        <v>15</v>
      </c>
      <c r="K268" s="13">
        <f>IF(Distances!EJ111&lt;&gt;0,ROUNDUP(K260+'Délai intermédiaire'!EJ111/24,0),0)</f>
        <v>0</v>
      </c>
      <c r="L268" s="13">
        <f>IF(Distances!EK111&lt;&gt;0,ROUNDUP(L260+'Délai intermédiaire'!EK111/24,0),0)</f>
        <v>0</v>
      </c>
      <c r="M268" s="13">
        <f>IF(Distances!EL111&lt;&gt;0,ROUNDUP(M260+'Délai intermédiaire'!EL111/24,0),0)</f>
        <v>0</v>
      </c>
      <c r="N268" s="13">
        <f>IF(Distances!EM111&lt;&gt;0,ROUNDUP(N260+'Délai intermédiaire'!EM111/24,0),0)</f>
        <v>0</v>
      </c>
      <c r="O268" s="14">
        <f>IF(Distances!EN111&lt;&gt;0,ROUNDUP(O260+'Délai intermédiaire'!EN111/24,0),0)</f>
        <v>0</v>
      </c>
      <c r="P268" s="14">
        <f>IF(Distances!EO111&lt;&gt;0,ROUNDUP(P260+'Délai intermédiaire'!EO111/24,0),0)</f>
        <v>0</v>
      </c>
      <c r="Q268" s="14">
        <f>IF(Distances!EP111&lt;&gt;0,ROUNDUP(Q260+'Délai intermédiaire'!EP111/24,0),0)</f>
        <v>0</v>
      </c>
      <c r="R268" s="14">
        <f>IF(Distances!EQ111&lt;&gt;0,ROUNDUP(R260+'Délai intermédiaire'!EQ111/24,0),0)</f>
        <v>0</v>
      </c>
      <c r="S268" s="14">
        <f>IF(Distances!ER111&lt;&gt;0,ROUNDUP(S260+'Délai intermédiaire'!ER111/24,0),0)</f>
        <v>0</v>
      </c>
      <c r="T268" s="14">
        <f>IF(Distances!ES111&lt;&gt;0,ROUNDUP(T260+'Délai intermédiaire'!ES111/24,0),0)</f>
        <v>17</v>
      </c>
      <c r="U268" s="14">
        <f>IF(Distances!ET111&lt;&gt;0,ROUNDUP(U260+'Délai intermédiaire'!ET111/24,0),0)</f>
        <v>17</v>
      </c>
      <c r="V268" s="14">
        <f>IF(Distances!EU111&lt;&gt;0,ROUNDUP(V260+'Délai intermédiaire'!EU111/24,0),0)</f>
        <v>19</v>
      </c>
      <c r="W268" s="14">
        <f>IF(Distances!EV111&lt;&gt;0,ROUNDUP(W260+'Délai intermédiaire'!EV111/24,0),0)</f>
        <v>0</v>
      </c>
      <c r="X268" s="14">
        <f>IF(Distances!EW111&lt;&gt;0,ROUNDUP(X260+'Délai intermédiaire'!EW111/24,0),0)</f>
        <v>18</v>
      </c>
      <c r="Y268" s="14">
        <f>IF(Distances!EX111&lt;&gt;0,ROUNDUP(Y260+'Délai intermédiaire'!EX111/24,0),0)</f>
        <v>17</v>
      </c>
      <c r="Z268" s="14">
        <f>IF(Distances!EY111&lt;&gt;0,ROUNDUP(Z260+'Délai intermédiaire'!EY111/24,0),0)</f>
        <v>19</v>
      </c>
      <c r="AA268" s="14">
        <f>IF(Distances!EZ111&lt;&gt;0,ROUNDUP(AA260+'Délai intermédiaire'!EZ111/24,0),0)</f>
        <v>19</v>
      </c>
      <c r="AB268" s="14">
        <f>IF(Distances!FA111&lt;&gt;0,ROUNDUP(AB260+'Délai intermédiaire'!FA111/24,0),0)</f>
        <v>17</v>
      </c>
      <c r="AC268" s="14">
        <f>IF(Distances!FB111&lt;&gt;0,ROUNDUP(AC260+'Délai intermédiaire'!FB111/24,0),0)</f>
        <v>0</v>
      </c>
      <c r="AD268" s="14">
        <f>IF(Distances!FC111&lt;&gt;0,ROUNDUP(AD260+'Délai intermédiaire'!FC111/24,0),0)</f>
        <v>0</v>
      </c>
      <c r="AE268" s="14">
        <f>IF(Distances!FD111&lt;&gt;0,ROUNDUP(AE260+'Délai intermédiaire'!FD111/24,0),0)</f>
        <v>20</v>
      </c>
      <c r="AF268" s="14">
        <f>IF(Distances!FE111&lt;&gt;0,ROUNDUP(AF260+'Délai intermédiaire'!FE111/24,0),0)</f>
        <v>19</v>
      </c>
      <c r="AG268" s="14">
        <f>IF(Distances!FF111&lt;&gt;0,ROUNDUP(AG260+'Délai intermédiaire'!FF111/24,0),0)</f>
        <v>20</v>
      </c>
      <c r="AH268" s="14">
        <f>IF(Distances!FG111&lt;&gt;0,ROUNDUP(AH260+'Délai intermédiaire'!FG111/24,0),0)</f>
        <v>20</v>
      </c>
      <c r="AI268" s="14">
        <f>IF(Distances!FH111&lt;&gt;0,ROUNDUP(AI260+'Délai intermédiaire'!FH111/24,0),0)</f>
        <v>0</v>
      </c>
      <c r="AJ268" s="14">
        <f>IF(Distances!FI111&lt;&gt;0,ROUNDUP(AJ260+'Délai intermédiaire'!FI111/24,0),0)</f>
        <v>20</v>
      </c>
      <c r="AK268" s="14">
        <f>IF(Distances!FJ111&lt;&gt;0,ROUNDUP(AK260+'Délai intermédiaire'!FJ111/24,0),0)</f>
        <v>0</v>
      </c>
      <c r="AL268" s="14">
        <f>IF(Distances!FK111&lt;&gt;0,ROUNDUP(AL260+'Délai intermédiaire'!FK111/24,0),0)</f>
        <v>0</v>
      </c>
      <c r="AM268" s="14">
        <f>IF(Distances!FL111&lt;&gt;0,ROUNDUP(AM260+'Délai intermédiaire'!FL111/24,0),0)</f>
        <v>0</v>
      </c>
      <c r="AN268" s="14">
        <f>IF(Distances!FM111&lt;&gt;0,ROUNDUP(AN260+'Délai intermédiaire'!FM111/24,0),0)</f>
        <v>10</v>
      </c>
      <c r="AO268" s="14">
        <f>IF(Distances!FN111&lt;&gt;0,ROUNDUP(AO260+'Délai intermédiaire'!FN111/24,0),0)</f>
        <v>0</v>
      </c>
      <c r="AP268" s="14">
        <f>IF(Distances!FO111&lt;&gt;0,ROUNDUP(AP260+'Délai intermédiaire'!FO111/24,0),0)</f>
        <v>0</v>
      </c>
      <c r="AQ268" s="14">
        <f>IF(Distances!FP111&lt;&gt;0,ROUNDUP(AQ260+'Délai intermédiaire'!FP111/24,0),0)</f>
        <v>0</v>
      </c>
      <c r="AR268" s="14">
        <f>IF(Distances!FQ111&lt;&gt;0,ROUNDUP(AR260+'Délai intermédiaire'!FQ111/24,0),0)</f>
        <v>0</v>
      </c>
      <c r="AS268" s="14">
        <f>IF(Distances!FR111&lt;&gt;0,ROUNDUP(AS260+'Délai intermédiaire'!FR111/24,0),0)</f>
        <v>0</v>
      </c>
      <c r="AT268" s="14">
        <f>IF(Distances!FS111&lt;&gt;0,ROUNDUP(AT260+'Délai intermédiaire'!FS111/24,0),0)</f>
        <v>0</v>
      </c>
      <c r="AU268" s="14">
        <f>IF(Distances!FT111&lt;&gt;0,ROUNDUP(AU260+'Délai intermédiaire'!FT111/24,0),0)</f>
        <v>11</v>
      </c>
      <c r="AV268" s="14">
        <f>IF(Distances!FU111&lt;&gt;0,ROUNDUP(AV260+'Délai intermédiaire'!FU111/24,0),0)</f>
        <v>21</v>
      </c>
      <c r="AW268" s="14">
        <f>IF(Distances!FV111&lt;&gt;0,ROUNDUP(AW260+'Délai intermédiaire'!FV111/24,0),0)</f>
        <v>23</v>
      </c>
      <c r="AX268" s="14">
        <f>IF(Distances!FW111&lt;&gt;0,ROUNDUP(AX260+'Délai intermédiaire'!FW111/24,0),0)</f>
        <v>0</v>
      </c>
      <c r="AY268" s="14">
        <f>IF(Distances!FX111&lt;&gt;0,ROUNDUP(AY260+'Délai intermédiaire'!FX111/24,0),0)</f>
        <v>0</v>
      </c>
      <c r="AZ268" s="14">
        <f>IF(Distances!FY111&lt;&gt;0,ROUNDUP(AZ260+'Délai intermédiaire'!FY111/24,0),0)</f>
        <v>22</v>
      </c>
      <c r="BA268" s="14">
        <f>IF(Distances!FZ111&lt;&gt;0,ROUNDUP(BA260+'Délai intermédiaire'!FZ111/24,0),0)</f>
        <v>0</v>
      </c>
      <c r="BB268" s="14">
        <f>IF(Distances!GA111&lt;&gt;0,ROUNDUP(BB260+'Délai intermédiaire'!GA111/24,0),0)</f>
        <v>0</v>
      </c>
      <c r="BC268" s="14">
        <f>IF(Distances!GB111&lt;&gt;0,ROUNDUP(BC260+'Délai intermédiaire'!GB111/24,0),0)</f>
        <v>0</v>
      </c>
      <c r="BD268" s="14">
        <f>IF(Distances!GC111&lt;&gt;0,ROUNDUP(BD260+'Délai intermédiaire'!GC111/24,0),0)</f>
        <v>12</v>
      </c>
      <c r="BE268" s="14">
        <f>IF(Distances!GD111&lt;&gt;0,ROUNDUP(BE260+'Délai intermédiaire'!GD111/24,0),0)</f>
        <v>0</v>
      </c>
      <c r="BF268" s="14">
        <f>IF(Distances!GE111&lt;&gt;0,ROUNDUP(BF260+'Délai intermédiaire'!GE111/24,0),0)</f>
        <v>22</v>
      </c>
      <c r="BG268" s="14">
        <f>IF(Distances!GF111&lt;&gt;0,ROUNDUP(BG260+'Délai intermédiaire'!GF111/24,0),0)</f>
        <v>0</v>
      </c>
      <c r="BH268" s="14">
        <f>IF(Distances!GG111&lt;&gt;0,ROUNDUP(BH260+'Délai intermédiaire'!GG111/24,0),0)</f>
        <v>0</v>
      </c>
      <c r="BI268" s="14">
        <f>IF(Distances!GH111&lt;&gt;0,ROUNDUP(BI260+'Délai intermédiaire'!GH111/24,0),0)</f>
        <v>0</v>
      </c>
      <c r="BJ268" s="15">
        <f>IF(Distances!GI111&lt;&gt;0,ROUNDUP(BJ260+'Délai intermédiaire'!GI111/24,0),0)</f>
        <v>0</v>
      </c>
    </row>
    <row r="269" spans="1:62" x14ac:dyDescent="0.3">
      <c r="A269" s="10" t="s">
        <v>8</v>
      </c>
      <c r="B269" s="11">
        <f>IF(Distances!EA112&lt;&gt;0,ROUNDUP(B260+'Délai intermédiaire'!EA112/24,0),0)</f>
        <v>0</v>
      </c>
      <c r="C269" s="13">
        <f>IF(Distances!EB112&lt;&gt;0,ROUNDUP(C260+'Délai intermédiaire'!EB112/24,0),0)</f>
        <v>0</v>
      </c>
      <c r="D269" s="13">
        <f>IF(Distances!EC112&lt;&gt;0,ROUNDUP(D260+'Délai intermédiaire'!EC112/24,0),0)</f>
        <v>11</v>
      </c>
      <c r="E269" s="13">
        <f>IF(Distances!ED112&lt;&gt;0,ROUNDUP(E260+'Délai intermédiaire'!ED112/24,0),0)</f>
        <v>0</v>
      </c>
      <c r="F269" s="13">
        <f>IF(Distances!EE112&lt;&gt;0,ROUNDUP(F260+'Délai intermédiaire'!EE112/24,0),0)</f>
        <v>10</v>
      </c>
      <c r="G269" s="13">
        <f>IF(Distances!EF112&lt;&gt;0,ROUNDUP(G260+'Délai intermédiaire'!EF112/24,0),0)</f>
        <v>3</v>
      </c>
      <c r="H269" s="13">
        <f>IF(Distances!EG112&lt;&gt;0,ROUNDUP(H260+'Délai intermédiaire'!EG112/24,0),0)</f>
        <v>0</v>
      </c>
      <c r="I269" s="12">
        <f>IF(Distances!EH112&lt;&gt;0,ROUNDUP(I260+'Délai intermédiaire'!EH112/24,0),0)</f>
        <v>0</v>
      </c>
      <c r="J269" s="13">
        <f>IF(Distances!EI112&lt;&gt;0,ROUNDUP(J260+'Délai intermédiaire'!EI112/24,0),0)</f>
        <v>13</v>
      </c>
      <c r="K269" s="13">
        <f>IF(Distances!EJ112&lt;&gt;0,ROUNDUP(K260+'Délai intermédiaire'!EJ112/24,0),0)</f>
        <v>0</v>
      </c>
      <c r="L269" s="13">
        <f>IF(Distances!EK112&lt;&gt;0,ROUNDUP(L260+'Délai intermédiaire'!EK112/24,0),0)</f>
        <v>0</v>
      </c>
      <c r="M269" s="13">
        <f>IF(Distances!EL112&lt;&gt;0,ROUNDUP(M260+'Délai intermédiaire'!EL112/24,0),0)</f>
        <v>0</v>
      </c>
      <c r="N269" s="13">
        <f>IF(Distances!EM112&lt;&gt;0,ROUNDUP(N260+'Délai intermédiaire'!EM112/24,0),0)</f>
        <v>0</v>
      </c>
      <c r="O269" s="14">
        <f>IF(Distances!EN112&lt;&gt;0,ROUNDUP(O260+'Délai intermédiaire'!EN112/24,0),0)</f>
        <v>0</v>
      </c>
      <c r="P269" s="14">
        <f>IF(Distances!EO112&lt;&gt;0,ROUNDUP(P260+'Délai intermédiaire'!EO112/24,0),0)</f>
        <v>0</v>
      </c>
      <c r="Q269" s="14">
        <f>IF(Distances!EP112&lt;&gt;0,ROUNDUP(Q260+'Délai intermédiaire'!EP112/24,0),0)</f>
        <v>0</v>
      </c>
      <c r="R269" s="14">
        <f>IF(Distances!EQ112&lt;&gt;0,ROUNDUP(R260+'Délai intermédiaire'!EQ112/24,0),0)</f>
        <v>0</v>
      </c>
      <c r="S269" s="14">
        <f>IF(Distances!ER112&lt;&gt;0,ROUNDUP(S260+'Délai intermédiaire'!ER112/24,0),0)</f>
        <v>0</v>
      </c>
      <c r="T269" s="14">
        <f>IF(Distances!ES112&lt;&gt;0,ROUNDUP(T260+'Délai intermédiaire'!ES112/24,0),0)</f>
        <v>15</v>
      </c>
      <c r="U269" s="14">
        <f>IF(Distances!ET112&lt;&gt;0,ROUNDUP(U260+'Délai intermédiaire'!ET112/24,0),0)</f>
        <v>13</v>
      </c>
      <c r="V269" s="14">
        <f>IF(Distances!EU112&lt;&gt;0,ROUNDUP(V260+'Délai intermédiaire'!EU112/24,0),0)</f>
        <v>17</v>
      </c>
      <c r="W269" s="14">
        <f>IF(Distances!EV112&lt;&gt;0,ROUNDUP(W260+'Délai intermédiaire'!EV112/24,0),0)</f>
        <v>0</v>
      </c>
      <c r="X269" s="14">
        <f>IF(Distances!EW112&lt;&gt;0,ROUNDUP(X260+'Délai intermédiaire'!EW112/24,0),0)</f>
        <v>16</v>
      </c>
      <c r="Y269" s="14">
        <f>IF(Distances!EX112&lt;&gt;0,ROUNDUP(Y260+'Délai intermédiaire'!EX112/24,0),0)</f>
        <v>15</v>
      </c>
      <c r="Z269" s="14">
        <f>IF(Distances!EY112&lt;&gt;0,ROUNDUP(Z260+'Délai intermédiaire'!EY112/24,0),0)</f>
        <v>17</v>
      </c>
      <c r="AA269" s="14">
        <f>IF(Distances!EZ112&lt;&gt;0,ROUNDUP(AA260+'Délai intermédiaire'!EZ112/24,0),0)</f>
        <v>17</v>
      </c>
      <c r="AB269" s="14">
        <f>IF(Distances!FA112&lt;&gt;0,ROUNDUP(AB260+'Délai intermédiaire'!FA112/24,0),0)</f>
        <v>15</v>
      </c>
      <c r="AC269" s="14">
        <f>IF(Distances!FB112&lt;&gt;0,ROUNDUP(AC260+'Délai intermédiaire'!FB112/24,0),0)</f>
        <v>0</v>
      </c>
      <c r="AD269" s="14">
        <f>IF(Distances!FC112&lt;&gt;0,ROUNDUP(AD260+'Délai intermédiaire'!FC112/24,0),0)</f>
        <v>0</v>
      </c>
      <c r="AE269" s="14">
        <f>IF(Distances!FD112&lt;&gt;0,ROUNDUP(AE260+'Délai intermédiaire'!FD112/24,0),0)</f>
        <v>19</v>
      </c>
      <c r="AF269" s="14">
        <f>IF(Distances!FE112&lt;&gt;0,ROUNDUP(AF260+'Délai intermédiaire'!FE112/24,0),0)</f>
        <v>17</v>
      </c>
      <c r="AG269" s="14">
        <f>IF(Distances!FF112&lt;&gt;0,ROUNDUP(AG260+'Délai intermédiaire'!FF112/24,0),0)</f>
        <v>18</v>
      </c>
      <c r="AH269" s="14">
        <f>IF(Distances!FG112&lt;&gt;0,ROUNDUP(AH260+'Délai intermédiaire'!FG112/24,0),0)</f>
        <v>21</v>
      </c>
      <c r="AI269" s="14">
        <f>IF(Distances!FH112&lt;&gt;0,ROUNDUP(AI260+'Délai intermédiaire'!FH112/24,0),0)</f>
        <v>0</v>
      </c>
      <c r="AJ269" s="14">
        <f>IF(Distances!FI112&lt;&gt;0,ROUNDUP(AJ260+'Délai intermédiaire'!FI112/24,0),0)</f>
        <v>21</v>
      </c>
      <c r="AK269" s="14">
        <f>IF(Distances!FJ112&lt;&gt;0,ROUNDUP(AK260+'Délai intermédiaire'!FJ112/24,0),0)</f>
        <v>0</v>
      </c>
      <c r="AL269" s="14">
        <f>IF(Distances!FK112&lt;&gt;0,ROUNDUP(AL260+'Délai intermédiaire'!FK112/24,0),0)</f>
        <v>0</v>
      </c>
      <c r="AM269" s="14">
        <f>IF(Distances!FL112&lt;&gt;0,ROUNDUP(AM260+'Délai intermédiaire'!FL112/24,0),0)</f>
        <v>0</v>
      </c>
      <c r="AN269" s="14">
        <f>IF(Distances!FM112&lt;&gt;0,ROUNDUP(AN260+'Délai intermédiaire'!FM112/24,0),0)</f>
        <v>11</v>
      </c>
      <c r="AO269" s="14">
        <f>IF(Distances!FN112&lt;&gt;0,ROUNDUP(AO260+'Délai intermédiaire'!FN112/24,0),0)</f>
        <v>0</v>
      </c>
      <c r="AP269" s="14">
        <f>IF(Distances!FO112&lt;&gt;0,ROUNDUP(AP260+'Délai intermédiaire'!FO112/24,0),0)</f>
        <v>0</v>
      </c>
      <c r="AQ269" s="14">
        <f>IF(Distances!FP112&lt;&gt;0,ROUNDUP(AQ260+'Délai intermédiaire'!FP112/24,0),0)</f>
        <v>0</v>
      </c>
      <c r="AR269" s="14">
        <f>IF(Distances!FQ112&lt;&gt;0,ROUNDUP(AR260+'Délai intermédiaire'!FQ112/24,0),0)</f>
        <v>0</v>
      </c>
      <c r="AS269" s="14">
        <f>IF(Distances!FR112&lt;&gt;0,ROUNDUP(AS260+'Délai intermédiaire'!FR112/24,0),0)</f>
        <v>0</v>
      </c>
      <c r="AT269" s="14">
        <f>IF(Distances!FS112&lt;&gt;0,ROUNDUP(AT260+'Délai intermédiaire'!FS112/24,0),0)</f>
        <v>0</v>
      </c>
      <c r="AU269" s="14">
        <f>IF(Distances!FT112&lt;&gt;0,ROUNDUP(AU260+'Délai intermédiaire'!FT112/24,0),0)</f>
        <v>12</v>
      </c>
      <c r="AV269" s="14">
        <f>IF(Distances!FU112&lt;&gt;0,ROUNDUP(AV260+'Délai intermédiaire'!FU112/24,0),0)</f>
        <v>19</v>
      </c>
      <c r="AW269" s="14">
        <f>IF(Distances!FV112&lt;&gt;0,ROUNDUP(AW260+'Délai intermédiaire'!FV112/24,0),0)</f>
        <v>21</v>
      </c>
      <c r="AX269" s="14">
        <f>IF(Distances!FW112&lt;&gt;0,ROUNDUP(AX260+'Délai intermédiaire'!FW112/24,0),0)</f>
        <v>0</v>
      </c>
      <c r="AY269" s="14">
        <f>IF(Distances!FX112&lt;&gt;0,ROUNDUP(AY260+'Délai intermédiaire'!FX112/24,0),0)</f>
        <v>0</v>
      </c>
      <c r="AZ269" s="14">
        <f>IF(Distances!FY112&lt;&gt;0,ROUNDUP(AZ260+'Délai intermédiaire'!FY112/24,0),0)</f>
        <v>23</v>
      </c>
      <c r="BA269" s="14">
        <f>IF(Distances!FZ112&lt;&gt;0,ROUNDUP(BA260+'Délai intermédiaire'!FZ112/24,0),0)</f>
        <v>0</v>
      </c>
      <c r="BB269" s="14">
        <f>IF(Distances!GA112&lt;&gt;0,ROUNDUP(BB260+'Délai intermédiaire'!GA112/24,0),0)</f>
        <v>0</v>
      </c>
      <c r="BC269" s="14">
        <f>IF(Distances!GB112&lt;&gt;0,ROUNDUP(BC260+'Délai intermédiaire'!GB112/24,0),0)</f>
        <v>0</v>
      </c>
      <c r="BD269" s="14">
        <f>IF(Distances!GC112&lt;&gt;0,ROUNDUP(BD260+'Délai intermédiaire'!GC112/24,0),0)</f>
        <v>13</v>
      </c>
      <c r="BE269" s="14">
        <f>IF(Distances!GD112&lt;&gt;0,ROUNDUP(BE260+'Délai intermédiaire'!GD112/24,0),0)</f>
        <v>0</v>
      </c>
      <c r="BF269" s="14">
        <f>IF(Distances!GE112&lt;&gt;0,ROUNDUP(BF260+'Délai intermédiaire'!GE112/24,0),0)</f>
        <v>20</v>
      </c>
      <c r="BG269" s="14">
        <f>IF(Distances!GF112&lt;&gt;0,ROUNDUP(BG260+'Délai intermédiaire'!GF112/24,0),0)</f>
        <v>0</v>
      </c>
      <c r="BH269" s="14">
        <f>IF(Distances!GG112&lt;&gt;0,ROUNDUP(BH260+'Délai intermédiaire'!GG112/24,0),0)</f>
        <v>0</v>
      </c>
      <c r="BI269" s="14">
        <f>IF(Distances!GH112&lt;&gt;0,ROUNDUP(BI260+'Délai intermédiaire'!GH112/24,0),0)</f>
        <v>0</v>
      </c>
      <c r="BJ269" s="15">
        <f>IF(Distances!GI112&lt;&gt;0,ROUNDUP(BJ260+'Délai intermédiaire'!GI112/24,0),0)</f>
        <v>0</v>
      </c>
    </row>
    <row r="270" spans="1:62" x14ac:dyDescent="0.3">
      <c r="A270" s="10" t="s">
        <v>64</v>
      </c>
      <c r="B270" s="11">
        <f>IF(Distances!EA113&lt;&gt;0,ROUNDUP(B260+'Délai intermédiaire'!EA113/24,0),0)</f>
        <v>6</v>
      </c>
      <c r="C270" s="13">
        <f>IF(Distances!EB113&lt;&gt;0,ROUNDUP(C260+'Délai intermédiaire'!EB113/24,0),0)</f>
        <v>7</v>
      </c>
      <c r="D270" s="13">
        <f>IF(Distances!EC113&lt;&gt;0,ROUNDUP(D260+'Délai intermédiaire'!EC113/24,0),0)</f>
        <v>5</v>
      </c>
      <c r="E270" s="13">
        <f>IF(Distances!ED113&lt;&gt;0,ROUNDUP(E260+'Délai intermédiaire'!ED113/24,0),0)</f>
        <v>4</v>
      </c>
      <c r="F270" s="13">
        <f>IF(Distances!EE113&lt;&gt;0,ROUNDUP(F260+'Délai intermédiaire'!EE113/24,0),0)</f>
        <v>5</v>
      </c>
      <c r="G270" s="13">
        <f>IF(Distances!EF113&lt;&gt;0,ROUNDUP(G260+'Délai intermédiaire'!EF113/24,0),0)</f>
        <v>14</v>
      </c>
      <c r="H270" s="13">
        <f>IF(Distances!EG113&lt;&gt;0,ROUNDUP(H260+'Délai intermédiaire'!EG113/24,0),0)</f>
        <v>14</v>
      </c>
      <c r="I270" s="13">
        <f>IF(Distances!EH113&lt;&gt;0,ROUNDUP(I260+'Délai intermédiaire'!EH113/24,0),0)</f>
        <v>12</v>
      </c>
      <c r="J270" s="12">
        <f>IF(Distances!EI113&lt;&gt;0,ROUNDUP(J260+'Délai intermédiaire'!EI113/24,0),0)</f>
        <v>0</v>
      </c>
      <c r="K270" s="13">
        <f>IF(Distances!EJ113&lt;&gt;0,ROUNDUP(K260+'Délai intermédiaire'!EJ113/24,0),0)</f>
        <v>3</v>
      </c>
      <c r="L270" s="13">
        <f>IF(Distances!EK113&lt;&gt;0,ROUNDUP(L260+'Délai intermédiaire'!EK113/24,0),0)</f>
        <v>15</v>
      </c>
      <c r="M270" s="13">
        <f>IF(Distances!EL113&lt;&gt;0,ROUNDUP(M260+'Délai intermédiaire'!EL113/24,0),0)</f>
        <v>15</v>
      </c>
      <c r="N270" s="13">
        <f>IF(Distances!EM113&lt;&gt;0,ROUNDUP(N260+'Délai intermédiaire'!EM113/24,0),0)</f>
        <v>8</v>
      </c>
      <c r="O270" s="14">
        <f>IF(Distances!EN113&lt;&gt;0,ROUNDUP(O260+'Délai intermédiaire'!EN113/24,0),0)</f>
        <v>12</v>
      </c>
      <c r="P270" s="14">
        <f>IF(Distances!EO113&lt;&gt;0,ROUNDUP(P260+'Délai intermédiaire'!EO113/24,0),0)</f>
        <v>10</v>
      </c>
      <c r="Q270" s="14">
        <f>IF(Distances!EP113&lt;&gt;0,ROUNDUP(Q260+'Délai intermédiaire'!EP113/24,0),0)</f>
        <v>7</v>
      </c>
      <c r="R270" s="14">
        <f>IF(Distances!EQ113&lt;&gt;0,ROUNDUP(R260+'Délai intermédiaire'!EQ113/24,0),0)</f>
        <v>7</v>
      </c>
      <c r="S270" s="14">
        <f>IF(Distances!ER113&lt;&gt;0,ROUNDUP(S260+'Délai intermédiaire'!ER113/24,0),0)</f>
        <v>7</v>
      </c>
      <c r="T270" s="14">
        <f>IF(Distances!ES113&lt;&gt;0,ROUNDUP(T260+'Délai intermédiaire'!ES113/24,0),0)</f>
        <v>7</v>
      </c>
      <c r="U270" s="14">
        <f>IF(Distances!ET113&lt;&gt;0,ROUNDUP(U260+'Délai intermédiaire'!ET113/24,0),0)</f>
        <v>8</v>
      </c>
      <c r="V270" s="14">
        <f>IF(Distances!EU113&lt;&gt;0,ROUNDUP(V260+'Délai intermédiaire'!EU113/24,0),0)</f>
        <v>10</v>
      </c>
      <c r="W270" s="14">
        <f>IF(Distances!EV113&lt;&gt;0,ROUNDUP(W260+'Délai intermédiaire'!EV113/24,0),0)</f>
        <v>8</v>
      </c>
      <c r="X270" s="14">
        <f>IF(Distances!EW113&lt;&gt;0,ROUNDUP(X260+'Délai intermédiaire'!EW113/24,0),0)</f>
        <v>8</v>
      </c>
      <c r="Y270" s="14">
        <f>IF(Distances!EX113&lt;&gt;0,ROUNDUP(Y260+'Délai intermédiaire'!EX113/24,0),0)</f>
        <v>8</v>
      </c>
      <c r="Z270" s="14">
        <f>IF(Distances!EY113&lt;&gt;0,ROUNDUP(Z260+'Délai intermédiaire'!EY113/24,0),0)</f>
        <v>10</v>
      </c>
      <c r="AA270" s="14">
        <f>IF(Distances!EZ113&lt;&gt;0,ROUNDUP(AA260+'Délai intermédiaire'!EZ113/24,0),0)</f>
        <v>10</v>
      </c>
      <c r="AB270" s="14">
        <f>IF(Distances!FA113&lt;&gt;0,ROUNDUP(AB260+'Délai intermédiaire'!FA113/24,0),0)</f>
        <v>8</v>
      </c>
      <c r="AC270" s="14">
        <f>IF(Distances!FB113&lt;&gt;0,ROUNDUP(AC260+'Délai intermédiaire'!FB113/24,0),0)</f>
        <v>8</v>
      </c>
      <c r="AD270" s="14">
        <f>IF(Distances!FC113&lt;&gt;0,ROUNDUP(AD260+'Délai intermédiaire'!FC113/24,0),0)</f>
        <v>9</v>
      </c>
      <c r="AE270" s="14">
        <f>IF(Distances!FD113&lt;&gt;0,ROUNDUP(AE260+'Délai intermédiaire'!FD113/24,0),0)</f>
        <v>12</v>
      </c>
      <c r="AF270" s="14">
        <f>IF(Distances!FE113&lt;&gt;0,ROUNDUP(AF260+'Délai intermédiaire'!FE113/24,0),0)</f>
        <v>11</v>
      </c>
      <c r="AG270" s="14">
        <f>IF(Distances!FF113&lt;&gt;0,ROUNDUP(AG260+'Délai intermédiaire'!FF113/24,0),0)</f>
        <v>11</v>
      </c>
      <c r="AH270" s="14">
        <f>IF(Distances!FG113&lt;&gt;0,ROUNDUP(AH260+'Délai intermédiaire'!FG113/24,0),0)</f>
        <v>18</v>
      </c>
      <c r="AI270" s="14">
        <f>IF(Distances!FH113&lt;&gt;0,ROUNDUP(AI260+'Délai intermédiaire'!FH113/24,0),0)</f>
        <v>20</v>
      </c>
      <c r="AJ270" s="14">
        <f>IF(Distances!FI113&lt;&gt;0,ROUNDUP(AJ260+'Délai intermédiaire'!FI113/24,0),0)</f>
        <v>18</v>
      </c>
      <c r="AK270" s="14">
        <f>IF(Distances!FJ113&lt;&gt;0,ROUNDUP(AK260+'Délai intermédiaire'!FJ113/24,0),0)</f>
        <v>19</v>
      </c>
      <c r="AL270" s="14">
        <f>IF(Distances!FK113&lt;&gt;0,ROUNDUP(AL260+'Délai intermédiaire'!FK113/24,0),0)</f>
        <v>21</v>
      </c>
      <c r="AM270" s="14">
        <f>IF(Distances!FL113&lt;&gt;0,ROUNDUP(AM260+'Délai intermédiaire'!FL113/24,0),0)</f>
        <v>21</v>
      </c>
      <c r="AN270" s="14">
        <f>IF(Distances!FM113&lt;&gt;0,ROUNDUP(AN260+'Délai intermédiaire'!FM113/24,0),0)</f>
        <v>21</v>
      </c>
      <c r="AO270" s="14">
        <f>IF(Distances!FN113&lt;&gt;0,ROUNDUP(AO260+'Délai intermédiaire'!FN113/24,0),0)</f>
        <v>22</v>
      </c>
      <c r="AP270" s="14">
        <f>IF(Distances!FO113&lt;&gt;0,ROUNDUP(AP260+'Délai intermédiaire'!FO113/24,0),0)</f>
        <v>22</v>
      </c>
      <c r="AQ270" s="14">
        <f>IF(Distances!FP113&lt;&gt;0,ROUNDUP(AQ260+'Délai intermédiaire'!FP113/24,0),0)</f>
        <v>23</v>
      </c>
      <c r="AR270" s="14">
        <f>IF(Distances!FQ113&lt;&gt;0,ROUNDUP(AR260+'Délai intermédiaire'!FQ113/24,0),0)</f>
        <v>17</v>
      </c>
      <c r="AS270" s="14">
        <f>IF(Distances!FR113&lt;&gt;0,ROUNDUP(AS260+'Délai intermédiaire'!FR113/24,0),0)</f>
        <v>17</v>
      </c>
      <c r="AT270" s="14">
        <f>IF(Distances!FS113&lt;&gt;0,ROUNDUP(AT260+'Délai intermédiaire'!FS113/24,0),0)</f>
        <v>17</v>
      </c>
      <c r="AU270" s="14">
        <f>IF(Distances!FT113&lt;&gt;0,ROUNDUP(AU260+'Délai intermédiaire'!FT113/24,0),0)</f>
        <v>23</v>
      </c>
      <c r="AV270" s="14">
        <f>IF(Distances!FU113&lt;&gt;0,ROUNDUP(AV260+'Délai intermédiaire'!FU113/24,0),0)</f>
        <v>11</v>
      </c>
      <c r="AW270" s="14">
        <f>IF(Distances!FV113&lt;&gt;0,ROUNDUP(AW260+'Délai intermédiaire'!FV113/24,0),0)</f>
        <v>13</v>
      </c>
      <c r="AX270" s="14">
        <f>IF(Distances!FW113&lt;&gt;0,ROUNDUP(AX260+'Délai intermédiaire'!FW113/24,0),0)</f>
        <v>23</v>
      </c>
      <c r="AY270" s="14">
        <f>IF(Distances!FX113&lt;&gt;0,ROUNDUP(AY260+'Délai intermédiaire'!FX113/24,0),0)</f>
        <v>3</v>
      </c>
      <c r="AZ270" s="14">
        <f>IF(Distances!FY113&lt;&gt;0,ROUNDUP(AZ260+'Délai intermédiaire'!FY113/24,0),0)</f>
        <v>17</v>
      </c>
      <c r="BA270" s="14">
        <f>IF(Distances!FZ113&lt;&gt;0,ROUNDUP(BA260+'Délai intermédiaire'!FZ113/24,0),0)</f>
        <v>22</v>
      </c>
      <c r="BB270" s="14">
        <f>IF(Distances!GA113&lt;&gt;0,ROUNDUP(BB260+'Délai intermédiaire'!GA113/24,0),0)</f>
        <v>9</v>
      </c>
      <c r="BC270" s="14">
        <f>IF(Distances!GB113&lt;&gt;0,ROUNDUP(BC260+'Délai intermédiaire'!GB113/24,0),0)</f>
        <v>23</v>
      </c>
      <c r="BD270" s="14">
        <f>IF(Distances!GC113&lt;&gt;0,ROUNDUP(BD260+'Délai intermédiaire'!GC113/24,0),0)</f>
        <v>24</v>
      </c>
      <c r="BE270" s="14">
        <f>IF(Distances!GD113&lt;&gt;0,ROUNDUP(BE260+'Délai intermédiaire'!GD113/24,0),0)</f>
        <v>23</v>
      </c>
      <c r="BF270" s="14">
        <f>IF(Distances!GE113&lt;&gt;0,ROUNDUP(BF260+'Délai intermédiaire'!GE113/24,0),0)</f>
        <v>13</v>
      </c>
      <c r="BG270" s="14">
        <f>IF(Distances!GF113&lt;&gt;0,ROUNDUP(BG260+'Délai intermédiaire'!GF113/24,0),0)</f>
        <v>11</v>
      </c>
      <c r="BH270" s="14">
        <f>IF(Distances!GG113&lt;&gt;0,ROUNDUP(BH260+'Délai intermédiaire'!GG113/24,0),0)</f>
        <v>9</v>
      </c>
      <c r="BI270" s="14">
        <f>IF(Distances!GH113&lt;&gt;0,ROUNDUP(BI260+'Délai intermédiaire'!GH113/24,0),0)</f>
        <v>13</v>
      </c>
      <c r="BJ270" s="15">
        <f>IF(Distances!GI113&lt;&gt;0,ROUNDUP(BJ260+'Délai intermédiaire'!GI113/24,0),0)</f>
        <v>13</v>
      </c>
    </row>
    <row r="271" spans="1:62" x14ac:dyDescent="0.3">
      <c r="A271" s="10" t="s">
        <v>10</v>
      </c>
      <c r="B271" s="11">
        <f>IF(Distances!EA114&lt;&gt;0,ROUNDUP(B260+'Délai intermédiaire'!EA114/24,0),0)</f>
        <v>0</v>
      </c>
      <c r="C271" s="13">
        <f>IF(Distances!EB114&lt;&gt;0,ROUNDUP(C260+'Délai intermédiaire'!EB114/24,0),0)</f>
        <v>0</v>
      </c>
      <c r="D271" s="13">
        <f>IF(Distances!EC114&lt;&gt;0,ROUNDUP(D260+'Délai intermédiaire'!EC114/24,0),0)</f>
        <v>5</v>
      </c>
      <c r="E271" s="13">
        <f>IF(Distances!ED114&lt;&gt;0,ROUNDUP(E260+'Délai intermédiaire'!ED114/24,0),0)</f>
        <v>0</v>
      </c>
      <c r="F271" s="13">
        <f>IF(Distances!EE114&lt;&gt;0,ROUNDUP(F260+'Délai intermédiaire'!EE114/24,0),0)</f>
        <v>5</v>
      </c>
      <c r="G271" s="13">
        <f>IF(Distances!EF114&lt;&gt;0,ROUNDUP(G260+'Délai intermédiaire'!EF114/24,0),0)</f>
        <v>14</v>
      </c>
      <c r="H271" s="13">
        <f>IF(Distances!EG114&lt;&gt;0,ROUNDUP(H260+'Délai intermédiaire'!EG114/24,0),0)</f>
        <v>0</v>
      </c>
      <c r="I271" s="13">
        <f>IF(Distances!EH114&lt;&gt;0,ROUNDUP(I260+'Délai intermédiaire'!EH114/24,0),0)</f>
        <v>0</v>
      </c>
      <c r="J271" s="13">
        <f>IF(Distances!EI114&lt;&gt;0,ROUNDUP(J260+'Délai intermédiaire'!EI114/24,0),0)</f>
        <v>3</v>
      </c>
      <c r="K271" s="12">
        <f>IF(Distances!EJ114&lt;&gt;0,ROUNDUP(K260+'Délai intermédiaire'!EJ114/24,0),0)</f>
        <v>0</v>
      </c>
      <c r="L271" s="13">
        <f>IF(Distances!EK114&lt;&gt;0,ROUNDUP(L260+'Délai intermédiaire'!EK114/24,0),0)</f>
        <v>0</v>
      </c>
      <c r="M271" s="13">
        <f>IF(Distances!EL114&lt;&gt;0,ROUNDUP(M260+'Délai intermédiaire'!EL114/24,0),0)</f>
        <v>0</v>
      </c>
      <c r="N271" s="13">
        <f>IF(Distances!EM114&lt;&gt;0,ROUNDUP(N260+'Délai intermédiaire'!EM114/24,0),0)</f>
        <v>0</v>
      </c>
      <c r="O271" s="14">
        <f>IF(Distances!EN114&lt;&gt;0,ROUNDUP(O260+'Délai intermédiaire'!EN114/24,0),0)</f>
        <v>0</v>
      </c>
      <c r="P271" s="14">
        <f>IF(Distances!EO114&lt;&gt;0,ROUNDUP(P260+'Délai intermédiaire'!EO114/24,0),0)</f>
        <v>0</v>
      </c>
      <c r="Q271" s="14">
        <f>IF(Distances!EP114&lt;&gt;0,ROUNDUP(Q260+'Délai intermédiaire'!EP114/24,0),0)</f>
        <v>0</v>
      </c>
      <c r="R271" s="14">
        <f>IF(Distances!EQ114&lt;&gt;0,ROUNDUP(R260+'Délai intermédiaire'!EQ114/24,0),0)</f>
        <v>0</v>
      </c>
      <c r="S271" s="14">
        <f>IF(Distances!ER114&lt;&gt;0,ROUNDUP(S260+'Délai intermédiaire'!ER114/24,0),0)</f>
        <v>0</v>
      </c>
      <c r="T271" s="14">
        <f>IF(Distances!ES114&lt;&gt;0,ROUNDUP(T260+'Délai intermédiaire'!ES114/24,0),0)</f>
        <v>7</v>
      </c>
      <c r="U271" s="14">
        <f>IF(Distances!ET114&lt;&gt;0,ROUNDUP(U260+'Délai intermédiaire'!ET114/24,0),0)</f>
        <v>8</v>
      </c>
      <c r="V271" s="14">
        <f>IF(Distances!EU114&lt;&gt;0,ROUNDUP(V260+'Délai intermédiaire'!EU114/24,0),0)</f>
        <v>10</v>
      </c>
      <c r="W271" s="14">
        <f>IF(Distances!EV114&lt;&gt;0,ROUNDUP(W260+'Délai intermédiaire'!EV114/24,0),0)</f>
        <v>0</v>
      </c>
      <c r="X271" s="14">
        <f>IF(Distances!EW114&lt;&gt;0,ROUNDUP(X260+'Délai intermédiaire'!EW114/24,0),0)</f>
        <v>8</v>
      </c>
      <c r="Y271" s="14">
        <f>IF(Distances!EX114&lt;&gt;0,ROUNDUP(Y260+'Délai intermédiaire'!EX114/24,0),0)</f>
        <v>7</v>
      </c>
      <c r="Z271" s="14">
        <f>IF(Distances!EY114&lt;&gt;0,ROUNDUP(Z260+'Délai intermédiaire'!EY114/24,0),0)</f>
        <v>10</v>
      </c>
      <c r="AA271" s="14">
        <f>IF(Distances!EZ114&lt;&gt;0,ROUNDUP(AA260+'Délai intermédiaire'!EZ114/24,0),0)</f>
        <v>10</v>
      </c>
      <c r="AB271" s="14">
        <f>IF(Distances!FA114&lt;&gt;0,ROUNDUP(AB260+'Délai intermédiaire'!FA114/24,0),0)</f>
        <v>8</v>
      </c>
      <c r="AC271" s="14">
        <f>IF(Distances!FB114&lt;&gt;0,ROUNDUP(AC260+'Délai intermédiaire'!FB114/24,0),0)</f>
        <v>0</v>
      </c>
      <c r="AD271" s="14">
        <f>IF(Distances!FC114&lt;&gt;0,ROUNDUP(AD260+'Délai intermédiaire'!FC114/24,0),0)</f>
        <v>0</v>
      </c>
      <c r="AE271" s="14">
        <f>IF(Distances!FD114&lt;&gt;0,ROUNDUP(AE260+'Délai intermédiaire'!FD114/24,0),0)</f>
        <v>11</v>
      </c>
      <c r="AF271" s="14">
        <f>IF(Distances!FE114&lt;&gt;0,ROUNDUP(AF260+'Délai intermédiaire'!FE114/24,0),0)</f>
        <v>10</v>
      </c>
      <c r="AG271" s="14">
        <f>IF(Distances!FF114&lt;&gt;0,ROUNDUP(AG260+'Délai intermédiaire'!FF114/24,0),0)</f>
        <v>11</v>
      </c>
      <c r="AH271" s="14">
        <f>IF(Distances!FG114&lt;&gt;0,ROUNDUP(AH260+'Délai intermédiaire'!FG114/24,0),0)</f>
        <v>17</v>
      </c>
      <c r="AI271" s="14">
        <f>IF(Distances!FH114&lt;&gt;0,ROUNDUP(AI260+'Délai intermédiaire'!FH114/24,0),0)</f>
        <v>0</v>
      </c>
      <c r="AJ271" s="14">
        <f>IF(Distances!FI114&lt;&gt;0,ROUNDUP(AJ260+'Délai intermédiaire'!FI114/24,0),0)</f>
        <v>17</v>
      </c>
      <c r="AK271" s="14">
        <f>IF(Distances!FJ114&lt;&gt;0,ROUNDUP(AK260+'Délai intermédiaire'!FJ114/24,0),0)</f>
        <v>0</v>
      </c>
      <c r="AL271" s="14">
        <f>IF(Distances!FK114&lt;&gt;0,ROUNDUP(AL260+'Délai intermédiaire'!FK114/24,0),0)</f>
        <v>0</v>
      </c>
      <c r="AM271" s="14">
        <f>IF(Distances!FL114&lt;&gt;0,ROUNDUP(AM260+'Délai intermédiaire'!FL114/24,0),0)</f>
        <v>0</v>
      </c>
      <c r="AN271" s="14">
        <f>IF(Distances!FM114&lt;&gt;0,ROUNDUP(AN260+'Délai intermédiaire'!FM114/24,0),0)</f>
        <v>21</v>
      </c>
      <c r="AO271" s="14">
        <f>IF(Distances!FN114&lt;&gt;0,ROUNDUP(AO260+'Délai intermédiaire'!FN114/24,0),0)</f>
        <v>0</v>
      </c>
      <c r="AP271" s="14">
        <f>IF(Distances!FO114&lt;&gt;0,ROUNDUP(AP260+'Délai intermédiaire'!FO114/24,0),0)</f>
        <v>0</v>
      </c>
      <c r="AQ271" s="14">
        <f>IF(Distances!FP114&lt;&gt;0,ROUNDUP(AQ260+'Délai intermédiaire'!FP114/24,0),0)</f>
        <v>0</v>
      </c>
      <c r="AR271" s="14">
        <f>IF(Distances!FQ114&lt;&gt;0,ROUNDUP(AR260+'Délai intermédiaire'!FQ114/24,0),0)</f>
        <v>0</v>
      </c>
      <c r="AS271" s="14">
        <f>IF(Distances!FR114&lt;&gt;0,ROUNDUP(AS260+'Délai intermédiaire'!FR114/24,0),0)</f>
        <v>0</v>
      </c>
      <c r="AT271" s="14">
        <f>IF(Distances!FS114&lt;&gt;0,ROUNDUP(AT260+'Délai intermédiaire'!FS114/24,0),0)</f>
        <v>0</v>
      </c>
      <c r="AU271" s="14">
        <f>IF(Distances!FT114&lt;&gt;0,ROUNDUP(AU260+'Délai intermédiaire'!FT114/24,0),0)</f>
        <v>23</v>
      </c>
      <c r="AV271" s="14">
        <f>IF(Distances!FU114&lt;&gt;0,ROUNDUP(AV260+'Délai intermédiaire'!FU114/24,0),0)</f>
        <v>11</v>
      </c>
      <c r="AW271" s="14">
        <f>IF(Distances!FV114&lt;&gt;0,ROUNDUP(AW260+'Délai intermédiaire'!FV114/24,0),0)</f>
        <v>13</v>
      </c>
      <c r="AX271" s="14">
        <f>IF(Distances!FW114&lt;&gt;0,ROUNDUP(AX260+'Délai intermédiaire'!FW114/24,0),0)</f>
        <v>0</v>
      </c>
      <c r="AY271" s="14">
        <f>IF(Distances!FX114&lt;&gt;0,ROUNDUP(AY260+'Délai intermédiaire'!FX114/24,0),0)</f>
        <v>0</v>
      </c>
      <c r="AZ271" s="14">
        <f>IF(Distances!FY114&lt;&gt;0,ROUNDUP(AZ260+'Délai intermédiaire'!FY114/24,0),0)</f>
        <v>17</v>
      </c>
      <c r="BA271" s="14">
        <f>IF(Distances!FZ114&lt;&gt;0,ROUNDUP(BA260+'Délai intermédiaire'!FZ114/24,0),0)</f>
        <v>0</v>
      </c>
      <c r="BB271" s="14">
        <f>IF(Distances!GA114&lt;&gt;0,ROUNDUP(BB260+'Délai intermédiaire'!GA114/24,0),0)</f>
        <v>0</v>
      </c>
      <c r="BC271" s="14">
        <f>IF(Distances!GB114&lt;&gt;0,ROUNDUP(BC260+'Délai intermédiaire'!GB114/24,0),0)</f>
        <v>0</v>
      </c>
      <c r="BD271" s="14">
        <f>IF(Distances!GC114&lt;&gt;0,ROUNDUP(BD260+'Délai intermédiaire'!GC114/24,0),0)</f>
        <v>23</v>
      </c>
      <c r="BE271" s="14">
        <f>IF(Distances!GD114&lt;&gt;0,ROUNDUP(BE260+'Délai intermédiaire'!GD114/24,0),0)</f>
        <v>0</v>
      </c>
      <c r="BF271" s="14">
        <f>IF(Distances!GE114&lt;&gt;0,ROUNDUP(BF260+'Délai intermédiaire'!GE114/24,0),0)</f>
        <v>13</v>
      </c>
      <c r="BG271" s="14">
        <f>IF(Distances!GF114&lt;&gt;0,ROUNDUP(BG260+'Délai intermédiaire'!GF114/24,0),0)</f>
        <v>0</v>
      </c>
      <c r="BH271" s="14">
        <f>IF(Distances!GG114&lt;&gt;0,ROUNDUP(BH260+'Délai intermédiaire'!GG114/24,0),0)</f>
        <v>0</v>
      </c>
      <c r="BI271" s="14">
        <f>IF(Distances!GH114&lt;&gt;0,ROUNDUP(BI260+'Délai intermédiaire'!GH114/24,0),0)</f>
        <v>0</v>
      </c>
      <c r="BJ271" s="15">
        <f>IF(Distances!GI114&lt;&gt;0,ROUNDUP(BJ260+'Délai intermédiaire'!GI114/24,0),0)</f>
        <v>0</v>
      </c>
    </row>
    <row r="272" spans="1:62" x14ac:dyDescent="0.3">
      <c r="A272" s="10" t="s">
        <v>11</v>
      </c>
      <c r="B272" s="11">
        <f>IF(Distances!EA115&lt;&gt;0,ROUNDUP(B260+'Délai intermédiaire'!EA115/24,0),0)</f>
        <v>0</v>
      </c>
      <c r="C272" s="13">
        <f>IF(Distances!EB115&lt;&gt;0,ROUNDUP(C260+'Délai intermédiaire'!EB115/24,0),0)</f>
        <v>0</v>
      </c>
      <c r="D272" s="13">
        <f>IF(Distances!EC115&lt;&gt;0,ROUNDUP(D260+'Délai intermédiaire'!EC115/24,0),0)</f>
        <v>13</v>
      </c>
      <c r="E272" s="13">
        <f>IF(Distances!ED115&lt;&gt;0,ROUNDUP(E260+'Délai intermédiaire'!ED115/24,0),0)</f>
        <v>0</v>
      </c>
      <c r="F272" s="13">
        <f>IF(Distances!EE115&lt;&gt;0,ROUNDUP(F260+'Délai intermédiaire'!EE115/24,0),0)</f>
        <v>12</v>
      </c>
      <c r="G272" s="13">
        <f>IF(Distances!EF115&lt;&gt;0,ROUNDUP(G260+'Délai intermédiaire'!EF115/24,0),0)</f>
        <v>5</v>
      </c>
      <c r="H272" s="13">
        <f>IF(Distances!EG115&lt;&gt;0,ROUNDUP(H260+'Délai intermédiaire'!EG115/24,0),0)</f>
        <v>0</v>
      </c>
      <c r="I272" s="13">
        <f>IF(Distances!EH115&lt;&gt;0,ROUNDUP(I260+'Délai intermédiaire'!EH115/24,0),0)</f>
        <v>0</v>
      </c>
      <c r="J272" s="13">
        <f>IF(Distances!EI115&lt;&gt;0,ROUNDUP(J260+'Délai intermédiaire'!EI115/24,0),0)</f>
        <v>15</v>
      </c>
      <c r="K272" s="13">
        <f>IF(Distances!EJ115&lt;&gt;0,ROUNDUP(K260+'Délai intermédiaire'!EJ115/24,0),0)</f>
        <v>0</v>
      </c>
      <c r="L272" s="12">
        <f>IF(Distances!EK115&lt;&gt;0,ROUNDUP(L260+'Délai intermédiaire'!EK115/24,0),0)</f>
        <v>0</v>
      </c>
      <c r="M272" s="13">
        <f>IF(Distances!EL115&lt;&gt;0,ROUNDUP(M260+'Délai intermédiaire'!EL115/24,0),0)</f>
        <v>0</v>
      </c>
      <c r="N272" s="13">
        <f>IF(Distances!EM115&lt;&gt;0,ROUNDUP(N260+'Délai intermédiaire'!EM115/24,0),0)</f>
        <v>0</v>
      </c>
      <c r="O272" s="14">
        <f>IF(Distances!EN115&lt;&gt;0,ROUNDUP(O260+'Délai intermédiaire'!EN115/24,0),0)</f>
        <v>0</v>
      </c>
      <c r="P272" s="14">
        <f>IF(Distances!EO115&lt;&gt;0,ROUNDUP(P260+'Délai intermédiaire'!EO115/24,0),0)</f>
        <v>0</v>
      </c>
      <c r="Q272" s="14">
        <f>IF(Distances!EP115&lt;&gt;0,ROUNDUP(Q260+'Délai intermédiaire'!EP115/24,0),0)</f>
        <v>0</v>
      </c>
      <c r="R272" s="14">
        <f>IF(Distances!EQ115&lt;&gt;0,ROUNDUP(R260+'Délai intermédiaire'!EQ115/24,0),0)</f>
        <v>0</v>
      </c>
      <c r="S272" s="14">
        <f>IF(Distances!ER115&lt;&gt;0,ROUNDUP(S260+'Délai intermédiaire'!ER115/24,0),0)</f>
        <v>0</v>
      </c>
      <c r="T272" s="14">
        <f>IF(Distances!ES115&lt;&gt;0,ROUNDUP(T260+'Délai intermédiaire'!ES115/24,0),0)</f>
        <v>17</v>
      </c>
      <c r="U272" s="14">
        <f>IF(Distances!ET115&lt;&gt;0,ROUNDUP(U260+'Délai intermédiaire'!ET115/24,0),0)</f>
        <v>17</v>
      </c>
      <c r="V272" s="14">
        <f>IF(Distances!EU115&lt;&gt;0,ROUNDUP(V260+'Délai intermédiaire'!EU115/24,0),0)</f>
        <v>19</v>
      </c>
      <c r="W272" s="14">
        <f>IF(Distances!EV115&lt;&gt;0,ROUNDUP(W260+'Délai intermédiaire'!EV115/24,0),0)</f>
        <v>0</v>
      </c>
      <c r="X272" s="14">
        <f>IF(Distances!EW115&lt;&gt;0,ROUNDUP(X260+'Délai intermédiaire'!EW115/24,0),0)</f>
        <v>18</v>
      </c>
      <c r="Y272" s="14">
        <f>IF(Distances!EX115&lt;&gt;0,ROUNDUP(Y260+'Délai intermédiaire'!EX115/24,0),0)</f>
        <v>17</v>
      </c>
      <c r="Z272" s="14">
        <f>IF(Distances!EY115&lt;&gt;0,ROUNDUP(Z260+'Délai intermédiaire'!EY115/24,0),0)</f>
        <v>19</v>
      </c>
      <c r="AA272" s="14">
        <f>IF(Distances!EZ115&lt;&gt;0,ROUNDUP(AA260+'Délai intermédiaire'!EZ115/24,0),0)</f>
        <v>19</v>
      </c>
      <c r="AB272" s="14">
        <f>IF(Distances!FA115&lt;&gt;0,ROUNDUP(AB260+'Délai intermédiaire'!FA115/24,0),0)</f>
        <v>17</v>
      </c>
      <c r="AC272" s="14">
        <f>IF(Distances!FB115&lt;&gt;0,ROUNDUP(AC260+'Délai intermédiaire'!FB115/24,0),0)</f>
        <v>0</v>
      </c>
      <c r="AD272" s="14">
        <f>IF(Distances!FC115&lt;&gt;0,ROUNDUP(AD260+'Délai intermédiaire'!FC115/24,0),0)</f>
        <v>0</v>
      </c>
      <c r="AE272" s="14">
        <f>IF(Distances!FD115&lt;&gt;0,ROUNDUP(AE260+'Délai intermédiaire'!FD115/24,0),0)</f>
        <v>20</v>
      </c>
      <c r="AF272" s="14">
        <f>IF(Distances!FE115&lt;&gt;0,ROUNDUP(AF260+'Délai intermédiaire'!FE115/24,0),0)</f>
        <v>19</v>
      </c>
      <c r="AG272" s="14">
        <f>IF(Distances!FF115&lt;&gt;0,ROUNDUP(AG260+'Délai intermédiaire'!FF115/24,0),0)</f>
        <v>20</v>
      </c>
      <c r="AH272" s="14">
        <f>IF(Distances!FG115&lt;&gt;0,ROUNDUP(AH260+'Délai intermédiaire'!FG115/24,0),0)</f>
        <v>20</v>
      </c>
      <c r="AI272" s="14">
        <f>IF(Distances!FH115&lt;&gt;0,ROUNDUP(AI260+'Délai intermédiaire'!FH115/24,0),0)</f>
        <v>0</v>
      </c>
      <c r="AJ272" s="14">
        <f>IF(Distances!FI115&lt;&gt;0,ROUNDUP(AJ260+'Délai intermédiaire'!FI115/24,0),0)</f>
        <v>20</v>
      </c>
      <c r="AK272" s="14">
        <f>IF(Distances!FJ115&lt;&gt;0,ROUNDUP(AK260+'Délai intermédiaire'!FJ115/24,0),0)</f>
        <v>0</v>
      </c>
      <c r="AL272" s="14">
        <f>IF(Distances!FK115&lt;&gt;0,ROUNDUP(AL260+'Délai intermédiaire'!FK115/24,0),0)</f>
        <v>0</v>
      </c>
      <c r="AM272" s="14">
        <f>IF(Distances!FL115&lt;&gt;0,ROUNDUP(AM260+'Délai intermédiaire'!FL115/24,0),0)</f>
        <v>0</v>
      </c>
      <c r="AN272" s="14">
        <f>IF(Distances!FM115&lt;&gt;0,ROUNDUP(AN260+'Délai intermédiaire'!FM115/24,0),0)</f>
        <v>10</v>
      </c>
      <c r="AO272" s="14">
        <f>IF(Distances!FN115&lt;&gt;0,ROUNDUP(AO260+'Délai intermédiaire'!FN115/24,0),0)</f>
        <v>0</v>
      </c>
      <c r="AP272" s="14">
        <f>IF(Distances!FO115&lt;&gt;0,ROUNDUP(AP260+'Délai intermédiaire'!FO115/24,0),0)</f>
        <v>0</v>
      </c>
      <c r="AQ272" s="14">
        <f>IF(Distances!FP115&lt;&gt;0,ROUNDUP(AQ260+'Délai intermédiaire'!FP115/24,0),0)</f>
        <v>0</v>
      </c>
      <c r="AR272" s="14">
        <f>IF(Distances!FQ115&lt;&gt;0,ROUNDUP(AR260+'Délai intermédiaire'!FQ115/24,0),0)</f>
        <v>0</v>
      </c>
      <c r="AS272" s="14">
        <f>IF(Distances!FR115&lt;&gt;0,ROUNDUP(AS260+'Délai intermédiaire'!FR115/24,0),0)</f>
        <v>0</v>
      </c>
      <c r="AT272" s="14">
        <f>IF(Distances!FS115&lt;&gt;0,ROUNDUP(AT260+'Délai intermédiaire'!FS115/24,0),0)</f>
        <v>0</v>
      </c>
      <c r="AU272" s="14">
        <f>IF(Distances!FT115&lt;&gt;0,ROUNDUP(AU260+'Délai intermédiaire'!FT115/24,0),0)</f>
        <v>11</v>
      </c>
      <c r="AV272" s="14">
        <f>IF(Distances!FU115&lt;&gt;0,ROUNDUP(AV260+'Délai intermédiaire'!FU115/24,0),0)</f>
        <v>21</v>
      </c>
      <c r="AW272" s="14">
        <f>IF(Distances!FV115&lt;&gt;0,ROUNDUP(AW260+'Délai intermédiaire'!FV115/24,0),0)</f>
        <v>23</v>
      </c>
      <c r="AX272" s="14">
        <f>IF(Distances!FW115&lt;&gt;0,ROUNDUP(AX260+'Délai intermédiaire'!FW115/24,0),0)</f>
        <v>0</v>
      </c>
      <c r="AY272" s="14">
        <f>IF(Distances!FX115&lt;&gt;0,ROUNDUP(AY260+'Délai intermédiaire'!FX115/24,0),0)</f>
        <v>0</v>
      </c>
      <c r="AZ272" s="14">
        <f>IF(Distances!FY115&lt;&gt;0,ROUNDUP(AZ260+'Délai intermédiaire'!FY115/24,0),0)</f>
        <v>22</v>
      </c>
      <c r="BA272" s="14">
        <f>IF(Distances!FZ115&lt;&gt;0,ROUNDUP(BA260+'Délai intermédiaire'!FZ115/24,0),0)</f>
        <v>0</v>
      </c>
      <c r="BB272" s="14">
        <f>IF(Distances!GA115&lt;&gt;0,ROUNDUP(BB260+'Délai intermédiaire'!GA115/24,0),0)</f>
        <v>0</v>
      </c>
      <c r="BC272" s="14">
        <f>IF(Distances!GB115&lt;&gt;0,ROUNDUP(BC260+'Délai intermédiaire'!GB115/24,0),0)</f>
        <v>0</v>
      </c>
      <c r="BD272" s="14">
        <f>IF(Distances!GC115&lt;&gt;0,ROUNDUP(BD260+'Délai intermédiaire'!GC115/24,0),0)</f>
        <v>12</v>
      </c>
      <c r="BE272" s="14">
        <f>IF(Distances!GD115&lt;&gt;0,ROUNDUP(BE260+'Délai intermédiaire'!GD115/24,0),0)</f>
        <v>0</v>
      </c>
      <c r="BF272" s="14">
        <f>IF(Distances!GE115&lt;&gt;0,ROUNDUP(BF260+'Délai intermédiaire'!GE115/24,0),0)</f>
        <v>22</v>
      </c>
      <c r="BG272" s="14">
        <f>IF(Distances!GF115&lt;&gt;0,ROUNDUP(BG260+'Délai intermédiaire'!GF115/24,0),0)</f>
        <v>0</v>
      </c>
      <c r="BH272" s="14">
        <f>IF(Distances!GG115&lt;&gt;0,ROUNDUP(BH260+'Délai intermédiaire'!GG115/24,0),0)</f>
        <v>0</v>
      </c>
      <c r="BI272" s="14">
        <f>IF(Distances!GH115&lt;&gt;0,ROUNDUP(BI260+'Délai intermédiaire'!GH115/24,0),0)</f>
        <v>0</v>
      </c>
      <c r="BJ272" s="15">
        <f>IF(Distances!GI115&lt;&gt;0,ROUNDUP(BJ260+'Délai intermédiaire'!GI115/24,0),0)</f>
        <v>0</v>
      </c>
    </row>
    <row r="273" spans="1:62" x14ac:dyDescent="0.3">
      <c r="A273" s="10" t="s">
        <v>12</v>
      </c>
      <c r="B273" s="11">
        <f>IF(Distances!EA116&lt;&gt;0,ROUNDUP(B260+'Délai intermédiaire'!EA116/24,0),0)</f>
        <v>0</v>
      </c>
      <c r="C273" s="13">
        <f>IF(Distances!EB116&lt;&gt;0,ROUNDUP(C260+'Délai intermédiaire'!EB116/24,0),0)</f>
        <v>0</v>
      </c>
      <c r="D273" s="13">
        <f>IF(Distances!EC116&lt;&gt;0,ROUNDUP(D260+'Délai intermédiaire'!EC116/24,0),0)</f>
        <v>13</v>
      </c>
      <c r="E273" s="13">
        <f>IF(Distances!ED116&lt;&gt;0,ROUNDUP(E260+'Délai intermédiaire'!ED116/24,0),0)</f>
        <v>0</v>
      </c>
      <c r="F273" s="13">
        <f>IF(Distances!EE116&lt;&gt;0,ROUNDUP(F260+'Délai intermédiaire'!EE116/24,0),0)</f>
        <v>12</v>
      </c>
      <c r="G273" s="13">
        <f>IF(Distances!EF116&lt;&gt;0,ROUNDUP(G260+'Délai intermédiaire'!EF116/24,0),0)</f>
        <v>5</v>
      </c>
      <c r="H273" s="13">
        <f>IF(Distances!EG116&lt;&gt;0,ROUNDUP(H260+'Délai intermédiaire'!EG116/24,0),0)</f>
        <v>0</v>
      </c>
      <c r="I273" s="13">
        <f>IF(Distances!EH116&lt;&gt;0,ROUNDUP(I260+'Délai intermédiaire'!EH116/24,0),0)</f>
        <v>0</v>
      </c>
      <c r="J273" s="13">
        <f>IF(Distances!EI116&lt;&gt;0,ROUNDUP(J260+'Délai intermédiaire'!EI116/24,0),0)</f>
        <v>15</v>
      </c>
      <c r="K273" s="13">
        <f>IF(Distances!EJ116&lt;&gt;0,ROUNDUP(K260+'Délai intermédiaire'!EJ116/24,0),0)</f>
        <v>0</v>
      </c>
      <c r="L273" s="13">
        <f>IF(Distances!EK116&lt;&gt;0,ROUNDUP(L260+'Délai intermédiaire'!EK116/24,0),0)</f>
        <v>0</v>
      </c>
      <c r="M273" s="12">
        <f>IF(Distances!EL116&lt;&gt;0,ROUNDUP(M260+'Délai intermédiaire'!EL116/24,0),0)</f>
        <v>0</v>
      </c>
      <c r="N273" s="13">
        <f>IF(Distances!EM116&lt;&gt;0,ROUNDUP(N260+'Délai intermédiaire'!EM116/24,0),0)</f>
        <v>0</v>
      </c>
      <c r="O273" s="14">
        <f>IF(Distances!EN116&lt;&gt;0,ROUNDUP(O260+'Délai intermédiaire'!EN116/24,0),0)</f>
        <v>0</v>
      </c>
      <c r="P273" s="14">
        <f>IF(Distances!EO116&lt;&gt;0,ROUNDUP(P260+'Délai intermédiaire'!EO116/24,0),0)</f>
        <v>0</v>
      </c>
      <c r="Q273" s="14">
        <f>IF(Distances!EP116&lt;&gt;0,ROUNDUP(Q260+'Délai intermédiaire'!EP116/24,0),0)</f>
        <v>0</v>
      </c>
      <c r="R273" s="14">
        <f>IF(Distances!EQ116&lt;&gt;0,ROUNDUP(R260+'Délai intermédiaire'!EQ116/24,0),0)</f>
        <v>0</v>
      </c>
      <c r="S273" s="14">
        <f>IF(Distances!ER116&lt;&gt;0,ROUNDUP(S260+'Délai intermédiaire'!ER116/24,0),0)</f>
        <v>0</v>
      </c>
      <c r="T273" s="14">
        <f>IF(Distances!ES116&lt;&gt;0,ROUNDUP(T260+'Délai intermédiaire'!ES116/24,0),0)</f>
        <v>17</v>
      </c>
      <c r="U273" s="14">
        <f>IF(Distances!ET116&lt;&gt;0,ROUNDUP(U260+'Délai intermédiaire'!ET116/24,0),0)</f>
        <v>17</v>
      </c>
      <c r="V273" s="14">
        <f>IF(Distances!EU116&lt;&gt;0,ROUNDUP(V260+'Délai intermédiaire'!EU116/24,0),0)</f>
        <v>19</v>
      </c>
      <c r="W273" s="14">
        <f>IF(Distances!EV116&lt;&gt;0,ROUNDUP(W260+'Délai intermédiaire'!EV116/24,0),0)</f>
        <v>0</v>
      </c>
      <c r="X273" s="14">
        <f>IF(Distances!EW116&lt;&gt;0,ROUNDUP(X260+'Délai intermédiaire'!EW116/24,0),0)</f>
        <v>18</v>
      </c>
      <c r="Y273" s="14">
        <f>IF(Distances!EX116&lt;&gt;0,ROUNDUP(Y260+'Délai intermédiaire'!EX116/24,0),0)</f>
        <v>17</v>
      </c>
      <c r="Z273" s="14">
        <f>IF(Distances!EY116&lt;&gt;0,ROUNDUP(Z260+'Délai intermédiaire'!EY116/24,0),0)</f>
        <v>19</v>
      </c>
      <c r="AA273" s="14">
        <f>IF(Distances!EZ116&lt;&gt;0,ROUNDUP(AA260+'Délai intermédiaire'!EZ116/24,0),0)</f>
        <v>19</v>
      </c>
      <c r="AB273" s="14">
        <f>IF(Distances!FA116&lt;&gt;0,ROUNDUP(AB260+'Délai intermédiaire'!FA116/24,0),0)</f>
        <v>17</v>
      </c>
      <c r="AC273" s="14">
        <f>IF(Distances!FB116&lt;&gt;0,ROUNDUP(AC260+'Délai intermédiaire'!FB116/24,0),0)</f>
        <v>0</v>
      </c>
      <c r="AD273" s="14">
        <f>IF(Distances!FC116&lt;&gt;0,ROUNDUP(AD260+'Délai intermédiaire'!FC116/24,0),0)</f>
        <v>0</v>
      </c>
      <c r="AE273" s="14">
        <f>IF(Distances!FD116&lt;&gt;0,ROUNDUP(AE260+'Délai intermédiaire'!FD116/24,0),0)</f>
        <v>20</v>
      </c>
      <c r="AF273" s="14">
        <f>IF(Distances!FE116&lt;&gt;0,ROUNDUP(AF260+'Délai intermédiaire'!FE116/24,0),0)</f>
        <v>19</v>
      </c>
      <c r="AG273" s="14">
        <f>IF(Distances!FF116&lt;&gt;0,ROUNDUP(AG260+'Délai intermédiaire'!FF116/24,0),0)</f>
        <v>20</v>
      </c>
      <c r="AH273" s="14">
        <f>IF(Distances!FG116&lt;&gt;0,ROUNDUP(AH260+'Délai intermédiaire'!FG116/24,0),0)</f>
        <v>20</v>
      </c>
      <c r="AI273" s="14">
        <f>IF(Distances!FH116&lt;&gt;0,ROUNDUP(AI260+'Délai intermédiaire'!FH116/24,0),0)</f>
        <v>0</v>
      </c>
      <c r="AJ273" s="14">
        <f>IF(Distances!FI116&lt;&gt;0,ROUNDUP(AJ260+'Délai intermédiaire'!FI116/24,0),0)</f>
        <v>20</v>
      </c>
      <c r="AK273" s="14">
        <f>IF(Distances!FJ116&lt;&gt;0,ROUNDUP(AK260+'Délai intermédiaire'!FJ116/24,0),0)</f>
        <v>0</v>
      </c>
      <c r="AL273" s="14">
        <f>IF(Distances!FK116&lt;&gt;0,ROUNDUP(AL260+'Délai intermédiaire'!FK116/24,0),0)</f>
        <v>0</v>
      </c>
      <c r="AM273" s="14">
        <f>IF(Distances!FL116&lt;&gt;0,ROUNDUP(AM260+'Délai intermédiaire'!FL116/24,0),0)</f>
        <v>0</v>
      </c>
      <c r="AN273" s="14">
        <f>IF(Distances!FM116&lt;&gt;0,ROUNDUP(AN260+'Délai intermédiaire'!FM116/24,0),0)</f>
        <v>10</v>
      </c>
      <c r="AO273" s="14">
        <f>IF(Distances!FN116&lt;&gt;0,ROUNDUP(AO260+'Délai intermédiaire'!FN116/24,0),0)</f>
        <v>0</v>
      </c>
      <c r="AP273" s="14">
        <f>IF(Distances!FO116&lt;&gt;0,ROUNDUP(AP260+'Délai intermédiaire'!FO116/24,0),0)</f>
        <v>0</v>
      </c>
      <c r="AQ273" s="14">
        <f>IF(Distances!FP116&lt;&gt;0,ROUNDUP(AQ260+'Délai intermédiaire'!FP116/24,0),0)</f>
        <v>0</v>
      </c>
      <c r="AR273" s="14">
        <f>IF(Distances!FQ116&lt;&gt;0,ROUNDUP(AR260+'Délai intermédiaire'!FQ116/24,0),0)</f>
        <v>0</v>
      </c>
      <c r="AS273" s="14">
        <f>IF(Distances!FR116&lt;&gt;0,ROUNDUP(AS260+'Délai intermédiaire'!FR116/24,0),0)</f>
        <v>0</v>
      </c>
      <c r="AT273" s="14">
        <f>IF(Distances!FS116&lt;&gt;0,ROUNDUP(AT260+'Délai intermédiaire'!FS116/24,0),0)</f>
        <v>0</v>
      </c>
      <c r="AU273" s="14">
        <f>IF(Distances!FT116&lt;&gt;0,ROUNDUP(AU260+'Délai intermédiaire'!FT116/24,0),0)</f>
        <v>11</v>
      </c>
      <c r="AV273" s="14">
        <f>IF(Distances!FU116&lt;&gt;0,ROUNDUP(AV260+'Délai intermédiaire'!FU116/24,0),0)</f>
        <v>21</v>
      </c>
      <c r="AW273" s="14">
        <f>IF(Distances!FV116&lt;&gt;0,ROUNDUP(AW260+'Délai intermédiaire'!FV116/24,0),0)</f>
        <v>23</v>
      </c>
      <c r="AX273" s="14">
        <f>IF(Distances!FW116&lt;&gt;0,ROUNDUP(AX260+'Délai intermédiaire'!FW116/24,0),0)</f>
        <v>0</v>
      </c>
      <c r="AY273" s="14">
        <f>IF(Distances!FX116&lt;&gt;0,ROUNDUP(AY260+'Délai intermédiaire'!FX116/24,0),0)</f>
        <v>0</v>
      </c>
      <c r="AZ273" s="14">
        <f>IF(Distances!FY116&lt;&gt;0,ROUNDUP(AZ260+'Délai intermédiaire'!FY116/24,0),0)</f>
        <v>22</v>
      </c>
      <c r="BA273" s="14">
        <f>IF(Distances!FZ116&lt;&gt;0,ROUNDUP(BA260+'Délai intermédiaire'!FZ116/24,0),0)</f>
        <v>0</v>
      </c>
      <c r="BB273" s="14">
        <f>IF(Distances!GA116&lt;&gt;0,ROUNDUP(BB260+'Délai intermédiaire'!GA116/24,0),0)</f>
        <v>0</v>
      </c>
      <c r="BC273" s="14">
        <f>IF(Distances!GB116&lt;&gt;0,ROUNDUP(BC260+'Délai intermédiaire'!GB116/24,0),0)</f>
        <v>0</v>
      </c>
      <c r="BD273" s="14">
        <f>IF(Distances!GC116&lt;&gt;0,ROUNDUP(BD260+'Délai intermédiaire'!GC116/24,0),0)</f>
        <v>12</v>
      </c>
      <c r="BE273" s="14">
        <f>IF(Distances!GD116&lt;&gt;0,ROUNDUP(BE260+'Délai intermédiaire'!GD116/24,0),0)</f>
        <v>0</v>
      </c>
      <c r="BF273" s="14">
        <f>IF(Distances!GE116&lt;&gt;0,ROUNDUP(BF260+'Délai intermédiaire'!GE116/24,0),0)</f>
        <v>22</v>
      </c>
      <c r="BG273" s="14">
        <f>IF(Distances!GF116&lt;&gt;0,ROUNDUP(BG260+'Délai intermédiaire'!GF116/24,0),0)</f>
        <v>0</v>
      </c>
      <c r="BH273" s="14">
        <f>IF(Distances!GG116&lt;&gt;0,ROUNDUP(BH260+'Délai intermédiaire'!GG116/24,0),0)</f>
        <v>0</v>
      </c>
      <c r="BI273" s="14">
        <f>IF(Distances!GH116&lt;&gt;0,ROUNDUP(BI260+'Délai intermédiaire'!GH116/24,0),0)</f>
        <v>0</v>
      </c>
      <c r="BJ273" s="15">
        <f>IF(Distances!GI116&lt;&gt;0,ROUNDUP(BJ260+'Délai intermédiaire'!GI116/24,0),0)</f>
        <v>0</v>
      </c>
    </row>
    <row r="274" spans="1:62" x14ac:dyDescent="0.3">
      <c r="A274" s="10" t="s">
        <v>13</v>
      </c>
      <c r="B274" s="11">
        <f>IF(Distances!EA117&lt;&gt;0,ROUNDUP(B260+'Délai intermédiaire'!EA117/24,0),0)</f>
        <v>0</v>
      </c>
      <c r="C274" s="13">
        <f>IF(Distances!EB117&lt;&gt;0,ROUNDUP(C260+'Délai intermédiaire'!EB117/24,0),0)</f>
        <v>0</v>
      </c>
      <c r="D274" s="13">
        <f>IF(Distances!EC117&lt;&gt;0,ROUNDUP(D260+'Délai intermédiaire'!EC117/24,0),0)</f>
        <v>6</v>
      </c>
      <c r="E274" s="13">
        <f>IF(Distances!ED117&lt;&gt;0,ROUNDUP(E260+'Délai intermédiaire'!ED117/24,0),0)</f>
        <v>0</v>
      </c>
      <c r="F274" s="13">
        <f>IF(Distances!EE117&lt;&gt;0,ROUNDUP(F260+'Délai intermédiaire'!EE117/24,0),0)</f>
        <v>5</v>
      </c>
      <c r="G274" s="13">
        <f>IF(Distances!EF117&lt;&gt;0,ROUNDUP(G260+'Délai intermédiaire'!EF117/24,0),0)</f>
        <v>11</v>
      </c>
      <c r="H274" s="13">
        <f>IF(Distances!EG117&lt;&gt;0,ROUNDUP(H260+'Délai intermédiaire'!EG117/24,0),0)</f>
        <v>0</v>
      </c>
      <c r="I274" s="13">
        <f>IF(Distances!EH117&lt;&gt;0,ROUNDUP(I260+'Délai intermédiaire'!EH117/24,0),0)</f>
        <v>0</v>
      </c>
      <c r="J274" s="13">
        <f>IF(Distances!EI117&lt;&gt;0,ROUNDUP(J260+'Délai intermédiaire'!EI117/24,0),0)</f>
        <v>8</v>
      </c>
      <c r="K274" s="13">
        <f>IF(Distances!EJ117&lt;&gt;0,ROUNDUP(K260+'Délai intermédiaire'!EJ117/24,0),0)</f>
        <v>0</v>
      </c>
      <c r="L274" s="13">
        <f>IF(Distances!EK117&lt;&gt;0,ROUNDUP(L260+'Délai intermédiaire'!EK117/24,0),0)</f>
        <v>0</v>
      </c>
      <c r="M274" s="13">
        <f>IF(Distances!EL117&lt;&gt;0,ROUNDUP(M260+'Délai intermédiaire'!EL117/24,0),0)</f>
        <v>0</v>
      </c>
      <c r="N274" s="12">
        <f>IF(Distances!EM117&lt;&gt;0,ROUNDUP(N260+'Délai intermédiaire'!EM117/24,0),0)</f>
        <v>0</v>
      </c>
      <c r="O274" s="14">
        <f>IF(Distances!EN117&lt;&gt;0,ROUNDUP(O260+'Délai intermédiaire'!EN117/24,0),0)</f>
        <v>0</v>
      </c>
      <c r="P274" s="14">
        <f>IF(Distances!EO117&lt;&gt;0,ROUNDUP(P260+'Délai intermédiaire'!EO117/24,0),0)</f>
        <v>0</v>
      </c>
      <c r="Q274" s="14">
        <f>IF(Distances!EP117&lt;&gt;0,ROUNDUP(Q260+'Délai intermédiaire'!EP117/24,0),0)</f>
        <v>0</v>
      </c>
      <c r="R274" s="14">
        <f>IF(Distances!EQ117&lt;&gt;0,ROUNDUP(R260+'Délai intermédiaire'!EQ117/24,0),0)</f>
        <v>0</v>
      </c>
      <c r="S274" s="14">
        <f>IF(Distances!ER117&lt;&gt;0,ROUNDUP(S260+'Délai intermédiaire'!ER117/24,0),0)</f>
        <v>0</v>
      </c>
      <c r="T274" s="14">
        <f>IF(Distances!ES117&lt;&gt;0,ROUNDUP(T260+'Délai intermédiaire'!ES117/24,0),0)</f>
        <v>10</v>
      </c>
      <c r="U274" s="14">
        <f>IF(Distances!ET117&lt;&gt;0,ROUNDUP(U260+'Délai intermédiaire'!ET117/24,0),0)</f>
        <v>11</v>
      </c>
      <c r="V274" s="14">
        <f>IF(Distances!EU117&lt;&gt;0,ROUNDUP(V260+'Délai intermédiaire'!EU117/24,0),0)</f>
        <v>13</v>
      </c>
      <c r="W274" s="14">
        <f>IF(Distances!EV117&lt;&gt;0,ROUNDUP(W260+'Délai intermédiaire'!EV117/24,0),0)</f>
        <v>0</v>
      </c>
      <c r="X274" s="14">
        <f>IF(Distances!EW117&lt;&gt;0,ROUNDUP(X260+'Délai intermédiaire'!EW117/24,0),0)</f>
        <v>11</v>
      </c>
      <c r="Y274" s="14">
        <f>IF(Distances!EX117&lt;&gt;0,ROUNDUP(Y260+'Délai intermédiaire'!EX117/24,0),0)</f>
        <v>10</v>
      </c>
      <c r="Z274" s="14">
        <f>IF(Distances!EY117&lt;&gt;0,ROUNDUP(Z260+'Délai intermédiaire'!EY117/24,0),0)</f>
        <v>12</v>
      </c>
      <c r="AA274" s="14">
        <f>IF(Distances!EZ117&lt;&gt;0,ROUNDUP(AA260+'Délai intermédiaire'!EZ117/24,0),0)</f>
        <v>12</v>
      </c>
      <c r="AB274" s="14">
        <f>IF(Distances!FA117&lt;&gt;0,ROUNDUP(AB260+'Délai intermédiaire'!FA117/24,0),0)</f>
        <v>11</v>
      </c>
      <c r="AC274" s="14">
        <f>IF(Distances!FB117&lt;&gt;0,ROUNDUP(AC260+'Délai intermédiaire'!FB117/24,0),0)</f>
        <v>0</v>
      </c>
      <c r="AD274" s="14">
        <f>IF(Distances!FC117&lt;&gt;0,ROUNDUP(AD260+'Délai intermédiaire'!FC117/24,0),0)</f>
        <v>0</v>
      </c>
      <c r="AE274" s="14">
        <f>IF(Distances!FD117&lt;&gt;0,ROUNDUP(AE260+'Délai intermédiaire'!FD117/24,0),0)</f>
        <v>14</v>
      </c>
      <c r="AF274" s="14">
        <f>IF(Distances!FE117&lt;&gt;0,ROUNDUP(AF260+'Délai intermédiaire'!FE117/24,0),0)</f>
        <v>13</v>
      </c>
      <c r="AG274" s="14">
        <f>IF(Distances!FF117&lt;&gt;0,ROUNDUP(AG260+'Délai intermédiaire'!FF117/24,0),0)</f>
        <v>14</v>
      </c>
      <c r="AH274" s="14">
        <f>IF(Distances!FG117&lt;&gt;0,ROUNDUP(AH260+'Délai intermédiaire'!FG117/24,0),0)</f>
        <v>20</v>
      </c>
      <c r="AI274" s="14">
        <f>IF(Distances!FH117&lt;&gt;0,ROUNDUP(AI260+'Délai intermédiaire'!FH117/24,0),0)</f>
        <v>0</v>
      </c>
      <c r="AJ274" s="14">
        <f>IF(Distances!FI117&lt;&gt;0,ROUNDUP(AJ260+'Délai intermédiaire'!FI117/24,0),0)</f>
        <v>20</v>
      </c>
      <c r="AK274" s="14">
        <f>IF(Distances!FJ117&lt;&gt;0,ROUNDUP(AK260+'Délai intermédiaire'!FJ117/24,0),0)</f>
        <v>0</v>
      </c>
      <c r="AL274" s="14">
        <f>IF(Distances!FK117&lt;&gt;0,ROUNDUP(AL260+'Délai intermédiaire'!FK117/24,0),0)</f>
        <v>0</v>
      </c>
      <c r="AM274" s="14">
        <f>IF(Distances!FL117&lt;&gt;0,ROUNDUP(AM260+'Délai intermédiaire'!FL117/24,0),0)</f>
        <v>0</v>
      </c>
      <c r="AN274" s="14">
        <f>IF(Distances!FM117&lt;&gt;0,ROUNDUP(AN260+'Délai intermédiaire'!FM117/24,0),0)</f>
        <v>18</v>
      </c>
      <c r="AO274" s="14">
        <f>IF(Distances!FN117&lt;&gt;0,ROUNDUP(AO260+'Délai intermédiaire'!FN117/24,0),0)</f>
        <v>0</v>
      </c>
      <c r="AP274" s="14">
        <f>IF(Distances!FO117&lt;&gt;0,ROUNDUP(AP260+'Délai intermédiaire'!FO117/24,0),0)</f>
        <v>0</v>
      </c>
      <c r="AQ274" s="14">
        <f>IF(Distances!FP117&lt;&gt;0,ROUNDUP(AQ260+'Délai intermédiaire'!FP117/24,0),0)</f>
        <v>0</v>
      </c>
      <c r="AR274" s="14">
        <f>IF(Distances!FQ117&lt;&gt;0,ROUNDUP(AR260+'Délai intermédiaire'!FQ117/24,0),0)</f>
        <v>0</v>
      </c>
      <c r="AS274" s="14">
        <f>IF(Distances!FR117&lt;&gt;0,ROUNDUP(AS260+'Délai intermédiaire'!FR117/24,0),0)</f>
        <v>0</v>
      </c>
      <c r="AT274" s="14">
        <f>IF(Distances!FS117&lt;&gt;0,ROUNDUP(AT260+'Délai intermédiaire'!FS117/24,0),0)</f>
        <v>0</v>
      </c>
      <c r="AU274" s="14">
        <f>IF(Distances!FT117&lt;&gt;0,ROUNDUP(AU260+'Délai intermédiaire'!FT117/24,0),0)</f>
        <v>20</v>
      </c>
      <c r="AV274" s="14">
        <f>IF(Distances!FU117&lt;&gt;0,ROUNDUP(AV260+'Délai intermédiaire'!FU117/24,0),0)</f>
        <v>14</v>
      </c>
      <c r="AW274" s="14">
        <f>IF(Distances!FV117&lt;&gt;0,ROUNDUP(AW260+'Délai intermédiaire'!FV117/24,0),0)</f>
        <v>16</v>
      </c>
      <c r="AX274" s="14">
        <f>IF(Distances!FW117&lt;&gt;0,ROUNDUP(AX260+'Délai intermédiaire'!FW117/24,0),0)</f>
        <v>0</v>
      </c>
      <c r="AY274" s="14">
        <f>IF(Distances!FX117&lt;&gt;0,ROUNDUP(AY260+'Délai intermédiaire'!FX117/24,0),0)</f>
        <v>0</v>
      </c>
      <c r="AZ274" s="14">
        <f>IF(Distances!FY117&lt;&gt;0,ROUNDUP(AZ260+'Délai intermédiaire'!FY117/24,0),0)</f>
        <v>20</v>
      </c>
      <c r="BA274" s="14">
        <f>IF(Distances!FZ117&lt;&gt;0,ROUNDUP(BA260+'Délai intermédiaire'!FZ117/24,0),0)</f>
        <v>0</v>
      </c>
      <c r="BB274" s="14">
        <f>IF(Distances!GA117&lt;&gt;0,ROUNDUP(BB260+'Délai intermédiaire'!GA117/24,0),0)</f>
        <v>0</v>
      </c>
      <c r="BC274" s="14">
        <f>IF(Distances!GB117&lt;&gt;0,ROUNDUP(BC260+'Délai intermédiaire'!GB117/24,0),0)</f>
        <v>0</v>
      </c>
      <c r="BD274" s="14">
        <f>IF(Distances!GC117&lt;&gt;0,ROUNDUP(BD260+'Délai intermédiaire'!GC117/24,0),0)</f>
        <v>20</v>
      </c>
      <c r="BE274" s="14">
        <f>IF(Distances!GD117&lt;&gt;0,ROUNDUP(BE260+'Délai intermédiaire'!GD117/24,0),0)</f>
        <v>0</v>
      </c>
      <c r="BF274" s="14">
        <f>IF(Distances!GE117&lt;&gt;0,ROUNDUP(BF260+'Délai intermédiaire'!GE117/24,0),0)</f>
        <v>16</v>
      </c>
      <c r="BG274" s="14">
        <f>IF(Distances!GF117&lt;&gt;0,ROUNDUP(BG260+'Délai intermédiaire'!GF117/24,0),0)</f>
        <v>0</v>
      </c>
      <c r="BH274" s="14">
        <f>IF(Distances!GG117&lt;&gt;0,ROUNDUP(BH260+'Délai intermédiaire'!GG117/24,0),0)</f>
        <v>0</v>
      </c>
      <c r="BI274" s="14">
        <f>IF(Distances!GH117&lt;&gt;0,ROUNDUP(BI260+'Délai intermédiaire'!GH117/24,0),0)</f>
        <v>0</v>
      </c>
      <c r="BJ274" s="15">
        <f>IF(Distances!GI117&lt;&gt;0,ROUNDUP(BJ260+'Délai intermédiaire'!GI117/24,0),0)</f>
        <v>0</v>
      </c>
    </row>
    <row r="275" spans="1:62" x14ac:dyDescent="0.3">
      <c r="A275" s="10" t="s">
        <v>14</v>
      </c>
      <c r="B275" s="16">
        <f>IF(Distances!EA118&lt;&gt;0,ROUNDUP(B260+'Délai intermédiaire'!EA118/24,0),0)</f>
        <v>0</v>
      </c>
      <c r="C275" s="14">
        <f>IF(Distances!EB118&lt;&gt;0,ROUNDUP(C260+'Délai intermédiaire'!EB118/24,0),0)</f>
        <v>0</v>
      </c>
      <c r="D275" s="14">
        <f>IF(Distances!EC118&lt;&gt;0,ROUNDUP(D260+'Délai intermédiaire'!EC118/24,0),0)</f>
        <v>11</v>
      </c>
      <c r="E275" s="14">
        <f>IF(Distances!ED118&lt;&gt;0,ROUNDUP(E260+'Délai intermédiaire'!ED118/24,0),0)</f>
        <v>0</v>
      </c>
      <c r="F275" s="14">
        <f>IF(Distances!EE118&lt;&gt;0,ROUNDUP(F260+'Délai intermédiaire'!EE118/24,0),0)</f>
        <v>10</v>
      </c>
      <c r="G275" s="14">
        <f>IF(Distances!EF118&lt;&gt;0,ROUNDUP(G260+'Délai intermédiaire'!EF118/24,0),0)</f>
        <v>16</v>
      </c>
      <c r="H275" s="14">
        <f>IF(Distances!EG118&lt;&gt;0,ROUNDUP(H260+'Délai intermédiaire'!EG118/24,0),0)</f>
        <v>0</v>
      </c>
      <c r="I275" s="14">
        <f>IF(Distances!EH118&lt;&gt;0,ROUNDUP(I260+'Délai intermédiaire'!EH118/24,0),0)</f>
        <v>0</v>
      </c>
      <c r="J275" s="14">
        <f>IF(Distances!EI118&lt;&gt;0,ROUNDUP(J260+'Délai intermédiaire'!EI118/24,0),0)</f>
        <v>12</v>
      </c>
      <c r="K275" s="14">
        <f>IF(Distances!EJ118&lt;&gt;0,ROUNDUP(K260+'Délai intermédiaire'!EJ118/24,0),0)</f>
        <v>0</v>
      </c>
      <c r="L275" s="14">
        <f>IF(Distances!EK118&lt;&gt;0,ROUNDUP(L260+'Délai intermédiaire'!EK118/24,0),0)</f>
        <v>0</v>
      </c>
      <c r="M275" s="14">
        <f>IF(Distances!EL118&lt;&gt;0,ROUNDUP(M260+'Délai intermédiaire'!EL118/24,0),0)</f>
        <v>0</v>
      </c>
      <c r="N275" s="14">
        <f>IF(Distances!EM118&lt;&gt;0,ROUNDUP(N260+'Délai intermédiaire'!EM118/24,0),0)</f>
        <v>0</v>
      </c>
      <c r="O275" s="12">
        <f>IF(Distances!EN118&lt;&gt;0,ROUNDUP(O260+'Délai intermédiaire'!EN118/24,0),0)</f>
        <v>0</v>
      </c>
      <c r="P275" s="13">
        <f>IF(Distances!EO118&lt;&gt;0,ROUNDUP(P260+'Délai intermédiaire'!EO118/24,0),0)</f>
        <v>0</v>
      </c>
      <c r="Q275" s="14">
        <f>IF(Distances!EP118&lt;&gt;0,ROUNDUP(Q260+'Délai intermédiaire'!EP118/24,0),0)</f>
        <v>0</v>
      </c>
      <c r="R275" s="14">
        <f>IF(Distances!EQ118&lt;&gt;0,ROUNDUP(R260+'Délai intermédiaire'!EQ118/24,0),0)</f>
        <v>0</v>
      </c>
      <c r="S275" s="14">
        <f>IF(Distances!ER118&lt;&gt;0,ROUNDUP(S260+'Délai intermédiaire'!ER118/24,0),0)</f>
        <v>0</v>
      </c>
      <c r="T275" s="14">
        <f>IF(Distances!ES118&lt;&gt;0,ROUNDUP(T260+'Délai intermédiaire'!ES118/24,0),0)</f>
        <v>10</v>
      </c>
      <c r="U275" s="14">
        <f>IF(Distances!ET118&lt;&gt;0,ROUNDUP(U260+'Délai intermédiaire'!ET118/24,0),0)</f>
        <v>10</v>
      </c>
      <c r="V275" s="14">
        <f>IF(Distances!EU118&lt;&gt;0,ROUNDUP(V260+'Délai intermédiaire'!EU118/24,0),0)</f>
        <v>12</v>
      </c>
      <c r="W275" s="14">
        <f>IF(Distances!EV118&lt;&gt;0,ROUNDUP(W260+'Délai intermédiaire'!EV118/24,0),0)</f>
        <v>0</v>
      </c>
      <c r="X275" s="14">
        <f>IF(Distances!EW118&lt;&gt;0,ROUNDUP(X260+'Délai intermédiaire'!EW118/24,0),0)</f>
        <v>12</v>
      </c>
      <c r="Y275" s="14">
        <f>IF(Distances!EX118&lt;&gt;0,ROUNDUP(Y260+'Délai intermédiaire'!EX118/24,0),0)</f>
        <v>11</v>
      </c>
      <c r="Z275" s="14">
        <f>IF(Distances!EY118&lt;&gt;0,ROUNDUP(Z260+'Délai intermédiaire'!EY118/24,0),0)</f>
        <v>11</v>
      </c>
      <c r="AA275" s="14">
        <f>IF(Distances!EZ118&lt;&gt;0,ROUNDUP(AA260+'Délai intermédiaire'!EZ118/24,0),0)</f>
        <v>11</v>
      </c>
      <c r="AB275" s="14">
        <f>IF(Distances!FA118&lt;&gt;0,ROUNDUP(AB260+'Délai intermédiaire'!FA118/24,0),0)</f>
        <v>10</v>
      </c>
      <c r="AC275" s="14">
        <f>IF(Distances!FB118&lt;&gt;0,ROUNDUP(AC260+'Délai intermédiaire'!FB118/24,0),0)</f>
        <v>0</v>
      </c>
      <c r="AD275" s="14">
        <f>IF(Distances!FC118&lt;&gt;0,ROUNDUP(AD260+'Délai intermédiaire'!FC118/24,0),0)</f>
        <v>0</v>
      </c>
      <c r="AE275" s="14">
        <f>IF(Distances!FD118&lt;&gt;0,ROUNDUP(AE260+'Délai intermédiaire'!FD118/24,0),0)</f>
        <v>13</v>
      </c>
      <c r="AF275" s="14">
        <f>IF(Distances!FE118&lt;&gt;0,ROUNDUP(AF260+'Délai intermédiaire'!FE118/24,0),0)</f>
        <v>12</v>
      </c>
      <c r="AG275" s="14">
        <f>IF(Distances!FF118&lt;&gt;0,ROUNDUP(AG260+'Délai intermédiaire'!FF118/24,0),0)</f>
        <v>13</v>
      </c>
      <c r="AH275" s="14">
        <f>IF(Distances!FG118&lt;&gt;0,ROUNDUP(AH260+'Délai intermédiaire'!FG118/24,0),0)</f>
        <v>17</v>
      </c>
      <c r="AI275" s="14">
        <f>IF(Distances!FH118&lt;&gt;0,ROUNDUP(AI260+'Délai intermédiaire'!FH118/24,0),0)</f>
        <v>0</v>
      </c>
      <c r="AJ275" s="14">
        <f>IF(Distances!FI118&lt;&gt;0,ROUNDUP(AJ260+'Délai intermédiaire'!FI118/24,0),0)</f>
        <v>17</v>
      </c>
      <c r="AK275" s="14">
        <f>IF(Distances!FJ118&lt;&gt;0,ROUNDUP(AK260+'Délai intermédiaire'!FJ118/24,0),0)</f>
        <v>0</v>
      </c>
      <c r="AL275" s="14">
        <f>IF(Distances!FK118&lt;&gt;0,ROUNDUP(AL260+'Délai intermédiaire'!FK118/24,0),0)</f>
        <v>0</v>
      </c>
      <c r="AM275" s="14">
        <f>IF(Distances!FL118&lt;&gt;0,ROUNDUP(AM260+'Délai intermédiaire'!FL118/24,0),0)</f>
        <v>0</v>
      </c>
      <c r="AN275" s="14">
        <f>IF(Distances!FM118&lt;&gt;0,ROUNDUP(AN260+'Délai intermédiaire'!FM118/24,0),0)</f>
        <v>21</v>
      </c>
      <c r="AO275" s="14">
        <f>IF(Distances!FN118&lt;&gt;0,ROUNDUP(AO260+'Délai intermédiaire'!FN118/24,0),0)</f>
        <v>0</v>
      </c>
      <c r="AP275" s="14">
        <f>IF(Distances!FO118&lt;&gt;0,ROUNDUP(AP260+'Délai intermédiaire'!FO118/24,0),0)</f>
        <v>0</v>
      </c>
      <c r="AQ275" s="14">
        <f>IF(Distances!FP118&lt;&gt;0,ROUNDUP(AQ260+'Délai intermédiaire'!FP118/24,0),0)</f>
        <v>0</v>
      </c>
      <c r="AR275" s="14">
        <f>IF(Distances!FQ118&lt;&gt;0,ROUNDUP(AR260+'Délai intermédiaire'!FQ118/24,0),0)</f>
        <v>0</v>
      </c>
      <c r="AS275" s="14">
        <f>IF(Distances!FR118&lt;&gt;0,ROUNDUP(AS260+'Délai intermédiaire'!FR118/24,0),0)</f>
        <v>0</v>
      </c>
      <c r="AT275" s="14">
        <f>IF(Distances!FS118&lt;&gt;0,ROUNDUP(AT260+'Délai intermédiaire'!FS118/24,0),0)</f>
        <v>0</v>
      </c>
      <c r="AU275" s="14">
        <f>IF(Distances!FT118&lt;&gt;0,ROUNDUP(AU260+'Délai intermédiaire'!FT118/24,0),0)</f>
        <v>22</v>
      </c>
      <c r="AV275" s="14">
        <f>IF(Distances!FU118&lt;&gt;0,ROUNDUP(AV260+'Délai intermédiaire'!FU118/24,0),0)</f>
        <v>15</v>
      </c>
      <c r="AW275" s="14">
        <f>IF(Distances!FV118&lt;&gt;0,ROUNDUP(AW260+'Délai intermédiaire'!FV118/24,0),0)</f>
        <v>17</v>
      </c>
      <c r="AX275" s="14">
        <f>IF(Distances!FW118&lt;&gt;0,ROUNDUP(AX260+'Délai intermédiaire'!FW118/24,0),0)</f>
        <v>0</v>
      </c>
      <c r="AY275" s="14">
        <f>IF(Distances!FX118&lt;&gt;0,ROUNDUP(AY260+'Délai intermédiaire'!FX118/24,0),0)</f>
        <v>0</v>
      </c>
      <c r="AZ275" s="14">
        <f>IF(Distances!FY118&lt;&gt;0,ROUNDUP(AZ260+'Délai intermédiaire'!FY118/24,0),0)</f>
        <v>13</v>
      </c>
      <c r="BA275" s="14">
        <f>IF(Distances!FZ118&lt;&gt;0,ROUNDUP(BA260+'Délai intermédiaire'!FZ118/24,0),0)</f>
        <v>0</v>
      </c>
      <c r="BB275" s="14">
        <f>IF(Distances!GA118&lt;&gt;0,ROUNDUP(BB260+'Délai intermédiaire'!GA118/24,0),0)</f>
        <v>0</v>
      </c>
      <c r="BC275" s="14">
        <f>IF(Distances!GB118&lt;&gt;0,ROUNDUP(BC260+'Délai intermédiaire'!GB118/24,0),0)</f>
        <v>0</v>
      </c>
      <c r="BD275" s="14">
        <f>IF(Distances!GC118&lt;&gt;0,ROUNDUP(BD260+'Délai intermédiaire'!GC118/24,0),0)</f>
        <v>22</v>
      </c>
      <c r="BE275" s="14">
        <f>IF(Distances!GD118&lt;&gt;0,ROUNDUP(BE260+'Délai intermédiaire'!GD118/24,0),0)</f>
        <v>0</v>
      </c>
      <c r="BF275" s="14">
        <f>IF(Distances!GE118&lt;&gt;0,ROUNDUP(BF260+'Délai intermédiaire'!GE118/24,0),0)</f>
        <v>15</v>
      </c>
      <c r="BG275" s="14">
        <f>IF(Distances!GF118&lt;&gt;0,ROUNDUP(BG260+'Délai intermédiaire'!GF118/24,0),0)</f>
        <v>0</v>
      </c>
      <c r="BH275" s="12">
        <f>IF(Distances!GG118&lt;&gt;0,ROUNDUP(BH260+'Délai intermédiaire'!GG118/24,0),0)</f>
        <v>0</v>
      </c>
      <c r="BI275" s="12">
        <f>IF(Distances!GH118&lt;&gt;0,ROUNDUP(BI260+'Délai intermédiaire'!GH118/24,0),0)</f>
        <v>0</v>
      </c>
      <c r="BJ275" s="17">
        <f>IF(Distances!GI118&lt;&gt;0,ROUNDUP(BJ260+'Délai intermédiaire'!GI118/24,0),0)</f>
        <v>0</v>
      </c>
    </row>
    <row r="276" spans="1:62" x14ac:dyDescent="0.3">
      <c r="A276" s="10" t="s">
        <v>15</v>
      </c>
      <c r="B276" s="16">
        <f>IF(Distances!EA119&lt;&gt;0,ROUNDUP(B260+'Délai intermédiaire'!EA119/24,0),0)</f>
        <v>0</v>
      </c>
      <c r="C276" s="14">
        <f>IF(Distances!EB119&lt;&gt;0,ROUNDUP(C260+'Délai intermédiaire'!EB119/24,0),0)</f>
        <v>0</v>
      </c>
      <c r="D276" s="14">
        <f>IF(Distances!EC119&lt;&gt;0,ROUNDUP(D260+'Délai intermédiaire'!EC119/24,0),0)</f>
        <v>9</v>
      </c>
      <c r="E276" s="14">
        <f>IF(Distances!ED119&lt;&gt;0,ROUNDUP(E260+'Délai intermédiaire'!ED119/24,0),0)</f>
        <v>0</v>
      </c>
      <c r="F276" s="14">
        <f>IF(Distances!EE119&lt;&gt;0,ROUNDUP(F260+'Délai intermédiaire'!EE119/24,0),0)</f>
        <v>8</v>
      </c>
      <c r="G276" s="14">
        <f>IF(Distances!EF119&lt;&gt;0,ROUNDUP(G260+'Délai intermédiaire'!EF119/24,0),0)</f>
        <v>16</v>
      </c>
      <c r="H276" s="14">
        <f>IF(Distances!EG119&lt;&gt;0,ROUNDUP(H260+'Délai intermédiaire'!EG119/24,0),0)</f>
        <v>0</v>
      </c>
      <c r="I276" s="14">
        <f>IF(Distances!EH119&lt;&gt;0,ROUNDUP(I260+'Délai intermédiaire'!EH119/24,0),0)</f>
        <v>0</v>
      </c>
      <c r="J276" s="14">
        <f>IF(Distances!EI119&lt;&gt;0,ROUNDUP(J260+'Délai intermédiaire'!EI119/24,0),0)</f>
        <v>10</v>
      </c>
      <c r="K276" s="14">
        <f>IF(Distances!EJ119&lt;&gt;0,ROUNDUP(K260+'Délai intermédiaire'!EJ119/24,0),0)</f>
        <v>0</v>
      </c>
      <c r="L276" s="14">
        <f>IF(Distances!EK119&lt;&gt;0,ROUNDUP(L260+'Délai intermédiaire'!EK119/24,0),0)</f>
        <v>0</v>
      </c>
      <c r="M276" s="14">
        <f>IF(Distances!EL119&lt;&gt;0,ROUNDUP(M260+'Délai intermédiaire'!EL119/24,0),0)</f>
        <v>0</v>
      </c>
      <c r="N276" s="14">
        <f>IF(Distances!EM119&lt;&gt;0,ROUNDUP(N260+'Délai intermédiaire'!EM119/24,0),0)</f>
        <v>0</v>
      </c>
      <c r="O276" s="13">
        <f>IF(Distances!EN119&lt;&gt;0,ROUNDUP(O260+'Délai intermédiaire'!EN119/24,0),0)</f>
        <v>0</v>
      </c>
      <c r="P276" s="12">
        <f>IF(Distances!EO119&lt;&gt;0,ROUNDUP(P260+'Délai intermédiaire'!EO119/24,0),0)</f>
        <v>0</v>
      </c>
      <c r="Q276" s="14">
        <f>IF(Distances!EP119&lt;&gt;0,ROUNDUP(Q260+'Délai intermédiaire'!EP119/24,0),0)</f>
        <v>0</v>
      </c>
      <c r="R276" s="14">
        <f>IF(Distances!EQ119&lt;&gt;0,ROUNDUP(R260+'Délai intermédiaire'!EQ119/24,0),0)</f>
        <v>0</v>
      </c>
      <c r="S276" s="14">
        <f>IF(Distances!ER119&lt;&gt;0,ROUNDUP(S260+'Délai intermédiaire'!ER119/24,0),0)</f>
        <v>0</v>
      </c>
      <c r="T276" s="14">
        <f>IF(Distances!ES119&lt;&gt;0,ROUNDUP(T260+'Délai intermédiaire'!ES119/24,0),0)</f>
        <v>8</v>
      </c>
      <c r="U276" s="14">
        <f>IF(Distances!ET119&lt;&gt;0,ROUNDUP(U260+'Délai intermédiaire'!ET119/24,0),0)</f>
        <v>8</v>
      </c>
      <c r="V276" s="14">
        <f>IF(Distances!EU119&lt;&gt;0,ROUNDUP(V260+'Délai intermédiaire'!EU119/24,0),0)</f>
        <v>10</v>
      </c>
      <c r="W276" s="14">
        <f>IF(Distances!EV119&lt;&gt;0,ROUNDUP(W260+'Délai intermédiaire'!EV119/24,0),0)</f>
        <v>0</v>
      </c>
      <c r="X276" s="14">
        <f>IF(Distances!EW119&lt;&gt;0,ROUNDUP(X260+'Délai intermédiaire'!EW119/24,0),0)</f>
        <v>10</v>
      </c>
      <c r="Y276" s="14">
        <f>IF(Distances!EX119&lt;&gt;0,ROUNDUP(Y260+'Délai intermédiaire'!EX119/24,0),0)</f>
        <v>9</v>
      </c>
      <c r="Z276" s="14">
        <f>IF(Distances!EY119&lt;&gt;0,ROUNDUP(Z260+'Délai intermédiaire'!EY119/24,0),0)</f>
        <v>10</v>
      </c>
      <c r="AA276" s="14">
        <f>IF(Distances!EZ119&lt;&gt;0,ROUNDUP(AA260+'Délai intermédiaire'!EZ119/24,0),0)</f>
        <v>9</v>
      </c>
      <c r="AB276" s="14">
        <f>IF(Distances!FA119&lt;&gt;0,ROUNDUP(AB260+'Délai intermédiaire'!FA119/24,0),0)</f>
        <v>8</v>
      </c>
      <c r="AC276" s="14">
        <f>IF(Distances!FB119&lt;&gt;0,ROUNDUP(AC260+'Délai intermédiaire'!FB119/24,0),0)</f>
        <v>0</v>
      </c>
      <c r="AD276" s="14">
        <f>IF(Distances!FC119&lt;&gt;0,ROUNDUP(AD260+'Délai intermédiaire'!FC119/24,0),0)</f>
        <v>0</v>
      </c>
      <c r="AE276" s="14">
        <f>IF(Distances!FD119&lt;&gt;0,ROUNDUP(AE260+'Délai intermédiaire'!FD119/24,0),0)</f>
        <v>11</v>
      </c>
      <c r="AF276" s="14">
        <f>IF(Distances!FE119&lt;&gt;0,ROUNDUP(AF260+'Délai intermédiaire'!FE119/24,0),0)</f>
        <v>10</v>
      </c>
      <c r="AG276" s="14">
        <f>IF(Distances!FF119&lt;&gt;0,ROUNDUP(AG260+'Délai intermédiaire'!FF119/24,0),0)</f>
        <v>11</v>
      </c>
      <c r="AH276" s="14">
        <f>IF(Distances!FG119&lt;&gt;0,ROUNDUP(AH260+'Délai intermédiaire'!FG119/24,0),0)</f>
        <v>17</v>
      </c>
      <c r="AI276" s="14">
        <f>IF(Distances!FH119&lt;&gt;0,ROUNDUP(AI260+'Délai intermédiaire'!FH119/24,0),0)</f>
        <v>0</v>
      </c>
      <c r="AJ276" s="14">
        <f>IF(Distances!FI119&lt;&gt;0,ROUNDUP(AJ260+'Délai intermédiaire'!FI119/24,0),0)</f>
        <v>17</v>
      </c>
      <c r="AK276" s="14">
        <f>IF(Distances!FJ119&lt;&gt;0,ROUNDUP(AK260+'Délai intermédiaire'!FJ119/24,0),0)</f>
        <v>0</v>
      </c>
      <c r="AL276" s="14">
        <f>IF(Distances!FK119&lt;&gt;0,ROUNDUP(AL260+'Délai intermédiaire'!FK119/24,0),0)</f>
        <v>0</v>
      </c>
      <c r="AM276" s="14">
        <f>IF(Distances!FL119&lt;&gt;0,ROUNDUP(AM260+'Délai intermédiaire'!FL119/24,0),0)</f>
        <v>0</v>
      </c>
      <c r="AN276" s="14">
        <f>IF(Distances!FM119&lt;&gt;0,ROUNDUP(AN260+'Délai intermédiaire'!FM119/24,0),0)</f>
        <v>21</v>
      </c>
      <c r="AO276" s="14">
        <f>IF(Distances!FN119&lt;&gt;0,ROUNDUP(AO260+'Délai intermédiaire'!FN119/24,0),0)</f>
        <v>0</v>
      </c>
      <c r="AP276" s="14">
        <f>IF(Distances!FO119&lt;&gt;0,ROUNDUP(AP260+'Délai intermédiaire'!FO119/24,0),0)</f>
        <v>0</v>
      </c>
      <c r="AQ276" s="14">
        <f>IF(Distances!FP119&lt;&gt;0,ROUNDUP(AQ260+'Délai intermédiaire'!FP119/24,0),0)</f>
        <v>0</v>
      </c>
      <c r="AR276" s="14">
        <f>IF(Distances!FQ119&lt;&gt;0,ROUNDUP(AR260+'Délai intermédiaire'!FQ119/24,0),0)</f>
        <v>0</v>
      </c>
      <c r="AS276" s="14">
        <f>IF(Distances!FR119&lt;&gt;0,ROUNDUP(AS260+'Délai intermédiaire'!FR119/24,0),0)</f>
        <v>0</v>
      </c>
      <c r="AT276" s="14">
        <f>IF(Distances!FS119&lt;&gt;0,ROUNDUP(AT260+'Délai intermédiaire'!FS119/24,0),0)</f>
        <v>0</v>
      </c>
      <c r="AU276" s="14">
        <f>IF(Distances!FT119&lt;&gt;0,ROUNDUP(AU260+'Délai intermédiaire'!FT119/24,0),0)</f>
        <v>22</v>
      </c>
      <c r="AV276" s="14">
        <f>IF(Distances!FU119&lt;&gt;0,ROUNDUP(AV260+'Délai intermédiaire'!FU119/24,0),0)</f>
        <v>13</v>
      </c>
      <c r="AW276" s="14">
        <f>IF(Distances!FV119&lt;&gt;0,ROUNDUP(AW260+'Délai intermédiaire'!FV119/24,0),0)</f>
        <v>15</v>
      </c>
      <c r="AX276" s="14">
        <f>IF(Distances!FW119&lt;&gt;0,ROUNDUP(AX260+'Délai intermédiaire'!FW119/24,0),0)</f>
        <v>0</v>
      </c>
      <c r="AY276" s="14">
        <f>IF(Distances!FX119&lt;&gt;0,ROUNDUP(AY260+'Délai intermédiaire'!FX119/24,0),0)</f>
        <v>0</v>
      </c>
      <c r="AZ276" s="14">
        <f>IF(Distances!FY119&lt;&gt;0,ROUNDUP(AZ260+'Délai intermédiaire'!FY119/24,0),0)</f>
        <v>13</v>
      </c>
      <c r="BA276" s="14">
        <f>IF(Distances!FZ119&lt;&gt;0,ROUNDUP(BA260+'Délai intermédiaire'!FZ119/24,0),0)</f>
        <v>0</v>
      </c>
      <c r="BB276" s="14">
        <f>IF(Distances!GA119&lt;&gt;0,ROUNDUP(BB260+'Délai intermédiaire'!GA119/24,0),0)</f>
        <v>0</v>
      </c>
      <c r="BC276" s="14">
        <f>IF(Distances!GB119&lt;&gt;0,ROUNDUP(BC260+'Délai intermédiaire'!GB119/24,0),0)</f>
        <v>0</v>
      </c>
      <c r="BD276" s="14">
        <f>IF(Distances!GC119&lt;&gt;0,ROUNDUP(BD260+'Délai intermédiaire'!GC119/24,0),0)</f>
        <v>23</v>
      </c>
      <c r="BE276" s="14">
        <f>IF(Distances!GD119&lt;&gt;0,ROUNDUP(BE260+'Délai intermédiaire'!GD119/24,0),0)</f>
        <v>0</v>
      </c>
      <c r="BF276" s="14">
        <f>IF(Distances!GE119&lt;&gt;0,ROUNDUP(BF260+'Délai intermédiaire'!GE119/24,0),0)</f>
        <v>13</v>
      </c>
      <c r="BG276" s="14">
        <f>IF(Distances!GF119&lt;&gt;0,ROUNDUP(BG260+'Délai intermédiaire'!GF119/24,0),0)</f>
        <v>0</v>
      </c>
      <c r="BH276" s="13">
        <f>IF(Distances!GG119&lt;&gt;0,ROUNDUP(BH260+'Délai intermédiaire'!GG119/24,0),0)</f>
        <v>0</v>
      </c>
      <c r="BI276" s="13">
        <f>IF(Distances!GH119&lt;&gt;0,ROUNDUP(BI260+'Délai intermédiaire'!GH119/24,0),0)</f>
        <v>0</v>
      </c>
      <c r="BJ276" s="18">
        <f>IF(Distances!GI119&lt;&gt;0,ROUNDUP(BJ260+'Délai intermédiaire'!GI119/24,0),0)</f>
        <v>0</v>
      </c>
    </row>
    <row r="277" spans="1:62" x14ac:dyDescent="0.3">
      <c r="A277" s="10" t="s">
        <v>16</v>
      </c>
      <c r="B277" s="16">
        <f>IF(Distances!EA120&lt;&gt;0,ROUNDUP(B260+'Délai intermédiaire'!EA120/24,0),0)</f>
        <v>0</v>
      </c>
      <c r="C277" s="14">
        <f>IF(Distances!EB120&lt;&gt;0,ROUNDUP(C260+'Délai intermédiaire'!EB120/24,0),0)</f>
        <v>0</v>
      </c>
      <c r="D277" s="14">
        <f>IF(Distances!EC120&lt;&gt;0,ROUNDUP(D260+'Délai intermédiaire'!EC120/24,0),0)</f>
        <v>8</v>
      </c>
      <c r="E277" s="14">
        <f>IF(Distances!ED120&lt;&gt;0,ROUNDUP(E260+'Délai intermédiaire'!ED120/24,0),0)</f>
        <v>0</v>
      </c>
      <c r="F277" s="14">
        <f>IF(Distances!EE120&lt;&gt;0,ROUNDUP(F260+'Délai intermédiaire'!EE120/24,0),0)</f>
        <v>8</v>
      </c>
      <c r="G277" s="14">
        <f>IF(Distances!EF120&lt;&gt;0,ROUNDUP(G260+'Délai intermédiaire'!EF120/24,0),0)</f>
        <v>17</v>
      </c>
      <c r="H277" s="14">
        <f>IF(Distances!EG120&lt;&gt;0,ROUNDUP(H260+'Délai intermédiaire'!EG120/24,0),0)</f>
        <v>0</v>
      </c>
      <c r="I277" s="14">
        <f>IF(Distances!EH120&lt;&gt;0,ROUNDUP(I260+'Délai intermédiaire'!EH120/24,0),0)</f>
        <v>0</v>
      </c>
      <c r="J277" s="14">
        <f>IF(Distances!EI120&lt;&gt;0,ROUNDUP(J260+'Délai intermédiaire'!EI120/24,0),0)</f>
        <v>8</v>
      </c>
      <c r="K277" s="14">
        <f>IF(Distances!EJ120&lt;&gt;0,ROUNDUP(K260+'Délai intermédiaire'!EJ120/24,0),0)</f>
        <v>0</v>
      </c>
      <c r="L277" s="14">
        <f>IF(Distances!EK120&lt;&gt;0,ROUNDUP(L260+'Délai intermédiaire'!EK120/24,0),0)</f>
        <v>0</v>
      </c>
      <c r="M277" s="14">
        <f>IF(Distances!EL120&lt;&gt;0,ROUNDUP(M260+'Délai intermédiaire'!EL120/24,0),0)</f>
        <v>0</v>
      </c>
      <c r="N277" s="14">
        <f>IF(Distances!EM120&lt;&gt;0,ROUNDUP(N260+'Délai intermédiaire'!EM120/24,0),0)</f>
        <v>0</v>
      </c>
      <c r="O277" s="14">
        <f>IF(Distances!EN120&lt;&gt;0,ROUNDUP(O260+'Délai intermédiaire'!EN120/24,0),0)</f>
        <v>0</v>
      </c>
      <c r="P277" s="14">
        <f>IF(Distances!EO120&lt;&gt;0,ROUNDUP(P260+'Délai intermédiaire'!EO120/24,0),0)</f>
        <v>0</v>
      </c>
      <c r="Q277" s="12">
        <f>IF(Distances!EP120&lt;&gt;0,ROUNDUP(Q260+'Délai intermédiaire'!EP120/24,0),0)</f>
        <v>0</v>
      </c>
      <c r="R277" s="13">
        <f>IF(Distances!EQ120&lt;&gt;0,ROUNDUP(R260+'Délai intermédiaire'!EQ120/24,0),0)</f>
        <v>0</v>
      </c>
      <c r="S277" s="13">
        <f>IF(Distances!ER120&lt;&gt;0,ROUNDUP(S260+'Délai intermédiaire'!ER120/24,0),0)</f>
        <v>0</v>
      </c>
      <c r="T277" s="13">
        <f>IF(Distances!ES120&lt;&gt;0,ROUNDUP(T260+'Délai intermédiaire'!ES120/24,0),0)</f>
        <v>2</v>
      </c>
      <c r="U277" s="13">
        <f>IF(Distances!ET120&lt;&gt;0,ROUNDUP(U260+'Délai intermédiaire'!ET120/24,0),0)</f>
        <v>6</v>
      </c>
      <c r="V277" s="13">
        <f>IF(Distances!EU120&lt;&gt;0,ROUNDUP(V260+'Délai intermédiaire'!EU120/24,0),0)</f>
        <v>7</v>
      </c>
      <c r="W277" s="13">
        <f>IF(Distances!EV120&lt;&gt;0,ROUNDUP(W260+'Délai intermédiaire'!EV120/24,0),0)</f>
        <v>0</v>
      </c>
      <c r="X277" s="13">
        <f>IF(Distances!EW120&lt;&gt;0,ROUNDUP(X260+'Délai intermédiaire'!EW120/24,0),0)</f>
        <v>3</v>
      </c>
      <c r="Y277" s="13">
        <f>IF(Distances!EX120&lt;&gt;0,ROUNDUP(Y260+'Délai intermédiaire'!EX120/24,0),0)</f>
        <v>2</v>
      </c>
      <c r="Z277" s="13">
        <f>IF(Distances!EY120&lt;&gt;0,ROUNDUP(Z260+'Délai intermédiaire'!EY120/24,0),0)</f>
        <v>7</v>
      </c>
      <c r="AA277" s="13">
        <f>IF(Distances!EZ120&lt;&gt;0,ROUNDUP(AA260+'Délai intermédiaire'!EZ120/24,0),0)</f>
        <v>7</v>
      </c>
      <c r="AB277" s="13">
        <f>IF(Distances!FA120&lt;&gt;0,ROUNDUP(AB260+'Délai intermédiaire'!FA120/24,0),0)</f>
        <v>5</v>
      </c>
      <c r="AC277" s="13">
        <f>IF(Distances!FB120&lt;&gt;0,ROUNDUP(AC260+'Délai intermédiaire'!FB120/24,0),0)</f>
        <v>0</v>
      </c>
      <c r="AD277" s="13">
        <f>IF(Distances!FC120&lt;&gt;0,ROUNDUP(AD260+'Délai intermédiaire'!FC120/24,0),0)</f>
        <v>0</v>
      </c>
      <c r="AE277" s="13">
        <f>IF(Distances!FD120&lt;&gt;0,ROUNDUP(AE260+'Délai intermédiaire'!FD120/24,0),0)</f>
        <v>9</v>
      </c>
      <c r="AF277" s="13">
        <f>IF(Distances!FE120&lt;&gt;0,ROUNDUP(AF260+'Délai intermédiaire'!FE120/24,0),0)</f>
        <v>8</v>
      </c>
      <c r="AG277" s="13">
        <f>IF(Distances!FF120&lt;&gt;0,ROUNDUP(AG260+'Délai intermédiaire'!FF120/24,0),0)</f>
        <v>9</v>
      </c>
      <c r="AH277" s="14">
        <f>IF(Distances!FG120&lt;&gt;0,ROUNDUP(AH260+'Délai intermédiaire'!FG120/24,0),0)</f>
        <v>15</v>
      </c>
      <c r="AI277" s="14">
        <f>IF(Distances!FH120&lt;&gt;0,ROUNDUP(AI260+'Délai intermédiaire'!FH120/24,0),0)</f>
        <v>0</v>
      </c>
      <c r="AJ277" s="14">
        <f>IF(Distances!FI120&lt;&gt;0,ROUNDUP(AJ260+'Délai intermédiaire'!FI120/24,0),0)</f>
        <v>15</v>
      </c>
      <c r="AK277" s="14">
        <f>IF(Distances!FJ120&lt;&gt;0,ROUNDUP(AK260+'Délai intermédiaire'!FJ120/24,0),0)</f>
        <v>0</v>
      </c>
      <c r="AL277" s="14">
        <f>IF(Distances!FK120&lt;&gt;0,ROUNDUP(AL260+'Délai intermédiaire'!FK120/24,0),0)</f>
        <v>0</v>
      </c>
      <c r="AM277" s="14">
        <f>IF(Distances!FL120&lt;&gt;0,ROUNDUP(AM260+'Délai intermédiaire'!FL120/24,0),0)</f>
        <v>0</v>
      </c>
      <c r="AN277" s="14">
        <f>IF(Distances!FM120&lt;&gt;0,ROUNDUP(AN260+'Délai intermédiaire'!FM120/24,0),0)</f>
        <v>21</v>
      </c>
      <c r="AO277" s="14">
        <f>IF(Distances!FN120&lt;&gt;0,ROUNDUP(AO260+'Délai intermédiaire'!FN120/24,0),0)</f>
        <v>0</v>
      </c>
      <c r="AP277" s="14">
        <f>IF(Distances!FO120&lt;&gt;0,ROUNDUP(AP260+'Délai intermédiaire'!FO120/24,0),0)</f>
        <v>0</v>
      </c>
      <c r="AQ277" s="14">
        <f>IF(Distances!FP120&lt;&gt;0,ROUNDUP(AQ260+'Délai intermédiaire'!FP120/24,0),0)</f>
        <v>0</v>
      </c>
      <c r="AR277" s="14">
        <f>IF(Distances!FQ120&lt;&gt;0,ROUNDUP(AR260+'Délai intermédiaire'!FQ120/24,0),0)</f>
        <v>0</v>
      </c>
      <c r="AS277" s="14">
        <f>IF(Distances!FR120&lt;&gt;0,ROUNDUP(AS260+'Délai intermédiaire'!FR120/24,0),0)</f>
        <v>0</v>
      </c>
      <c r="AT277" s="14">
        <f>IF(Distances!FS120&lt;&gt;0,ROUNDUP(AT260+'Délai intermédiaire'!FS120/24,0),0)</f>
        <v>0</v>
      </c>
      <c r="AU277" s="14">
        <f>IF(Distances!FT120&lt;&gt;0,ROUNDUP(AU260+'Délai intermédiaire'!FT120/24,0),0)</f>
        <v>22</v>
      </c>
      <c r="AV277" s="14">
        <f>IF(Distances!FU120&lt;&gt;0,ROUNDUP(AV260+'Délai intermédiaire'!FU120/24,0),0)</f>
        <v>6</v>
      </c>
      <c r="AW277" s="14">
        <f>IF(Distances!FV120&lt;&gt;0,ROUNDUP(AW260+'Délai intermédiaire'!FV120/24,0),0)</f>
        <v>8</v>
      </c>
      <c r="AX277" s="14">
        <f>IF(Distances!FW120&lt;&gt;0,ROUNDUP(AX260+'Délai intermédiaire'!FW120/24,0),0)</f>
        <v>0</v>
      </c>
      <c r="AY277" s="14">
        <f>IF(Distances!FX120&lt;&gt;0,ROUNDUP(AY260+'Délai intermédiaire'!FX120/24,0),0)</f>
        <v>0</v>
      </c>
      <c r="AZ277" s="14">
        <f>IF(Distances!FY120&lt;&gt;0,ROUNDUP(AZ260+'Délai intermédiaire'!FY120/24,0),0)</f>
        <v>14</v>
      </c>
      <c r="BA277" s="14">
        <f>IF(Distances!FZ120&lt;&gt;0,ROUNDUP(BA260+'Délai intermédiaire'!FZ120/24,0),0)</f>
        <v>0</v>
      </c>
      <c r="BB277" s="13">
        <f>IF(Distances!GA120&lt;&gt;0,ROUNDUP(BB260+'Délai intermédiaire'!GA120/24,0),0)</f>
        <v>0</v>
      </c>
      <c r="BC277" s="14">
        <f>IF(Distances!GB120&lt;&gt;0,ROUNDUP(BC260+'Délai intermédiaire'!GB120/24,0),0)</f>
        <v>0</v>
      </c>
      <c r="BD277" s="14">
        <f>IF(Distances!GC120&lt;&gt;0,ROUNDUP(BD260+'Délai intermédiaire'!GC120/24,0),0)</f>
        <v>22</v>
      </c>
      <c r="BE277" s="14">
        <f>IF(Distances!GD120&lt;&gt;0,ROUNDUP(BE260+'Délai intermédiaire'!GD120/24,0),0)</f>
        <v>0</v>
      </c>
      <c r="BF277" s="13">
        <f>IF(Distances!GE120&lt;&gt;0,ROUNDUP(BF260+'Délai intermédiaire'!GE120/24,0),0)</f>
        <v>10</v>
      </c>
      <c r="BG277" s="13">
        <f>IF(Distances!GF120&lt;&gt;0,ROUNDUP(BG260+'Délai intermédiaire'!GF120/24,0),0)</f>
        <v>0</v>
      </c>
      <c r="BH277" s="14">
        <f>IF(Distances!GG120&lt;&gt;0,ROUNDUP(BH260+'Délai intermédiaire'!GG120/24,0),0)</f>
        <v>0</v>
      </c>
      <c r="BI277" s="14">
        <f>IF(Distances!GH120&lt;&gt;0,ROUNDUP(BI260+'Délai intermédiaire'!GH120/24,0),0)</f>
        <v>0</v>
      </c>
      <c r="BJ277" s="15">
        <f>IF(Distances!GI120&lt;&gt;0,ROUNDUP(BJ260+'Délai intermédiaire'!GI120/24,0),0)</f>
        <v>0</v>
      </c>
    </row>
    <row r="278" spans="1:62" x14ac:dyDescent="0.3">
      <c r="A278" s="10" t="s">
        <v>17</v>
      </c>
      <c r="B278" s="16">
        <f>IF(Distances!EA121&lt;&gt;0,ROUNDUP(B260+'Délai intermédiaire'!EA121/24,0),0)</f>
        <v>0</v>
      </c>
      <c r="C278" s="14">
        <f>IF(Distances!EB121&lt;&gt;0,ROUNDUP(C260+'Délai intermédiaire'!EB121/24,0),0)</f>
        <v>0</v>
      </c>
      <c r="D278" s="14">
        <f>IF(Distances!EC121&lt;&gt;0,ROUNDUP(D260+'Délai intermédiaire'!EC121/24,0),0)</f>
        <v>8</v>
      </c>
      <c r="E278" s="14">
        <f>IF(Distances!ED121&lt;&gt;0,ROUNDUP(E260+'Délai intermédiaire'!ED121/24,0),0)</f>
        <v>0</v>
      </c>
      <c r="F278" s="14">
        <f>IF(Distances!EE121&lt;&gt;0,ROUNDUP(F260+'Délai intermédiaire'!EE121/24,0),0)</f>
        <v>7</v>
      </c>
      <c r="G278" s="14">
        <f>IF(Distances!EF121&lt;&gt;0,ROUNDUP(G260+'Délai intermédiaire'!EF121/24,0),0)</f>
        <v>16</v>
      </c>
      <c r="H278" s="14">
        <f>IF(Distances!EG121&lt;&gt;0,ROUNDUP(H260+'Délai intermédiaire'!EG121/24,0),0)</f>
        <v>0</v>
      </c>
      <c r="I278" s="14">
        <f>IF(Distances!EH121&lt;&gt;0,ROUNDUP(I260+'Délai intermédiaire'!EH121/24,0),0)</f>
        <v>0</v>
      </c>
      <c r="J278" s="14">
        <f>IF(Distances!EI121&lt;&gt;0,ROUNDUP(J260+'Délai intermédiaire'!EI121/24,0),0)</f>
        <v>8</v>
      </c>
      <c r="K278" s="14">
        <f>IF(Distances!EJ121&lt;&gt;0,ROUNDUP(K260+'Délai intermédiaire'!EJ121/24,0),0)</f>
        <v>0</v>
      </c>
      <c r="L278" s="14">
        <f>IF(Distances!EK121&lt;&gt;0,ROUNDUP(L260+'Délai intermédiaire'!EK121/24,0),0)</f>
        <v>0</v>
      </c>
      <c r="M278" s="14">
        <f>IF(Distances!EL121&lt;&gt;0,ROUNDUP(M260+'Délai intermédiaire'!EL121/24,0),0)</f>
        <v>0</v>
      </c>
      <c r="N278" s="14">
        <f>IF(Distances!EM121&lt;&gt;0,ROUNDUP(N260+'Délai intermédiaire'!EM121/24,0),0)</f>
        <v>0</v>
      </c>
      <c r="O278" s="14">
        <f>IF(Distances!EN121&lt;&gt;0,ROUNDUP(O260+'Délai intermédiaire'!EN121/24,0),0)</f>
        <v>0</v>
      </c>
      <c r="P278" s="14">
        <f>IF(Distances!EO121&lt;&gt;0,ROUNDUP(P260+'Délai intermédiaire'!EO121/24,0),0)</f>
        <v>0</v>
      </c>
      <c r="Q278" s="13">
        <f>IF(Distances!EP121&lt;&gt;0,ROUNDUP(Q260+'Délai intermédiaire'!EP121/24,0),0)</f>
        <v>0</v>
      </c>
      <c r="R278" s="12">
        <f>IF(Distances!EQ121&lt;&gt;0,ROUNDUP(R260+'Délai intermédiaire'!EQ121/24,0),0)</f>
        <v>0</v>
      </c>
      <c r="S278" s="13">
        <f>IF(Distances!ER121&lt;&gt;0,ROUNDUP(S260+'Délai intermédiaire'!ER121/24,0),0)</f>
        <v>0</v>
      </c>
      <c r="T278" s="13">
        <f>IF(Distances!ES121&lt;&gt;0,ROUNDUP(T260+'Délai intermédiaire'!ES121/24,0),0)</f>
        <v>2</v>
      </c>
      <c r="U278" s="13">
        <f>IF(Distances!ET121&lt;&gt;0,ROUNDUP(U260+'Délai intermédiaire'!ET121/24,0),0)</f>
        <v>5</v>
      </c>
      <c r="V278" s="13">
        <f>IF(Distances!EU121&lt;&gt;0,ROUNDUP(V260+'Délai intermédiaire'!EU121/24,0),0)</f>
        <v>7</v>
      </c>
      <c r="W278" s="13">
        <f>IF(Distances!EV121&lt;&gt;0,ROUNDUP(W260+'Délai intermédiaire'!EV121/24,0),0)</f>
        <v>0</v>
      </c>
      <c r="X278" s="13">
        <f>IF(Distances!EW121&lt;&gt;0,ROUNDUP(X260+'Délai intermédiaire'!EW121/24,0),0)</f>
        <v>4</v>
      </c>
      <c r="Y278" s="13">
        <f>IF(Distances!EX121&lt;&gt;0,ROUNDUP(Y260+'Délai intermédiaire'!EX121/24,0),0)</f>
        <v>3</v>
      </c>
      <c r="Z278" s="13">
        <f>IF(Distances!EY121&lt;&gt;0,ROUNDUP(Z260+'Délai intermédiaire'!EY121/24,0),0)</f>
        <v>6</v>
      </c>
      <c r="AA278" s="13">
        <f>IF(Distances!EZ121&lt;&gt;0,ROUNDUP(AA260+'Délai intermédiaire'!EZ121/24,0),0)</f>
        <v>6</v>
      </c>
      <c r="AB278" s="13">
        <f>IF(Distances!FA121&lt;&gt;0,ROUNDUP(AB260+'Délai intermédiaire'!FA121/24,0),0)</f>
        <v>4</v>
      </c>
      <c r="AC278" s="13">
        <f>IF(Distances!FB121&lt;&gt;0,ROUNDUP(AC260+'Délai intermédiaire'!FB121/24,0),0)</f>
        <v>0</v>
      </c>
      <c r="AD278" s="13">
        <f>IF(Distances!FC121&lt;&gt;0,ROUNDUP(AD260+'Délai intermédiaire'!FC121/24,0),0)</f>
        <v>0</v>
      </c>
      <c r="AE278" s="13">
        <f>IF(Distances!FD121&lt;&gt;0,ROUNDUP(AE260+'Délai intermédiaire'!FD121/24,0),0)</f>
        <v>8</v>
      </c>
      <c r="AF278" s="13">
        <f>IF(Distances!FE121&lt;&gt;0,ROUNDUP(AF260+'Délai intermédiaire'!FE121/24,0),0)</f>
        <v>7</v>
      </c>
      <c r="AG278" s="13">
        <f>IF(Distances!FF121&lt;&gt;0,ROUNDUP(AG260+'Délai intermédiaire'!FF121/24,0),0)</f>
        <v>8</v>
      </c>
      <c r="AH278" s="14">
        <f>IF(Distances!FG121&lt;&gt;0,ROUNDUP(AH260+'Délai intermédiaire'!FG121/24,0),0)</f>
        <v>14</v>
      </c>
      <c r="AI278" s="14">
        <f>IF(Distances!FH121&lt;&gt;0,ROUNDUP(AI260+'Délai intermédiaire'!FH121/24,0),0)</f>
        <v>0</v>
      </c>
      <c r="AJ278" s="14">
        <f>IF(Distances!FI121&lt;&gt;0,ROUNDUP(AJ260+'Délai intermédiaire'!FI121/24,0),0)</f>
        <v>14</v>
      </c>
      <c r="AK278" s="14">
        <f>IF(Distances!FJ121&lt;&gt;0,ROUNDUP(AK260+'Délai intermédiaire'!FJ121/24,0),0)</f>
        <v>0</v>
      </c>
      <c r="AL278" s="14">
        <f>IF(Distances!FK121&lt;&gt;0,ROUNDUP(AL260+'Délai intermédiaire'!FK121/24,0),0)</f>
        <v>0</v>
      </c>
      <c r="AM278" s="14">
        <f>IF(Distances!FL121&lt;&gt;0,ROUNDUP(AM260+'Délai intermédiaire'!FL121/24,0),0)</f>
        <v>0</v>
      </c>
      <c r="AN278" s="14">
        <f>IF(Distances!FM121&lt;&gt;0,ROUNDUP(AN260+'Délai intermédiaire'!FM121/24,0),0)</f>
        <v>20</v>
      </c>
      <c r="AO278" s="14">
        <f>IF(Distances!FN121&lt;&gt;0,ROUNDUP(AO260+'Délai intermédiaire'!FN121/24,0),0)</f>
        <v>0</v>
      </c>
      <c r="AP278" s="14">
        <f>IF(Distances!FO121&lt;&gt;0,ROUNDUP(AP260+'Délai intermédiaire'!FO121/24,0),0)</f>
        <v>0</v>
      </c>
      <c r="AQ278" s="14">
        <f>IF(Distances!FP121&lt;&gt;0,ROUNDUP(AQ260+'Délai intermédiaire'!FP121/24,0),0)</f>
        <v>0</v>
      </c>
      <c r="AR278" s="14">
        <f>IF(Distances!FQ121&lt;&gt;0,ROUNDUP(AR260+'Délai intermédiaire'!FQ121/24,0),0)</f>
        <v>0</v>
      </c>
      <c r="AS278" s="14">
        <f>IF(Distances!FR121&lt;&gt;0,ROUNDUP(AS260+'Délai intermédiaire'!FR121/24,0),0)</f>
        <v>0</v>
      </c>
      <c r="AT278" s="14">
        <f>IF(Distances!FS121&lt;&gt;0,ROUNDUP(AT260+'Délai intermédiaire'!FS121/24,0),0)</f>
        <v>0</v>
      </c>
      <c r="AU278" s="14">
        <f>IF(Distances!FT121&lt;&gt;0,ROUNDUP(AU260+'Délai intermédiaire'!FT121/24,0),0)</f>
        <v>21</v>
      </c>
      <c r="AV278" s="14">
        <f>IF(Distances!FU121&lt;&gt;0,ROUNDUP(AV260+'Délai intermédiaire'!FU121/24,0),0)</f>
        <v>7</v>
      </c>
      <c r="AW278" s="14">
        <f>IF(Distances!FV121&lt;&gt;0,ROUNDUP(AW260+'Délai intermédiaire'!FV121/24,0),0)</f>
        <v>9</v>
      </c>
      <c r="AX278" s="14">
        <f>IF(Distances!FW121&lt;&gt;0,ROUNDUP(AX260+'Délai intermédiaire'!FW121/24,0),0)</f>
        <v>0</v>
      </c>
      <c r="AY278" s="14">
        <f>IF(Distances!FX121&lt;&gt;0,ROUNDUP(AY260+'Délai intermédiaire'!FX121/24,0),0)</f>
        <v>0</v>
      </c>
      <c r="AZ278" s="14">
        <f>IF(Distances!FY121&lt;&gt;0,ROUNDUP(AZ260+'Délai intermédiaire'!FY121/24,0),0)</f>
        <v>13</v>
      </c>
      <c r="BA278" s="14">
        <f>IF(Distances!FZ121&lt;&gt;0,ROUNDUP(BA260+'Délai intermédiaire'!FZ121/24,0),0)</f>
        <v>0</v>
      </c>
      <c r="BB278" s="13">
        <f>IF(Distances!GA121&lt;&gt;0,ROUNDUP(BB260+'Délai intermédiaire'!GA121/24,0),0)</f>
        <v>0</v>
      </c>
      <c r="BC278" s="14">
        <f>IF(Distances!GB121&lt;&gt;0,ROUNDUP(BC260+'Délai intermédiaire'!GB121/24,0),0)</f>
        <v>0</v>
      </c>
      <c r="BD278" s="14">
        <f>IF(Distances!GC121&lt;&gt;0,ROUNDUP(BD260+'Délai intermédiaire'!GC121/24,0),0)</f>
        <v>22</v>
      </c>
      <c r="BE278" s="14">
        <f>IF(Distances!GD121&lt;&gt;0,ROUNDUP(BE260+'Délai intermédiaire'!GD121/24,0),0)</f>
        <v>0</v>
      </c>
      <c r="BF278" s="13">
        <f>IF(Distances!GE121&lt;&gt;0,ROUNDUP(BF260+'Délai intermédiaire'!GE121/24,0),0)</f>
        <v>9</v>
      </c>
      <c r="BG278" s="13">
        <f>IF(Distances!GF121&lt;&gt;0,ROUNDUP(BG260+'Délai intermédiaire'!GF121/24,0),0)</f>
        <v>0</v>
      </c>
      <c r="BH278" s="14">
        <f>IF(Distances!GG121&lt;&gt;0,ROUNDUP(BH260+'Délai intermédiaire'!GG121/24,0),0)</f>
        <v>0</v>
      </c>
      <c r="BI278" s="14">
        <f>IF(Distances!GH121&lt;&gt;0,ROUNDUP(BI260+'Délai intermédiaire'!GH121/24,0),0)</f>
        <v>0</v>
      </c>
      <c r="BJ278" s="15">
        <f>IF(Distances!GI121&lt;&gt;0,ROUNDUP(BJ260+'Délai intermédiaire'!GI121/24,0),0)</f>
        <v>0</v>
      </c>
    </row>
    <row r="279" spans="1:62" x14ac:dyDescent="0.3">
      <c r="A279" s="10" t="s">
        <v>18</v>
      </c>
      <c r="B279" s="16">
        <f>IF(Distances!EA122&lt;&gt;0,ROUNDUP(B260+'Délai intermédiaire'!EA122/24,0),0)</f>
        <v>0</v>
      </c>
      <c r="C279" s="14">
        <f>IF(Distances!EB122&lt;&gt;0,ROUNDUP(C260+'Délai intermédiaire'!EB122/24,0),0)</f>
        <v>0</v>
      </c>
      <c r="D279" s="14">
        <f>IF(Distances!EC122&lt;&gt;0,ROUNDUP(D260+'Délai intermédiaire'!EC122/24,0),0)</f>
        <v>8</v>
      </c>
      <c r="E279" s="14">
        <f>IF(Distances!ED122&lt;&gt;0,ROUNDUP(E260+'Délai intermédiaire'!ED122/24,0),0)</f>
        <v>0</v>
      </c>
      <c r="F279" s="14">
        <f>IF(Distances!EE122&lt;&gt;0,ROUNDUP(F260+'Délai intermédiaire'!EE122/24,0),0)</f>
        <v>8</v>
      </c>
      <c r="G279" s="14">
        <f>IF(Distances!EF122&lt;&gt;0,ROUNDUP(G260+'Délai intermédiaire'!EF122/24,0),0)</f>
        <v>17</v>
      </c>
      <c r="H279" s="14">
        <f>IF(Distances!EG122&lt;&gt;0,ROUNDUP(H260+'Délai intermédiaire'!EG122/24,0),0)</f>
        <v>0</v>
      </c>
      <c r="I279" s="14">
        <f>IF(Distances!EH122&lt;&gt;0,ROUNDUP(I260+'Délai intermédiaire'!EH122/24,0),0)</f>
        <v>0</v>
      </c>
      <c r="J279" s="14">
        <f>IF(Distances!EI122&lt;&gt;0,ROUNDUP(J260+'Délai intermédiaire'!EI122/24,0),0)</f>
        <v>8</v>
      </c>
      <c r="K279" s="14">
        <f>IF(Distances!EJ122&lt;&gt;0,ROUNDUP(K260+'Délai intermédiaire'!EJ122/24,0),0)</f>
        <v>0</v>
      </c>
      <c r="L279" s="14">
        <f>IF(Distances!EK122&lt;&gt;0,ROUNDUP(L260+'Délai intermédiaire'!EK122/24,0),0)</f>
        <v>0</v>
      </c>
      <c r="M279" s="14">
        <f>IF(Distances!EL122&lt;&gt;0,ROUNDUP(M260+'Délai intermédiaire'!EL122/24,0),0)</f>
        <v>0</v>
      </c>
      <c r="N279" s="14">
        <f>IF(Distances!EM122&lt;&gt;0,ROUNDUP(N260+'Délai intermédiaire'!EM122/24,0),0)</f>
        <v>0</v>
      </c>
      <c r="O279" s="14">
        <f>IF(Distances!EN122&lt;&gt;0,ROUNDUP(O260+'Délai intermédiaire'!EN122/24,0),0)</f>
        <v>0</v>
      </c>
      <c r="P279" s="14">
        <f>IF(Distances!EO122&lt;&gt;0,ROUNDUP(P260+'Délai intermédiaire'!EO122/24,0),0)</f>
        <v>0</v>
      </c>
      <c r="Q279" s="13">
        <f>IF(Distances!EP122&lt;&gt;0,ROUNDUP(Q260+'Délai intermédiaire'!EP122/24,0),0)</f>
        <v>0</v>
      </c>
      <c r="R279" s="13">
        <f>IF(Distances!EQ122&lt;&gt;0,ROUNDUP(R260+'Délai intermédiaire'!EQ122/24,0),0)</f>
        <v>0</v>
      </c>
      <c r="S279" s="12">
        <f>IF(Distances!ER122&lt;&gt;0,ROUNDUP(S260+'Délai intermédiaire'!ER122/24,0),0)</f>
        <v>0</v>
      </c>
      <c r="T279" s="13">
        <f>IF(Distances!ES122&lt;&gt;0,ROUNDUP(T260+'Délai intermédiaire'!ES122/24,0),0)</f>
        <v>2</v>
      </c>
      <c r="U279" s="13">
        <f>IF(Distances!ET122&lt;&gt;0,ROUNDUP(U260+'Délai intermédiaire'!ET122/24,0),0)</f>
        <v>5</v>
      </c>
      <c r="V279" s="13">
        <f>IF(Distances!EU122&lt;&gt;0,ROUNDUP(V260+'Délai intermédiaire'!EU122/24,0),0)</f>
        <v>7</v>
      </c>
      <c r="W279" s="13">
        <f>IF(Distances!EV122&lt;&gt;0,ROUNDUP(W260+'Délai intermédiaire'!EV122/24,0),0)</f>
        <v>0</v>
      </c>
      <c r="X279" s="13">
        <f>IF(Distances!EW122&lt;&gt;0,ROUNDUP(X260+'Délai intermédiaire'!EW122/24,0),0)</f>
        <v>3</v>
      </c>
      <c r="Y279" s="13">
        <f>IF(Distances!EX122&lt;&gt;0,ROUNDUP(Y260+'Délai intermédiaire'!EX122/24,0),0)</f>
        <v>2</v>
      </c>
      <c r="Z279" s="13">
        <f>IF(Distances!EY122&lt;&gt;0,ROUNDUP(Z260+'Délai intermédiaire'!EY122/24,0),0)</f>
        <v>6</v>
      </c>
      <c r="AA279" s="13">
        <f>IF(Distances!EZ122&lt;&gt;0,ROUNDUP(AA260+'Délai intermédiaire'!EZ122/24,0),0)</f>
        <v>6</v>
      </c>
      <c r="AB279" s="13">
        <f>IF(Distances!FA122&lt;&gt;0,ROUNDUP(AB260+'Délai intermédiaire'!FA122/24,0),0)</f>
        <v>5</v>
      </c>
      <c r="AC279" s="13">
        <f>IF(Distances!FB122&lt;&gt;0,ROUNDUP(AC260+'Délai intermédiaire'!FB122/24,0),0)</f>
        <v>0</v>
      </c>
      <c r="AD279" s="13">
        <f>IF(Distances!FC122&lt;&gt;0,ROUNDUP(AD260+'Délai intermédiaire'!FC122/24,0),0)</f>
        <v>0</v>
      </c>
      <c r="AE279" s="13">
        <f>IF(Distances!FD122&lt;&gt;0,ROUNDUP(AE260+'Délai intermédiaire'!FD122/24,0),0)</f>
        <v>8</v>
      </c>
      <c r="AF279" s="13">
        <f>IF(Distances!FE122&lt;&gt;0,ROUNDUP(AF260+'Délai intermédiaire'!FE122/24,0),0)</f>
        <v>7</v>
      </c>
      <c r="AG279" s="13">
        <f>IF(Distances!FF122&lt;&gt;0,ROUNDUP(AG260+'Délai intermédiaire'!FF122/24,0),0)</f>
        <v>8</v>
      </c>
      <c r="AH279" s="14">
        <f>IF(Distances!FG122&lt;&gt;0,ROUNDUP(AH260+'Délai intermédiaire'!FG122/24,0),0)</f>
        <v>14</v>
      </c>
      <c r="AI279" s="14">
        <f>IF(Distances!FH122&lt;&gt;0,ROUNDUP(AI260+'Délai intermédiaire'!FH122/24,0),0)</f>
        <v>0</v>
      </c>
      <c r="AJ279" s="14">
        <f>IF(Distances!FI122&lt;&gt;0,ROUNDUP(AJ260+'Délai intermédiaire'!FI122/24,0),0)</f>
        <v>14</v>
      </c>
      <c r="AK279" s="14">
        <f>IF(Distances!FJ122&lt;&gt;0,ROUNDUP(AK260+'Délai intermédiaire'!FJ122/24,0),0)</f>
        <v>0</v>
      </c>
      <c r="AL279" s="14">
        <f>IF(Distances!FK122&lt;&gt;0,ROUNDUP(AL260+'Délai intermédiaire'!FK122/24,0),0)</f>
        <v>0</v>
      </c>
      <c r="AM279" s="14">
        <f>IF(Distances!FL122&lt;&gt;0,ROUNDUP(AM260+'Délai intermédiaire'!FL122/24,0),0)</f>
        <v>0</v>
      </c>
      <c r="AN279" s="14">
        <f>IF(Distances!FM122&lt;&gt;0,ROUNDUP(AN260+'Délai intermédiaire'!FM122/24,0),0)</f>
        <v>20</v>
      </c>
      <c r="AO279" s="14">
        <f>IF(Distances!FN122&lt;&gt;0,ROUNDUP(AO260+'Délai intermédiaire'!FN122/24,0),0)</f>
        <v>0</v>
      </c>
      <c r="AP279" s="14">
        <f>IF(Distances!FO122&lt;&gt;0,ROUNDUP(AP260+'Délai intermédiaire'!FO122/24,0),0)</f>
        <v>0</v>
      </c>
      <c r="AQ279" s="14">
        <f>IF(Distances!FP122&lt;&gt;0,ROUNDUP(AQ260+'Délai intermédiaire'!FP122/24,0),0)</f>
        <v>0</v>
      </c>
      <c r="AR279" s="14">
        <f>IF(Distances!FQ122&lt;&gt;0,ROUNDUP(AR260+'Délai intermédiaire'!FQ122/24,0),0)</f>
        <v>0</v>
      </c>
      <c r="AS279" s="14">
        <f>IF(Distances!FR122&lt;&gt;0,ROUNDUP(AS260+'Délai intermédiaire'!FR122/24,0),0)</f>
        <v>0</v>
      </c>
      <c r="AT279" s="14">
        <f>IF(Distances!FS122&lt;&gt;0,ROUNDUP(AT260+'Délai intermédiaire'!FS122/24,0),0)</f>
        <v>0</v>
      </c>
      <c r="AU279" s="14">
        <f>IF(Distances!FT122&lt;&gt;0,ROUNDUP(AU260+'Délai intermédiaire'!FT122/24,0),0)</f>
        <v>21</v>
      </c>
      <c r="AV279" s="14">
        <f>IF(Distances!FU122&lt;&gt;0,ROUNDUP(AV260+'Délai intermédiaire'!FU122/24,0),0)</f>
        <v>6</v>
      </c>
      <c r="AW279" s="14">
        <f>IF(Distances!FV122&lt;&gt;0,ROUNDUP(AW260+'Délai intermédiaire'!FV122/24,0),0)</f>
        <v>8</v>
      </c>
      <c r="AX279" s="14">
        <f>IF(Distances!FW122&lt;&gt;0,ROUNDUP(AX260+'Délai intermédiaire'!FW122/24,0),0)</f>
        <v>0</v>
      </c>
      <c r="AY279" s="14">
        <f>IF(Distances!FX122&lt;&gt;0,ROUNDUP(AY260+'Délai intermédiaire'!FX122/24,0),0)</f>
        <v>0</v>
      </c>
      <c r="AZ279" s="14">
        <f>IF(Distances!FY122&lt;&gt;0,ROUNDUP(AZ260+'Délai intermédiaire'!FY122/24,0),0)</f>
        <v>14</v>
      </c>
      <c r="BA279" s="14">
        <f>IF(Distances!FZ122&lt;&gt;0,ROUNDUP(BA260+'Délai intermédiaire'!FZ122/24,0),0)</f>
        <v>0</v>
      </c>
      <c r="BB279" s="13">
        <f>IF(Distances!GA122&lt;&gt;0,ROUNDUP(BB260+'Délai intermédiaire'!GA122/24,0),0)</f>
        <v>0</v>
      </c>
      <c r="BC279" s="14">
        <f>IF(Distances!GB122&lt;&gt;0,ROUNDUP(BC260+'Délai intermédiaire'!GB122/24,0),0)</f>
        <v>0</v>
      </c>
      <c r="BD279" s="14">
        <f>IF(Distances!GC122&lt;&gt;0,ROUNDUP(BD260+'Délai intermédiaire'!GC122/24,0),0)</f>
        <v>22</v>
      </c>
      <c r="BE279" s="14">
        <f>IF(Distances!GD122&lt;&gt;0,ROUNDUP(BE260+'Délai intermédiaire'!GD122/24,0),0)</f>
        <v>0</v>
      </c>
      <c r="BF279" s="13">
        <f>IF(Distances!GE122&lt;&gt;0,ROUNDUP(BF260+'Délai intermédiaire'!GE122/24,0),0)</f>
        <v>10</v>
      </c>
      <c r="BG279" s="13">
        <f>IF(Distances!GF122&lt;&gt;0,ROUNDUP(BG260+'Délai intermédiaire'!GF122/24,0),0)</f>
        <v>0</v>
      </c>
      <c r="BH279" s="14">
        <f>IF(Distances!GG122&lt;&gt;0,ROUNDUP(BH260+'Délai intermédiaire'!GG122/24,0),0)</f>
        <v>0</v>
      </c>
      <c r="BI279" s="14">
        <f>IF(Distances!GH122&lt;&gt;0,ROUNDUP(BI260+'Délai intermédiaire'!GH122/24,0),0)</f>
        <v>0</v>
      </c>
      <c r="BJ279" s="15">
        <f>IF(Distances!GI122&lt;&gt;0,ROUNDUP(BJ260+'Délai intermédiaire'!GI122/24,0),0)</f>
        <v>0</v>
      </c>
    </row>
    <row r="280" spans="1:62" x14ac:dyDescent="0.3">
      <c r="A280" s="10" t="s">
        <v>19</v>
      </c>
      <c r="B280" s="16">
        <f>IF(Distances!EA123&lt;&gt;0,ROUNDUP(B260+'Délai intermédiaire'!EA123/24,0),0)</f>
        <v>8</v>
      </c>
      <c r="C280" s="14">
        <f>IF(Distances!EB123&lt;&gt;0,ROUNDUP(C260+'Délai intermédiaire'!EB123/24,0),0)</f>
        <v>10</v>
      </c>
      <c r="D280" s="14">
        <f>IF(Distances!EC123&lt;&gt;0,ROUNDUP(D260+'Délai intermédiaire'!EC123/24,0),0)</f>
        <v>8</v>
      </c>
      <c r="E280" s="14">
        <f>IF(Distances!ED123&lt;&gt;0,ROUNDUP(E260+'Délai intermédiaire'!ED123/24,0),0)</f>
        <v>9</v>
      </c>
      <c r="F280" s="14">
        <f>IF(Distances!EE123&lt;&gt;0,ROUNDUP(F260+'Délai intermédiaire'!EE123/24,0),0)</f>
        <v>8</v>
      </c>
      <c r="G280" s="14">
        <f>IF(Distances!EF123&lt;&gt;0,ROUNDUP(G260+'Délai intermédiaire'!EF123/24,0),0)</f>
        <v>17</v>
      </c>
      <c r="H280" s="14">
        <f>IF(Distances!EG123&lt;&gt;0,ROUNDUP(H260+'Délai intermédiaire'!EG123/24,0),0)</f>
        <v>17</v>
      </c>
      <c r="I280" s="14">
        <f>IF(Distances!EH123&lt;&gt;0,ROUNDUP(I260+'Délai intermédiaire'!EH123/24,0),0)</f>
        <v>15</v>
      </c>
      <c r="J280" s="14">
        <f>IF(Distances!EI123&lt;&gt;0,ROUNDUP(J260+'Délai intermédiaire'!EI123/24,0),0)</f>
        <v>8</v>
      </c>
      <c r="K280" s="14">
        <f>IF(Distances!EJ123&lt;&gt;0,ROUNDUP(K260+'Délai intermédiaire'!EJ123/24,0),0)</f>
        <v>8</v>
      </c>
      <c r="L280" s="14">
        <f>IF(Distances!EK123&lt;&gt;0,ROUNDUP(L260+'Délai intermédiaire'!EK123/24,0),0)</f>
        <v>18</v>
      </c>
      <c r="M280" s="14">
        <f>IF(Distances!EL123&lt;&gt;0,ROUNDUP(M260+'Délai intermédiaire'!EL123/24,0),0)</f>
        <v>18</v>
      </c>
      <c r="N280" s="14">
        <f>IF(Distances!EM123&lt;&gt;0,ROUNDUP(N260+'Délai intermédiaire'!EM123/24,0),0)</f>
        <v>11</v>
      </c>
      <c r="O280" s="14">
        <f>IF(Distances!EN123&lt;&gt;0,ROUNDUP(O260+'Délai intermédiaire'!EN123/24,0),0)</f>
        <v>11</v>
      </c>
      <c r="P280" s="14">
        <f>IF(Distances!EO123&lt;&gt;0,ROUNDUP(P260+'Délai intermédiaire'!EO123/24,0),0)</f>
        <v>9</v>
      </c>
      <c r="Q280" s="13">
        <f>IF(Distances!EP123&lt;&gt;0,ROUNDUP(Q260+'Délai intermédiaire'!EP123/24,0),0)</f>
        <v>2</v>
      </c>
      <c r="R280" s="13">
        <f>IF(Distances!EQ123&lt;&gt;0,ROUNDUP(R260+'Délai intermédiaire'!EQ123/24,0),0)</f>
        <v>2</v>
      </c>
      <c r="S280" s="13">
        <f>IF(Distances!ER123&lt;&gt;0,ROUNDUP(S260+'Délai intermédiaire'!ER123/24,0),0)</f>
        <v>2</v>
      </c>
      <c r="T280" s="12">
        <f>IF(Distances!ES123&lt;&gt;0,ROUNDUP(T260+'Délai intermédiaire'!ES123/24,0),0)</f>
        <v>0</v>
      </c>
      <c r="U280" s="13">
        <f>IF(Distances!ET123&lt;&gt;0,ROUNDUP(U260+'Délai intermédiaire'!ET123/24,0),0)</f>
        <v>5</v>
      </c>
      <c r="V280" s="13">
        <f>IF(Distances!EU123&lt;&gt;0,ROUNDUP(V260+'Délai intermédiaire'!EU123/24,0),0)</f>
        <v>7</v>
      </c>
      <c r="W280" s="13">
        <f>IF(Distances!EV123&lt;&gt;0,ROUNDUP(W260+'Délai intermédiaire'!EV123/24,0),0)</f>
        <v>2</v>
      </c>
      <c r="X280" s="13">
        <f>IF(Distances!EW123&lt;&gt;0,ROUNDUP(X260+'Délai intermédiaire'!EW123/24,0),0)</f>
        <v>3</v>
      </c>
      <c r="Y280" s="13">
        <f>IF(Distances!EX123&lt;&gt;0,ROUNDUP(Y260+'Délai intermédiaire'!EX123/24,0),0)</f>
        <v>2</v>
      </c>
      <c r="Z280" s="13">
        <f>IF(Distances!EY123&lt;&gt;0,ROUNDUP(Z260+'Délai intermédiaire'!EY123/24,0),0)</f>
        <v>6</v>
      </c>
      <c r="AA280" s="13">
        <f>IF(Distances!EZ123&lt;&gt;0,ROUNDUP(AA260+'Délai intermédiaire'!EZ123/24,0),0)</f>
        <v>6</v>
      </c>
      <c r="AB280" s="13">
        <f>IF(Distances!FA123&lt;&gt;0,ROUNDUP(AB260+'Délai intermédiaire'!FA123/24,0),0)</f>
        <v>4</v>
      </c>
      <c r="AC280" s="13">
        <f>IF(Distances!FB123&lt;&gt;0,ROUNDUP(AC260+'Délai intermédiaire'!FB123/24,0),0)</f>
        <v>5</v>
      </c>
      <c r="AD280" s="13">
        <f>IF(Distances!FC123&lt;&gt;0,ROUNDUP(AD260+'Délai intermédiaire'!FC123/24,0),0)</f>
        <v>4</v>
      </c>
      <c r="AE280" s="13">
        <f>IF(Distances!FD123&lt;&gt;0,ROUNDUP(AE260+'Délai intermédiaire'!FD123/24,0),0)</f>
        <v>8</v>
      </c>
      <c r="AF280" s="13">
        <f>IF(Distances!FE123&lt;&gt;0,ROUNDUP(AF260+'Délai intermédiaire'!FE123/24,0),0)</f>
        <v>7</v>
      </c>
      <c r="AG280" s="13">
        <f>IF(Distances!FF123&lt;&gt;0,ROUNDUP(AG260+'Délai intermédiaire'!FF123/24,0),0)</f>
        <v>8</v>
      </c>
      <c r="AH280" s="14">
        <f>IF(Distances!FG123&lt;&gt;0,ROUNDUP(AH260+'Délai intermédiaire'!FG123/24,0),0)</f>
        <v>14</v>
      </c>
      <c r="AI280" s="14">
        <f>IF(Distances!FH123&lt;&gt;0,ROUNDUP(AI260+'Délai intermédiaire'!FH123/24,0),0)</f>
        <v>16</v>
      </c>
      <c r="AJ280" s="14">
        <f>IF(Distances!FI123&lt;&gt;0,ROUNDUP(AJ260+'Délai intermédiaire'!FI123/24,0),0)</f>
        <v>14</v>
      </c>
      <c r="AK280" s="14">
        <f>IF(Distances!FJ123&lt;&gt;0,ROUNDUP(AK260+'Délai intermédiaire'!FJ123/24,0),0)</f>
        <v>15</v>
      </c>
      <c r="AL280" s="14">
        <f>IF(Distances!FK123&lt;&gt;0,ROUNDUP(AL260+'Délai intermédiaire'!FK123/24,0),0)</f>
        <v>21</v>
      </c>
      <c r="AM280" s="14">
        <f>IF(Distances!FL123&lt;&gt;0,ROUNDUP(AM260+'Délai intermédiaire'!FL123/24,0),0)</f>
        <v>20</v>
      </c>
      <c r="AN280" s="14">
        <f>IF(Distances!FM123&lt;&gt;0,ROUNDUP(AN260+'Délai intermédiaire'!FM123/24,0),0)</f>
        <v>20</v>
      </c>
      <c r="AO280" s="14">
        <f>IF(Distances!FN123&lt;&gt;0,ROUNDUP(AO260+'Délai intermédiaire'!FN123/24,0),0)</f>
        <v>22</v>
      </c>
      <c r="AP280" s="14">
        <f>IF(Distances!FO123&lt;&gt;0,ROUNDUP(AP260+'Délai intermédiaire'!FO123/24,0),0)</f>
        <v>22</v>
      </c>
      <c r="AQ280" s="14">
        <f>IF(Distances!FP123&lt;&gt;0,ROUNDUP(AQ260+'Délai intermédiaire'!FP123/24,0),0)</f>
        <v>19</v>
      </c>
      <c r="AR280" s="14">
        <f>IF(Distances!FQ123&lt;&gt;0,ROUNDUP(AR260+'Délai intermédiaire'!FQ123/24,0),0)</f>
        <v>13</v>
      </c>
      <c r="AS280" s="14">
        <f>IF(Distances!FR123&lt;&gt;0,ROUNDUP(AS260+'Délai intermédiaire'!FR123/24,0),0)</f>
        <v>13</v>
      </c>
      <c r="AT280" s="14">
        <f>IF(Distances!FS123&lt;&gt;0,ROUNDUP(AT260+'Délai intermédiaire'!FS123/24,0),0)</f>
        <v>13</v>
      </c>
      <c r="AU280" s="14">
        <f>IF(Distances!FT123&lt;&gt;0,ROUNDUP(AU260+'Délai intermédiaire'!FT123/24,0),0)</f>
        <v>21</v>
      </c>
      <c r="AV280" s="14">
        <f>IF(Distances!FU123&lt;&gt;0,ROUNDUP(AV260+'Délai intermédiaire'!FU123/24,0),0)</f>
        <v>7</v>
      </c>
      <c r="AW280" s="14">
        <f>IF(Distances!FV123&lt;&gt;0,ROUNDUP(AW260+'Délai intermédiaire'!FV123/24,0),0)</f>
        <v>9</v>
      </c>
      <c r="AX280" s="14">
        <f>IF(Distances!FW123&lt;&gt;0,ROUNDUP(AX260+'Délai intermédiaire'!FW123/24,0),0)</f>
        <v>23</v>
      </c>
      <c r="AY280" s="14">
        <f>IF(Distances!FX123&lt;&gt;0,ROUNDUP(AY260+'Délai intermédiaire'!FX123/24,0),0)</f>
        <v>3</v>
      </c>
      <c r="AZ280" s="14">
        <f>IF(Distances!FY123&lt;&gt;0,ROUNDUP(AZ260+'Délai intermédiaire'!FY123/24,0),0)</f>
        <v>13</v>
      </c>
      <c r="BA280" s="14">
        <f>IF(Distances!FZ123&lt;&gt;0,ROUNDUP(BA260+'Délai intermédiaire'!FZ123/24,0),0)</f>
        <v>18</v>
      </c>
      <c r="BB280" s="13">
        <f>IF(Distances!GA123&lt;&gt;0,ROUNDUP(BB260+'Délai intermédiaire'!GA123/24,0),0)</f>
        <v>5</v>
      </c>
      <c r="BC280" s="14">
        <f>IF(Distances!GB123&lt;&gt;0,ROUNDUP(BC260+'Délai intermédiaire'!GB123/24,0),0)</f>
        <v>19</v>
      </c>
      <c r="BD280" s="14">
        <f>IF(Distances!GC123&lt;&gt;0,ROUNDUP(BD260+'Délai intermédiaire'!GC123/24,0),0)</f>
        <v>21</v>
      </c>
      <c r="BE280" s="14">
        <f>IF(Distances!GD123&lt;&gt;0,ROUNDUP(BE260+'Délai intermédiaire'!GD123/24,0),0)</f>
        <v>21</v>
      </c>
      <c r="BF280" s="13">
        <f>IF(Distances!GE123&lt;&gt;0,ROUNDUP(BF260+'Délai intermédiaire'!GE123/24,0),0)</f>
        <v>9</v>
      </c>
      <c r="BG280" s="13">
        <f>IF(Distances!GF123&lt;&gt;0,ROUNDUP(BG260+'Délai intermédiaire'!GF123/24,0),0)</f>
        <v>7</v>
      </c>
      <c r="BH280" s="14">
        <f>IF(Distances!GG123&lt;&gt;0,ROUNDUP(BH260+'Délai intermédiaire'!GG123/24,0),0)</f>
        <v>11</v>
      </c>
      <c r="BI280" s="14">
        <f>IF(Distances!GH123&lt;&gt;0,ROUNDUP(BI260+'Délai intermédiaire'!GH123/24,0),0)</f>
        <v>15</v>
      </c>
      <c r="BJ280" s="15">
        <f>IF(Distances!GI123&lt;&gt;0,ROUNDUP(BJ260+'Délai intermédiaire'!GI123/24,0),0)</f>
        <v>15</v>
      </c>
    </row>
    <row r="281" spans="1:62" x14ac:dyDescent="0.3">
      <c r="A281" s="10" t="s">
        <v>20</v>
      </c>
      <c r="B281" s="16">
        <f>IF(Distances!EA124&lt;&gt;0,ROUNDUP(B260+'Délai intermédiaire'!EA124/24,0),0)</f>
        <v>9</v>
      </c>
      <c r="C281" s="14">
        <f>IF(Distances!EB124&lt;&gt;0,ROUNDUP(C260+'Délai intermédiaire'!EB124/24,0),0)</f>
        <v>11</v>
      </c>
      <c r="D281" s="14">
        <f>IF(Distances!EC124&lt;&gt;0,ROUNDUP(D260+'Délai intermédiaire'!EC124/24,0),0)</f>
        <v>9</v>
      </c>
      <c r="E281" s="14">
        <f>IF(Distances!ED124&lt;&gt;0,ROUNDUP(E260+'Délai intermédiaire'!ED124/24,0),0)</f>
        <v>10</v>
      </c>
      <c r="F281" s="14">
        <f>IF(Distances!EE124&lt;&gt;0,ROUNDUP(F260+'Délai intermédiaire'!EE124/24,0),0)</f>
        <v>9</v>
      </c>
      <c r="G281" s="14">
        <f>IF(Distances!EF124&lt;&gt;0,ROUNDUP(G260+'Délai intermédiaire'!EF124/24,0),0)</f>
        <v>15</v>
      </c>
      <c r="H281" s="14">
        <f>IF(Distances!EG124&lt;&gt;0,ROUNDUP(H260+'Délai intermédiaire'!EG124/24,0),0)</f>
        <v>17</v>
      </c>
      <c r="I281" s="14">
        <f>IF(Distances!EH124&lt;&gt;0,ROUNDUP(I260+'Délai intermédiaire'!EH124/24,0),0)</f>
        <v>13</v>
      </c>
      <c r="J281" s="14">
        <f>IF(Distances!EI124&lt;&gt;0,ROUNDUP(J260+'Délai intermédiaire'!EI124/24,0),0)</f>
        <v>9</v>
      </c>
      <c r="K281" s="14">
        <f>IF(Distances!EJ124&lt;&gt;0,ROUNDUP(K260+'Délai intermédiaire'!EJ124/24,0),0)</f>
        <v>9</v>
      </c>
      <c r="L281" s="14">
        <f>IF(Distances!EK124&lt;&gt;0,ROUNDUP(L260+'Délai intermédiaire'!EK124/24,0),0)</f>
        <v>18</v>
      </c>
      <c r="M281" s="14">
        <f>IF(Distances!EL124&lt;&gt;0,ROUNDUP(M260+'Délai intermédiaire'!EL124/24,0),0)</f>
        <v>18</v>
      </c>
      <c r="N281" s="14">
        <f>IF(Distances!EM124&lt;&gt;0,ROUNDUP(N260+'Délai intermédiaire'!EM124/24,0),0)</f>
        <v>12</v>
      </c>
      <c r="O281" s="14">
        <f>IF(Distances!EN124&lt;&gt;0,ROUNDUP(O260+'Délai intermédiaire'!EN124/24,0),0)</f>
        <v>11</v>
      </c>
      <c r="P281" s="14">
        <f>IF(Distances!EO124&lt;&gt;0,ROUNDUP(P260+'Délai intermédiaire'!EO124/24,0),0)</f>
        <v>9</v>
      </c>
      <c r="Q281" s="13">
        <f>IF(Distances!EP124&lt;&gt;0,ROUNDUP(Q260+'Délai intermédiaire'!EP124/24,0),0)</f>
        <v>6</v>
      </c>
      <c r="R281" s="13">
        <f>IF(Distances!EQ124&lt;&gt;0,ROUNDUP(R260+'Délai intermédiaire'!EQ124/24,0),0)</f>
        <v>5</v>
      </c>
      <c r="S281" s="13">
        <f>IF(Distances!ER124&lt;&gt;0,ROUNDUP(S260+'Délai intermédiaire'!ER124/24,0),0)</f>
        <v>5</v>
      </c>
      <c r="T281" s="13">
        <f>IF(Distances!ES124&lt;&gt;0,ROUNDUP(T260+'Délai intermédiaire'!ES124/24,0),0)</f>
        <v>5</v>
      </c>
      <c r="U281" s="12">
        <f>IF(Distances!ET124&lt;&gt;0,ROUNDUP(U260+'Délai intermédiaire'!ET124/24,0),0)</f>
        <v>0</v>
      </c>
      <c r="V281" s="13">
        <f>IF(Distances!EU124&lt;&gt;0,ROUNDUP(V260+'Délai intermédiaire'!EU124/24,0),0)</f>
        <v>4</v>
      </c>
      <c r="W281" s="13">
        <f>IF(Distances!EV124&lt;&gt;0,ROUNDUP(W260+'Délai intermédiaire'!EV124/24,0),0)</f>
        <v>6</v>
      </c>
      <c r="X281" s="13">
        <f>IF(Distances!EW124&lt;&gt;0,ROUNDUP(X260+'Délai intermédiaire'!EW124/24,0),0)</f>
        <v>6</v>
      </c>
      <c r="Y281" s="13">
        <f>IF(Distances!EX124&lt;&gt;0,ROUNDUP(Y260+'Délai intermédiaire'!EX124/24,0),0)</f>
        <v>5</v>
      </c>
      <c r="Z281" s="13">
        <f>IF(Distances!EY124&lt;&gt;0,ROUNDUP(Z260+'Délai intermédiaire'!EY124/24,0),0)</f>
        <v>3</v>
      </c>
      <c r="AA281" s="13">
        <f>IF(Distances!EZ124&lt;&gt;0,ROUNDUP(AA260+'Délai intermédiaire'!EZ124/24,0),0)</f>
        <v>3</v>
      </c>
      <c r="AB281" s="13">
        <f>IF(Distances!FA124&lt;&gt;0,ROUNDUP(AB260+'Délai intermédiaire'!FA124/24,0),0)</f>
        <v>2</v>
      </c>
      <c r="AC281" s="13">
        <f>IF(Distances!FB124&lt;&gt;0,ROUNDUP(AC260+'Délai intermédiaire'!FB124/24,0),0)</f>
        <v>2</v>
      </c>
      <c r="AD281" s="13">
        <f>IF(Distances!FC124&lt;&gt;0,ROUNDUP(AD260+'Délai intermédiaire'!FC124/24,0),0)</f>
        <v>7</v>
      </c>
      <c r="AE281" s="13">
        <f>IF(Distances!FD124&lt;&gt;0,ROUNDUP(AE260+'Délai intermédiaire'!FD124/24,0),0)</f>
        <v>5</v>
      </c>
      <c r="AF281" s="13">
        <f>IF(Distances!FE124&lt;&gt;0,ROUNDUP(AF260+'Délai intermédiaire'!FE124/24,0),0)</f>
        <v>4</v>
      </c>
      <c r="AG281" s="13">
        <f>IF(Distances!FF124&lt;&gt;0,ROUNDUP(AG260+'Délai intermédiaire'!FF124/24,0),0)</f>
        <v>5</v>
      </c>
      <c r="AH281" s="14">
        <f>IF(Distances!FG124&lt;&gt;0,ROUNDUP(AH260+'Délai intermédiaire'!FG124/24,0),0)</f>
        <v>11</v>
      </c>
      <c r="AI281" s="14">
        <f>IF(Distances!FH124&lt;&gt;0,ROUNDUP(AI260+'Délai intermédiaire'!FH124/24,0),0)</f>
        <v>13</v>
      </c>
      <c r="AJ281" s="14">
        <f>IF(Distances!FI124&lt;&gt;0,ROUNDUP(AJ260+'Délai intermédiaire'!FI124/24,0),0)</f>
        <v>11</v>
      </c>
      <c r="AK281" s="14">
        <f>IF(Distances!FJ124&lt;&gt;0,ROUNDUP(AK260+'Délai intermédiaire'!FJ124/24,0),0)</f>
        <v>12</v>
      </c>
      <c r="AL281" s="14">
        <f>IF(Distances!FK124&lt;&gt;0,ROUNDUP(AL260+'Délai intermédiaire'!FK124/24,0),0)</f>
        <v>18</v>
      </c>
      <c r="AM281" s="14">
        <f>IF(Distances!FL124&lt;&gt;0,ROUNDUP(AM260+'Délai intermédiaire'!FL124/24,0),0)</f>
        <v>18</v>
      </c>
      <c r="AN281" s="14">
        <f>IF(Distances!FM124&lt;&gt;0,ROUNDUP(AN260+'Délai intermédiaire'!FM124/24,0),0)</f>
        <v>17</v>
      </c>
      <c r="AO281" s="14">
        <f>IF(Distances!FN124&lt;&gt;0,ROUNDUP(AO260+'Délai intermédiaire'!FN124/24,0),0)</f>
        <v>19</v>
      </c>
      <c r="AP281" s="14">
        <f>IF(Distances!FO124&lt;&gt;0,ROUNDUP(AP260+'Délai intermédiaire'!FO124/24,0),0)</f>
        <v>20</v>
      </c>
      <c r="AQ281" s="14">
        <f>IF(Distances!FP124&lt;&gt;0,ROUNDUP(AQ260+'Délai intermédiaire'!FP124/24,0),0)</f>
        <v>16</v>
      </c>
      <c r="AR281" s="14">
        <f>IF(Distances!FQ124&lt;&gt;0,ROUNDUP(AR260+'Délai intermédiaire'!FQ124/24,0),0)</f>
        <v>10</v>
      </c>
      <c r="AS281" s="14">
        <f>IF(Distances!FR124&lt;&gt;0,ROUNDUP(AS260+'Délai intermédiaire'!FR124/24,0),0)</f>
        <v>10</v>
      </c>
      <c r="AT281" s="14">
        <f>IF(Distances!FS124&lt;&gt;0,ROUNDUP(AT260+'Délai intermédiaire'!FS124/24,0),0)</f>
        <v>10</v>
      </c>
      <c r="AU281" s="14">
        <f>IF(Distances!FT124&lt;&gt;0,ROUNDUP(AU260+'Délai intermédiaire'!FT124/24,0),0)</f>
        <v>18</v>
      </c>
      <c r="AV281" s="14">
        <f>IF(Distances!FU124&lt;&gt;0,ROUNDUP(AV260+'Délai intermédiaire'!FU124/24,0),0)</f>
        <v>10</v>
      </c>
      <c r="AW281" s="14">
        <f>IF(Distances!FV124&lt;&gt;0,ROUNDUP(AW260+'Délai intermédiaire'!FV124/24,0),0)</f>
        <v>12</v>
      </c>
      <c r="AX281" s="14">
        <f>IF(Distances!FW124&lt;&gt;0,ROUNDUP(AX260+'Délai intermédiaire'!FW124/24,0),0)</f>
        <v>20</v>
      </c>
      <c r="AY281" s="14">
        <f>IF(Distances!FX124&lt;&gt;0,ROUNDUP(AY260+'Délai intermédiaire'!FX124/24,0),0)</f>
        <v>3</v>
      </c>
      <c r="AZ281" s="14">
        <f>IF(Distances!FY124&lt;&gt;0,ROUNDUP(AZ260+'Délai intermédiaire'!FY124/24,0),0)</f>
        <v>11</v>
      </c>
      <c r="BA281" s="14">
        <f>IF(Distances!FZ124&lt;&gt;0,ROUNDUP(BA260+'Délai intermédiaire'!FZ124/24,0),0)</f>
        <v>15</v>
      </c>
      <c r="BB281" s="13">
        <f>IF(Distances!GA124&lt;&gt;0,ROUNDUP(BB260+'Délai intermédiaire'!GA124/24,0),0)</f>
        <v>8</v>
      </c>
      <c r="BC281" s="14">
        <f>IF(Distances!GB124&lt;&gt;0,ROUNDUP(BC260+'Délai intermédiaire'!GB124/24,0),0)</f>
        <v>16</v>
      </c>
      <c r="BD281" s="14">
        <f>IF(Distances!GC124&lt;&gt;0,ROUNDUP(BD260+'Délai intermédiaire'!GC124/24,0),0)</f>
        <v>19</v>
      </c>
      <c r="BE281" s="14">
        <f>IF(Distances!GD124&lt;&gt;0,ROUNDUP(BE260+'Délai intermédiaire'!GD124/24,0),0)</f>
        <v>18</v>
      </c>
      <c r="BF281" s="13">
        <f>IF(Distances!GE124&lt;&gt;0,ROUNDUP(BF260+'Délai intermédiaire'!GE124/24,0),0)</f>
        <v>7</v>
      </c>
      <c r="BG281" s="13">
        <f>IF(Distances!GF124&lt;&gt;0,ROUNDUP(BG260+'Délai intermédiaire'!GF124/24,0),0)</f>
        <v>4</v>
      </c>
      <c r="BH281" s="14">
        <f>IF(Distances!GG124&lt;&gt;0,ROUNDUP(BH260+'Délai intermédiaire'!GG124/24,0),0)</f>
        <v>12</v>
      </c>
      <c r="BI281" s="14">
        <f>IF(Distances!GH124&lt;&gt;0,ROUNDUP(BI260+'Délai intermédiaire'!GH124/24,0),0)</f>
        <v>16</v>
      </c>
      <c r="BJ281" s="15">
        <f>IF(Distances!GI124&lt;&gt;0,ROUNDUP(BJ260+'Délai intermédiaire'!GI124/24,0),0)</f>
        <v>16</v>
      </c>
    </row>
    <row r="282" spans="1:62" x14ac:dyDescent="0.3">
      <c r="A282" s="10" t="s">
        <v>21</v>
      </c>
      <c r="B282" s="16">
        <f>IF(Distances!EA125&lt;&gt;0,ROUNDUP(B260+'Délai intermédiaire'!EA125/24,0),0)</f>
        <v>11</v>
      </c>
      <c r="C282" s="14">
        <f>IF(Distances!EB125&lt;&gt;0,ROUNDUP(C260+'Délai intermédiaire'!EB125/24,0),0)</f>
        <v>13</v>
      </c>
      <c r="D282" s="14">
        <f>IF(Distances!EC125&lt;&gt;0,ROUNDUP(D260+'Délai intermédiaire'!EC125/24,0),0)</f>
        <v>11</v>
      </c>
      <c r="E282" s="14">
        <f>IF(Distances!ED125&lt;&gt;0,ROUNDUP(E260+'Délai intermédiaire'!ED125/24,0),0)</f>
        <v>12</v>
      </c>
      <c r="F282" s="14">
        <f>IF(Distances!EE125&lt;&gt;0,ROUNDUP(F260+'Délai intermédiaire'!EE125/24,0),0)</f>
        <v>11</v>
      </c>
      <c r="G282" s="14">
        <f>IF(Distances!EF125&lt;&gt;0,ROUNDUP(G260+'Délai intermédiaire'!EF125/24,0),0)</f>
        <v>19</v>
      </c>
      <c r="H282" s="14">
        <f>IF(Distances!EG125&lt;&gt;0,ROUNDUP(H260+'Délai intermédiaire'!EG125/24,0),0)</f>
        <v>19</v>
      </c>
      <c r="I282" s="14">
        <f>IF(Distances!EH125&lt;&gt;0,ROUNDUP(I260+'Délai intermédiaire'!EH125/24,0),0)</f>
        <v>17</v>
      </c>
      <c r="J282" s="14">
        <f>IF(Distances!EI125&lt;&gt;0,ROUNDUP(J260+'Délai intermédiaire'!EI125/24,0),0)</f>
        <v>11</v>
      </c>
      <c r="K282" s="14">
        <f>IF(Distances!EJ125&lt;&gt;0,ROUNDUP(K260+'Délai intermédiaire'!EJ125/24,0),0)</f>
        <v>11</v>
      </c>
      <c r="L282" s="14">
        <f>IF(Distances!EK125&lt;&gt;0,ROUNDUP(L260+'Délai intermédiaire'!EK125/24,0),0)</f>
        <v>20</v>
      </c>
      <c r="M282" s="14">
        <f>IF(Distances!EL125&lt;&gt;0,ROUNDUP(M260+'Délai intermédiaire'!EL125/24,0),0)</f>
        <v>20</v>
      </c>
      <c r="N282" s="14">
        <f>IF(Distances!EM125&lt;&gt;0,ROUNDUP(N260+'Délai intermédiaire'!EM125/24,0),0)</f>
        <v>14</v>
      </c>
      <c r="O282" s="14">
        <f>IF(Distances!EN125&lt;&gt;0,ROUNDUP(O260+'Délai intermédiaire'!EN125/24,0),0)</f>
        <v>13</v>
      </c>
      <c r="P282" s="14">
        <f>IF(Distances!EO125&lt;&gt;0,ROUNDUP(P260+'Délai intermédiaire'!EO125/24,0),0)</f>
        <v>11</v>
      </c>
      <c r="Q282" s="13">
        <f>IF(Distances!EP125&lt;&gt;0,ROUNDUP(Q260+'Délai intermédiaire'!EP125/24,0),0)</f>
        <v>7</v>
      </c>
      <c r="R282" s="13">
        <f>IF(Distances!EQ125&lt;&gt;0,ROUNDUP(R260+'Délai intermédiaire'!EQ125/24,0),0)</f>
        <v>7</v>
      </c>
      <c r="S282" s="13">
        <f>IF(Distances!ER125&lt;&gt;0,ROUNDUP(S260+'Délai intermédiaire'!ER125/24,0),0)</f>
        <v>7</v>
      </c>
      <c r="T282" s="13">
        <f>IF(Distances!ES125&lt;&gt;0,ROUNDUP(T260+'Délai intermédiaire'!ES125/24,0),0)</f>
        <v>7</v>
      </c>
      <c r="U282" s="13">
        <f>IF(Distances!ET125&lt;&gt;0,ROUNDUP(U260+'Délai intermédiaire'!ET125/24,0),0)</f>
        <v>4</v>
      </c>
      <c r="V282" s="12">
        <f>IF(Distances!EU125&lt;&gt;0,ROUNDUP(V260+'Délai intermédiaire'!EU125/24,0),0)</f>
        <v>0</v>
      </c>
      <c r="W282" s="13">
        <f>IF(Distances!EV125&lt;&gt;0,ROUNDUP(W260+'Délai intermédiaire'!EV125/24,0),0)</f>
        <v>7</v>
      </c>
      <c r="X282" s="13">
        <f>IF(Distances!EW125&lt;&gt;0,ROUNDUP(X260+'Délai intermédiaire'!EW125/24,0),0)</f>
        <v>8</v>
      </c>
      <c r="Y282" s="13">
        <f>IF(Distances!EX125&lt;&gt;0,ROUNDUP(Y260+'Délai intermédiaire'!EX125/24,0),0)</f>
        <v>7</v>
      </c>
      <c r="Z282" s="13">
        <f>IF(Distances!EY125&lt;&gt;0,ROUNDUP(Z260+'Délai intermédiaire'!EY125/24,0),0)</f>
        <v>4</v>
      </c>
      <c r="AA282" s="13">
        <f>IF(Distances!EZ125&lt;&gt;0,ROUNDUP(AA260+'Délai intermédiaire'!EZ125/24,0),0)</f>
        <v>5</v>
      </c>
      <c r="AB282" s="13">
        <f>IF(Distances!FA125&lt;&gt;0,ROUNDUP(AB260+'Délai intermédiaire'!FA125/24,0),0)</f>
        <v>4</v>
      </c>
      <c r="AC282" s="13">
        <f>IF(Distances!FB125&lt;&gt;0,ROUNDUP(AC260+'Délai intermédiaire'!FB125/24,0),0)</f>
        <v>4</v>
      </c>
      <c r="AD282" s="13">
        <f>IF(Distances!FC125&lt;&gt;0,ROUNDUP(AD260+'Délai intermédiaire'!FC125/24,0),0)</f>
        <v>9</v>
      </c>
      <c r="AE282" s="13">
        <f>IF(Distances!FD125&lt;&gt;0,ROUNDUP(AE260+'Délai intermédiaire'!FD125/24,0),0)</f>
        <v>3</v>
      </c>
      <c r="AF282" s="13">
        <f>IF(Distances!FE125&lt;&gt;0,ROUNDUP(AF260+'Délai intermédiaire'!FE125/24,0),0)</f>
        <v>2</v>
      </c>
      <c r="AG282" s="13">
        <f>IF(Distances!FF125&lt;&gt;0,ROUNDUP(AG260+'Délai intermédiaire'!FF125/24,0),0)</f>
        <v>3</v>
      </c>
      <c r="AH282" s="14">
        <f>IF(Distances!FG125&lt;&gt;0,ROUNDUP(AH260+'Délai intermédiaire'!FG125/24,0),0)</f>
        <v>11</v>
      </c>
      <c r="AI282" s="14">
        <f>IF(Distances!FH125&lt;&gt;0,ROUNDUP(AI260+'Délai intermédiaire'!FH125/24,0),0)</f>
        <v>13</v>
      </c>
      <c r="AJ282" s="14">
        <f>IF(Distances!FI125&lt;&gt;0,ROUNDUP(AJ260+'Délai intermédiaire'!FI125/24,0),0)</f>
        <v>11</v>
      </c>
      <c r="AK282" s="14">
        <f>IF(Distances!FJ125&lt;&gt;0,ROUNDUP(AK260+'Délai intermédiaire'!FJ125/24,0),0)</f>
        <v>12</v>
      </c>
      <c r="AL282" s="14">
        <f>IF(Distances!FK125&lt;&gt;0,ROUNDUP(AL260+'Délai intermédiaire'!FK125/24,0),0)</f>
        <v>18</v>
      </c>
      <c r="AM282" s="14">
        <f>IF(Distances!FL125&lt;&gt;0,ROUNDUP(AM260+'Délai intermédiaire'!FL125/24,0),0)</f>
        <v>17</v>
      </c>
      <c r="AN282" s="14">
        <f>IF(Distances!FM125&lt;&gt;0,ROUNDUP(AN260+'Délai intermédiaire'!FM125/24,0),0)</f>
        <v>17</v>
      </c>
      <c r="AO282" s="14">
        <f>IF(Distances!FN125&lt;&gt;0,ROUNDUP(AO260+'Délai intermédiaire'!FN125/24,0),0)</f>
        <v>19</v>
      </c>
      <c r="AP282" s="14">
        <f>IF(Distances!FO125&lt;&gt;0,ROUNDUP(AP260+'Délai intermédiaire'!FO125/24,0),0)</f>
        <v>19</v>
      </c>
      <c r="AQ282" s="14">
        <f>IF(Distances!FP125&lt;&gt;0,ROUNDUP(AQ260+'Délai intermédiaire'!FP125/24,0),0)</f>
        <v>16</v>
      </c>
      <c r="AR282" s="14">
        <f>IF(Distances!FQ125&lt;&gt;0,ROUNDUP(AR260+'Délai intermédiaire'!FQ125/24,0),0)</f>
        <v>10</v>
      </c>
      <c r="AS282" s="14">
        <f>IF(Distances!FR125&lt;&gt;0,ROUNDUP(AS260+'Délai intermédiaire'!FR125/24,0),0)</f>
        <v>10</v>
      </c>
      <c r="AT282" s="14">
        <f>IF(Distances!FS125&lt;&gt;0,ROUNDUP(AT260+'Délai intermédiaire'!FS125/24,0),0)</f>
        <v>10</v>
      </c>
      <c r="AU282" s="14">
        <f>IF(Distances!FT125&lt;&gt;0,ROUNDUP(AU260+'Délai intermédiaire'!FT125/24,0),0)</f>
        <v>18</v>
      </c>
      <c r="AV282" s="14">
        <f>IF(Distances!FU125&lt;&gt;0,ROUNDUP(AV260+'Délai intermédiaire'!FU125/24,0),0)</f>
        <v>12</v>
      </c>
      <c r="AW282" s="14">
        <f>IF(Distances!FV125&lt;&gt;0,ROUNDUP(AW260+'Délai intermédiaire'!FV125/24,0),0)</f>
        <v>14</v>
      </c>
      <c r="AX282" s="14">
        <f>IF(Distances!FW125&lt;&gt;0,ROUNDUP(AX260+'Délai intermédiaire'!FW125/24,0),0)</f>
        <v>20</v>
      </c>
      <c r="AY282" s="14">
        <f>IF(Distances!FX125&lt;&gt;0,ROUNDUP(AY260+'Délai intermédiaire'!FX125/24,0),0)</f>
        <v>3</v>
      </c>
      <c r="AZ282" s="14">
        <f>IF(Distances!FY125&lt;&gt;0,ROUNDUP(AZ260+'Délai intermédiaire'!FY125/24,0),0)</f>
        <v>10</v>
      </c>
      <c r="BA282" s="14">
        <f>IF(Distances!FZ125&lt;&gt;0,ROUNDUP(BA260+'Délai intermédiaire'!FZ125/24,0),0)</f>
        <v>15</v>
      </c>
      <c r="BB282" s="13">
        <f>IF(Distances!GA125&lt;&gt;0,ROUNDUP(BB260+'Délai intermédiaire'!GA125/24,0),0)</f>
        <v>10</v>
      </c>
      <c r="BC282" s="14">
        <f>IF(Distances!GB125&lt;&gt;0,ROUNDUP(BC260+'Délai intermédiaire'!GB125/24,0),0)</f>
        <v>16</v>
      </c>
      <c r="BD282" s="14">
        <f>IF(Distances!GC125&lt;&gt;0,ROUNDUP(BD260+'Délai intermédiaire'!GC125/24,0),0)</f>
        <v>19</v>
      </c>
      <c r="BE282" s="14">
        <f>IF(Distances!GD125&lt;&gt;0,ROUNDUP(BE260+'Délai intermédiaire'!GD125/24,0),0)</f>
        <v>18</v>
      </c>
      <c r="BF282" s="13">
        <f>IF(Distances!GE125&lt;&gt;0,ROUNDUP(BF260+'Délai intermédiaire'!GE125/24,0),0)</f>
        <v>6</v>
      </c>
      <c r="BG282" s="13">
        <f>IF(Distances!GF125&lt;&gt;0,ROUNDUP(BG260+'Délai intermédiaire'!GF125/24,0),0)</f>
        <v>4</v>
      </c>
      <c r="BH282" s="14">
        <f>IF(Distances!GG125&lt;&gt;0,ROUNDUP(BH260+'Délai intermédiaire'!GG125/24,0),0)</f>
        <v>14</v>
      </c>
      <c r="BI282" s="14">
        <f>IF(Distances!GH125&lt;&gt;0,ROUNDUP(BI260+'Délai intermédiaire'!GH125/24,0),0)</f>
        <v>18</v>
      </c>
      <c r="BJ282" s="15">
        <f>IF(Distances!GI125&lt;&gt;0,ROUNDUP(BJ260+'Délai intermédiaire'!GI125/24,0),0)</f>
        <v>18</v>
      </c>
    </row>
    <row r="283" spans="1:62" x14ac:dyDescent="0.3">
      <c r="A283" s="10" t="s">
        <v>22</v>
      </c>
      <c r="B283" s="16">
        <f>IF(Distances!EA126&lt;&gt;0,ROUNDUP(B260+'Délai intermédiaire'!EA126/24,0),0)</f>
        <v>0</v>
      </c>
      <c r="C283" s="14">
        <f>IF(Distances!EB126&lt;&gt;0,ROUNDUP(C260+'Délai intermédiaire'!EB126/24,0),0)</f>
        <v>0</v>
      </c>
      <c r="D283" s="14">
        <f>IF(Distances!EC126&lt;&gt;0,ROUNDUP(D260+'Délai intermédiaire'!EC126/24,0),0)</f>
        <v>9</v>
      </c>
      <c r="E283" s="14">
        <f>IF(Distances!ED126&lt;&gt;0,ROUNDUP(E260+'Délai intermédiaire'!ED126/24,0),0)</f>
        <v>0</v>
      </c>
      <c r="F283" s="14">
        <f>IF(Distances!EE126&lt;&gt;0,ROUNDUP(F260+'Délai intermédiaire'!EE126/24,0),0)</f>
        <v>8</v>
      </c>
      <c r="G283" s="14">
        <f>IF(Distances!EF126&lt;&gt;0,ROUNDUP(G260+'Délai intermédiaire'!EF126/24,0),0)</f>
        <v>17</v>
      </c>
      <c r="H283" s="14">
        <f>IF(Distances!EG126&lt;&gt;0,ROUNDUP(H260+'Délai intermédiaire'!EG126/24,0),0)</f>
        <v>0</v>
      </c>
      <c r="I283" s="14">
        <f>IF(Distances!EH126&lt;&gt;0,ROUNDUP(I260+'Délai intermédiaire'!EH126/24,0),0)</f>
        <v>0</v>
      </c>
      <c r="J283" s="14">
        <f>IF(Distances!EI126&lt;&gt;0,ROUNDUP(J260+'Délai intermédiaire'!EI126/24,0),0)</f>
        <v>9</v>
      </c>
      <c r="K283" s="14">
        <f>IF(Distances!EJ126&lt;&gt;0,ROUNDUP(K260+'Délai intermédiaire'!EJ126/24,0),0)</f>
        <v>0</v>
      </c>
      <c r="L283" s="14">
        <f>IF(Distances!EK126&lt;&gt;0,ROUNDUP(L260+'Délai intermédiaire'!EK126/24,0),0)</f>
        <v>0</v>
      </c>
      <c r="M283" s="14">
        <f>IF(Distances!EL126&lt;&gt;0,ROUNDUP(M260+'Délai intermédiaire'!EL126/24,0),0)</f>
        <v>0</v>
      </c>
      <c r="N283" s="14">
        <f>IF(Distances!EM126&lt;&gt;0,ROUNDUP(N260+'Délai intermédiaire'!EM126/24,0),0)</f>
        <v>0</v>
      </c>
      <c r="O283" s="14">
        <f>IF(Distances!EN126&lt;&gt;0,ROUNDUP(O260+'Délai intermédiaire'!EN126/24,0),0)</f>
        <v>0</v>
      </c>
      <c r="P283" s="14">
        <f>IF(Distances!EO126&lt;&gt;0,ROUNDUP(P260+'Délai intermédiaire'!EO126/24,0),0)</f>
        <v>0</v>
      </c>
      <c r="Q283" s="13">
        <f>IF(Distances!EP126&lt;&gt;0,ROUNDUP(Q260+'Délai intermédiaire'!EP126/24,0),0)</f>
        <v>0</v>
      </c>
      <c r="R283" s="13">
        <f>IF(Distances!EQ126&lt;&gt;0,ROUNDUP(R260+'Délai intermédiaire'!EQ126/24,0),0)</f>
        <v>0</v>
      </c>
      <c r="S283" s="13">
        <f>IF(Distances!ER126&lt;&gt;0,ROUNDUP(S260+'Délai intermédiaire'!ER126/24,0),0)</f>
        <v>0</v>
      </c>
      <c r="T283" s="13">
        <f>IF(Distances!ES126&lt;&gt;0,ROUNDUP(T260+'Délai intermédiaire'!ES126/24,0),0)</f>
        <v>2</v>
      </c>
      <c r="U283" s="13">
        <f>IF(Distances!ET126&lt;&gt;0,ROUNDUP(U260+'Délai intermédiaire'!ET126/24,0),0)</f>
        <v>6</v>
      </c>
      <c r="V283" s="13">
        <f>IF(Distances!EU126&lt;&gt;0,ROUNDUP(V260+'Délai intermédiaire'!EU126/24,0),0)</f>
        <v>7</v>
      </c>
      <c r="W283" s="12">
        <f>IF(Distances!EV126&lt;&gt;0,ROUNDUP(W260+'Délai intermédiaire'!EV126/24,0),0)</f>
        <v>0</v>
      </c>
      <c r="X283" s="13">
        <f>IF(Distances!EW126&lt;&gt;0,ROUNDUP(X260+'Délai intermédiaire'!EW126/24,0),0)</f>
        <v>2</v>
      </c>
      <c r="Y283" s="13">
        <f>IF(Distances!EX126&lt;&gt;0,ROUNDUP(Y260+'Délai intermédiaire'!EX126/24,0),0)</f>
        <v>2</v>
      </c>
      <c r="Z283" s="13">
        <f>IF(Distances!EY126&lt;&gt;0,ROUNDUP(Z260+'Délai intermédiaire'!EY126/24,0),0)</f>
        <v>7</v>
      </c>
      <c r="AA283" s="13">
        <f>IF(Distances!EZ126&lt;&gt;0,ROUNDUP(AA260+'Délai intermédiaire'!EZ126/24,0),0)</f>
        <v>7</v>
      </c>
      <c r="AB283" s="13">
        <f>IF(Distances!FA126&lt;&gt;0,ROUNDUP(AB260+'Délai intermédiaire'!FA126/24,0),0)</f>
        <v>5</v>
      </c>
      <c r="AC283" s="13">
        <f>IF(Distances!FB126&lt;&gt;0,ROUNDUP(AC260+'Délai intermédiaire'!FB126/24,0),0)</f>
        <v>0</v>
      </c>
      <c r="AD283" s="13">
        <f>IF(Distances!FC126&lt;&gt;0,ROUNDUP(AD260+'Délai intermédiaire'!FC126/24,0),0)</f>
        <v>0</v>
      </c>
      <c r="AE283" s="13">
        <f>IF(Distances!FD126&lt;&gt;0,ROUNDUP(AE260+'Délai intermédiaire'!FD126/24,0),0)</f>
        <v>9</v>
      </c>
      <c r="AF283" s="13">
        <f>IF(Distances!FE126&lt;&gt;0,ROUNDUP(AF260+'Délai intermédiaire'!FE126/24,0),0)</f>
        <v>8</v>
      </c>
      <c r="AG283" s="13">
        <f>IF(Distances!FF126&lt;&gt;0,ROUNDUP(AG260+'Délai intermédiaire'!FF126/24,0),0)</f>
        <v>9</v>
      </c>
      <c r="AH283" s="14">
        <f>IF(Distances!FG126&lt;&gt;0,ROUNDUP(AH260+'Délai intermédiaire'!FG126/24,0),0)</f>
        <v>15</v>
      </c>
      <c r="AI283" s="14">
        <f>IF(Distances!FH126&lt;&gt;0,ROUNDUP(AI260+'Délai intermédiaire'!FH126/24,0),0)</f>
        <v>0</v>
      </c>
      <c r="AJ283" s="14">
        <f>IF(Distances!FI126&lt;&gt;0,ROUNDUP(AJ260+'Délai intermédiaire'!FI126/24,0),0)</f>
        <v>15</v>
      </c>
      <c r="AK283" s="14">
        <f>IF(Distances!FJ126&lt;&gt;0,ROUNDUP(AK260+'Délai intermédiaire'!FJ126/24,0),0)</f>
        <v>0</v>
      </c>
      <c r="AL283" s="14">
        <f>IF(Distances!FK126&lt;&gt;0,ROUNDUP(AL260+'Délai intermédiaire'!FK126/24,0),0)</f>
        <v>0</v>
      </c>
      <c r="AM283" s="14">
        <f>IF(Distances!FL126&lt;&gt;0,ROUNDUP(AM260+'Délai intermédiaire'!FL126/24,0),0)</f>
        <v>0</v>
      </c>
      <c r="AN283" s="14">
        <f>IF(Distances!FM126&lt;&gt;0,ROUNDUP(AN260+'Délai intermédiaire'!FM126/24,0),0)</f>
        <v>21</v>
      </c>
      <c r="AO283" s="14">
        <f>IF(Distances!FN126&lt;&gt;0,ROUNDUP(AO260+'Délai intermédiaire'!FN126/24,0),0)</f>
        <v>0</v>
      </c>
      <c r="AP283" s="14">
        <f>IF(Distances!FO126&lt;&gt;0,ROUNDUP(AP260+'Délai intermédiaire'!FO126/24,0),0)</f>
        <v>0</v>
      </c>
      <c r="AQ283" s="14">
        <f>IF(Distances!FP126&lt;&gt;0,ROUNDUP(AQ260+'Délai intermédiaire'!FP126/24,0),0)</f>
        <v>0</v>
      </c>
      <c r="AR283" s="14">
        <f>IF(Distances!FQ126&lt;&gt;0,ROUNDUP(AR260+'Délai intermédiaire'!FQ126/24,0),0)</f>
        <v>0</v>
      </c>
      <c r="AS283" s="14">
        <f>IF(Distances!FR126&lt;&gt;0,ROUNDUP(AS260+'Délai intermédiaire'!FR126/24,0),0)</f>
        <v>0</v>
      </c>
      <c r="AT283" s="14">
        <f>IF(Distances!FS126&lt;&gt;0,ROUNDUP(AT260+'Délai intermédiaire'!FS126/24,0),0)</f>
        <v>0</v>
      </c>
      <c r="AU283" s="14">
        <f>IF(Distances!FT126&lt;&gt;0,ROUNDUP(AU260+'Délai intermédiaire'!FT126/24,0),0)</f>
        <v>22</v>
      </c>
      <c r="AV283" s="14">
        <f>IF(Distances!FU126&lt;&gt;0,ROUNDUP(AV260+'Délai intermédiaire'!FU126/24,0),0)</f>
        <v>5</v>
      </c>
      <c r="AW283" s="14">
        <f>IF(Distances!FV126&lt;&gt;0,ROUNDUP(AW260+'Délai intermédiaire'!FV126/24,0),0)</f>
        <v>7</v>
      </c>
      <c r="AX283" s="14">
        <f>IF(Distances!FW126&lt;&gt;0,ROUNDUP(AX260+'Délai intermédiaire'!FW126/24,0),0)</f>
        <v>0</v>
      </c>
      <c r="AY283" s="14">
        <f>IF(Distances!FX126&lt;&gt;0,ROUNDUP(AY260+'Délai intermédiaire'!FX126/24,0),0)</f>
        <v>0</v>
      </c>
      <c r="AZ283" s="14">
        <f>IF(Distances!FY126&lt;&gt;0,ROUNDUP(AZ260+'Délai intermédiaire'!FY126/24,0),0)</f>
        <v>14</v>
      </c>
      <c r="BA283" s="14">
        <f>IF(Distances!FZ126&lt;&gt;0,ROUNDUP(BA260+'Délai intermédiaire'!FZ126/24,0),0)</f>
        <v>0</v>
      </c>
      <c r="BB283" s="12">
        <f>IF(Distances!GA126&lt;&gt;0,ROUNDUP(BB260+'Délai intermédiaire'!GA126/24,0),0)</f>
        <v>0</v>
      </c>
      <c r="BC283" s="14">
        <f>IF(Distances!GB126&lt;&gt;0,ROUNDUP(BC260+'Délai intermédiaire'!GB126/24,0),0)</f>
        <v>0</v>
      </c>
      <c r="BD283" s="14">
        <f>IF(Distances!GC126&lt;&gt;0,ROUNDUP(BD260+'Délai intermédiaire'!GC126/24,0),0)</f>
        <v>22</v>
      </c>
      <c r="BE283" s="14">
        <f>IF(Distances!GD126&lt;&gt;0,ROUNDUP(BE260+'Délai intermédiaire'!GD126/24,0),0)</f>
        <v>0</v>
      </c>
      <c r="BF283" s="13">
        <f>IF(Distances!GE126&lt;&gt;0,ROUNDUP(BF260+'Délai intermédiaire'!GE126/24,0),0)</f>
        <v>10</v>
      </c>
      <c r="BG283" s="13">
        <f>IF(Distances!GF126&lt;&gt;0,ROUNDUP(BG260+'Délai intermédiaire'!GF126/24,0),0)</f>
        <v>0</v>
      </c>
      <c r="BH283" s="14">
        <f>IF(Distances!GG126&lt;&gt;0,ROUNDUP(BH260+'Délai intermédiaire'!GG126/24,0),0)</f>
        <v>0</v>
      </c>
      <c r="BI283" s="14">
        <f>IF(Distances!GH126&lt;&gt;0,ROUNDUP(BI260+'Délai intermédiaire'!GH126/24,0),0)</f>
        <v>0</v>
      </c>
      <c r="BJ283" s="15">
        <f>IF(Distances!GI126&lt;&gt;0,ROUNDUP(BJ260+'Délai intermédiaire'!GI126/24,0),0)</f>
        <v>0</v>
      </c>
    </row>
    <row r="284" spans="1:62" x14ac:dyDescent="0.3">
      <c r="A284" s="10" t="s">
        <v>23</v>
      </c>
      <c r="B284" s="16">
        <f>IF(Distances!EA127&lt;&gt;0,ROUNDUP(B260+'Délai intermédiaire'!EA127/24,0),0)</f>
        <v>9</v>
      </c>
      <c r="C284" s="14">
        <f>IF(Distances!EB127&lt;&gt;0,ROUNDUP(C260+'Délai intermédiaire'!EB127/24,0),0)</f>
        <v>11</v>
      </c>
      <c r="D284" s="14">
        <f>IF(Distances!EC127&lt;&gt;0,ROUNDUP(D260+'Délai intermédiaire'!EC127/24,0),0)</f>
        <v>9</v>
      </c>
      <c r="E284" s="14">
        <f>IF(Distances!ED127&lt;&gt;0,ROUNDUP(E260+'Délai intermédiaire'!ED127/24,0),0)</f>
        <v>10</v>
      </c>
      <c r="F284" s="14">
        <f>IF(Distances!EE127&lt;&gt;0,ROUNDUP(F260+'Délai intermédiaire'!EE127/24,0),0)</f>
        <v>9</v>
      </c>
      <c r="G284" s="14">
        <f>IF(Distances!EF127&lt;&gt;0,ROUNDUP(G260+'Délai intermédiaire'!EF127/24,0),0)</f>
        <v>18</v>
      </c>
      <c r="H284" s="14">
        <f>IF(Distances!EG127&lt;&gt;0,ROUNDUP(H260+'Délai intermédiaire'!EG127/24,0),0)</f>
        <v>18</v>
      </c>
      <c r="I284" s="14">
        <f>IF(Distances!EH127&lt;&gt;0,ROUNDUP(I260+'Délai intermédiaire'!EH127/24,0),0)</f>
        <v>16</v>
      </c>
      <c r="J284" s="14">
        <f>IF(Distances!EI127&lt;&gt;0,ROUNDUP(J260+'Délai intermédiaire'!EI127/24,0),0)</f>
        <v>9</v>
      </c>
      <c r="K284" s="14">
        <f>IF(Distances!EJ127&lt;&gt;0,ROUNDUP(K260+'Délai intermédiaire'!EJ127/24,0),0)</f>
        <v>9</v>
      </c>
      <c r="L284" s="14">
        <f>IF(Distances!EK127&lt;&gt;0,ROUNDUP(L260+'Délai intermédiaire'!EK127/24,0),0)</f>
        <v>19</v>
      </c>
      <c r="M284" s="14">
        <f>IF(Distances!EL127&lt;&gt;0,ROUNDUP(M260+'Délai intermédiaire'!EL127/24,0),0)</f>
        <v>19</v>
      </c>
      <c r="N284" s="14">
        <f>IF(Distances!EM127&lt;&gt;0,ROUNDUP(N260+'Délai intermédiaire'!EM127/24,0),0)</f>
        <v>12</v>
      </c>
      <c r="O284" s="14">
        <f>IF(Distances!EN127&lt;&gt;0,ROUNDUP(O260+'Délai intermédiaire'!EN127/24,0),0)</f>
        <v>13</v>
      </c>
      <c r="P284" s="14">
        <f>IF(Distances!EO127&lt;&gt;0,ROUNDUP(P260+'Délai intermédiaire'!EO127/24,0),0)</f>
        <v>11</v>
      </c>
      <c r="Q284" s="13">
        <f>IF(Distances!EP127&lt;&gt;0,ROUNDUP(Q260+'Délai intermédiaire'!EP127/24,0),0)</f>
        <v>3</v>
      </c>
      <c r="R284" s="13">
        <f>IF(Distances!EQ127&lt;&gt;0,ROUNDUP(R260+'Délai intermédiaire'!EQ127/24,0),0)</f>
        <v>4</v>
      </c>
      <c r="S284" s="13">
        <f>IF(Distances!ER127&lt;&gt;0,ROUNDUP(S260+'Délai intermédiaire'!ER127/24,0),0)</f>
        <v>3</v>
      </c>
      <c r="T284" s="13">
        <f>IF(Distances!ES127&lt;&gt;0,ROUNDUP(T260+'Délai intermédiaire'!ES127/24,0),0)</f>
        <v>3</v>
      </c>
      <c r="U284" s="13">
        <f>IF(Distances!ET127&lt;&gt;0,ROUNDUP(U260+'Délai intermédiaire'!ET127/24,0),0)</f>
        <v>6</v>
      </c>
      <c r="V284" s="13">
        <f>IF(Distances!EU127&lt;&gt;0,ROUNDUP(V260+'Délai intermédiaire'!EU127/24,0),0)</f>
        <v>8</v>
      </c>
      <c r="W284" s="13">
        <f>IF(Distances!EV127&lt;&gt;0,ROUNDUP(W260+'Délai intermédiaire'!EV127/24,0),0)</f>
        <v>2</v>
      </c>
      <c r="X284" s="12">
        <f>IF(Distances!EW127&lt;&gt;0,ROUNDUP(X260+'Délai intermédiaire'!EW127/24,0),0)</f>
        <v>0</v>
      </c>
      <c r="Y284" s="13">
        <f>IF(Distances!EX127&lt;&gt;0,ROUNDUP(Y260+'Délai intermédiaire'!EX127/24,0),0)</f>
        <v>3</v>
      </c>
      <c r="Z284" s="13">
        <f>IF(Distances!EY127&lt;&gt;0,ROUNDUP(Z260+'Délai intermédiaire'!EY127/24,0),0)</f>
        <v>8</v>
      </c>
      <c r="AA284" s="13">
        <f>IF(Distances!EZ127&lt;&gt;0,ROUNDUP(AA260+'Délai intermédiaire'!EZ127/24,0),0)</f>
        <v>8</v>
      </c>
      <c r="AB284" s="13">
        <f>IF(Distances!FA127&lt;&gt;0,ROUNDUP(AB260+'Délai intermédiaire'!FA127/24,0),0)</f>
        <v>6</v>
      </c>
      <c r="AC284" s="13">
        <f>IF(Distances!FB127&lt;&gt;0,ROUNDUP(AC260+'Délai intermédiaire'!FB127/24,0),0)</f>
        <v>6</v>
      </c>
      <c r="AD284" s="13">
        <f>IF(Distances!FC127&lt;&gt;0,ROUNDUP(AD260+'Délai intermédiaire'!FC127/24,0),0)</f>
        <v>3</v>
      </c>
      <c r="AE284" s="13">
        <f>IF(Distances!FD127&lt;&gt;0,ROUNDUP(AE260+'Délai intermédiaire'!FD127/24,0),0)</f>
        <v>10</v>
      </c>
      <c r="AF284" s="13">
        <f>IF(Distances!FE127&lt;&gt;0,ROUNDUP(AF260+'Délai intermédiaire'!FE127/24,0),0)</f>
        <v>8</v>
      </c>
      <c r="AG284" s="13">
        <f>IF(Distances!FF127&lt;&gt;0,ROUNDUP(AG260+'Délai intermédiaire'!FF127/24,0),0)</f>
        <v>9</v>
      </c>
      <c r="AH284" s="14">
        <f>IF(Distances!FG127&lt;&gt;0,ROUNDUP(AH260+'Délai intermédiaire'!FG127/24,0),0)</f>
        <v>15</v>
      </c>
      <c r="AI284" s="14">
        <f>IF(Distances!FH127&lt;&gt;0,ROUNDUP(AI260+'Délai intermédiaire'!FH127/24,0),0)</f>
        <v>18</v>
      </c>
      <c r="AJ284" s="14">
        <f>IF(Distances!FI127&lt;&gt;0,ROUNDUP(AJ260+'Délai intermédiaire'!FI127/24,0),0)</f>
        <v>15</v>
      </c>
      <c r="AK284" s="14">
        <f>IF(Distances!FJ127&lt;&gt;0,ROUNDUP(AK260+'Délai intermédiaire'!FJ127/24,0),0)</f>
        <v>16</v>
      </c>
      <c r="AL284" s="14">
        <f>IF(Distances!FK127&lt;&gt;0,ROUNDUP(AL260+'Délai intermédiaire'!FK127/24,0),0)</f>
        <v>22</v>
      </c>
      <c r="AM284" s="14">
        <f>IF(Distances!FL127&lt;&gt;0,ROUNDUP(AM260+'Délai intermédiaire'!FL127/24,0),0)</f>
        <v>22</v>
      </c>
      <c r="AN284" s="14">
        <f>IF(Distances!FM127&lt;&gt;0,ROUNDUP(AN260+'Délai intermédiaire'!FM127/24,0),0)</f>
        <v>22</v>
      </c>
      <c r="AO284" s="14">
        <f>IF(Distances!FN127&lt;&gt;0,ROUNDUP(AO260+'Délai intermédiaire'!FN127/24,0),0)</f>
        <v>23</v>
      </c>
      <c r="AP284" s="14">
        <f>IF(Distances!FO127&lt;&gt;0,ROUNDUP(AP260+'Délai intermédiaire'!FO127/24,0),0)</f>
        <v>24</v>
      </c>
      <c r="AQ284" s="14">
        <f>IF(Distances!FP127&lt;&gt;0,ROUNDUP(AQ260+'Délai intermédiaire'!FP127/24,0),0)</f>
        <v>20</v>
      </c>
      <c r="AR284" s="14">
        <f>IF(Distances!FQ127&lt;&gt;0,ROUNDUP(AR260+'Délai intermédiaire'!FQ127/24,0),0)</f>
        <v>14</v>
      </c>
      <c r="AS284" s="14">
        <f>IF(Distances!FR127&lt;&gt;0,ROUNDUP(AS260+'Délai intermédiaire'!FR127/24,0),0)</f>
        <v>14</v>
      </c>
      <c r="AT284" s="14">
        <f>IF(Distances!FS127&lt;&gt;0,ROUNDUP(AT260+'Délai intermédiaire'!FS127/24,0),0)</f>
        <v>14</v>
      </c>
      <c r="AU284" s="14">
        <f>IF(Distances!FT127&lt;&gt;0,ROUNDUP(AU260+'Délai intermédiaire'!FT127/24,0),0)</f>
        <v>23</v>
      </c>
      <c r="AV284" s="14">
        <f>IF(Distances!FU127&lt;&gt;0,ROUNDUP(AV260+'Délai intermédiaire'!FU127/24,0),0)</f>
        <v>5</v>
      </c>
      <c r="AW284" s="14">
        <f>IF(Distances!FV127&lt;&gt;0,ROUNDUP(AW260+'Délai intermédiaire'!FV127/24,0),0)</f>
        <v>7</v>
      </c>
      <c r="AX284" s="14">
        <f>IF(Distances!FW127&lt;&gt;0,ROUNDUP(AX260+'Délai intermédiaire'!FW127/24,0),0)</f>
        <v>24</v>
      </c>
      <c r="AY284" s="14">
        <f>IF(Distances!FX127&lt;&gt;0,ROUNDUP(AY260+'Délai intermédiaire'!FX127/24,0),0)</f>
        <v>3</v>
      </c>
      <c r="AZ284" s="14">
        <f>IF(Distances!FY127&lt;&gt;0,ROUNDUP(AZ260+'Délai intermédiaire'!FY127/24,0),0)</f>
        <v>15</v>
      </c>
      <c r="BA284" s="14">
        <f>IF(Distances!FZ127&lt;&gt;0,ROUNDUP(BA260+'Délai intermédiaire'!FZ127/24,0),0)</f>
        <v>20</v>
      </c>
      <c r="BB284" s="13">
        <f>IF(Distances!GA127&lt;&gt;0,ROUNDUP(BB260+'Délai intermédiaire'!GA127/24,0),0)</f>
        <v>3</v>
      </c>
      <c r="BC284" s="14">
        <f>IF(Distances!GB127&lt;&gt;0,ROUNDUP(BC260+'Délai intermédiaire'!GB127/24,0),0)</f>
        <v>21</v>
      </c>
      <c r="BD284" s="14">
        <f>IF(Distances!GC127&lt;&gt;0,ROUNDUP(BD260+'Délai intermédiaire'!GC127/24,0),0)</f>
        <v>23</v>
      </c>
      <c r="BE284" s="14">
        <f>IF(Distances!GD127&lt;&gt;0,ROUNDUP(BE260+'Délai intermédiaire'!GD127/24,0),0)</f>
        <v>22</v>
      </c>
      <c r="BF284" s="13">
        <f>IF(Distances!GE127&lt;&gt;0,ROUNDUP(BF260+'Délai intermédiaire'!GE127/24,0),0)</f>
        <v>11</v>
      </c>
      <c r="BG284" s="13">
        <f>IF(Distances!GF127&lt;&gt;0,ROUNDUP(BG260+'Délai intermédiaire'!GF127/24,0),0)</f>
        <v>9</v>
      </c>
      <c r="BH284" s="14">
        <f>IF(Distances!GG127&lt;&gt;0,ROUNDUP(BH260+'Délai intermédiaire'!GG127/24,0),0)</f>
        <v>12</v>
      </c>
      <c r="BI284" s="14">
        <f>IF(Distances!GH127&lt;&gt;0,ROUNDUP(BI260+'Délai intermédiaire'!GH127/24,0),0)</f>
        <v>16</v>
      </c>
      <c r="BJ284" s="15">
        <f>IF(Distances!GI127&lt;&gt;0,ROUNDUP(BJ260+'Délai intermédiaire'!GI127/24,0),0)</f>
        <v>16</v>
      </c>
    </row>
    <row r="285" spans="1:62" x14ac:dyDescent="0.3">
      <c r="A285" s="10" t="s">
        <v>24</v>
      </c>
      <c r="B285" s="16">
        <f>IF(Distances!EA128&lt;&gt;0,ROUNDUP(B260+'Délai intermédiaire'!EA128/24,0),0)</f>
        <v>9</v>
      </c>
      <c r="C285" s="14">
        <f>IF(Distances!EB128&lt;&gt;0,ROUNDUP(C260+'Délai intermédiaire'!EB128/24,0),0)</f>
        <v>10</v>
      </c>
      <c r="D285" s="14">
        <f>IF(Distances!EC128&lt;&gt;0,ROUNDUP(D260+'Délai intermédiaire'!EC128/24,0),0)</f>
        <v>9</v>
      </c>
      <c r="E285" s="14">
        <f>IF(Distances!ED128&lt;&gt;0,ROUNDUP(E260+'Délai intermédiaire'!ED128/24,0),0)</f>
        <v>9</v>
      </c>
      <c r="F285" s="14">
        <f>IF(Distances!EE128&lt;&gt;0,ROUNDUP(F260+'Délai intermédiaire'!EE128/24,0),0)</f>
        <v>8</v>
      </c>
      <c r="G285" s="14">
        <f>IF(Distances!EF128&lt;&gt;0,ROUNDUP(G260+'Délai intermédiaire'!EF128/24,0),0)</f>
        <v>17</v>
      </c>
      <c r="H285" s="14">
        <f>IF(Distances!EG128&lt;&gt;0,ROUNDUP(H260+'Délai intermédiaire'!EG128/24,0),0)</f>
        <v>17</v>
      </c>
      <c r="I285" s="14">
        <f>IF(Distances!EH128&lt;&gt;0,ROUNDUP(I260+'Délai intermédiaire'!EH128/24,0),0)</f>
        <v>15</v>
      </c>
      <c r="J285" s="14">
        <f>IF(Distances!EI128&lt;&gt;0,ROUNDUP(J260+'Délai intermédiaire'!EI128/24,0),0)</f>
        <v>9</v>
      </c>
      <c r="K285" s="14">
        <f>IF(Distances!EJ128&lt;&gt;0,ROUNDUP(K260+'Délai intermédiaire'!EJ128/24,0),0)</f>
        <v>8</v>
      </c>
      <c r="L285" s="14">
        <f>IF(Distances!EK128&lt;&gt;0,ROUNDUP(L260+'Délai intermédiaire'!EK128/24,0),0)</f>
        <v>18</v>
      </c>
      <c r="M285" s="14">
        <f>IF(Distances!EL128&lt;&gt;0,ROUNDUP(M260+'Délai intermédiaire'!EL128/24,0),0)</f>
        <v>18</v>
      </c>
      <c r="N285" s="14">
        <f>IF(Distances!EM128&lt;&gt;0,ROUNDUP(N260+'Délai intermédiaire'!EM128/24,0),0)</f>
        <v>11</v>
      </c>
      <c r="O285" s="14">
        <f>IF(Distances!EN128&lt;&gt;0,ROUNDUP(O260+'Délai intermédiaire'!EN128/24,0),0)</f>
        <v>12</v>
      </c>
      <c r="P285" s="14">
        <f>IF(Distances!EO128&lt;&gt;0,ROUNDUP(P260+'Délai intermédiaire'!EO128/24,0),0)</f>
        <v>10</v>
      </c>
      <c r="Q285" s="13">
        <f>IF(Distances!EP128&lt;&gt;0,ROUNDUP(Q260+'Délai intermédiaire'!EP128/24,0),0)</f>
        <v>2</v>
      </c>
      <c r="R285" s="13">
        <f>IF(Distances!EQ128&lt;&gt;0,ROUNDUP(R260+'Délai intermédiaire'!EQ128/24,0),0)</f>
        <v>3</v>
      </c>
      <c r="S285" s="13">
        <f>IF(Distances!ER128&lt;&gt;0,ROUNDUP(S260+'Délai intermédiaire'!ER128/24,0),0)</f>
        <v>2</v>
      </c>
      <c r="T285" s="13">
        <f>IF(Distances!ES128&lt;&gt;0,ROUNDUP(T260+'Délai intermédiaire'!ES128/24,0),0)</f>
        <v>2</v>
      </c>
      <c r="U285" s="13">
        <f>IF(Distances!ET128&lt;&gt;0,ROUNDUP(U260+'Délai intermédiaire'!ET128/24,0),0)</f>
        <v>5</v>
      </c>
      <c r="V285" s="13">
        <f>IF(Distances!EU128&lt;&gt;0,ROUNDUP(V260+'Délai intermédiaire'!EU128/24,0),0)</f>
        <v>7</v>
      </c>
      <c r="W285" s="13">
        <f>IF(Distances!EV128&lt;&gt;0,ROUNDUP(W260+'Délai intermédiaire'!EV128/24,0),0)</f>
        <v>2</v>
      </c>
      <c r="X285" s="13">
        <f>IF(Distances!EW128&lt;&gt;0,ROUNDUP(X260+'Délai intermédiaire'!EW128/24,0),0)</f>
        <v>3</v>
      </c>
      <c r="Y285" s="12">
        <f>IF(Distances!EX128&lt;&gt;0,ROUNDUP(Y260+'Délai intermédiaire'!EX128/24,0),0)</f>
        <v>0</v>
      </c>
      <c r="Z285" s="13">
        <f>IF(Distances!EY128&lt;&gt;0,ROUNDUP(Z260+'Délai intermédiaire'!EY128/24,0),0)</f>
        <v>7</v>
      </c>
      <c r="AA285" s="13">
        <f>IF(Distances!EZ128&lt;&gt;0,ROUNDUP(AA260+'Délai intermédiaire'!EZ128/24,0),0)</f>
        <v>7</v>
      </c>
      <c r="AB285" s="13">
        <f>IF(Distances!FA128&lt;&gt;0,ROUNDUP(AB260+'Délai intermédiaire'!FA128/24,0),0)</f>
        <v>5</v>
      </c>
      <c r="AC285" s="13">
        <f>IF(Distances!FB128&lt;&gt;0,ROUNDUP(AC260+'Délai intermédiaire'!FB128/24,0),0)</f>
        <v>5</v>
      </c>
      <c r="AD285" s="13">
        <f>IF(Distances!FC128&lt;&gt;0,ROUNDUP(AD260+'Délai intermédiaire'!FC128/24,0),0)</f>
        <v>4</v>
      </c>
      <c r="AE285" s="13">
        <f>IF(Distances!FD128&lt;&gt;0,ROUNDUP(AE260+'Délai intermédiaire'!FD128/24,0),0)</f>
        <v>8</v>
      </c>
      <c r="AF285" s="13">
        <f>IF(Distances!FE128&lt;&gt;0,ROUNDUP(AF260+'Délai intermédiaire'!FE128/24,0),0)</f>
        <v>7</v>
      </c>
      <c r="AG285" s="13">
        <f>IF(Distances!FF128&lt;&gt;0,ROUNDUP(AG260+'Délai intermédiaire'!FF128/24,0),0)</f>
        <v>8</v>
      </c>
      <c r="AH285" s="14">
        <f>IF(Distances!FG128&lt;&gt;0,ROUNDUP(AH260+'Délai intermédiaire'!FG128/24,0),0)</f>
        <v>14</v>
      </c>
      <c r="AI285" s="14">
        <f>IF(Distances!FH128&lt;&gt;0,ROUNDUP(AI260+'Délai intermédiaire'!FH128/24,0),0)</f>
        <v>16</v>
      </c>
      <c r="AJ285" s="14">
        <f>IF(Distances!FI128&lt;&gt;0,ROUNDUP(AJ260+'Délai intermédiaire'!FI128/24,0),0)</f>
        <v>14</v>
      </c>
      <c r="AK285" s="14">
        <f>IF(Distances!FJ128&lt;&gt;0,ROUNDUP(AK260+'Délai intermédiaire'!FJ128/24,0),0)</f>
        <v>15</v>
      </c>
      <c r="AL285" s="14">
        <f>IF(Distances!FK128&lt;&gt;0,ROUNDUP(AL260+'Délai intermédiaire'!FK128/24,0),0)</f>
        <v>21</v>
      </c>
      <c r="AM285" s="14">
        <f>IF(Distances!FL128&lt;&gt;0,ROUNDUP(AM260+'Délai intermédiaire'!FL128/24,0),0)</f>
        <v>21</v>
      </c>
      <c r="AN285" s="14">
        <f>IF(Distances!FM128&lt;&gt;0,ROUNDUP(AN260+'Délai intermédiaire'!FM128/24,0),0)</f>
        <v>20</v>
      </c>
      <c r="AO285" s="14">
        <f>IF(Distances!FN128&lt;&gt;0,ROUNDUP(AO260+'Délai intermédiaire'!FN128/24,0),0)</f>
        <v>22</v>
      </c>
      <c r="AP285" s="14">
        <f>IF(Distances!FO128&lt;&gt;0,ROUNDUP(AP260+'Délai intermédiaire'!FO128/24,0),0)</f>
        <v>23</v>
      </c>
      <c r="AQ285" s="14">
        <f>IF(Distances!FP128&lt;&gt;0,ROUNDUP(AQ260+'Délai intermédiaire'!FP128/24,0),0)</f>
        <v>19</v>
      </c>
      <c r="AR285" s="14">
        <f>IF(Distances!FQ128&lt;&gt;0,ROUNDUP(AR260+'Délai intermédiaire'!FQ128/24,0),0)</f>
        <v>13</v>
      </c>
      <c r="AS285" s="14">
        <f>IF(Distances!FR128&lt;&gt;0,ROUNDUP(AS260+'Délai intermédiaire'!FR128/24,0),0)</f>
        <v>13</v>
      </c>
      <c r="AT285" s="14">
        <f>IF(Distances!FS128&lt;&gt;0,ROUNDUP(AT260+'Délai intermédiaire'!FS128/24,0),0)</f>
        <v>13</v>
      </c>
      <c r="AU285" s="14">
        <f>IF(Distances!FT128&lt;&gt;0,ROUNDUP(AU260+'Délai intermédiaire'!FT128/24,0),0)</f>
        <v>21</v>
      </c>
      <c r="AV285" s="14">
        <f>IF(Distances!FU128&lt;&gt;0,ROUNDUP(AV260+'Délai intermédiaire'!FU128/24,0),0)</f>
        <v>6</v>
      </c>
      <c r="AW285" s="14">
        <f>IF(Distances!FV128&lt;&gt;0,ROUNDUP(AW260+'Délai intermédiaire'!FV128/24,0),0)</f>
        <v>8</v>
      </c>
      <c r="AX285" s="14">
        <f>IF(Distances!FW128&lt;&gt;0,ROUNDUP(AX260+'Délai intermédiaire'!FW128/24,0),0)</f>
        <v>23</v>
      </c>
      <c r="AY285" s="14">
        <f>IF(Distances!FX128&lt;&gt;0,ROUNDUP(AY260+'Délai intermédiaire'!FX128/24,0),0)</f>
        <v>3</v>
      </c>
      <c r="AZ285" s="14">
        <f>IF(Distances!FY128&lt;&gt;0,ROUNDUP(AZ260+'Délai intermédiaire'!FY128/24,0),0)</f>
        <v>14</v>
      </c>
      <c r="BA285" s="14">
        <f>IF(Distances!FZ128&lt;&gt;0,ROUNDUP(BA260+'Délai intermédiaire'!FZ128/24,0),0)</f>
        <v>18</v>
      </c>
      <c r="BB285" s="13">
        <f>IF(Distances!GA128&lt;&gt;0,ROUNDUP(BB260+'Délai intermédiaire'!GA128/24,0),0)</f>
        <v>4</v>
      </c>
      <c r="BC285" s="14">
        <f>IF(Distances!GB128&lt;&gt;0,ROUNDUP(BC260+'Délai intermédiaire'!GB128/24,0),0)</f>
        <v>20</v>
      </c>
      <c r="BD285" s="14">
        <f>IF(Distances!GC128&lt;&gt;0,ROUNDUP(BD260+'Délai intermédiaire'!GC128/24,0),0)</f>
        <v>22</v>
      </c>
      <c r="BE285" s="14">
        <f>IF(Distances!GD128&lt;&gt;0,ROUNDUP(BE260+'Délai intermédiaire'!GD128/24,0),0)</f>
        <v>21</v>
      </c>
      <c r="BF285" s="13">
        <f>IF(Distances!GE128&lt;&gt;0,ROUNDUP(BF260+'Délai intermédiaire'!GE128/24,0),0)</f>
        <v>10</v>
      </c>
      <c r="BG285" s="13">
        <f>IF(Distances!GF128&lt;&gt;0,ROUNDUP(BG260+'Délai intermédiaire'!GF128/24,0),0)</f>
        <v>8</v>
      </c>
      <c r="BH285" s="14">
        <f>IF(Distances!GG128&lt;&gt;0,ROUNDUP(BH260+'Délai intermédiaire'!GG128/24,0),0)</f>
        <v>12</v>
      </c>
      <c r="BI285" s="14">
        <f>IF(Distances!GH128&lt;&gt;0,ROUNDUP(BI260+'Délai intermédiaire'!GH128/24,0),0)</f>
        <v>16</v>
      </c>
      <c r="BJ285" s="15">
        <f>IF(Distances!GI128&lt;&gt;0,ROUNDUP(BJ260+'Délai intermédiaire'!GI128/24,0),0)</f>
        <v>16</v>
      </c>
    </row>
    <row r="286" spans="1:62" x14ac:dyDescent="0.3">
      <c r="A286" s="10" t="s">
        <v>25</v>
      </c>
      <c r="B286" s="16">
        <f>IF(Distances!EA129&lt;&gt;0,ROUNDUP(B260+'Délai intermédiaire'!EA129/24,0),0)</f>
        <v>10</v>
      </c>
      <c r="C286" s="14">
        <f>IF(Distances!EB129&lt;&gt;0,ROUNDUP(C260+'Délai intermédiaire'!EB129/24,0),0)</f>
        <v>11</v>
      </c>
      <c r="D286" s="14">
        <f>IF(Distances!EC129&lt;&gt;0,ROUNDUP(D260+'Délai intermédiaire'!EC129/24,0),0)</f>
        <v>10</v>
      </c>
      <c r="E286" s="14">
        <f>IF(Distances!ED129&lt;&gt;0,ROUNDUP(E260+'Délai intermédiaire'!ED129/24,0),0)</f>
        <v>10</v>
      </c>
      <c r="F286" s="14">
        <f>IF(Distances!EE129&lt;&gt;0,ROUNDUP(F260+'Délai intermédiaire'!EE129/24,0),0)</f>
        <v>9</v>
      </c>
      <c r="G286" s="14">
        <f>IF(Distances!EF129&lt;&gt;0,ROUNDUP(G260+'Délai intermédiaire'!EF129/24,0),0)</f>
        <v>18</v>
      </c>
      <c r="H286" s="14">
        <f>IF(Distances!EG129&lt;&gt;0,ROUNDUP(H260+'Délai intermédiaire'!EG129/24,0),0)</f>
        <v>18</v>
      </c>
      <c r="I286" s="14">
        <f>IF(Distances!EH129&lt;&gt;0,ROUNDUP(I260+'Délai intermédiaire'!EH129/24,0),0)</f>
        <v>16</v>
      </c>
      <c r="J286" s="14">
        <f>IF(Distances!EI129&lt;&gt;0,ROUNDUP(J260+'Délai intermédiaire'!EI129/24,0),0)</f>
        <v>10</v>
      </c>
      <c r="K286" s="14">
        <f>IF(Distances!EJ129&lt;&gt;0,ROUNDUP(K260+'Délai intermédiaire'!EJ129/24,0),0)</f>
        <v>10</v>
      </c>
      <c r="L286" s="14">
        <f>IF(Distances!EK129&lt;&gt;0,ROUNDUP(L260+'Délai intermédiaire'!EK129/24,0),0)</f>
        <v>19</v>
      </c>
      <c r="M286" s="14">
        <f>IF(Distances!EL129&lt;&gt;0,ROUNDUP(M260+'Délai intermédiaire'!EL129/24,0),0)</f>
        <v>19</v>
      </c>
      <c r="N286" s="14">
        <f>IF(Distances!EM129&lt;&gt;0,ROUNDUP(N260+'Délai intermédiaire'!EM129/24,0),0)</f>
        <v>12</v>
      </c>
      <c r="O286" s="14">
        <f>IF(Distances!EN129&lt;&gt;0,ROUNDUP(O260+'Délai intermédiaire'!EN129/24,0),0)</f>
        <v>11</v>
      </c>
      <c r="P286" s="14">
        <f>IF(Distances!EO129&lt;&gt;0,ROUNDUP(P260+'Délai intermédiaire'!EO129/24,0),0)</f>
        <v>10</v>
      </c>
      <c r="Q286" s="13">
        <f>IF(Distances!EP129&lt;&gt;0,ROUNDUP(Q260+'Délai intermédiaire'!EP129/24,0),0)</f>
        <v>6</v>
      </c>
      <c r="R286" s="13">
        <f>IF(Distances!EQ129&lt;&gt;0,ROUNDUP(R260+'Délai intermédiaire'!EQ129/24,0),0)</f>
        <v>5</v>
      </c>
      <c r="S286" s="13">
        <f>IF(Distances!ER129&lt;&gt;0,ROUNDUP(S260+'Délai intermédiaire'!ER129/24,0),0)</f>
        <v>5</v>
      </c>
      <c r="T286" s="13">
        <f>IF(Distances!ES129&lt;&gt;0,ROUNDUP(T260+'Délai intermédiaire'!ES129/24,0),0)</f>
        <v>5</v>
      </c>
      <c r="U286" s="13">
        <f>IF(Distances!ET129&lt;&gt;0,ROUNDUP(U260+'Délai intermédiaire'!ET129/24,0),0)</f>
        <v>2</v>
      </c>
      <c r="V286" s="13">
        <f>IF(Distances!EU129&lt;&gt;0,ROUNDUP(V260+'Délai intermédiaire'!EU129/24,0),0)</f>
        <v>3</v>
      </c>
      <c r="W286" s="13">
        <f>IF(Distances!EV129&lt;&gt;0,ROUNDUP(W260+'Délai intermédiaire'!EV129/24,0),0)</f>
        <v>6</v>
      </c>
      <c r="X286" s="13">
        <f>IF(Distances!EW129&lt;&gt;0,ROUNDUP(X260+'Délai intermédiaire'!EW129/24,0),0)</f>
        <v>7</v>
      </c>
      <c r="Y286" s="13">
        <f>IF(Distances!EX129&lt;&gt;0,ROUNDUP(Y260+'Délai intermédiaire'!EX129/24,0),0)</f>
        <v>6</v>
      </c>
      <c r="Z286" s="12">
        <f>IF(Distances!EY129&lt;&gt;0,ROUNDUP(Z260+'Délai intermédiaire'!EY129/24,0),0)</f>
        <v>0</v>
      </c>
      <c r="AA286" s="13">
        <f>IF(Distances!EZ129&lt;&gt;0,ROUNDUP(AA260+'Délai intermédiaire'!EZ129/24,0),0)</f>
        <v>3</v>
      </c>
      <c r="AB286" s="13">
        <f>IF(Distances!FA129&lt;&gt;0,ROUNDUP(AB260+'Délai intermédiaire'!FA129/24,0),0)</f>
        <v>3</v>
      </c>
      <c r="AC286" s="13">
        <f>IF(Distances!FB129&lt;&gt;0,ROUNDUP(AC260+'Délai intermédiaire'!FB129/24,0),0)</f>
        <v>2</v>
      </c>
      <c r="AD286" s="13">
        <f>IF(Distances!FC129&lt;&gt;0,ROUNDUP(AD260+'Délai intermédiaire'!FC129/24,0),0)</f>
        <v>8</v>
      </c>
      <c r="AE286" s="13">
        <f>IF(Distances!FD129&lt;&gt;0,ROUNDUP(AE260+'Délai intermédiaire'!FD129/24,0),0)</f>
        <v>5</v>
      </c>
      <c r="AF286" s="13">
        <f>IF(Distances!FE129&lt;&gt;0,ROUNDUP(AF260+'Délai intermédiaire'!FE129/24,0),0)</f>
        <v>4</v>
      </c>
      <c r="AG286" s="13">
        <f>IF(Distances!FF129&lt;&gt;0,ROUNDUP(AG260+'Délai intermédiaire'!FF129/24,0),0)</f>
        <v>5</v>
      </c>
      <c r="AH286" s="14">
        <f>IF(Distances!FG129&lt;&gt;0,ROUNDUP(AH260+'Délai intermédiaire'!FG129/24,0),0)</f>
        <v>11</v>
      </c>
      <c r="AI286" s="14">
        <f>IF(Distances!FH129&lt;&gt;0,ROUNDUP(AI260+'Délai intermédiaire'!FH129/24,0),0)</f>
        <v>13</v>
      </c>
      <c r="AJ286" s="14">
        <f>IF(Distances!FI129&lt;&gt;0,ROUNDUP(AJ260+'Délai intermédiaire'!FI129/24,0),0)</f>
        <v>11</v>
      </c>
      <c r="AK286" s="14">
        <f>IF(Distances!FJ129&lt;&gt;0,ROUNDUP(AK260+'Délai intermédiaire'!FJ129/24,0),0)</f>
        <v>12</v>
      </c>
      <c r="AL286" s="14">
        <f>IF(Distances!FK129&lt;&gt;0,ROUNDUP(AL260+'Délai intermédiaire'!FK129/24,0),0)</f>
        <v>17</v>
      </c>
      <c r="AM286" s="14">
        <f>IF(Distances!FL129&lt;&gt;0,ROUNDUP(AM260+'Délai intermédiaire'!FL129/24,0),0)</f>
        <v>17</v>
      </c>
      <c r="AN286" s="14">
        <f>IF(Distances!FM129&lt;&gt;0,ROUNDUP(AN260+'Délai intermédiaire'!FM129/24,0),0)</f>
        <v>17</v>
      </c>
      <c r="AO286" s="14">
        <f>IF(Distances!FN129&lt;&gt;0,ROUNDUP(AO260+'Délai intermédiaire'!FN129/24,0),0)</f>
        <v>18</v>
      </c>
      <c r="AP286" s="14">
        <f>IF(Distances!FO129&lt;&gt;0,ROUNDUP(AP260+'Délai intermédiaire'!FO129/24,0),0)</f>
        <v>19</v>
      </c>
      <c r="AQ286" s="14">
        <f>IF(Distances!FP129&lt;&gt;0,ROUNDUP(AQ260+'Délai intermédiaire'!FP129/24,0),0)</f>
        <v>16</v>
      </c>
      <c r="AR286" s="14">
        <f>IF(Distances!FQ129&lt;&gt;0,ROUNDUP(AR260+'Délai intermédiaire'!FQ129/24,0),0)</f>
        <v>10</v>
      </c>
      <c r="AS286" s="14">
        <f>IF(Distances!FR129&lt;&gt;0,ROUNDUP(AS260+'Délai intermédiaire'!FR129/24,0),0)</f>
        <v>10</v>
      </c>
      <c r="AT286" s="14">
        <f>IF(Distances!FS129&lt;&gt;0,ROUNDUP(AT260+'Délai intermédiaire'!FS129/24,0),0)</f>
        <v>10</v>
      </c>
      <c r="AU286" s="14">
        <f>IF(Distances!FT129&lt;&gt;0,ROUNDUP(AU260+'Délai intermédiaire'!FT129/24,0),0)</f>
        <v>18</v>
      </c>
      <c r="AV286" s="14">
        <f>IF(Distances!FU129&lt;&gt;0,ROUNDUP(AV260+'Délai intermédiaire'!FU129/24,0),0)</f>
        <v>10</v>
      </c>
      <c r="AW286" s="14">
        <f>IF(Distances!FV129&lt;&gt;0,ROUNDUP(AW260+'Délai intermédiaire'!FV129/24,0),0)</f>
        <v>12</v>
      </c>
      <c r="AX286" s="14">
        <f>IF(Distances!FW129&lt;&gt;0,ROUNDUP(AX260+'Délai intermédiaire'!FW129/24,0),0)</f>
        <v>20</v>
      </c>
      <c r="AY286" s="14">
        <f>IF(Distances!FX129&lt;&gt;0,ROUNDUP(AY260+'Délai intermédiaire'!FX129/24,0),0)</f>
        <v>3</v>
      </c>
      <c r="AZ286" s="14">
        <f>IF(Distances!FY129&lt;&gt;0,ROUNDUP(AZ260+'Délai intermédiaire'!FY129/24,0),0)</f>
        <v>10</v>
      </c>
      <c r="BA286" s="14">
        <f>IF(Distances!FZ129&lt;&gt;0,ROUNDUP(BA260+'Délai intermédiaire'!FZ129/24,0),0)</f>
        <v>15</v>
      </c>
      <c r="BB286" s="13">
        <f>IF(Distances!GA129&lt;&gt;0,ROUNDUP(BB260+'Délai intermédiaire'!GA129/24,0),0)</f>
        <v>8</v>
      </c>
      <c r="BC286" s="14">
        <f>IF(Distances!GB129&lt;&gt;0,ROUNDUP(BC260+'Délai intermédiaire'!GB129/24,0),0)</f>
        <v>16</v>
      </c>
      <c r="BD286" s="14">
        <f>IF(Distances!GC129&lt;&gt;0,ROUNDUP(BD260+'Délai intermédiaire'!GC129/24,0),0)</f>
        <v>18</v>
      </c>
      <c r="BE286" s="14">
        <f>IF(Distances!GD129&lt;&gt;0,ROUNDUP(BE260+'Délai intermédiaire'!GD129/24,0),0)</f>
        <v>17</v>
      </c>
      <c r="BF286" s="13">
        <f>IF(Distances!GE129&lt;&gt;0,ROUNDUP(BF260+'Délai intermédiaire'!GE129/24,0),0)</f>
        <v>6</v>
      </c>
      <c r="BG286" s="13">
        <f>IF(Distances!GF129&lt;&gt;0,ROUNDUP(BG260+'Délai intermédiaire'!GF129/24,0),0)</f>
        <v>4</v>
      </c>
      <c r="BH286" s="14">
        <f>IF(Distances!GG129&lt;&gt;0,ROUNDUP(BH260+'Délai intermédiaire'!GG129/24,0),0)</f>
        <v>12</v>
      </c>
      <c r="BI286" s="14">
        <f>IF(Distances!GH129&lt;&gt;0,ROUNDUP(BI260+'Délai intermédiaire'!GH129/24,0),0)</f>
        <v>16</v>
      </c>
      <c r="BJ286" s="15">
        <f>IF(Distances!GI129&lt;&gt;0,ROUNDUP(BJ260+'Délai intermédiaire'!GI129/24,0),0)</f>
        <v>16</v>
      </c>
    </row>
    <row r="287" spans="1:62" x14ac:dyDescent="0.3">
      <c r="A287" s="10" t="s">
        <v>26</v>
      </c>
      <c r="B287" s="16">
        <f>IF(Distances!EA130&lt;&gt;0,ROUNDUP(B260+'Délai intermédiaire'!EA130/24,0),0)</f>
        <v>10</v>
      </c>
      <c r="C287" s="14">
        <f>IF(Distances!EB130&lt;&gt;0,ROUNDUP(C260+'Délai intermédiaire'!EB130/24,0),0)</f>
        <v>11</v>
      </c>
      <c r="D287" s="14">
        <f>IF(Distances!EC130&lt;&gt;0,ROUNDUP(D260+'Délai intermédiaire'!EC130/24,0),0)</f>
        <v>10</v>
      </c>
      <c r="E287" s="14">
        <f>IF(Distances!ED130&lt;&gt;0,ROUNDUP(E260+'Délai intermédiaire'!ED130/24,0),0)</f>
        <v>10</v>
      </c>
      <c r="F287" s="14">
        <f>IF(Distances!EE130&lt;&gt;0,ROUNDUP(F260+'Délai intermédiaire'!EE130/24,0),0)</f>
        <v>9</v>
      </c>
      <c r="G287" s="14">
        <f>IF(Distances!EF130&lt;&gt;0,ROUNDUP(G260+'Délai intermédiaire'!EF130/24,0),0)</f>
        <v>18</v>
      </c>
      <c r="H287" s="14">
        <f>IF(Distances!EG130&lt;&gt;0,ROUNDUP(H260+'Délai intermédiaire'!EG130/24,0),0)</f>
        <v>18</v>
      </c>
      <c r="I287" s="14">
        <f>IF(Distances!EH130&lt;&gt;0,ROUNDUP(I260+'Délai intermédiaire'!EH130/24,0),0)</f>
        <v>16</v>
      </c>
      <c r="J287" s="14">
        <f>IF(Distances!EI130&lt;&gt;0,ROUNDUP(J260+'Délai intermédiaire'!EI130/24,0),0)</f>
        <v>10</v>
      </c>
      <c r="K287" s="14">
        <f>IF(Distances!EJ130&lt;&gt;0,ROUNDUP(K260+'Délai intermédiaire'!EJ130/24,0),0)</f>
        <v>10</v>
      </c>
      <c r="L287" s="14">
        <f>IF(Distances!EK130&lt;&gt;0,ROUNDUP(L260+'Délai intermédiaire'!EK130/24,0),0)</f>
        <v>19</v>
      </c>
      <c r="M287" s="14">
        <f>IF(Distances!EL130&lt;&gt;0,ROUNDUP(M260+'Délai intermédiaire'!EL130/24,0),0)</f>
        <v>19</v>
      </c>
      <c r="N287" s="14">
        <f>IF(Distances!EM130&lt;&gt;0,ROUNDUP(N260+'Délai intermédiaire'!EM130/24,0),0)</f>
        <v>12</v>
      </c>
      <c r="O287" s="14">
        <f>IF(Distances!EN130&lt;&gt;0,ROUNDUP(O260+'Délai intermédiaire'!EN130/24,0),0)</f>
        <v>11</v>
      </c>
      <c r="P287" s="14">
        <f>IF(Distances!EO130&lt;&gt;0,ROUNDUP(P260+'Délai intermédiaire'!EO130/24,0),0)</f>
        <v>9</v>
      </c>
      <c r="Q287" s="13">
        <f>IF(Distances!EP130&lt;&gt;0,ROUNDUP(Q260+'Délai intermédiaire'!EP130/24,0),0)</f>
        <v>6</v>
      </c>
      <c r="R287" s="13">
        <f>IF(Distances!EQ130&lt;&gt;0,ROUNDUP(R260+'Délai intermédiaire'!EQ130/24,0),0)</f>
        <v>5</v>
      </c>
      <c r="S287" s="13">
        <f>IF(Distances!ER130&lt;&gt;0,ROUNDUP(S260+'Délai intermédiaire'!ER130/24,0),0)</f>
        <v>5</v>
      </c>
      <c r="T287" s="13">
        <f>IF(Distances!ES130&lt;&gt;0,ROUNDUP(T260+'Délai intermédiaire'!ES130/24,0),0)</f>
        <v>5</v>
      </c>
      <c r="U287" s="13">
        <f>IF(Distances!ET130&lt;&gt;0,ROUNDUP(U260+'Délai intermédiaire'!ET130/24,0),0)</f>
        <v>2</v>
      </c>
      <c r="V287" s="13">
        <f>IF(Distances!EU130&lt;&gt;0,ROUNDUP(V260+'Délai intermédiaire'!EU130/24,0),0)</f>
        <v>4</v>
      </c>
      <c r="W287" s="13">
        <f>IF(Distances!EV130&lt;&gt;0,ROUNDUP(W260+'Délai intermédiaire'!EV130/24,0),0)</f>
        <v>6</v>
      </c>
      <c r="X287" s="13">
        <f>IF(Distances!EW130&lt;&gt;0,ROUNDUP(X260+'Délai intermédiaire'!EW130/24,0),0)</f>
        <v>7</v>
      </c>
      <c r="Y287" s="13">
        <f>IF(Distances!EX130&lt;&gt;0,ROUNDUP(Y260+'Délai intermédiaire'!EX130/24,0),0)</f>
        <v>5</v>
      </c>
      <c r="Z287" s="13">
        <f>IF(Distances!EY130&lt;&gt;0,ROUNDUP(Z260+'Délai intermédiaire'!EY130/24,0),0)</f>
        <v>3</v>
      </c>
      <c r="AA287" s="12">
        <f>IF(Distances!EZ130&lt;&gt;0,ROUNDUP(AA260+'Délai intermédiaire'!EZ130/24,0),0)</f>
        <v>0</v>
      </c>
      <c r="AB287" s="13">
        <f>IF(Distances!FA130&lt;&gt;0,ROUNDUP(AB260+'Délai intermédiaire'!FA130/24,0),0)</f>
        <v>3</v>
      </c>
      <c r="AC287" s="13">
        <f>IF(Distances!FB130&lt;&gt;0,ROUNDUP(AC260+'Délai intermédiaire'!FB130/24,0),0)</f>
        <v>2</v>
      </c>
      <c r="AD287" s="13">
        <f>IF(Distances!FC130&lt;&gt;0,ROUNDUP(AD260+'Délai intermédiaire'!FC130/24,0),0)</f>
        <v>8</v>
      </c>
      <c r="AE287" s="13">
        <f>IF(Distances!FD130&lt;&gt;0,ROUNDUP(AE260+'Délai intermédiaire'!FD130/24,0),0)</f>
        <v>5</v>
      </c>
      <c r="AF287" s="13">
        <f>IF(Distances!FE130&lt;&gt;0,ROUNDUP(AF260+'Délai intermédiaire'!FE130/24,0),0)</f>
        <v>4</v>
      </c>
      <c r="AG287" s="13">
        <f>IF(Distances!FF130&lt;&gt;0,ROUNDUP(AG260+'Délai intermédiaire'!FF130/24,0),0)</f>
        <v>5</v>
      </c>
      <c r="AH287" s="14">
        <f>IF(Distances!FG130&lt;&gt;0,ROUNDUP(AH260+'Délai intermédiaire'!FG130/24,0),0)</f>
        <v>11</v>
      </c>
      <c r="AI287" s="14">
        <f>IF(Distances!FH130&lt;&gt;0,ROUNDUP(AI260+'Délai intermédiaire'!FH130/24,0),0)</f>
        <v>13</v>
      </c>
      <c r="AJ287" s="14">
        <f>IF(Distances!FI130&lt;&gt;0,ROUNDUP(AJ260+'Délai intermédiaire'!FI130/24,0),0)</f>
        <v>11</v>
      </c>
      <c r="AK287" s="14">
        <f>IF(Distances!FJ130&lt;&gt;0,ROUNDUP(AK260+'Délai intermédiaire'!FJ130/24,0),0)</f>
        <v>12</v>
      </c>
      <c r="AL287" s="14">
        <f>IF(Distances!FK130&lt;&gt;0,ROUNDUP(AL260+'Délai intermédiaire'!FK130/24,0),0)</f>
        <v>18</v>
      </c>
      <c r="AM287" s="14">
        <f>IF(Distances!FL130&lt;&gt;0,ROUNDUP(AM260+'Délai intermédiaire'!FL130/24,0),0)</f>
        <v>17</v>
      </c>
      <c r="AN287" s="14">
        <f>IF(Distances!FM130&lt;&gt;0,ROUNDUP(AN260+'Délai intermédiaire'!FM130/24,0),0)</f>
        <v>17</v>
      </c>
      <c r="AO287" s="14">
        <f>IF(Distances!FN130&lt;&gt;0,ROUNDUP(AO260+'Délai intermédiaire'!FN130/24,0),0)</f>
        <v>19</v>
      </c>
      <c r="AP287" s="14">
        <f>IF(Distances!FO130&lt;&gt;0,ROUNDUP(AP260+'Délai intermédiaire'!FO130/24,0),0)</f>
        <v>19</v>
      </c>
      <c r="AQ287" s="14">
        <f>IF(Distances!FP130&lt;&gt;0,ROUNDUP(AQ260+'Délai intermédiaire'!FP130/24,0),0)</f>
        <v>16</v>
      </c>
      <c r="AR287" s="14">
        <f>IF(Distances!FQ130&lt;&gt;0,ROUNDUP(AR260+'Délai intermédiaire'!FQ130/24,0),0)</f>
        <v>10</v>
      </c>
      <c r="AS287" s="14">
        <f>IF(Distances!FR130&lt;&gt;0,ROUNDUP(AS260+'Délai intermédiaire'!FR130/24,0),0)</f>
        <v>10</v>
      </c>
      <c r="AT287" s="14">
        <f>IF(Distances!FS130&lt;&gt;0,ROUNDUP(AT260+'Délai intermédiaire'!FS130/24,0),0)</f>
        <v>10</v>
      </c>
      <c r="AU287" s="14">
        <f>IF(Distances!FT130&lt;&gt;0,ROUNDUP(AU260+'Délai intermédiaire'!FT130/24,0),0)</f>
        <v>18</v>
      </c>
      <c r="AV287" s="14">
        <f>IF(Distances!FU130&lt;&gt;0,ROUNDUP(AV260+'Délai intermédiaire'!FU130/24,0),0)</f>
        <v>10</v>
      </c>
      <c r="AW287" s="14">
        <f>IF(Distances!FV130&lt;&gt;0,ROUNDUP(AW260+'Délai intermédiaire'!FV130/24,0),0)</f>
        <v>12</v>
      </c>
      <c r="AX287" s="14">
        <f>IF(Distances!FW130&lt;&gt;0,ROUNDUP(AX260+'Délai intermédiaire'!FW130/24,0),0)</f>
        <v>20</v>
      </c>
      <c r="AY287" s="14">
        <f>IF(Distances!FX130&lt;&gt;0,ROUNDUP(AY260+'Délai intermédiaire'!FX130/24,0),0)</f>
        <v>3</v>
      </c>
      <c r="AZ287" s="14">
        <f>IF(Distances!FY130&lt;&gt;0,ROUNDUP(AZ260+'Délai intermédiaire'!FY130/24,0),0)</f>
        <v>10</v>
      </c>
      <c r="BA287" s="14">
        <f>IF(Distances!FZ130&lt;&gt;0,ROUNDUP(BA260+'Délai intermédiaire'!FZ130/24,0),0)</f>
        <v>15</v>
      </c>
      <c r="BB287" s="13">
        <f>IF(Distances!GA130&lt;&gt;0,ROUNDUP(BB260+'Délai intermédiaire'!GA130/24,0),0)</f>
        <v>8</v>
      </c>
      <c r="BC287" s="14">
        <f>IF(Distances!GB130&lt;&gt;0,ROUNDUP(BC260+'Délai intermédiaire'!GB130/24,0),0)</f>
        <v>16</v>
      </c>
      <c r="BD287" s="14">
        <f>IF(Distances!GC130&lt;&gt;0,ROUNDUP(BD260+'Délai intermédiaire'!GC130/24,0),0)</f>
        <v>19</v>
      </c>
      <c r="BE287" s="14">
        <f>IF(Distances!GD130&lt;&gt;0,ROUNDUP(BE260+'Délai intermédiaire'!GD130/24,0),0)</f>
        <v>18</v>
      </c>
      <c r="BF287" s="13">
        <f>IF(Distances!GE130&lt;&gt;0,ROUNDUP(BF260+'Délai intermédiaire'!GE130/24,0),0)</f>
        <v>6</v>
      </c>
      <c r="BG287" s="13">
        <f>IF(Distances!GF130&lt;&gt;0,ROUNDUP(BG260+'Délai intermédiaire'!GF130/24,0),0)</f>
        <v>4</v>
      </c>
      <c r="BH287" s="14">
        <f>IF(Distances!GG130&lt;&gt;0,ROUNDUP(BH260+'Délai intermédiaire'!GG130/24,0),0)</f>
        <v>12</v>
      </c>
      <c r="BI287" s="14">
        <f>IF(Distances!GH130&lt;&gt;0,ROUNDUP(BI260+'Délai intermédiaire'!GH130/24,0),0)</f>
        <v>16</v>
      </c>
      <c r="BJ287" s="15">
        <f>IF(Distances!GI130&lt;&gt;0,ROUNDUP(BJ260+'Délai intermédiaire'!GI130/24,0),0)</f>
        <v>16</v>
      </c>
    </row>
    <row r="288" spans="1:62" x14ac:dyDescent="0.3">
      <c r="A288" s="10" t="s">
        <v>27</v>
      </c>
      <c r="B288" s="16">
        <f>IF(Distances!EA131&lt;&gt;0,ROUNDUP(B260+'Délai intermédiaire'!EA131/24,0),0)</f>
        <v>9</v>
      </c>
      <c r="C288" s="14">
        <f>IF(Distances!EB131&lt;&gt;0,ROUNDUP(C260+'Délai intermédiaire'!EB131/24,0),0)</f>
        <v>10</v>
      </c>
      <c r="D288" s="14">
        <f>IF(Distances!EC131&lt;&gt;0,ROUNDUP(D260+'Délai intermédiaire'!EC131/24,0),0)</f>
        <v>9</v>
      </c>
      <c r="E288" s="14">
        <f>IF(Distances!ED131&lt;&gt;0,ROUNDUP(E260+'Délai intermédiaire'!ED131/24,0),0)</f>
        <v>10</v>
      </c>
      <c r="F288" s="14">
        <f>IF(Distances!EE131&lt;&gt;0,ROUNDUP(F260+'Délai intermédiaire'!EE131/24,0),0)</f>
        <v>8</v>
      </c>
      <c r="G288" s="14">
        <f>IF(Distances!EF131&lt;&gt;0,ROUNDUP(G260+'Délai intermédiaire'!EF131/24,0),0)</f>
        <v>17</v>
      </c>
      <c r="H288" s="14">
        <f>IF(Distances!EG131&lt;&gt;0,ROUNDUP(H260+'Délai intermédiaire'!EG131/24,0),0)</f>
        <v>17</v>
      </c>
      <c r="I288" s="14">
        <f>IF(Distances!EH131&lt;&gt;0,ROUNDUP(I260+'Délai intermédiaire'!EH131/24,0),0)</f>
        <v>15</v>
      </c>
      <c r="J288" s="14">
        <f>IF(Distances!EI131&lt;&gt;0,ROUNDUP(J260+'Délai intermédiaire'!EI131/24,0),0)</f>
        <v>9</v>
      </c>
      <c r="K288" s="14">
        <f>IF(Distances!EJ131&lt;&gt;0,ROUNDUP(K260+'Délai intermédiaire'!EJ131/24,0),0)</f>
        <v>9</v>
      </c>
      <c r="L288" s="14">
        <f>IF(Distances!EK131&lt;&gt;0,ROUNDUP(L260+'Délai intermédiaire'!EK131/24,0),0)</f>
        <v>18</v>
      </c>
      <c r="M288" s="14">
        <f>IF(Distances!EL131&lt;&gt;0,ROUNDUP(M260+'Délai intermédiaire'!EL131/24,0),0)</f>
        <v>18</v>
      </c>
      <c r="N288" s="14">
        <f>IF(Distances!EM131&lt;&gt;0,ROUNDUP(N260+'Délai intermédiaire'!EM131/24,0),0)</f>
        <v>12</v>
      </c>
      <c r="O288" s="14">
        <f>IF(Distances!EN131&lt;&gt;0,ROUNDUP(O260+'Délai intermédiaire'!EN131/24,0),0)</f>
        <v>11</v>
      </c>
      <c r="P288" s="14">
        <f>IF(Distances!EO131&lt;&gt;0,ROUNDUP(P260+'Délai intermédiaire'!EO131/24,0),0)</f>
        <v>9</v>
      </c>
      <c r="Q288" s="13">
        <f>IF(Distances!EP131&lt;&gt;0,ROUNDUP(Q260+'Délai intermédiaire'!EP131/24,0),0)</f>
        <v>5</v>
      </c>
      <c r="R288" s="13">
        <f>IF(Distances!EQ131&lt;&gt;0,ROUNDUP(R260+'Délai intermédiaire'!EQ131/24,0),0)</f>
        <v>4</v>
      </c>
      <c r="S288" s="13">
        <f>IF(Distances!ER131&lt;&gt;0,ROUNDUP(S260+'Délai intermédiaire'!ER131/24,0),0)</f>
        <v>5</v>
      </c>
      <c r="T288" s="13">
        <f>IF(Distances!ES131&lt;&gt;0,ROUNDUP(T260+'Délai intermédiaire'!ES131/24,0),0)</f>
        <v>4</v>
      </c>
      <c r="U288" s="13">
        <f>IF(Distances!ET131&lt;&gt;0,ROUNDUP(U260+'Délai intermédiaire'!ET131/24,0),0)</f>
        <v>2</v>
      </c>
      <c r="V288" s="13">
        <f>IF(Distances!EU131&lt;&gt;0,ROUNDUP(V260+'Délai intermédiaire'!EU131/24,0),0)</f>
        <v>4</v>
      </c>
      <c r="W288" s="13">
        <f>IF(Distances!EV131&lt;&gt;0,ROUNDUP(W260+'Délai intermédiaire'!EV131/24,0),0)</f>
        <v>5</v>
      </c>
      <c r="X288" s="13">
        <f>IF(Distances!EW131&lt;&gt;0,ROUNDUP(X260+'Délai intermédiaire'!EW131/24,0),0)</f>
        <v>6</v>
      </c>
      <c r="Y288" s="13">
        <f>IF(Distances!EX131&lt;&gt;0,ROUNDUP(Y260+'Délai intermédiaire'!EX131/24,0),0)</f>
        <v>5</v>
      </c>
      <c r="Z288" s="13">
        <f>IF(Distances!EY131&lt;&gt;0,ROUNDUP(Z260+'Délai intermédiaire'!EY131/24,0),0)</f>
        <v>4</v>
      </c>
      <c r="AA288" s="13">
        <f>IF(Distances!EZ131&lt;&gt;0,ROUNDUP(AA260+'Délai intermédiaire'!EZ131/24,0),0)</f>
        <v>4</v>
      </c>
      <c r="AB288" s="12">
        <f>IF(Distances!FA131&lt;&gt;0,ROUNDUP(AB260+'Délai intermédiaire'!FA131/24,0),0)</f>
        <v>0</v>
      </c>
      <c r="AC288" s="13">
        <f>IF(Distances!FB131&lt;&gt;0,ROUNDUP(AC260+'Délai intermédiaire'!FB131/24,0),0)</f>
        <v>2</v>
      </c>
      <c r="AD288" s="13">
        <f>IF(Distances!FC131&lt;&gt;0,ROUNDUP(AD260+'Délai intermédiaire'!FC131/24,0),0)</f>
        <v>7</v>
      </c>
      <c r="AE288" s="13">
        <f>IF(Distances!FD131&lt;&gt;0,ROUNDUP(AE260+'Délai intermédiaire'!FD131/24,0),0)</f>
        <v>6</v>
      </c>
      <c r="AF288" s="13">
        <f>IF(Distances!FE131&lt;&gt;0,ROUNDUP(AF260+'Délai intermédiaire'!FE131/24,0),0)</f>
        <v>4</v>
      </c>
      <c r="AG288" s="13">
        <f>IF(Distances!FF131&lt;&gt;0,ROUNDUP(AG260+'Délai intermédiaire'!FF131/24,0),0)</f>
        <v>5</v>
      </c>
      <c r="AH288" s="14">
        <f>IF(Distances!FG131&lt;&gt;0,ROUNDUP(AH260+'Délai intermédiaire'!FG131/24,0),0)</f>
        <v>11</v>
      </c>
      <c r="AI288" s="14">
        <f>IF(Distances!FH131&lt;&gt;0,ROUNDUP(AI260+'Délai intermédiaire'!FH131/24,0),0)</f>
        <v>14</v>
      </c>
      <c r="AJ288" s="14">
        <f>IF(Distances!FI131&lt;&gt;0,ROUNDUP(AJ260+'Délai intermédiaire'!FI131/24,0),0)</f>
        <v>11</v>
      </c>
      <c r="AK288" s="14">
        <f>IF(Distances!FJ131&lt;&gt;0,ROUNDUP(AK260+'Délai intermédiaire'!FJ131/24,0),0)</f>
        <v>12</v>
      </c>
      <c r="AL288" s="14">
        <f>IF(Distances!FK131&lt;&gt;0,ROUNDUP(AL260+'Délai intermédiaire'!FK131/24,0),0)</f>
        <v>18</v>
      </c>
      <c r="AM288" s="14">
        <f>IF(Distances!FL131&lt;&gt;0,ROUNDUP(AM260+'Délai intermédiaire'!FL131/24,0),0)</f>
        <v>18</v>
      </c>
      <c r="AN288" s="14">
        <f>IF(Distances!FM131&lt;&gt;0,ROUNDUP(AN260+'Délai intermédiaire'!FM131/24,0),0)</f>
        <v>18</v>
      </c>
      <c r="AO288" s="14">
        <f>IF(Distances!FN131&lt;&gt;0,ROUNDUP(AO260+'Délai intermédiaire'!FN131/24,0),0)</f>
        <v>19</v>
      </c>
      <c r="AP288" s="14">
        <f>IF(Distances!FO131&lt;&gt;0,ROUNDUP(AP260+'Délai intermédiaire'!FO131/24,0),0)</f>
        <v>20</v>
      </c>
      <c r="AQ288" s="14">
        <f>IF(Distances!FP131&lt;&gt;0,ROUNDUP(AQ260+'Délai intermédiaire'!FP131/24,0),0)</f>
        <v>16</v>
      </c>
      <c r="AR288" s="14">
        <f>IF(Distances!FQ131&lt;&gt;0,ROUNDUP(AR260+'Délai intermédiaire'!FQ131/24,0),0)</f>
        <v>10</v>
      </c>
      <c r="AS288" s="14">
        <f>IF(Distances!FR131&lt;&gt;0,ROUNDUP(AS260+'Délai intermédiaire'!FR131/24,0),0)</f>
        <v>10</v>
      </c>
      <c r="AT288" s="14">
        <f>IF(Distances!FS131&lt;&gt;0,ROUNDUP(AT260+'Délai intermédiaire'!FS131/24,0),0)</f>
        <v>10</v>
      </c>
      <c r="AU288" s="14">
        <f>IF(Distances!FT131&lt;&gt;0,ROUNDUP(AU260+'Délai intermédiaire'!FT131/24,0),0)</f>
        <v>19</v>
      </c>
      <c r="AV288" s="14">
        <f>IF(Distances!FU131&lt;&gt;0,ROUNDUP(AV260+'Délai intermédiaire'!FU131/24,0),0)</f>
        <v>9</v>
      </c>
      <c r="AW288" s="14">
        <f>IF(Distances!FV131&lt;&gt;0,ROUNDUP(AW260+'Délai intermédiaire'!FV131/24,0),0)</f>
        <v>11</v>
      </c>
      <c r="AX288" s="14">
        <f>IF(Distances!FW131&lt;&gt;0,ROUNDUP(AX260+'Délai intermédiaire'!FW131/24,0),0)</f>
        <v>20</v>
      </c>
      <c r="AY288" s="14">
        <f>IF(Distances!FX131&lt;&gt;0,ROUNDUP(AY260+'Délai intermédiaire'!FX131/24,0),0)</f>
        <v>3</v>
      </c>
      <c r="AZ288" s="14">
        <f>IF(Distances!FY131&lt;&gt;0,ROUNDUP(AZ260+'Délai intermédiaire'!FY131/24,0),0)</f>
        <v>11</v>
      </c>
      <c r="BA288" s="14">
        <f>IF(Distances!FZ131&lt;&gt;0,ROUNDUP(BA260+'Délai intermédiaire'!FZ131/24,0),0)</f>
        <v>16</v>
      </c>
      <c r="BB288" s="13">
        <f>IF(Distances!GA131&lt;&gt;0,ROUNDUP(BB260+'Délai intermédiaire'!GA131/24,0),0)</f>
        <v>7</v>
      </c>
      <c r="BC288" s="14">
        <f>IF(Distances!GB131&lt;&gt;0,ROUNDUP(BC260+'Délai intermédiaire'!GB131/24,0),0)</f>
        <v>17</v>
      </c>
      <c r="BD288" s="14">
        <f>IF(Distances!GC131&lt;&gt;0,ROUNDUP(BD260+'Délai intermédiaire'!GC131/24,0),0)</f>
        <v>19</v>
      </c>
      <c r="BE288" s="14">
        <f>IF(Distances!GD131&lt;&gt;0,ROUNDUP(BE260+'Délai intermédiaire'!GD131/24,0),0)</f>
        <v>18</v>
      </c>
      <c r="BF288" s="13">
        <f>IF(Distances!GE131&lt;&gt;0,ROUNDUP(BF260+'Délai intermédiaire'!GE131/24,0),0)</f>
        <v>7</v>
      </c>
      <c r="BG288" s="13">
        <f>IF(Distances!GF131&lt;&gt;0,ROUNDUP(BG260+'Délai intermédiaire'!GF131/24,0),0)</f>
        <v>5</v>
      </c>
      <c r="BH288" s="14">
        <f>IF(Distances!GG131&lt;&gt;0,ROUNDUP(BH260+'Délai intermédiaire'!GG131/24,0),0)</f>
        <v>11</v>
      </c>
      <c r="BI288" s="14">
        <f>IF(Distances!GH131&lt;&gt;0,ROUNDUP(BI260+'Délai intermédiaire'!GH131/24,0),0)</f>
        <v>15</v>
      </c>
      <c r="BJ288" s="15">
        <f>IF(Distances!GI131&lt;&gt;0,ROUNDUP(BJ260+'Délai intermédiaire'!GI131/24,0),0)</f>
        <v>15</v>
      </c>
    </row>
    <row r="289" spans="1:62" x14ac:dyDescent="0.3">
      <c r="A289" s="10" t="s">
        <v>65</v>
      </c>
      <c r="B289" s="16">
        <f>IF(Distances!EA132&lt;&gt;0,ROUNDUP(B260+'Délai intermédiaire'!EA132/24,0),0)</f>
        <v>0</v>
      </c>
      <c r="C289" s="14">
        <f>IF(Distances!EB132&lt;&gt;0,ROUNDUP(C260+'Délai intermédiaire'!EB132/24,0),0)</f>
        <v>0</v>
      </c>
      <c r="D289" s="14">
        <f>IF(Distances!EC132&lt;&gt;0,ROUNDUP(D260+'Délai intermédiaire'!EC132/24,0),0)</f>
        <v>9</v>
      </c>
      <c r="E289" s="14">
        <f>IF(Distances!ED132&lt;&gt;0,ROUNDUP(E260+'Délai intermédiaire'!ED132/24,0),0)</f>
        <v>0</v>
      </c>
      <c r="F289" s="14">
        <f>IF(Distances!EE132&lt;&gt;0,ROUNDUP(F260+'Délai intermédiaire'!EE132/24,0),0)</f>
        <v>8</v>
      </c>
      <c r="G289" s="14">
        <f>IF(Distances!EF132&lt;&gt;0,ROUNDUP(G260+'Délai intermédiaire'!EF132/24,0),0)</f>
        <v>17</v>
      </c>
      <c r="H289" s="14">
        <f>IF(Distances!EG132&lt;&gt;0,ROUNDUP(H260+'Délai intermédiaire'!EG132/24,0),0)</f>
        <v>0</v>
      </c>
      <c r="I289" s="14">
        <f>IF(Distances!EH132&lt;&gt;0,ROUNDUP(I260+'Délai intermédiaire'!EH132/24,0),0)</f>
        <v>0</v>
      </c>
      <c r="J289" s="14">
        <f>IF(Distances!EI132&lt;&gt;0,ROUNDUP(J260+'Délai intermédiaire'!EI132/24,0),0)</f>
        <v>9</v>
      </c>
      <c r="K289" s="14">
        <f>IF(Distances!EJ132&lt;&gt;0,ROUNDUP(K260+'Délai intermédiaire'!EJ132/24,0),0)</f>
        <v>0</v>
      </c>
      <c r="L289" s="14">
        <f>IF(Distances!EK132&lt;&gt;0,ROUNDUP(L260+'Délai intermédiaire'!EK132/24,0),0)</f>
        <v>0</v>
      </c>
      <c r="M289" s="14">
        <f>IF(Distances!EL132&lt;&gt;0,ROUNDUP(M260+'Délai intermédiaire'!EL132/24,0),0)</f>
        <v>0</v>
      </c>
      <c r="N289" s="14">
        <f>IF(Distances!EM132&lt;&gt;0,ROUNDUP(N260+'Délai intermédiaire'!EM132/24,0),0)</f>
        <v>0</v>
      </c>
      <c r="O289" s="14">
        <f>IF(Distances!EN132&lt;&gt;0,ROUNDUP(O260+'Délai intermédiaire'!EN132/24,0),0)</f>
        <v>0</v>
      </c>
      <c r="P289" s="14">
        <f>IF(Distances!EO132&lt;&gt;0,ROUNDUP(P260+'Délai intermédiaire'!EO132/24,0),0)</f>
        <v>0</v>
      </c>
      <c r="Q289" s="13">
        <f>IF(Distances!EP132&lt;&gt;0,ROUNDUP(Q260+'Délai intermédiaire'!EP132/24,0),0)</f>
        <v>0</v>
      </c>
      <c r="R289" s="13">
        <f>IF(Distances!EQ132&lt;&gt;0,ROUNDUP(R260+'Délai intermédiaire'!EQ132/24,0),0)</f>
        <v>0</v>
      </c>
      <c r="S289" s="13">
        <f>IF(Distances!ER132&lt;&gt;0,ROUNDUP(S260+'Délai intermédiaire'!ER132/24,0),0)</f>
        <v>0</v>
      </c>
      <c r="T289" s="13">
        <f>IF(Distances!ES132&lt;&gt;0,ROUNDUP(T260+'Délai intermédiaire'!ES132/24,0),0)</f>
        <v>5</v>
      </c>
      <c r="U289" s="13">
        <f>IF(Distances!ET132&lt;&gt;0,ROUNDUP(U260+'Délai intermédiaire'!ET132/24,0),0)</f>
        <v>2</v>
      </c>
      <c r="V289" s="13">
        <f>IF(Distances!EU132&lt;&gt;0,ROUNDUP(V260+'Délai intermédiaire'!EU132/24,0),0)</f>
        <v>4</v>
      </c>
      <c r="W289" s="13">
        <f>IF(Distances!EV132&lt;&gt;0,ROUNDUP(W260+'Délai intermédiaire'!EV132/24,0),0)</f>
        <v>0</v>
      </c>
      <c r="X289" s="13">
        <f>IF(Distances!EW132&lt;&gt;0,ROUNDUP(X260+'Délai intermédiaire'!EW132/24,0),0)</f>
        <v>6</v>
      </c>
      <c r="Y289" s="13">
        <f>IF(Distances!EX132&lt;&gt;0,ROUNDUP(Y260+'Délai intermédiaire'!EX132/24,0),0)</f>
        <v>5</v>
      </c>
      <c r="Z289" s="13">
        <f>IF(Distances!EY132&lt;&gt;0,ROUNDUP(Z260+'Délai intermédiaire'!EY132/24,0),0)</f>
        <v>3</v>
      </c>
      <c r="AA289" s="13">
        <f>IF(Distances!EZ132&lt;&gt;0,ROUNDUP(AA260+'Délai intermédiaire'!EZ132/24,0),0)</f>
        <v>3</v>
      </c>
      <c r="AB289" s="13">
        <f>IF(Distances!FA132&lt;&gt;0,ROUNDUP(AB260+'Délai intermédiaire'!FA132/24,0),0)</f>
        <v>2</v>
      </c>
      <c r="AC289" s="12">
        <f>IF(Distances!FB132&lt;&gt;0,ROUNDUP(AC260+'Délai intermédiaire'!FB132/24,0),0)</f>
        <v>0</v>
      </c>
      <c r="AD289" s="13">
        <f>IF(Distances!FC132&lt;&gt;0,ROUNDUP(AD260+'Délai intermédiaire'!FC132/24,0),0)</f>
        <v>0</v>
      </c>
      <c r="AE289" s="13">
        <f>IF(Distances!FD132&lt;&gt;0,ROUNDUP(AE260+'Délai intermédiaire'!FD132/24,0),0)</f>
        <v>5</v>
      </c>
      <c r="AF289" s="13">
        <f>IF(Distances!FE132&lt;&gt;0,ROUNDUP(AF260+'Délai intermédiaire'!FE132/24,0),0)</f>
        <v>4</v>
      </c>
      <c r="AG289" s="13">
        <f>IF(Distances!FF132&lt;&gt;0,ROUNDUP(AG260+'Délai intermédiaire'!FF132/24,0),0)</f>
        <v>5</v>
      </c>
      <c r="AH289" s="14">
        <f>IF(Distances!FG132&lt;&gt;0,ROUNDUP(AH260+'Délai intermédiaire'!FG132/24,0),0)</f>
        <v>11</v>
      </c>
      <c r="AI289" s="14">
        <f>IF(Distances!FH132&lt;&gt;0,ROUNDUP(AI260+'Délai intermédiaire'!FH132/24,0),0)</f>
        <v>0</v>
      </c>
      <c r="AJ289" s="14">
        <f>IF(Distances!FI132&lt;&gt;0,ROUNDUP(AJ260+'Délai intermédiaire'!FI132/24,0),0)</f>
        <v>11</v>
      </c>
      <c r="AK289" s="14">
        <f>IF(Distances!FJ132&lt;&gt;0,ROUNDUP(AK260+'Délai intermédiaire'!FJ132/24,0),0)</f>
        <v>0</v>
      </c>
      <c r="AL289" s="14">
        <f>IF(Distances!FK132&lt;&gt;0,ROUNDUP(AL260+'Délai intermédiaire'!FK132/24,0),0)</f>
        <v>0</v>
      </c>
      <c r="AM289" s="14">
        <f>IF(Distances!FL132&lt;&gt;0,ROUNDUP(AM260+'Délai intermédiaire'!FL132/24,0),0)</f>
        <v>0</v>
      </c>
      <c r="AN289" s="14">
        <f>IF(Distances!FM132&lt;&gt;0,ROUNDUP(AN260+'Délai intermédiaire'!FM132/24,0),0)</f>
        <v>17</v>
      </c>
      <c r="AO289" s="14">
        <f>IF(Distances!FN132&lt;&gt;0,ROUNDUP(AO260+'Délai intermédiaire'!FN132/24,0),0)</f>
        <v>0</v>
      </c>
      <c r="AP289" s="14">
        <f>IF(Distances!FO132&lt;&gt;0,ROUNDUP(AP260+'Délai intermédiaire'!FO132/24,0),0)</f>
        <v>0</v>
      </c>
      <c r="AQ289" s="14">
        <f>IF(Distances!FP132&lt;&gt;0,ROUNDUP(AQ260+'Délai intermédiaire'!FP132/24,0),0)</f>
        <v>0</v>
      </c>
      <c r="AR289" s="14">
        <f>IF(Distances!FQ132&lt;&gt;0,ROUNDUP(AR260+'Délai intermédiaire'!FQ132/24,0),0)</f>
        <v>0</v>
      </c>
      <c r="AS289" s="14">
        <f>IF(Distances!FR132&lt;&gt;0,ROUNDUP(AS260+'Délai intermédiaire'!FR132/24,0),0)</f>
        <v>0</v>
      </c>
      <c r="AT289" s="14">
        <f>IF(Distances!FS132&lt;&gt;0,ROUNDUP(AT260+'Délai intermédiaire'!FS132/24,0),0)</f>
        <v>0</v>
      </c>
      <c r="AU289" s="14">
        <f>IF(Distances!FT132&lt;&gt;0,ROUNDUP(AU260+'Délai intermédiaire'!FT132/24,0),0)</f>
        <v>18</v>
      </c>
      <c r="AV289" s="14">
        <f>IF(Distances!FU132&lt;&gt;0,ROUNDUP(AV260+'Délai intermédiaire'!FU132/24,0),0)</f>
        <v>9</v>
      </c>
      <c r="AW289" s="14">
        <f>IF(Distances!FV132&lt;&gt;0,ROUNDUP(AW260+'Délai intermédiaire'!FV132/24,0),0)</f>
        <v>11</v>
      </c>
      <c r="AX289" s="14">
        <f>IF(Distances!FW132&lt;&gt;0,ROUNDUP(AX260+'Délai intermédiaire'!FW132/24,0),0)</f>
        <v>0</v>
      </c>
      <c r="AY289" s="14">
        <f>IF(Distances!FX132&lt;&gt;0,ROUNDUP(AY260+'Délai intermédiaire'!FX132/24,0),0)</f>
        <v>0</v>
      </c>
      <c r="AZ289" s="14">
        <f>IF(Distances!FY132&lt;&gt;0,ROUNDUP(AZ260+'Délai intermédiaire'!FY132/24,0),0)</f>
        <v>11</v>
      </c>
      <c r="BA289" s="14">
        <f>IF(Distances!FZ132&lt;&gt;0,ROUNDUP(BA260+'Délai intermédiaire'!FZ132/24,0),0)</f>
        <v>0</v>
      </c>
      <c r="BB289" s="13">
        <f>IF(Distances!GA132&lt;&gt;0,ROUNDUP(BB260+'Délai intermédiaire'!GA132/24,0),0)</f>
        <v>0</v>
      </c>
      <c r="BC289" s="14">
        <f>IF(Distances!GB132&lt;&gt;0,ROUNDUP(BC260+'Délai intermédiaire'!GB132/24,0),0)</f>
        <v>0</v>
      </c>
      <c r="BD289" s="14">
        <f>IF(Distances!GC132&lt;&gt;0,ROUNDUP(BD260+'Délai intermédiaire'!GC132/24,0),0)</f>
        <v>19</v>
      </c>
      <c r="BE289" s="14">
        <f>IF(Distances!GD132&lt;&gt;0,ROUNDUP(BE260+'Délai intermédiaire'!GD132/24,0),0)</f>
        <v>0</v>
      </c>
      <c r="BF289" s="13">
        <f>IF(Distances!GE132&lt;&gt;0,ROUNDUP(BF260+'Délai intermédiaire'!GE132/24,0),0)</f>
        <v>7</v>
      </c>
      <c r="BG289" s="13">
        <f>IF(Distances!GF132&lt;&gt;0,ROUNDUP(BG260+'Délai intermédiaire'!GF132/24,0),0)</f>
        <v>0</v>
      </c>
      <c r="BH289" s="14">
        <f>IF(Distances!GG132&lt;&gt;0,ROUNDUP(BH260+'Délai intermédiaire'!GG132/24,0),0)</f>
        <v>0</v>
      </c>
      <c r="BI289" s="14">
        <f>IF(Distances!GH132&lt;&gt;0,ROUNDUP(BI260+'Délai intermédiaire'!GH132/24,0),0)</f>
        <v>0</v>
      </c>
      <c r="BJ289" s="15">
        <f>IF(Distances!GI132&lt;&gt;0,ROUNDUP(BJ260+'Délai intermédiaire'!GI132/24,0),0)</f>
        <v>0</v>
      </c>
    </row>
    <row r="290" spans="1:62" x14ac:dyDescent="0.3">
      <c r="A290" s="10" t="s">
        <v>29</v>
      </c>
      <c r="B290" s="16">
        <f>IF(Distances!EA133&lt;&gt;0,ROUNDUP(B260+'Délai intermédiaire'!EA133/24,0),0)</f>
        <v>0</v>
      </c>
      <c r="C290" s="14">
        <f>IF(Distances!EB133&lt;&gt;0,ROUNDUP(C260+'Délai intermédiaire'!EB133/24,0),0)</f>
        <v>0</v>
      </c>
      <c r="D290" s="14">
        <f>IF(Distances!EC133&lt;&gt;0,ROUNDUP(D260+'Délai intermédiaire'!EC133/24,0),0)</f>
        <v>9</v>
      </c>
      <c r="E290" s="14">
        <f>IF(Distances!ED133&lt;&gt;0,ROUNDUP(E260+'Délai intermédiaire'!ED133/24,0),0)</f>
        <v>0</v>
      </c>
      <c r="F290" s="14">
        <f>IF(Distances!EE133&lt;&gt;0,ROUNDUP(F260+'Délai intermédiaire'!EE133/24,0),0)</f>
        <v>9</v>
      </c>
      <c r="G290" s="14">
        <f>IF(Distances!EF133&lt;&gt;0,ROUNDUP(G260+'Délai intermédiaire'!EF133/24,0),0)</f>
        <v>18</v>
      </c>
      <c r="H290" s="14">
        <f>IF(Distances!EG133&lt;&gt;0,ROUNDUP(H260+'Délai intermédiaire'!EG133/24,0),0)</f>
        <v>0</v>
      </c>
      <c r="I290" s="14">
        <f>IF(Distances!EH133&lt;&gt;0,ROUNDUP(I260+'Délai intermédiaire'!EH133/24,0),0)</f>
        <v>0</v>
      </c>
      <c r="J290" s="14">
        <f>IF(Distances!EI133&lt;&gt;0,ROUNDUP(J260+'Délai intermédiaire'!EI133/24,0),0)</f>
        <v>9</v>
      </c>
      <c r="K290" s="14">
        <f>IF(Distances!EJ133&lt;&gt;0,ROUNDUP(K260+'Délai intermédiaire'!EJ133/24,0),0)</f>
        <v>0</v>
      </c>
      <c r="L290" s="14">
        <f>IF(Distances!EK133&lt;&gt;0,ROUNDUP(L260+'Délai intermédiaire'!EK133/24,0),0)</f>
        <v>0</v>
      </c>
      <c r="M290" s="14">
        <f>IF(Distances!EL133&lt;&gt;0,ROUNDUP(M260+'Délai intermédiaire'!EL133/24,0),0)</f>
        <v>0</v>
      </c>
      <c r="N290" s="14">
        <f>IF(Distances!EM133&lt;&gt;0,ROUNDUP(N260+'Délai intermédiaire'!EM133/24,0),0)</f>
        <v>0</v>
      </c>
      <c r="O290" s="14">
        <f>IF(Distances!EN133&lt;&gt;0,ROUNDUP(O260+'Délai intermédiaire'!EN133/24,0),0)</f>
        <v>0</v>
      </c>
      <c r="P290" s="14">
        <f>IF(Distances!EO133&lt;&gt;0,ROUNDUP(P260+'Délai intermédiaire'!EO133/24,0),0)</f>
        <v>0</v>
      </c>
      <c r="Q290" s="13">
        <f>IF(Distances!EP133&lt;&gt;0,ROUNDUP(Q260+'Délai intermédiaire'!EP133/24,0),0)</f>
        <v>0</v>
      </c>
      <c r="R290" s="13">
        <f>IF(Distances!EQ133&lt;&gt;0,ROUNDUP(R260+'Délai intermédiaire'!EQ133/24,0),0)</f>
        <v>0</v>
      </c>
      <c r="S290" s="13">
        <f>IF(Distances!ER133&lt;&gt;0,ROUNDUP(S260+'Délai intermédiaire'!ER133/24,0),0)</f>
        <v>0</v>
      </c>
      <c r="T290" s="13">
        <f>IF(Distances!ES133&lt;&gt;0,ROUNDUP(T260+'Délai intermédiaire'!ES133/24,0),0)</f>
        <v>3</v>
      </c>
      <c r="U290" s="13">
        <f>IF(Distances!ET133&lt;&gt;0,ROUNDUP(U260+'Délai intermédiaire'!ET133/24,0),0)</f>
        <v>6</v>
      </c>
      <c r="V290" s="13">
        <f>IF(Distances!EU133&lt;&gt;0,ROUNDUP(V260+'Délai intermédiaire'!EU133/24,0),0)</f>
        <v>8</v>
      </c>
      <c r="W290" s="13">
        <f>IF(Distances!EV133&lt;&gt;0,ROUNDUP(W260+'Délai intermédiaire'!EV133/24,0),0)</f>
        <v>0</v>
      </c>
      <c r="X290" s="13">
        <f>IF(Distances!EW133&lt;&gt;0,ROUNDUP(X260+'Délai intermédiaire'!EW133/24,0),0)</f>
        <v>2</v>
      </c>
      <c r="Y290" s="13">
        <f>IF(Distances!EX133&lt;&gt;0,ROUNDUP(Y260+'Délai intermédiaire'!EX133/24,0),0)</f>
        <v>3</v>
      </c>
      <c r="Z290" s="13">
        <f>IF(Distances!EY133&lt;&gt;0,ROUNDUP(Z260+'Délai intermédiaire'!EY133/24,0),0)</f>
        <v>8</v>
      </c>
      <c r="AA290" s="13">
        <f>IF(Distances!EZ133&lt;&gt;0,ROUNDUP(AA260+'Délai intermédiaire'!EZ133/24,0),0)</f>
        <v>8</v>
      </c>
      <c r="AB290" s="13">
        <f>IF(Distances!FA133&lt;&gt;0,ROUNDUP(AB260+'Délai intermédiaire'!FA133/24,0),0)</f>
        <v>6</v>
      </c>
      <c r="AC290" s="13">
        <f>IF(Distances!FB133&lt;&gt;0,ROUNDUP(AC260+'Délai intermédiaire'!FB133/24,0),0)</f>
        <v>0</v>
      </c>
      <c r="AD290" s="12">
        <f>IF(Distances!FC133&lt;&gt;0,ROUNDUP(AD260+'Délai intermédiaire'!FC133/24,0),0)</f>
        <v>0</v>
      </c>
      <c r="AE290" s="13">
        <f>IF(Distances!FD133&lt;&gt;0,ROUNDUP(AE260+'Délai intermédiaire'!FD133/24,0),0)</f>
        <v>9</v>
      </c>
      <c r="AF290" s="13">
        <f>IF(Distances!FE133&lt;&gt;0,ROUNDUP(AF260+'Délai intermédiaire'!FE133/24,0),0)</f>
        <v>8</v>
      </c>
      <c r="AG290" s="13">
        <f>IF(Distances!FF133&lt;&gt;0,ROUNDUP(AG260+'Délai intermédiaire'!FF133/24,0),0)</f>
        <v>9</v>
      </c>
      <c r="AH290" s="14">
        <f>IF(Distances!FG133&lt;&gt;0,ROUNDUP(AH260+'Délai intermédiaire'!FG133/24,0),0)</f>
        <v>15</v>
      </c>
      <c r="AI290" s="14">
        <f>IF(Distances!FH133&lt;&gt;0,ROUNDUP(AI260+'Délai intermédiaire'!FH133/24,0),0)</f>
        <v>0</v>
      </c>
      <c r="AJ290" s="14">
        <f>IF(Distances!FI133&lt;&gt;0,ROUNDUP(AJ260+'Délai intermédiaire'!FI133/24,0),0)</f>
        <v>15</v>
      </c>
      <c r="AK290" s="14">
        <f>IF(Distances!FJ133&lt;&gt;0,ROUNDUP(AK260+'Délai intermédiaire'!FJ133/24,0),0)</f>
        <v>0</v>
      </c>
      <c r="AL290" s="14">
        <f>IF(Distances!FK133&lt;&gt;0,ROUNDUP(AL260+'Délai intermédiaire'!FK133/24,0),0)</f>
        <v>0</v>
      </c>
      <c r="AM290" s="14">
        <f>IF(Distances!FL133&lt;&gt;0,ROUNDUP(AM260+'Délai intermédiaire'!FL133/24,0),0)</f>
        <v>0</v>
      </c>
      <c r="AN290" s="14">
        <f>IF(Distances!FM133&lt;&gt;0,ROUNDUP(AN260+'Délai intermédiaire'!FM133/24,0),0)</f>
        <v>22</v>
      </c>
      <c r="AO290" s="14">
        <f>IF(Distances!FN133&lt;&gt;0,ROUNDUP(AO260+'Délai intermédiaire'!FN133/24,0),0)</f>
        <v>0</v>
      </c>
      <c r="AP290" s="14">
        <f>IF(Distances!FO133&lt;&gt;0,ROUNDUP(AP260+'Délai intermédiaire'!FO133/24,0),0)</f>
        <v>0</v>
      </c>
      <c r="AQ290" s="14">
        <f>IF(Distances!FP133&lt;&gt;0,ROUNDUP(AQ260+'Délai intermédiaire'!FP133/24,0),0)</f>
        <v>0</v>
      </c>
      <c r="AR290" s="14">
        <f>IF(Distances!FQ133&lt;&gt;0,ROUNDUP(AR260+'Délai intermédiaire'!FQ133/24,0),0)</f>
        <v>0</v>
      </c>
      <c r="AS290" s="14">
        <f>IF(Distances!FR133&lt;&gt;0,ROUNDUP(AS260+'Délai intermédiaire'!FR133/24,0),0)</f>
        <v>0</v>
      </c>
      <c r="AT290" s="14">
        <f>IF(Distances!FS133&lt;&gt;0,ROUNDUP(AT260+'Délai intermédiaire'!FS133/24,0),0)</f>
        <v>0</v>
      </c>
      <c r="AU290" s="14">
        <f>IF(Distances!FT133&lt;&gt;0,ROUNDUP(AU260+'Délai intermédiaire'!FT133/24,0),0)</f>
        <v>23</v>
      </c>
      <c r="AV290" s="14">
        <f>IF(Distances!FU133&lt;&gt;0,ROUNDUP(AV260+'Délai intermédiaire'!FU133/24,0),0)</f>
        <v>5</v>
      </c>
      <c r="AW290" s="14">
        <f>IF(Distances!FV133&lt;&gt;0,ROUNDUP(AW260+'Délai intermédiaire'!FV133/24,0),0)</f>
        <v>7</v>
      </c>
      <c r="AX290" s="14">
        <f>IF(Distances!FW133&lt;&gt;0,ROUNDUP(AX260+'Délai intermédiaire'!FW133/24,0),0)</f>
        <v>0</v>
      </c>
      <c r="AY290" s="14">
        <f>IF(Distances!FX133&lt;&gt;0,ROUNDUP(AY260+'Délai intermédiaire'!FX133/24,0),0)</f>
        <v>0</v>
      </c>
      <c r="AZ290" s="14">
        <f>IF(Distances!FY133&lt;&gt;0,ROUNDUP(AZ260+'Délai intermédiaire'!FY133/24,0),0)</f>
        <v>15</v>
      </c>
      <c r="BA290" s="14">
        <f>IF(Distances!FZ133&lt;&gt;0,ROUNDUP(BA260+'Délai intermédiaire'!FZ133/24,0),0)</f>
        <v>0</v>
      </c>
      <c r="BB290" s="13">
        <f>IF(Distances!GA133&lt;&gt;0,ROUNDUP(BB260+'Délai intermédiaire'!GA133/24,0),0)</f>
        <v>0</v>
      </c>
      <c r="BC290" s="14">
        <f>IF(Distances!GB133&lt;&gt;0,ROUNDUP(BC260+'Délai intermédiaire'!GB133/24,0),0)</f>
        <v>0</v>
      </c>
      <c r="BD290" s="14">
        <f>IF(Distances!GC133&lt;&gt;0,ROUNDUP(BD260+'Délai intermédiaire'!GC133/24,0),0)</f>
        <v>23</v>
      </c>
      <c r="BE290" s="14">
        <f>IF(Distances!GD133&lt;&gt;0,ROUNDUP(BE260+'Délai intermédiaire'!GD133/24,0),0)</f>
        <v>0</v>
      </c>
      <c r="BF290" s="13">
        <f>IF(Distances!GE133&lt;&gt;0,ROUNDUP(BF260+'Délai intermédiaire'!GE133/24,0),0)</f>
        <v>11</v>
      </c>
      <c r="BG290" s="13">
        <f>IF(Distances!GF133&lt;&gt;0,ROUNDUP(BG260+'Délai intermédiaire'!GF133/24,0),0)</f>
        <v>0</v>
      </c>
      <c r="BH290" s="14">
        <f>IF(Distances!GG133&lt;&gt;0,ROUNDUP(BH260+'Délai intermédiaire'!GG133/24,0),0)</f>
        <v>0</v>
      </c>
      <c r="BI290" s="14">
        <f>IF(Distances!GH133&lt;&gt;0,ROUNDUP(BI260+'Délai intermédiaire'!GH133/24,0),0)</f>
        <v>0</v>
      </c>
      <c r="BJ290" s="15">
        <f>IF(Distances!GI133&lt;&gt;0,ROUNDUP(BJ260+'Délai intermédiaire'!GI133/24,0),0)</f>
        <v>0</v>
      </c>
    </row>
    <row r="291" spans="1:62" x14ac:dyDescent="0.3">
      <c r="A291" s="10" t="s">
        <v>30</v>
      </c>
      <c r="B291" s="16">
        <f>IF(Distances!EA134&lt;&gt;0,ROUNDUP(B260+'Délai intermédiaire'!EA134/24,0),0)</f>
        <v>12</v>
      </c>
      <c r="C291" s="14">
        <f>IF(Distances!EB134&lt;&gt;0,ROUNDUP(C260+'Délai intermédiaire'!EB134/24,0),0)</f>
        <v>13</v>
      </c>
      <c r="D291" s="14">
        <f>IF(Distances!EC134&lt;&gt;0,ROUNDUP(D260+'Délai intermédiaire'!EC134/24,0),0)</f>
        <v>12</v>
      </c>
      <c r="E291" s="14">
        <f>IF(Distances!ED134&lt;&gt;0,ROUNDUP(E260+'Délai intermédiaire'!ED134/24,0),0)</f>
        <v>12</v>
      </c>
      <c r="F291" s="14">
        <f>IF(Distances!EE134&lt;&gt;0,ROUNDUP(F260+'Délai intermédiaire'!EE134/24,0),0)</f>
        <v>11</v>
      </c>
      <c r="G291" s="14">
        <f>IF(Distances!EF134&lt;&gt;0,ROUNDUP(G260+'Délai intermédiaire'!EF134/24,0),0)</f>
        <v>19</v>
      </c>
      <c r="H291" s="14">
        <f>IF(Distances!EG134&lt;&gt;0,ROUNDUP(H260+'Délai intermédiaire'!EG134/24,0),0)</f>
        <v>19</v>
      </c>
      <c r="I291" s="14">
        <f>IF(Distances!EH134&lt;&gt;0,ROUNDUP(I260+'Délai intermédiaire'!EH134/24,0),0)</f>
        <v>18</v>
      </c>
      <c r="J291" s="14">
        <f>IF(Distances!EI134&lt;&gt;0,ROUNDUP(J260+'Délai intermédiaire'!EI134/24,0),0)</f>
        <v>12</v>
      </c>
      <c r="K291" s="14">
        <f>IF(Distances!EJ134&lt;&gt;0,ROUNDUP(K260+'Délai intermédiaire'!EJ134/24,0),0)</f>
        <v>11</v>
      </c>
      <c r="L291" s="14">
        <f>IF(Distances!EK134&lt;&gt;0,ROUNDUP(L260+'Délai intermédiaire'!EK134/24,0),0)</f>
        <v>20</v>
      </c>
      <c r="M291" s="14">
        <f>IF(Distances!EL134&lt;&gt;0,ROUNDUP(M260+'Délai intermédiaire'!EL134/24,0),0)</f>
        <v>20</v>
      </c>
      <c r="N291" s="14">
        <f>IF(Distances!EM134&lt;&gt;0,ROUNDUP(N260+'Délai intermédiaire'!EM134/24,0),0)</f>
        <v>14</v>
      </c>
      <c r="O291" s="14">
        <f>IF(Distances!EN134&lt;&gt;0,ROUNDUP(O260+'Délai intermédiaire'!EN134/24,0),0)</f>
        <v>13</v>
      </c>
      <c r="P291" s="14">
        <f>IF(Distances!EO134&lt;&gt;0,ROUNDUP(P260+'Délai intermédiaire'!EO134/24,0),0)</f>
        <v>11</v>
      </c>
      <c r="Q291" s="13">
        <f>IF(Distances!EP134&lt;&gt;0,ROUNDUP(Q260+'Délai intermédiaire'!EP134/24,0),0)</f>
        <v>8</v>
      </c>
      <c r="R291" s="13">
        <f>IF(Distances!EQ134&lt;&gt;0,ROUNDUP(R260+'Délai intermédiaire'!EQ134/24,0),0)</f>
        <v>7</v>
      </c>
      <c r="S291" s="13">
        <f>IF(Distances!ER134&lt;&gt;0,ROUNDUP(S260+'Délai intermédiaire'!ER134/24,0),0)</f>
        <v>7</v>
      </c>
      <c r="T291" s="13">
        <f>IF(Distances!ES134&lt;&gt;0,ROUNDUP(T260+'Délai intermédiaire'!ES134/24,0),0)</f>
        <v>7</v>
      </c>
      <c r="U291" s="13">
        <f>IF(Distances!ET134&lt;&gt;0,ROUNDUP(U260+'Délai intermédiaire'!ET134/24,0),0)</f>
        <v>4</v>
      </c>
      <c r="V291" s="13">
        <f>IF(Distances!EU134&lt;&gt;0,ROUNDUP(V260+'Délai intermédiaire'!EU134/24,0),0)</f>
        <v>2</v>
      </c>
      <c r="W291" s="13">
        <f>IF(Distances!EV134&lt;&gt;0,ROUNDUP(W260+'Délai intermédiaire'!EV134/24,0),0)</f>
        <v>8</v>
      </c>
      <c r="X291" s="13">
        <f>IF(Distances!EW134&lt;&gt;0,ROUNDUP(X260+'Délai intermédiaire'!EW134/24,0),0)</f>
        <v>9</v>
      </c>
      <c r="Y291" s="13">
        <f>IF(Distances!EX134&lt;&gt;0,ROUNDUP(Y260+'Délai intermédiaire'!EX134/24,0),0)</f>
        <v>7</v>
      </c>
      <c r="Z291" s="13">
        <f>IF(Distances!EY134&lt;&gt;0,ROUNDUP(Z260+'Délai intermédiaire'!EY134/24,0),0)</f>
        <v>5</v>
      </c>
      <c r="AA291" s="13">
        <f>IF(Distances!EZ134&lt;&gt;0,ROUNDUP(AA260+'Délai intermédiaire'!EZ134/24,0),0)</f>
        <v>5</v>
      </c>
      <c r="AB291" s="13">
        <f>IF(Distances!FA134&lt;&gt;0,ROUNDUP(AB260+'Délai intermédiaire'!FA134/24,0),0)</f>
        <v>5</v>
      </c>
      <c r="AC291" s="13">
        <f>IF(Distances!FB134&lt;&gt;0,ROUNDUP(AC260+'Délai intermédiaire'!FB134/24,0),0)</f>
        <v>4</v>
      </c>
      <c r="AD291" s="13">
        <f>IF(Distances!FC134&lt;&gt;0,ROUNDUP(AD260+'Délai intermédiaire'!FC134/24,0),0)</f>
        <v>9</v>
      </c>
      <c r="AE291" s="12">
        <f>IF(Distances!FD134&lt;&gt;0,ROUNDUP(AE260+'Délai intermédiaire'!FD134/24,0),0)</f>
        <v>0</v>
      </c>
      <c r="AF291" s="13">
        <f>IF(Distances!FE134&lt;&gt;0,ROUNDUP(AF260+'Délai intermédiaire'!FE134/24,0),0)</f>
        <v>2</v>
      </c>
      <c r="AG291" s="13">
        <f>IF(Distances!FF134&lt;&gt;0,ROUNDUP(AG260+'Délai intermédiaire'!FF134/24,0),0)</f>
        <v>3</v>
      </c>
      <c r="AH291" s="14">
        <f>IF(Distances!FG134&lt;&gt;0,ROUNDUP(AH260+'Délai intermédiaire'!FG134/24,0),0)</f>
        <v>11</v>
      </c>
      <c r="AI291" s="14">
        <f>IF(Distances!FH134&lt;&gt;0,ROUNDUP(AI260+'Délai intermédiaire'!FH134/24,0),0)</f>
        <v>13</v>
      </c>
      <c r="AJ291" s="14">
        <f>IF(Distances!FI134&lt;&gt;0,ROUNDUP(AJ260+'Délai intermédiaire'!FI134/24,0),0)</f>
        <v>11</v>
      </c>
      <c r="AK291" s="14">
        <f>IF(Distances!FJ134&lt;&gt;0,ROUNDUP(AK260+'Délai intermédiaire'!FJ134/24,0),0)</f>
        <v>12</v>
      </c>
      <c r="AL291" s="14">
        <f>IF(Distances!FK134&lt;&gt;0,ROUNDUP(AL260+'Délai intermédiaire'!FK134/24,0),0)</f>
        <v>18</v>
      </c>
      <c r="AM291" s="14">
        <f>IF(Distances!FL134&lt;&gt;0,ROUNDUP(AM260+'Délai intermédiaire'!FL134/24,0),0)</f>
        <v>18</v>
      </c>
      <c r="AN291" s="14">
        <f>IF(Distances!FM134&lt;&gt;0,ROUNDUP(AN260+'Délai intermédiaire'!FM134/24,0),0)</f>
        <v>17</v>
      </c>
      <c r="AO291" s="14">
        <f>IF(Distances!FN134&lt;&gt;0,ROUNDUP(AO260+'Délai intermédiaire'!FN134/24,0),0)</f>
        <v>19</v>
      </c>
      <c r="AP291" s="14">
        <f>IF(Distances!FO134&lt;&gt;0,ROUNDUP(AP260+'Délai intermédiaire'!FO134/24,0),0)</f>
        <v>20</v>
      </c>
      <c r="AQ291" s="14">
        <f>IF(Distances!FP134&lt;&gt;0,ROUNDUP(AQ260+'Délai intermédiaire'!FP134/24,0),0)</f>
        <v>16</v>
      </c>
      <c r="AR291" s="14">
        <f>IF(Distances!FQ134&lt;&gt;0,ROUNDUP(AR260+'Délai intermédiaire'!FQ134/24,0),0)</f>
        <v>10</v>
      </c>
      <c r="AS291" s="14">
        <f>IF(Distances!FR134&lt;&gt;0,ROUNDUP(AS260+'Délai intermédiaire'!FR134/24,0),0)</f>
        <v>10</v>
      </c>
      <c r="AT291" s="14">
        <f>IF(Distances!FS134&lt;&gt;0,ROUNDUP(AT260+'Délai intermédiaire'!FS134/24,0),0)</f>
        <v>10</v>
      </c>
      <c r="AU291" s="14">
        <f>IF(Distances!FT134&lt;&gt;0,ROUNDUP(AU260+'Délai intermédiaire'!FT134/24,0),0)</f>
        <v>18</v>
      </c>
      <c r="AV291" s="12">
        <f>IF(Distances!FU134&lt;&gt;0,ROUNDUP(AV260+'Délai intermédiaire'!FU134/24,0),0)</f>
        <v>12</v>
      </c>
      <c r="AW291" s="14">
        <f>IF(Distances!FV134&lt;&gt;0,ROUNDUP(AW260+'Délai intermédiaire'!FV134/24,0),0)</f>
        <v>14</v>
      </c>
      <c r="AX291" s="14">
        <f>IF(Distances!FW134&lt;&gt;0,ROUNDUP(AX260+'Délai intermédiaire'!FW134/24,0),0)</f>
        <v>20</v>
      </c>
      <c r="AY291" s="14">
        <f>IF(Distances!FX134&lt;&gt;0,ROUNDUP(AY260+'Délai intermédiaire'!FX134/24,0),0)</f>
        <v>3</v>
      </c>
      <c r="AZ291" s="14">
        <f>IF(Distances!FY134&lt;&gt;0,ROUNDUP(AZ260+'Délai intermédiaire'!FY134/24,0),0)</f>
        <v>11</v>
      </c>
      <c r="BA291" s="14">
        <f>IF(Distances!FZ134&lt;&gt;0,ROUNDUP(BA260+'Délai intermédiaire'!FZ134/24,0),0)</f>
        <v>15</v>
      </c>
      <c r="BB291" s="13">
        <f>IF(Distances!GA134&lt;&gt;0,ROUNDUP(BB260+'Délai intermédiaire'!GA134/24,0),0)</f>
        <v>10</v>
      </c>
      <c r="BC291" s="14">
        <f>IF(Distances!GB134&lt;&gt;0,ROUNDUP(BC260+'Délai intermédiaire'!GB134/24,0),0)</f>
        <v>17</v>
      </c>
      <c r="BD291" s="14">
        <f>IF(Distances!GC134&lt;&gt;0,ROUNDUP(BD260+'Délai intermédiaire'!GC134/24,0),0)</f>
        <v>19</v>
      </c>
      <c r="BE291" s="14">
        <f>IF(Distances!GD134&lt;&gt;0,ROUNDUP(BE260+'Délai intermédiaire'!GD134/24,0),0)</f>
        <v>18</v>
      </c>
      <c r="BF291" s="12">
        <f>IF(Distances!GE134&lt;&gt;0,ROUNDUP(BF260+'Délai intermédiaire'!GE134/24,0),0)</f>
        <v>7</v>
      </c>
      <c r="BG291" s="13">
        <f>IF(Distances!GF134&lt;&gt;0,ROUNDUP(BG260+'Délai intermédiaire'!GF134/24,0),0)</f>
        <v>4</v>
      </c>
      <c r="BH291" s="14">
        <f>IF(Distances!GG134&lt;&gt;0,ROUNDUP(BH260+'Délai intermédiaire'!GG134/24,0),0)</f>
        <v>14</v>
      </c>
      <c r="BI291" s="14">
        <f>IF(Distances!GH134&lt;&gt;0,ROUNDUP(BI260+'Délai intermédiaire'!GH134/24,0),0)</f>
        <v>18</v>
      </c>
      <c r="BJ291" s="15">
        <f>IF(Distances!GI134&lt;&gt;0,ROUNDUP(BJ260+'Délai intermédiaire'!GI134/24,0),0)</f>
        <v>18</v>
      </c>
    </row>
    <row r="292" spans="1:62" x14ac:dyDescent="0.3">
      <c r="A292" s="10" t="s">
        <v>31</v>
      </c>
      <c r="B292" s="16">
        <f>IF(Distances!EA135&lt;&gt;0,ROUNDUP(B260+'Délai intermédiaire'!EA135/24,0),0)</f>
        <v>12</v>
      </c>
      <c r="C292" s="14">
        <f>IF(Distances!EB135&lt;&gt;0,ROUNDUP(C260+'Délai intermédiaire'!EB135/24,0),0)</f>
        <v>13</v>
      </c>
      <c r="D292" s="14">
        <f>IF(Distances!EC135&lt;&gt;0,ROUNDUP(D260+'Délai intermédiaire'!EC135/24,0),0)</f>
        <v>12</v>
      </c>
      <c r="E292" s="14">
        <f>IF(Distances!ED135&lt;&gt;0,ROUNDUP(E260+'Délai intermédiaire'!ED135/24,0),0)</f>
        <v>12</v>
      </c>
      <c r="F292" s="14">
        <f>IF(Distances!EE135&lt;&gt;0,ROUNDUP(F260+'Délai intermédiaire'!EE135/24,0),0)</f>
        <v>11</v>
      </c>
      <c r="G292" s="14">
        <f>IF(Distances!EF135&lt;&gt;0,ROUNDUP(G260+'Délai intermédiaire'!EF135/24,0),0)</f>
        <v>19</v>
      </c>
      <c r="H292" s="14">
        <f>IF(Distances!EG135&lt;&gt;0,ROUNDUP(H260+'Délai intermédiaire'!EG135/24,0),0)</f>
        <v>19</v>
      </c>
      <c r="I292" s="14">
        <f>IF(Distances!EH135&lt;&gt;0,ROUNDUP(I260+'Délai intermédiaire'!EH135/24,0),0)</f>
        <v>17</v>
      </c>
      <c r="J292" s="14">
        <f>IF(Distances!EI135&lt;&gt;0,ROUNDUP(J260+'Délai intermédiaire'!EI135/24,0),0)</f>
        <v>12</v>
      </c>
      <c r="K292" s="14">
        <f>IF(Distances!EJ135&lt;&gt;0,ROUNDUP(K260+'Délai intermédiaire'!EJ135/24,0),0)</f>
        <v>11</v>
      </c>
      <c r="L292" s="14">
        <f>IF(Distances!EK135&lt;&gt;0,ROUNDUP(L260+'Délai intermédiaire'!EK135/24,0),0)</f>
        <v>20</v>
      </c>
      <c r="M292" s="14">
        <f>IF(Distances!EL135&lt;&gt;0,ROUNDUP(M260+'Délai intermédiaire'!EL135/24,0),0)</f>
        <v>20</v>
      </c>
      <c r="N292" s="14">
        <f>IF(Distances!EM135&lt;&gt;0,ROUNDUP(N260+'Délai intermédiaire'!EM135/24,0),0)</f>
        <v>14</v>
      </c>
      <c r="O292" s="14">
        <f>IF(Distances!EN135&lt;&gt;0,ROUNDUP(O260+'Délai intermédiaire'!EN135/24,0),0)</f>
        <v>13</v>
      </c>
      <c r="P292" s="14">
        <f>IF(Distances!EO135&lt;&gt;0,ROUNDUP(P260+'Délai intermédiaire'!EO135/24,0),0)</f>
        <v>11</v>
      </c>
      <c r="Q292" s="13">
        <f>IF(Distances!EP135&lt;&gt;0,ROUNDUP(Q260+'Délai intermédiaire'!EP135/24,0),0)</f>
        <v>8</v>
      </c>
      <c r="R292" s="13">
        <f>IF(Distances!EQ135&lt;&gt;0,ROUNDUP(R260+'Délai intermédiaire'!EQ135/24,0),0)</f>
        <v>7</v>
      </c>
      <c r="S292" s="13">
        <f>IF(Distances!ER135&lt;&gt;0,ROUNDUP(S260+'Délai intermédiaire'!ER135/24,0),0)</f>
        <v>7</v>
      </c>
      <c r="T292" s="13">
        <f>IF(Distances!ES135&lt;&gt;0,ROUNDUP(T260+'Délai intermédiaire'!ES135/24,0),0)</f>
        <v>7</v>
      </c>
      <c r="U292" s="13">
        <f>IF(Distances!ET135&lt;&gt;0,ROUNDUP(U260+'Délai intermédiaire'!ET135/24,0),0)</f>
        <v>4</v>
      </c>
      <c r="V292" s="13">
        <f>IF(Distances!EU135&lt;&gt;0,ROUNDUP(V260+'Délai intermédiaire'!EU135/24,0),0)</f>
        <v>2</v>
      </c>
      <c r="W292" s="13">
        <f>IF(Distances!EV135&lt;&gt;0,ROUNDUP(W260+'Délai intermédiaire'!EV135/24,0),0)</f>
        <v>8</v>
      </c>
      <c r="X292" s="13">
        <f>IF(Distances!EW135&lt;&gt;0,ROUNDUP(X260+'Délai intermédiaire'!EW135/24,0),0)</f>
        <v>8</v>
      </c>
      <c r="Y292" s="13">
        <f>IF(Distances!EX135&lt;&gt;0,ROUNDUP(Y260+'Délai intermédiaire'!EX135/24,0),0)</f>
        <v>7</v>
      </c>
      <c r="Z292" s="13">
        <f>IF(Distances!EY135&lt;&gt;0,ROUNDUP(Z260+'Délai intermédiaire'!EY135/24,0),0)</f>
        <v>5</v>
      </c>
      <c r="AA292" s="13">
        <f>IF(Distances!EZ135&lt;&gt;0,ROUNDUP(AA260+'Délai intermédiaire'!EZ135/24,0),0)</f>
        <v>5</v>
      </c>
      <c r="AB292" s="13">
        <f>IF(Distances!FA135&lt;&gt;0,ROUNDUP(AB260+'Délai intermédiaire'!FA135/24,0),0)</f>
        <v>4</v>
      </c>
      <c r="AC292" s="13">
        <f>IF(Distances!FB135&lt;&gt;0,ROUNDUP(AC260+'Délai intermédiaire'!FB135/24,0),0)</f>
        <v>4</v>
      </c>
      <c r="AD292" s="13">
        <f>IF(Distances!FC135&lt;&gt;0,ROUNDUP(AD260+'Délai intermédiaire'!FC135/24,0),0)</f>
        <v>9</v>
      </c>
      <c r="AE292" s="13">
        <f>IF(Distances!FD135&lt;&gt;0,ROUNDUP(AE260+'Délai intermédiaire'!FD135/24,0),0)</f>
        <v>3</v>
      </c>
      <c r="AF292" s="12">
        <f>IF(Distances!FE135&lt;&gt;0,ROUNDUP(AF260+'Délai intermédiaire'!FE135/24,0),0)</f>
        <v>0</v>
      </c>
      <c r="AG292" s="13">
        <f>IF(Distances!FF135&lt;&gt;0,ROUNDUP(AG260+'Délai intermédiaire'!FF135/24,0),0)</f>
        <v>3</v>
      </c>
      <c r="AH292" s="14">
        <f>IF(Distances!FG135&lt;&gt;0,ROUNDUP(AH260+'Délai intermédiaire'!FG135/24,0),0)</f>
        <v>11</v>
      </c>
      <c r="AI292" s="14">
        <f>IF(Distances!FH135&lt;&gt;0,ROUNDUP(AI260+'Délai intermédiaire'!FH135/24,0),0)</f>
        <v>13</v>
      </c>
      <c r="AJ292" s="14">
        <f>IF(Distances!FI135&lt;&gt;0,ROUNDUP(AJ260+'Délai intermédiaire'!FI135/24,0),0)</f>
        <v>11</v>
      </c>
      <c r="AK292" s="14">
        <f>IF(Distances!FJ135&lt;&gt;0,ROUNDUP(AK260+'Délai intermédiaire'!FJ135/24,0),0)</f>
        <v>12</v>
      </c>
      <c r="AL292" s="14">
        <f>IF(Distances!FK135&lt;&gt;0,ROUNDUP(AL260+'Délai intermédiaire'!FK135/24,0),0)</f>
        <v>18</v>
      </c>
      <c r="AM292" s="14">
        <f>IF(Distances!FL135&lt;&gt;0,ROUNDUP(AM260+'Délai intermédiaire'!FL135/24,0),0)</f>
        <v>18</v>
      </c>
      <c r="AN292" s="14">
        <f>IF(Distances!FM135&lt;&gt;0,ROUNDUP(AN260+'Délai intermédiaire'!FM135/24,0),0)</f>
        <v>17</v>
      </c>
      <c r="AO292" s="14">
        <f>IF(Distances!FN135&lt;&gt;0,ROUNDUP(AO260+'Délai intermédiaire'!FN135/24,0),0)</f>
        <v>19</v>
      </c>
      <c r="AP292" s="14">
        <f>IF(Distances!FO135&lt;&gt;0,ROUNDUP(AP260+'Délai intermédiaire'!FO135/24,0),0)</f>
        <v>20</v>
      </c>
      <c r="AQ292" s="14">
        <f>IF(Distances!FP135&lt;&gt;0,ROUNDUP(AQ260+'Délai intermédiaire'!FP135/24,0),0)</f>
        <v>16</v>
      </c>
      <c r="AR292" s="14">
        <f>IF(Distances!FQ135&lt;&gt;0,ROUNDUP(AR260+'Délai intermédiaire'!FQ135/24,0),0)</f>
        <v>10</v>
      </c>
      <c r="AS292" s="14">
        <f>IF(Distances!FR135&lt;&gt;0,ROUNDUP(AS260+'Délai intermédiaire'!FR135/24,0),0)</f>
        <v>10</v>
      </c>
      <c r="AT292" s="14">
        <f>IF(Distances!FS135&lt;&gt;0,ROUNDUP(AT260+'Délai intermédiaire'!FS135/24,0),0)</f>
        <v>10</v>
      </c>
      <c r="AU292" s="14">
        <f>IF(Distances!FT135&lt;&gt;0,ROUNDUP(AU260+'Délai intermédiaire'!FT135/24,0),0)</f>
        <v>18</v>
      </c>
      <c r="AV292" s="14">
        <f>IF(Distances!FU135&lt;&gt;0,ROUNDUP(AV260+'Délai intermédiaire'!FU135/24,0),0)</f>
        <v>12</v>
      </c>
      <c r="AW292" s="14">
        <f>IF(Distances!FV135&lt;&gt;0,ROUNDUP(AW260+'Délai intermédiaire'!FV135/24,0),0)</f>
        <v>14</v>
      </c>
      <c r="AX292" s="14">
        <f>IF(Distances!FW135&lt;&gt;0,ROUNDUP(AX260+'Délai intermédiaire'!FW135/24,0),0)</f>
        <v>20</v>
      </c>
      <c r="AY292" s="14">
        <f>IF(Distances!FX135&lt;&gt;0,ROUNDUP(AY260+'Délai intermédiaire'!FX135/24,0),0)</f>
        <v>3</v>
      </c>
      <c r="AZ292" s="14">
        <f>IF(Distances!FY135&lt;&gt;0,ROUNDUP(AZ260+'Délai intermédiaire'!FY135/24,0),0)</f>
        <v>11</v>
      </c>
      <c r="BA292" s="14">
        <f>IF(Distances!FZ135&lt;&gt;0,ROUNDUP(BA260+'Délai intermédiaire'!FZ135/24,0),0)</f>
        <v>15</v>
      </c>
      <c r="BB292" s="13">
        <f>IF(Distances!GA135&lt;&gt;0,ROUNDUP(BB260+'Délai intermédiaire'!GA135/24,0),0)</f>
        <v>10</v>
      </c>
      <c r="BC292" s="14">
        <f>IF(Distances!GB135&lt;&gt;0,ROUNDUP(BC260+'Délai intermédiaire'!GB135/24,0),0)</f>
        <v>16</v>
      </c>
      <c r="BD292" s="14">
        <f>IF(Distances!GC135&lt;&gt;0,ROUNDUP(BD260+'Délai intermédiaire'!GC135/24,0),0)</f>
        <v>19</v>
      </c>
      <c r="BE292" s="14">
        <f>IF(Distances!GD135&lt;&gt;0,ROUNDUP(BE260+'Délai intermédiaire'!GD135/24,0),0)</f>
        <v>18</v>
      </c>
      <c r="BF292" s="13">
        <f>IF(Distances!GE135&lt;&gt;0,ROUNDUP(BF260+'Délai intermédiaire'!GE135/24,0),0)</f>
        <v>7</v>
      </c>
      <c r="BG292" s="13">
        <f>IF(Distances!GF135&lt;&gt;0,ROUNDUP(BG260+'Délai intermédiaire'!GF135/24,0),0)</f>
        <v>4</v>
      </c>
      <c r="BH292" s="14">
        <f>IF(Distances!GG135&lt;&gt;0,ROUNDUP(BH260+'Délai intermédiaire'!GG135/24,0),0)</f>
        <v>14</v>
      </c>
      <c r="BI292" s="14">
        <f>IF(Distances!GH135&lt;&gt;0,ROUNDUP(BI260+'Délai intermédiaire'!GH135/24,0),0)</f>
        <v>18</v>
      </c>
      <c r="BJ292" s="15">
        <f>IF(Distances!GI135&lt;&gt;0,ROUNDUP(BJ260+'Délai intermédiaire'!GI135/24,0),0)</f>
        <v>18</v>
      </c>
    </row>
    <row r="293" spans="1:62" x14ac:dyDescent="0.3">
      <c r="A293" s="10" t="s">
        <v>32</v>
      </c>
      <c r="B293" s="16">
        <f>IF(Distances!EA136&lt;&gt;0,ROUNDUP(B260+'Délai intermédiaire'!EA136/24,0),0)</f>
        <v>11</v>
      </c>
      <c r="C293" s="14">
        <f>IF(Distances!EB136&lt;&gt;0,ROUNDUP(C260+'Délai intermédiaire'!EB136/24,0),0)</f>
        <v>13</v>
      </c>
      <c r="D293" s="14">
        <f>IF(Distances!EC136&lt;&gt;0,ROUNDUP(D260+'Délai intermédiaire'!EC136/24,0),0)</f>
        <v>11</v>
      </c>
      <c r="E293" s="14">
        <f>IF(Distances!ED136&lt;&gt;0,ROUNDUP(E260+'Délai intermédiaire'!ED136/24,0),0)</f>
        <v>12</v>
      </c>
      <c r="F293" s="14">
        <f>IF(Distances!EE136&lt;&gt;0,ROUNDUP(F260+'Délai intermédiaire'!EE136/24,0),0)</f>
        <v>11</v>
      </c>
      <c r="G293" s="14">
        <f>IF(Distances!EF136&lt;&gt;0,ROUNDUP(G260+'Délai intermédiaire'!EF136/24,0),0)</f>
        <v>19</v>
      </c>
      <c r="H293" s="14">
        <f>IF(Distances!EG136&lt;&gt;0,ROUNDUP(H260+'Délai intermédiaire'!EG136/24,0),0)</f>
        <v>19</v>
      </c>
      <c r="I293" s="14">
        <f>IF(Distances!EH136&lt;&gt;0,ROUNDUP(I260+'Délai intermédiaire'!EH136/24,0),0)</f>
        <v>17</v>
      </c>
      <c r="J293" s="14">
        <f>IF(Distances!EI136&lt;&gt;0,ROUNDUP(J260+'Délai intermédiaire'!EI136/24,0),0)</f>
        <v>11</v>
      </c>
      <c r="K293" s="14">
        <f>IF(Distances!EJ136&lt;&gt;0,ROUNDUP(K260+'Délai intermédiaire'!EJ136/24,0),0)</f>
        <v>11</v>
      </c>
      <c r="L293" s="14">
        <f>IF(Distances!EK136&lt;&gt;0,ROUNDUP(L260+'Délai intermédiaire'!EK136/24,0),0)</f>
        <v>20</v>
      </c>
      <c r="M293" s="14">
        <f>IF(Distances!EL136&lt;&gt;0,ROUNDUP(M260+'Délai intermédiaire'!EL136/24,0),0)</f>
        <v>20</v>
      </c>
      <c r="N293" s="14">
        <f>IF(Distances!EM136&lt;&gt;0,ROUNDUP(N260+'Délai intermédiaire'!EM136/24,0),0)</f>
        <v>14</v>
      </c>
      <c r="O293" s="14">
        <f>IF(Distances!EN136&lt;&gt;0,ROUNDUP(O260+'Délai intermédiaire'!EN136/24,0),0)</f>
        <v>13</v>
      </c>
      <c r="P293" s="14">
        <f>IF(Distances!EO136&lt;&gt;0,ROUNDUP(P260+'Délai intermédiaire'!EO136/24,0),0)</f>
        <v>11</v>
      </c>
      <c r="Q293" s="13">
        <f>IF(Distances!EP136&lt;&gt;0,ROUNDUP(Q260+'Délai intermédiaire'!EP136/24,0),0)</f>
        <v>8</v>
      </c>
      <c r="R293" s="13">
        <f>IF(Distances!EQ136&lt;&gt;0,ROUNDUP(R260+'Délai intermédiaire'!EQ136/24,0),0)</f>
        <v>7</v>
      </c>
      <c r="S293" s="13">
        <f>IF(Distances!ER136&lt;&gt;0,ROUNDUP(S260+'Délai intermédiaire'!ER136/24,0),0)</f>
        <v>7</v>
      </c>
      <c r="T293" s="13">
        <f>IF(Distances!ES136&lt;&gt;0,ROUNDUP(T260+'Délai intermédiaire'!ES136/24,0),0)</f>
        <v>7</v>
      </c>
      <c r="U293" s="13">
        <f>IF(Distances!ET136&lt;&gt;0,ROUNDUP(U260+'Délai intermédiaire'!ET136/24,0),0)</f>
        <v>4</v>
      </c>
      <c r="V293" s="13">
        <f>IF(Distances!EU136&lt;&gt;0,ROUNDUP(V260+'Délai intermédiaire'!EU136/24,0),0)</f>
        <v>2</v>
      </c>
      <c r="W293" s="13">
        <f>IF(Distances!EV136&lt;&gt;0,ROUNDUP(W260+'Délai intermédiaire'!EV136/24,0),0)</f>
        <v>8</v>
      </c>
      <c r="X293" s="13">
        <f>IF(Distances!EW136&lt;&gt;0,ROUNDUP(X260+'Délai intermédiaire'!EW136/24,0),0)</f>
        <v>8</v>
      </c>
      <c r="Y293" s="13">
        <f>IF(Distances!EX136&lt;&gt;0,ROUNDUP(Y260+'Délai intermédiaire'!EX136/24,0),0)</f>
        <v>7</v>
      </c>
      <c r="Z293" s="13">
        <f>IF(Distances!EY136&lt;&gt;0,ROUNDUP(Z260+'Délai intermédiaire'!EY136/24,0),0)</f>
        <v>5</v>
      </c>
      <c r="AA293" s="13">
        <f>IF(Distances!EZ136&lt;&gt;0,ROUNDUP(AA260+'Délai intermédiaire'!EZ136/24,0),0)</f>
        <v>5</v>
      </c>
      <c r="AB293" s="13">
        <f>IF(Distances!FA136&lt;&gt;0,ROUNDUP(AB260+'Délai intermédiaire'!FA136/24,0),0)</f>
        <v>4</v>
      </c>
      <c r="AC293" s="13">
        <f>IF(Distances!FB136&lt;&gt;0,ROUNDUP(AC260+'Délai intermédiaire'!FB136/24,0),0)</f>
        <v>4</v>
      </c>
      <c r="AD293" s="13">
        <f>IF(Distances!FC136&lt;&gt;0,ROUNDUP(AD260+'Délai intermédiaire'!FC136/24,0),0)</f>
        <v>9</v>
      </c>
      <c r="AE293" s="13">
        <f>IF(Distances!FD136&lt;&gt;0,ROUNDUP(AE260+'Délai intermédiaire'!FD136/24,0),0)</f>
        <v>3</v>
      </c>
      <c r="AF293" s="13">
        <f>IF(Distances!FE136&lt;&gt;0,ROUNDUP(AF260+'Délai intermédiaire'!FE136/24,0),0)</f>
        <v>2</v>
      </c>
      <c r="AG293" s="12">
        <f>IF(Distances!FF136&lt;&gt;0,ROUNDUP(AG260+'Délai intermédiaire'!FF136/24,0),0)</f>
        <v>0</v>
      </c>
      <c r="AH293" s="14">
        <f>IF(Distances!FG136&lt;&gt;0,ROUNDUP(AH260+'Délai intermédiaire'!FG136/24,0),0)</f>
        <v>11</v>
      </c>
      <c r="AI293" s="14">
        <f>IF(Distances!FH136&lt;&gt;0,ROUNDUP(AI260+'Délai intermédiaire'!FH136/24,0),0)</f>
        <v>13</v>
      </c>
      <c r="AJ293" s="14">
        <f>IF(Distances!FI136&lt;&gt;0,ROUNDUP(AJ260+'Délai intermédiaire'!FI136/24,0),0)</f>
        <v>11</v>
      </c>
      <c r="AK293" s="14">
        <f>IF(Distances!FJ136&lt;&gt;0,ROUNDUP(AK260+'Délai intermédiaire'!FJ136/24,0),0)</f>
        <v>12</v>
      </c>
      <c r="AL293" s="14">
        <f>IF(Distances!FK136&lt;&gt;0,ROUNDUP(AL260+'Délai intermédiaire'!FK136/24,0),0)</f>
        <v>18</v>
      </c>
      <c r="AM293" s="14">
        <f>IF(Distances!FL136&lt;&gt;0,ROUNDUP(AM260+'Délai intermédiaire'!FL136/24,0),0)</f>
        <v>17</v>
      </c>
      <c r="AN293" s="14">
        <f>IF(Distances!FM136&lt;&gt;0,ROUNDUP(AN260+'Délai intermédiaire'!FM136/24,0),0)</f>
        <v>17</v>
      </c>
      <c r="AO293" s="14">
        <f>IF(Distances!FN136&lt;&gt;0,ROUNDUP(AO260+'Délai intermédiaire'!FN136/24,0),0)</f>
        <v>19</v>
      </c>
      <c r="AP293" s="14">
        <f>IF(Distances!FO136&lt;&gt;0,ROUNDUP(AP260+'Délai intermédiaire'!FO136/24,0),0)</f>
        <v>20</v>
      </c>
      <c r="AQ293" s="14">
        <f>IF(Distances!FP136&lt;&gt;0,ROUNDUP(AQ260+'Délai intermédiaire'!FP136/24,0),0)</f>
        <v>16</v>
      </c>
      <c r="AR293" s="14">
        <f>IF(Distances!FQ136&lt;&gt;0,ROUNDUP(AR260+'Délai intermédiaire'!FQ136/24,0),0)</f>
        <v>10</v>
      </c>
      <c r="AS293" s="14">
        <f>IF(Distances!FR136&lt;&gt;0,ROUNDUP(AS260+'Délai intermédiaire'!FR136/24,0),0)</f>
        <v>10</v>
      </c>
      <c r="AT293" s="14">
        <f>IF(Distances!FS136&lt;&gt;0,ROUNDUP(AT260+'Délai intermédiaire'!FS136/24,0),0)</f>
        <v>10</v>
      </c>
      <c r="AU293" s="14">
        <f>IF(Distances!FT136&lt;&gt;0,ROUNDUP(AU260+'Délai intermédiaire'!FT136/24,0),0)</f>
        <v>18</v>
      </c>
      <c r="AV293" s="14">
        <f>IF(Distances!FU136&lt;&gt;0,ROUNDUP(AV260+'Délai intermédiaire'!FU136/24,0),0)</f>
        <v>12</v>
      </c>
      <c r="AW293" s="14">
        <f>IF(Distances!FV136&lt;&gt;0,ROUNDUP(AW260+'Délai intermédiaire'!FV136/24,0),0)</f>
        <v>14</v>
      </c>
      <c r="AX293" s="14">
        <f>IF(Distances!FW136&lt;&gt;0,ROUNDUP(AX260+'Délai intermédiaire'!FW136/24,0),0)</f>
        <v>20</v>
      </c>
      <c r="AY293" s="14">
        <f>IF(Distances!FX136&lt;&gt;0,ROUNDUP(AY260+'Délai intermédiaire'!FX136/24,0),0)</f>
        <v>3</v>
      </c>
      <c r="AZ293" s="14">
        <f>IF(Distances!FY136&lt;&gt;0,ROUNDUP(AZ260+'Délai intermédiaire'!FY136/24,0),0)</f>
        <v>10</v>
      </c>
      <c r="BA293" s="14">
        <f>IF(Distances!FZ136&lt;&gt;0,ROUNDUP(BA260+'Délai intermédiaire'!FZ136/24,0),0)</f>
        <v>15</v>
      </c>
      <c r="BB293" s="13">
        <f>IF(Distances!GA136&lt;&gt;0,ROUNDUP(BB260+'Délai intermédiaire'!GA136/24,0),0)</f>
        <v>10</v>
      </c>
      <c r="BC293" s="14">
        <f>IF(Distances!GB136&lt;&gt;0,ROUNDUP(BC260+'Délai intermédiaire'!GB136/24,0),0)</f>
        <v>16</v>
      </c>
      <c r="BD293" s="14">
        <f>IF(Distances!GC136&lt;&gt;0,ROUNDUP(BD260+'Délai intermédiaire'!GC136/24,0),0)</f>
        <v>19</v>
      </c>
      <c r="BE293" s="14">
        <f>IF(Distances!GD136&lt;&gt;0,ROUNDUP(BE260+'Délai intermédiaire'!GD136/24,0),0)</f>
        <v>18</v>
      </c>
      <c r="BF293" s="13">
        <f>IF(Distances!GE136&lt;&gt;0,ROUNDUP(BF260+'Délai intermédiaire'!GE136/24,0),0)</f>
        <v>6</v>
      </c>
      <c r="BG293" s="12">
        <f>IF(Distances!GF136&lt;&gt;0,ROUNDUP(BG260+'Délai intermédiaire'!GF136/24,0),0)</f>
        <v>4</v>
      </c>
      <c r="BH293" s="14">
        <f>IF(Distances!GG136&lt;&gt;0,ROUNDUP(BH260+'Délai intermédiaire'!GG136/24,0),0)</f>
        <v>14</v>
      </c>
      <c r="BI293" s="14">
        <f>IF(Distances!GH136&lt;&gt;0,ROUNDUP(BI260+'Délai intermédiaire'!GH136/24,0),0)</f>
        <v>18</v>
      </c>
      <c r="BJ293" s="15">
        <f>IF(Distances!GI136&lt;&gt;0,ROUNDUP(BJ260+'Délai intermédiaire'!GI136/24,0),0)</f>
        <v>18</v>
      </c>
    </row>
    <row r="294" spans="1:62" x14ac:dyDescent="0.3">
      <c r="A294" s="10" t="s">
        <v>33</v>
      </c>
      <c r="B294" s="16">
        <f>IF(Distances!EA137&lt;&gt;0,ROUNDUP(B260+'Délai intermédiaire'!EA137/24,0),0)</f>
        <v>17</v>
      </c>
      <c r="C294" s="14">
        <f>IF(Distances!EB137&lt;&gt;0,ROUNDUP(C260+'Délai intermédiaire'!EB137/24,0),0)</f>
        <v>19</v>
      </c>
      <c r="D294" s="14">
        <f>IF(Distances!EC137&lt;&gt;0,ROUNDUP(D260+'Délai intermédiaire'!EC137/24,0),0)</f>
        <v>17</v>
      </c>
      <c r="E294" s="14">
        <f>IF(Distances!ED137&lt;&gt;0,ROUNDUP(E260+'Délai intermédiaire'!ED137/24,0),0)</f>
        <v>18</v>
      </c>
      <c r="F294" s="14">
        <f>IF(Distances!EE137&lt;&gt;0,ROUNDUP(F260+'Délai intermédiaire'!EE137/24,0),0)</f>
        <v>17</v>
      </c>
      <c r="G294" s="14">
        <f>IF(Distances!EF137&lt;&gt;0,ROUNDUP(G260+'Délai intermédiaire'!EF137/24,0),0)</f>
        <v>22</v>
      </c>
      <c r="H294" s="14">
        <f>IF(Distances!EG137&lt;&gt;0,ROUNDUP(H260+'Délai intermédiaire'!EG137/24,0),0)</f>
        <v>19</v>
      </c>
      <c r="I294" s="14">
        <f>IF(Distances!EH137&lt;&gt;0,ROUNDUP(I260+'Délai intermédiaire'!EH137/24,0),0)</f>
        <v>20</v>
      </c>
      <c r="J294" s="14">
        <f>IF(Distances!EI137&lt;&gt;0,ROUNDUP(J260+'Délai intermédiaire'!EI137/24,0),0)</f>
        <v>18</v>
      </c>
      <c r="K294" s="14">
        <f>IF(Distances!EJ137&lt;&gt;0,ROUNDUP(K260+'Délai intermédiaire'!EJ137/24,0),0)</f>
        <v>17</v>
      </c>
      <c r="L294" s="14">
        <f>IF(Distances!EK137&lt;&gt;0,ROUNDUP(L260+'Délai intermédiaire'!EK137/24,0),0)</f>
        <v>20</v>
      </c>
      <c r="M294" s="14">
        <f>IF(Distances!EL137&lt;&gt;0,ROUNDUP(M260+'Délai intermédiaire'!EL137/24,0),0)</f>
        <v>20</v>
      </c>
      <c r="N294" s="14">
        <f>IF(Distances!EM137&lt;&gt;0,ROUNDUP(N260+'Délai intermédiaire'!EM137/24,0),0)</f>
        <v>20</v>
      </c>
      <c r="O294" s="14">
        <f>IF(Distances!EN137&lt;&gt;0,ROUNDUP(O260+'Délai intermédiaire'!EN137/24,0),0)</f>
        <v>17</v>
      </c>
      <c r="P294" s="14">
        <f>IF(Distances!EO137&lt;&gt;0,ROUNDUP(P260+'Délai intermédiaire'!EO137/24,0),0)</f>
        <v>17</v>
      </c>
      <c r="Q294" s="14">
        <f>IF(Distances!EP137&lt;&gt;0,ROUNDUP(Q260+'Délai intermédiaire'!EP137/24,0),0)</f>
        <v>14</v>
      </c>
      <c r="R294" s="14">
        <f>IF(Distances!EQ137&lt;&gt;0,ROUNDUP(R260+'Délai intermédiaire'!EQ137/24,0),0)</f>
        <v>13</v>
      </c>
      <c r="S294" s="14">
        <f>IF(Distances!ER137&lt;&gt;0,ROUNDUP(S260+'Délai intermédiaire'!ER137/24,0),0)</f>
        <v>13</v>
      </c>
      <c r="T294" s="14">
        <f>IF(Distances!ES137&lt;&gt;0,ROUNDUP(T260+'Délai intermédiaire'!ES137/24,0),0)</f>
        <v>13</v>
      </c>
      <c r="U294" s="14">
        <f>IF(Distances!ET137&lt;&gt;0,ROUNDUP(U260+'Délai intermédiaire'!ET137/24,0),0)</f>
        <v>10</v>
      </c>
      <c r="V294" s="14">
        <f>IF(Distances!EU137&lt;&gt;0,ROUNDUP(V260+'Délai intermédiaire'!EU137/24,0),0)</f>
        <v>10</v>
      </c>
      <c r="W294" s="14">
        <f>IF(Distances!EV137&lt;&gt;0,ROUNDUP(W260+'Délai intermédiaire'!EV137/24,0),0)</f>
        <v>14</v>
      </c>
      <c r="X294" s="14">
        <f>IF(Distances!EW137&lt;&gt;0,ROUNDUP(X260+'Délai intermédiaire'!EW137/24,0),0)</f>
        <v>14</v>
      </c>
      <c r="Y294" s="14">
        <f>IF(Distances!EX137&lt;&gt;0,ROUNDUP(Y260+'Délai intermédiaire'!EX137/24,0),0)</f>
        <v>13</v>
      </c>
      <c r="Z294" s="14">
        <f>IF(Distances!EY137&lt;&gt;0,ROUNDUP(Z260+'Délai intermédiaire'!EY137/24,0),0)</f>
        <v>11</v>
      </c>
      <c r="AA294" s="14">
        <f>IF(Distances!EZ137&lt;&gt;0,ROUNDUP(AA260+'Délai intermédiaire'!EZ137/24,0),0)</f>
        <v>11</v>
      </c>
      <c r="AB294" s="14">
        <f>IF(Distances!FA137&lt;&gt;0,ROUNDUP(AB260+'Délai intermédiaire'!FA137/24,0),0)</f>
        <v>10</v>
      </c>
      <c r="AC294" s="14">
        <f>IF(Distances!FB137&lt;&gt;0,ROUNDUP(AC260+'Délai intermédiaire'!FB137/24,0),0)</f>
        <v>10</v>
      </c>
      <c r="AD294" s="14">
        <f>IF(Distances!FC137&lt;&gt;0,ROUNDUP(AD260+'Délai intermédiaire'!FC137/24,0),0)</f>
        <v>15</v>
      </c>
      <c r="AE294" s="14">
        <f>IF(Distances!FD137&lt;&gt;0,ROUNDUP(AE260+'Délai intermédiaire'!FD137/24,0),0)</f>
        <v>11</v>
      </c>
      <c r="AF294" s="14">
        <f>IF(Distances!FE137&lt;&gt;0,ROUNDUP(AF260+'Délai intermédiaire'!FE137/24,0),0)</f>
        <v>10</v>
      </c>
      <c r="AG294" s="14">
        <f>IF(Distances!FF137&lt;&gt;0,ROUNDUP(AG260+'Délai intermédiaire'!FF137/24,0),0)</f>
        <v>11</v>
      </c>
      <c r="AH294" s="12">
        <f>IF(Distances!FG137&lt;&gt;0,ROUNDUP(AH260+'Délai intermédiaire'!FG137/24,0),0)</f>
        <v>0</v>
      </c>
      <c r="AI294" s="13">
        <f>IF(Distances!FH137&lt;&gt;0,ROUNDUP(AI260+'Délai intermédiaire'!FH137/24,0),0)</f>
        <v>7</v>
      </c>
      <c r="AJ294" s="13">
        <f>IF(Distances!FI137&lt;&gt;0,ROUNDUP(AJ260+'Délai intermédiaire'!FI137/24,0),0)</f>
        <v>4</v>
      </c>
      <c r="AK294" s="13">
        <f>IF(Distances!FJ137&lt;&gt;0,ROUNDUP(AK260+'Délai intermédiaire'!FJ137/24,0),0)</f>
        <v>6</v>
      </c>
      <c r="AL294" s="13">
        <f>IF(Distances!FK137&lt;&gt;0,ROUNDUP(AL260+'Délai intermédiaire'!FK137/24,0),0)</f>
        <v>11</v>
      </c>
      <c r="AM294" s="13">
        <f>IF(Distances!FL137&lt;&gt;0,ROUNDUP(AM260+'Délai intermédiaire'!FL137/24,0),0)</f>
        <v>11</v>
      </c>
      <c r="AN294" s="13">
        <f>IF(Distances!FM137&lt;&gt;0,ROUNDUP(AN260+'Délai intermédiaire'!FM137/24,0),0)</f>
        <v>11</v>
      </c>
      <c r="AO294" s="14">
        <f>IF(Distances!FN137&lt;&gt;0,ROUNDUP(AO260+'Délai intermédiaire'!FN137/24,0),0)</f>
        <v>13</v>
      </c>
      <c r="AP294" s="14">
        <f>IF(Distances!FO137&lt;&gt;0,ROUNDUP(AP260+'Délai intermédiaire'!FO137/24,0),0)</f>
        <v>14</v>
      </c>
      <c r="AQ294" s="14">
        <f>IF(Distances!FP137&lt;&gt;0,ROUNDUP(AQ260+'Délai intermédiaire'!FP137/24,0),0)</f>
        <v>10</v>
      </c>
      <c r="AR294" s="13">
        <f>IF(Distances!FQ137&lt;&gt;0,ROUNDUP(AR260+'Délai intermédiaire'!FQ137/24,0),0)</f>
        <v>5</v>
      </c>
      <c r="AS294" s="13">
        <f>IF(Distances!FR137&lt;&gt;0,ROUNDUP(AS260+'Délai intermédiaire'!FR137/24,0),0)</f>
        <v>5</v>
      </c>
      <c r="AT294" s="13">
        <f>IF(Distances!FS137&lt;&gt;0,ROUNDUP(AT260+'Délai intermédiaire'!FS137/24,0),0)</f>
        <v>5</v>
      </c>
      <c r="AU294" s="13">
        <f>IF(Distances!FT137&lt;&gt;0,ROUNDUP(AU260+'Délai intermédiaire'!FT137/24,0),0)</f>
        <v>12</v>
      </c>
      <c r="AV294" s="13">
        <f>IF(Distances!FU137&lt;&gt;0,ROUNDUP(AV260+'Délai intermédiaire'!FU137/24,0),0)</f>
        <v>18</v>
      </c>
      <c r="AW294" s="12">
        <f>IF(Distances!FV137&lt;&gt;0,ROUNDUP(AW260+'Délai intermédiaire'!FV137/24,0),0)</f>
        <v>20</v>
      </c>
      <c r="AX294" s="13">
        <f>IF(Distances!FW137&lt;&gt;0,ROUNDUP(AX260+'Délai intermédiaire'!FW137/24,0),0)</f>
        <v>14</v>
      </c>
      <c r="AY294" s="14">
        <f>IF(Distances!FX137&lt;&gt;0,ROUNDUP(AY260+'Délai intermédiaire'!FX137/24,0),0)</f>
        <v>3</v>
      </c>
      <c r="AZ294" s="14">
        <f>IF(Distances!FY137&lt;&gt;0,ROUNDUP(AZ260+'Délai intermédiaire'!FY137/24,0),0)</f>
        <v>8</v>
      </c>
      <c r="BA294" s="13">
        <f>IF(Distances!FZ137&lt;&gt;0,ROUNDUP(BA260+'Délai intermédiaire'!FZ137/24,0),0)</f>
        <v>9</v>
      </c>
      <c r="BB294" s="14">
        <f>IF(Distances!GA137&lt;&gt;0,ROUNDUP(BB260+'Délai intermédiaire'!GA137/24,0),0)</f>
        <v>16</v>
      </c>
      <c r="BC294" s="13">
        <f>IF(Distances!GB137&lt;&gt;0,ROUNDUP(BC260+'Délai intermédiaire'!GB137/24,0),0)</f>
        <v>10</v>
      </c>
      <c r="BD294" s="13">
        <f>IF(Distances!GC137&lt;&gt;0,ROUNDUP(BD260+'Délai intermédiaire'!GC137/24,0),0)</f>
        <v>12</v>
      </c>
      <c r="BE294" s="13">
        <f>IF(Distances!GD137&lt;&gt;0,ROUNDUP(BE260+'Délai intermédiaire'!GD137/24,0),0)</f>
        <v>11</v>
      </c>
      <c r="BF294" s="14">
        <f>IF(Distances!GE137&lt;&gt;0,ROUNDUP(BF260+'Délai intermédiaire'!GE137/24,0),0)</f>
        <v>11</v>
      </c>
      <c r="BG294" s="14">
        <f>IF(Distances!GF137&lt;&gt;0,ROUNDUP(BG260+'Délai intermédiaire'!GF137/24,0),0)</f>
        <v>9</v>
      </c>
      <c r="BH294" s="14">
        <f>IF(Distances!GG137&lt;&gt;0,ROUNDUP(BH260+'Délai intermédiaire'!GG137/24,0),0)</f>
        <v>26</v>
      </c>
      <c r="BI294" s="14">
        <f>IF(Distances!GH137&lt;&gt;0,ROUNDUP(BI260+'Délai intermédiaire'!GH137/24,0),0)</f>
        <v>23</v>
      </c>
      <c r="BJ294" s="15">
        <f>IF(Distances!GI137&lt;&gt;0,ROUNDUP(BJ260+'Délai intermédiaire'!GI137/24,0),0)</f>
        <v>23</v>
      </c>
    </row>
    <row r="295" spans="1:62" x14ac:dyDescent="0.3">
      <c r="A295" s="10" t="s">
        <v>34</v>
      </c>
      <c r="B295" s="16">
        <f>IF(Distances!EA138&lt;&gt;0,ROUNDUP(B260+'Délai intermédiaire'!EA138/24,0),0)</f>
        <v>0</v>
      </c>
      <c r="C295" s="14">
        <f>IF(Distances!EB138&lt;&gt;0,ROUNDUP(C260+'Délai intermédiaire'!EB138/24,0),0)</f>
        <v>0</v>
      </c>
      <c r="D295" s="14">
        <f>IF(Distances!EC138&lt;&gt;0,ROUNDUP(D260+'Délai intermédiaire'!EC138/24,0),0)</f>
        <v>20</v>
      </c>
      <c r="E295" s="14">
        <f>IF(Distances!ED138&lt;&gt;0,ROUNDUP(E260+'Délai intermédiaire'!ED138/24,0),0)</f>
        <v>0</v>
      </c>
      <c r="F295" s="14">
        <f>IF(Distances!EE138&lt;&gt;0,ROUNDUP(F260+'Délai intermédiaire'!EE138/24,0),0)</f>
        <v>19</v>
      </c>
      <c r="G295" s="14">
        <f>IF(Distances!EF138&lt;&gt;0,ROUNDUP(G260+'Délai intermédiaire'!EF138/24,0),0)</f>
        <v>20</v>
      </c>
      <c r="H295" s="14">
        <f>IF(Distances!EG138&lt;&gt;0,ROUNDUP(H260+'Délai intermédiaire'!EG138/24,0),0)</f>
        <v>0</v>
      </c>
      <c r="I295" s="14">
        <f>IF(Distances!EH138&lt;&gt;0,ROUNDUP(I260+'Délai intermédiaire'!EH138/24,0),0)</f>
        <v>0</v>
      </c>
      <c r="J295" s="14">
        <f>IF(Distances!EI138&lt;&gt;0,ROUNDUP(J260+'Délai intermédiaire'!EI138/24,0),0)</f>
        <v>20</v>
      </c>
      <c r="K295" s="14">
        <f>IF(Distances!EJ138&lt;&gt;0,ROUNDUP(K260+'Délai intermédiaire'!EJ138/24,0),0)</f>
        <v>0</v>
      </c>
      <c r="L295" s="14">
        <f>IF(Distances!EK138&lt;&gt;0,ROUNDUP(L260+'Délai intermédiaire'!EK138/24,0),0)</f>
        <v>0</v>
      </c>
      <c r="M295" s="14">
        <f>IF(Distances!EL138&lt;&gt;0,ROUNDUP(M260+'Délai intermédiaire'!EL138/24,0),0)</f>
        <v>0</v>
      </c>
      <c r="N295" s="14">
        <f>IF(Distances!EM138&lt;&gt;0,ROUNDUP(N260+'Délai intermédiaire'!EM138/24,0),0)</f>
        <v>0</v>
      </c>
      <c r="O295" s="14">
        <f>IF(Distances!EN138&lt;&gt;0,ROUNDUP(O260+'Délai intermédiaire'!EN138/24,0),0)</f>
        <v>0</v>
      </c>
      <c r="P295" s="14">
        <f>IF(Distances!EO138&lt;&gt;0,ROUNDUP(P260+'Délai intermédiaire'!EO138/24,0),0)</f>
        <v>0</v>
      </c>
      <c r="Q295" s="14">
        <f>IF(Distances!EP138&lt;&gt;0,ROUNDUP(Q260+'Délai intermédiaire'!EP138/24,0),0)</f>
        <v>0</v>
      </c>
      <c r="R295" s="14">
        <f>IF(Distances!EQ138&lt;&gt;0,ROUNDUP(R260+'Délai intermédiaire'!EQ138/24,0),0)</f>
        <v>0</v>
      </c>
      <c r="S295" s="14">
        <f>IF(Distances!ER138&lt;&gt;0,ROUNDUP(S260+'Délai intermédiaire'!ER138/24,0),0)</f>
        <v>0</v>
      </c>
      <c r="T295" s="14">
        <f>IF(Distances!ES138&lt;&gt;0,ROUNDUP(T260+'Délai intermédiaire'!ES138/24,0),0)</f>
        <v>15</v>
      </c>
      <c r="U295" s="14">
        <f>IF(Distances!ET138&lt;&gt;0,ROUNDUP(U260+'Délai intermédiaire'!ET138/24,0),0)</f>
        <v>12</v>
      </c>
      <c r="V295" s="14">
        <f>IF(Distances!EU138&lt;&gt;0,ROUNDUP(V260+'Délai intermédiaire'!EU138/24,0),0)</f>
        <v>12</v>
      </c>
      <c r="W295" s="14">
        <f>IF(Distances!EV138&lt;&gt;0,ROUNDUP(W260+'Délai intermédiaire'!EV138/24,0),0)</f>
        <v>0</v>
      </c>
      <c r="X295" s="14">
        <f>IF(Distances!EW138&lt;&gt;0,ROUNDUP(X260+'Délai intermédiaire'!EW138/24,0),0)</f>
        <v>17</v>
      </c>
      <c r="Y295" s="14">
        <f>IF(Distances!EX138&lt;&gt;0,ROUNDUP(Y260+'Délai intermédiaire'!EX138/24,0),0)</f>
        <v>15</v>
      </c>
      <c r="Z295" s="14">
        <f>IF(Distances!EY138&lt;&gt;0,ROUNDUP(Z260+'Délai intermédiaire'!EY138/24,0),0)</f>
        <v>13</v>
      </c>
      <c r="AA295" s="14">
        <f>IF(Distances!EZ138&lt;&gt;0,ROUNDUP(AA260+'Délai intermédiaire'!EZ138/24,0),0)</f>
        <v>13</v>
      </c>
      <c r="AB295" s="14">
        <f>IF(Distances!FA138&lt;&gt;0,ROUNDUP(AB260+'Délai intermédiaire'!FA138/24,0),0)</f>
        <v>13</v>
      </c>
      <c r="AC295" s="14">
        <f>IF(Distances!FB138&lt;&gt;0,ROUNDUP(AC260+'Délai intermédiaire'!FB138/24,0),0)</f>
        <v>0</v>
      </c>
      <c r="AD295" s="14">
        <f>IF(Distances!FC138&lt;&gt;0,ROUNDUP(AD260+'Délai intermédiaire'!FC138/24,0),0)</f>
        <v>0</v>
      </c>
      <c r="AE295" s="14">
        <f>IF(Distances!FD138&lt;&gt;0,ROUNDUP(AE260+'Délai intermédiaire'!FD138/24,0),0)</f>
        <v>13</v>
      </c>
      <c r="AF295" s="14">
        <f>IF(Distances!FE138&lt;&gt;0,ROUNDUP(AF260+'Délai intermédiaire'!FE138/24,0),0)</f>
        <v>12</v>
      </c>
      <c r="AG295" s="14">
        <f>IF(Distances!FF138&lt;&gt;0,ROUNDUP(AG260+'Délai intermédiaire'!FF138/24,0),0)</f>
        <v>13</v>
      </c>
      <c r="AH295" s="13">
        <f>IF(Distances!FG138&lt;&gt;0,ROUNDUP(AH260+'Délai intermédiaire'!FG138/24,0),0)</f>
        <v>7</v>
      </c>
      <c r="AI295" s="12">
        <f>IF(Distances!FH138&lt;&gt;0,ROUNDUP(AI260+'Délai intermédiaire'!FH138/24,0),0)</f>
        <v>0</v>
      </c>
      <c r="AJ295" s="13">
        <f>IF(Distances!FI138&lt;&gt;0,ROUNDUP(AJ260+'Délai intermédiaire'!FI138/24,0),0)</f>
        <v>7</v>
      </c>
      <c r="AK295" s="13">
        <f>IF(Distances!FJ138&lt;&gt;0,ROUNDUP(AK260+'Délai intermédiaire'!FJ138/24,0),0)</f>
        <v>0</v>
      </c>
      <c r="AL295" s="13">
        <f>IF(Distances!FK138&lt;&gt;0,ROUNDUP(AL260+'Délai intermédiaire'!FK138/24,0),0)</f>
        <v>0</v>
      </c>
      <c r="AM295" s="13">
        <f>IF(Distances!FL138&lt;&gt;0,ROUNDUP(AM260+'Délai intermédiaire'!FL138/24,0),0)</f>
        <v>0</v>
      </c>
      <c r="AN295" s="13">
        <f>IF(Distances!FM138&lt;&gt;0,ROUNDUP(AN260+'Délai intermédiaire'!FM138/24,0),0)</f>
        <v>9</v>
      </c>
      <c r="AO295" s="14">
        <f>IF(Distances!FN138&lt;&gt;0,ROUNDUP(AO260+'Délai intermédiaire'!FN138/24,0),0)</f>
        <v>0</v>
      </c>
      <c r="AP295" s="14">
        <f>IF(Distances!FO138&lt;&gt;0,ROUNDUP(AP260+'Délai intermédiaire'!FO138/24,0),0)</f>
        <v>0</v>
      </c>
      <c r="AQ295" s="14">
        <f>IF(Distances!FP138&lt;&gt;0,ROUNDUP(AQ260+'Délai intermédiaire'!FP138/24,0),0)</f>
        <v>0</v>
      </c>
      <c r="AR295" s="13">
        <f>IF(Distances!FQ138&lt;&gt;0,ROUNDUP(AR260+'Délai intermédiaire'!FQ138/24,0),0)</f>
        <v>0</v>
      </c>
      <c r="AS295" s="13">
        <f>IF(Distances!FR138&lt;&gt;0,ROUNDUP(AS260+'Délai intermédiaire'!FR138/24,0),0)</f>
        <v>0</v>
      </c>
      <c r="AT295" s="13">
        <f>IF(Distances!FS138&lt;&gt;0,ROUNDUP(AT260+'Délai intermédiaire'!FS138/24,0),0)</f>
        <v>0</v>
      </c>
      <c r="AU295" s="12">
        <f>IF(Distances!FT138&lt;&gt;0,ROUNDUP(AU260+'Délai intermédiaire'!FT138/24,0),0)</f>
        <v>10</v>
      </c>
      <c r="AV295" s="13">
        <f>IF(Distances!FU138&lt;&gt;0,ROUNDUP(AV260+'Délai intermédiaire'!FU138/24,0),0)</f>
        <v>20</v>
      </c>
      <c r="AW295" s="13">
        <f>IF(Distances!FV138&lt;&gt;0,ROUNDUP(AW260+'Délai intermédiaire'!FV138/24,0),0)</f>
        <v>22</v>
      </c>
      <c r="AX295" s="12">
        <f>IF(Distances!FW138&lt;&gt;0,ROUNDUP(AX260+'Délai intermédiaire'!FW138/24,0),0)</f>
        <v>0</v>
      </c>
      <c r="AY295" s="14">
        <f>IF(Distances!FX138&lt;&gt;0,ROUNDUP(AY260+'Délai intermédiaire'!FX138/24,0),0)</f>
        <v>0</v>
      </c>
      <c r="AZ295" s="14">
        <f>IF(Distances!FY138&lt;&gt;0,ROUNDUP(AZ260+'Délai intermédiaire'!FY138/24,0),0)</f>
        <v>9</v>
      </c>
      <c r="BA295" s="13">
        <f>IF(Distances!FZ138&lt;&gt;0,ROUNDUP(BA260+'Délai intermédiaire'!FZ138/24,0),0)</f>
        <v>0</v>
      </c>
      <c r="BB295" s="14">
        <f>IF(Distances!GA138&lt;&gt;0,ROUNDUP(BB260+'Délai intermédiaire'!GA138/24,0),0)</f>
        <v>0</v>
      </c>
      <c r="BC295" s="12">
        <f>IF(Distances!GB138&lt;&gt;0,ROUNDUP(BC260+'Délai intermédiaire'!GB138/24,0),0)</f>
        <v>0</v>
      </c>
      <c r="BD295" s="12">
        <f>IF(Distances!GC138&lt;&gt;0,ROUNDUP(BD260+'Délai intermédiaire'!GC138/24,0),0)</f>
        <v>10</v>
      </c>
      <c r="BE295" s="12">
        <f>IF(Distances!GD138&lt;&gt;0,ROUNDUP(BE260+'Délai intermédiaire'!GD138/24,0),0)</f>
        <v>0</v>
      </c>
      <c r="BF295" s="14">
        <f>IF(Distances!GE138&lt;&gt;0,ROUNDUP(BF260+'Délai intermédiaire'!GE138/24,0),0)</f>
        <v>14</v>
      </c>
      <c r="BG295" s="14">
        <f>IF(Distances!GF138&lt;&gt;0,ROUNDUP(BG260+'Délai intermédiaire'!GF138/24,0),0)</f>
        <v>0</v>
      </c>
      <c r="BH295" s="14">
        <f>IF(Distances!GG138&lt;&gt;0,ROUNDUP(BH260+'Délai intermédiaire'!GG138/24,0),0)</f>
        <v>0</v>
      </c>
      <c r="BI295" s="14">
        <f>IF(Distances!GH138&lt;&gt;0,ROUNDUP(BI260+'Délai intermédiaire'!GH138/24,0),0)</f>
        <v>0</v>
      </c>
      <c r="BJ295" s="15">
        <f>IF(Distances!GI138&lt;&gt;0,ROUNDUP(BJ260+'Délai intermédiaire'!GI138/24,0),0)</f>
        <v>0</v>
      </c>
    </row>
    <row r="296" spans="1:62" x14ac:dyDescent="0.3">
      <c r="A296" s="10" t="s">
        <v>35</v>
      </c>
      <c r="B296" s="16">
        <f>IF(Distances!EA139&lt;&gt;0,ROUNDUP(B260+'Délai intermédiaire'!EA139/24,0),0)</f>
        <v>17</v>
      </c>
      <c r="C296" s="14">
        <f>IF(Distances!EB139&lt;&gt;0,ROUNDUP(C260+'Délai intermédiaire'!EB139/24,0),0)</f>
        <v>19</v>
      </c>
      <c r="D296" s="14">
        <f>IF(Distances!EC139&lt;&gt;0,ROUNDUP(D260+'Délai intermédiaire'!EC139/24,0),0)</f>
        <v>17</v>
      </c>
      <c r="E296" s="14">
        <f>IF(Distances!ED139&lt;&gt;0,ROUNDUP(E260+'Délai intermédiaire'!ED139/24,0),0)</f>
        <v>18</v>
      </c>
      <c r="F296" s="14">
        <f>IF(Distances!EE139&lt;&gt;0,ROUNDUP(F260+'Délai intermédiaire'!EE139/24,0),0)</f>
        <v>17</v>
      </c>
      <c r="G296" s="14">
        <f>IF(Distances!EF139&lt;&gt;0,ROUNDUP(G260+'Délai intermédiaire'!EF139/24,0),0)</f>
        <v>22</v>
      </c>
      <c r="H296" s="14">
        <f>IF(Distances!EG139&lt;&gt;0,ROUNDUP(H260+'Délai intermédiaire'!EG139/24,0),0)</f>
        <v>19</v>
      </c>
      <c r="I296" s="14">
        <f>IF(Distances!EH139&lt;&gt;0,ROUNDUP(I260+'Délai intermédiaire'!EH139/24,0),0)</f>
        <v>20</v>
      </c>
      <c r="J296" s="14">
        <f>IF(Distances!EI139&lt;&gt;0,ROUNDUP(J260+'Délai intermédiaire'!EI139/24,0),0)</f>
        <v>18</v>
      </c>
      <c r="K296" s="14">
        <f>IF(Distances!EJ139&lt;&gt;0,ROUNDUP(K260+'Délai intermédiaire'!EJ139/24,0),0)</f>
        <v>17</v>
      </c>
      <c r="L296" s="14">
        <f>IF(Distances!EK139&lt;&gt;0,ROUNDUP(L260+'Délai intermédiaire'!EK139/24,0),0)</f>
        <v>20</v>
      </c>
      <c r="M296" s="14">
        <f>IF(Distances!EL139&lt;&gt;0,ROUNDUP(M260+'Délai intermédiaire'!EL139/24,0),0)</f>
        <v>20</v>
      </c>
      <c r="N296" s="14">
        <f>IF(Distances!EM139&lt;&gt;0,ROUNDUP(N260+'Délai intermédiaire'!EM139/24,0),0)</f>
        <v>20</v>
      </c>
      <c r="O296" s="14">
        <f>IF(Distances!EN139&lt;&gt;0,ROUNDUP(O260+'Délai intermédiaire'!EN139/24,0),0)</f>
        <v>17</v>
      </c>
      <c r="P296" s="14">
        <f>IF(Distances!EO139&lt;&gt;0,ROUNDUP(P260+'Délai intermédiaire'!EO139/24,0),0)</f>
        <v>17</v>
      </c>
      <c r="Q296" s="14">
        <f>IF(Distances!EP139&lt;&gt;0,ROUNDUP(Q260+'Délai intermédiaire'!EP139/24,0),0)</f>
        <v>14</v>
      </c>
      <c r="R296" s="14">
        <f>IF(Distances!EQ139&lt;&gt;0,ROUNDUP(R260+'Délai intermédiaire'!EQ139/24,0),0)</f>
        <v>13</v>
      </c>
      <c r="S296" s="14">
        <f>IF(Distances!ER139&lt;&gt;0,ROUNDUP(S260+'Délai intermédiaire'!ER139/24,0),0)</f>
        <v>13</v>
      </c>
      <c r="T296" s="14">
        <f>IF(Distances!ES139&lt;&gt;0,ROUNDUP(T260+'Délai intermédiaire'!ES139/24,0),0)</f>
        <v>13</v>
      </c>
      <c r="U296" s="14">
        <f>IF(Distances!ET139&lt;&gt;0,ROUNDUP(U260+'Délai intermédiaire'!ET139/24,0),0)</f>
        <v>10</v>
      </c>
      <c r="V296" s="14">
        <f>IF(Distances!EU139&lt;&gt;0,ROUNDUP(V260+'Délai intermédiaire'!EU139/24,0),0)</f>
        <v>10</v>
      </c>
      <c r="W296" s="14">
        <f>IF(Distances!EV139&lt;&gt;0,ROUNDUP(W260+'Délai intermédiaire'!EV139/24,0),0)</f>
        <v>14</v>
      </c>
      <c r="X296" s="14">
        <f>IF(Distances!EW139&lt;&gt;0,ROUNDUP(X260+'Délai intermédiaire'!EW139/24,0),0)</f>
        <v>14</v>
      </c>
      <c r="Y296" s="14">
        <f>IF(Distances!EX139&lt;&gt;0,ROUNDUP(Y260+'Délai intermédiaire'!EX139/24,0),0)</f>
        <v>13</v>
      </c>
      <c r="Z296" s="14">
        <f>IF(Distances!EY139&lt;&gt;0,ROUNDUP(Z260+'Délai intermédiaire'!EY139/24,0),0)</f>
        <v>11</v>
      </c>
      <c r="AA296" s="14">
        <f>IF(Distances!EZ139&lt;&gt;0,ROUNDUP(AA260+'Délai intermédiaire'!EZ139/24,0),0)</f>
        <v>11</v>
      </c>
      <c r="AB296" s="14">
        <f>IF(Distances!FA139&lt;&gt;0,ROUNDUP(AB260+'Délai intermédiaire'!FA139/24,0),0)</f>
        <v>10</v>
      </c>
      <c r="AC296" s="14">
        <f>IF(Distances!FB139&lt;&gt;0,ROUNDUP(AC260+'Délai intermédiaire'!FB139/24,0),0)</f>
        <v>10</v>
      </c>
      <c r="AD296" s="14">
        <f>IF(Distances!FC139&lt;&gt;0,ROUNDUP(AD260+'Délai intermédiaire'!FC139/24,0),0)</f>
        <v>15</v>
      </c>
      <c r="AE296" s="14">
        <f>IF(Distances!FD139&lt;&gt;0,ROUNDUP(AE260+'Délai intermédiaire'!FD139/24,0),0)</f>
        <v>11</v>
      </c>
      <c r="AF296" s="14">
        <f>IF(Distances!FE139&lt;&gt;0,ROUNDUP(AF260+'Délai intermédiaire'!FE139/24,0),0)</f>
        <v>10</v>
      </c>
      <c r="AG296" s="14">
        <f>IF(Distances!FF139&lt;&gt;0,ROUNDUP(AG260+'Délai intermédiaire'!FF139/24,0),0)</f>
        <v>11</v>
      </c>
      <c r="AH296" s="13">
        <f>IF(Distances!FG139&lt;&gt;0,ROUNDUP(AH260+'Délai intermédiaire'!FG139/24,0),0)</f>
        <v>4</v>
      </c>
      <c r="AI296" s="13">
        <f>IF(Distances!FH139&lt;&gt;0,ROUNDUP(AI260+'Délai intermédiaire'!FH139/24,0),0)</f>
        <v>7</v>
      </c>
      <c r="AJ296" s="12">
        <f>IF(Distances!FI139&lt;&gt;0,ROUNDUP(AJ260+'Délai intermédiaire'!FI139/24,0),0)</f>
        <v>0</v>
      </c>
      <c r="AK296" s="13">
        <f>IF(Distances!FJ139&lt;&gt;0,ROUNDUP(AK260+'Délai intermédiaire'!FJ139/24,0),0)</f>
        <v>6</v>
      </c>
      <c r="AL296" s="13">
        <f>IF(Distances!FK139&lt;&gt;0,ROUNDUP(AL260+'Délai intermédiaire'!FK139/24,0),0)</f>
        <v>11</v>
      </c>
      <c r="AM296" s="13">
        <f>IF(Distances!FL139&lt;&gt;0,ROUNDUP(AM260+'Délai intermédiaire'!FL139/24,0),0)</f>
        <v>11</v>
      </c>
      <c r="AN296" s="13">
        <f>IF(Distances!FM139&lt;&gt;0,ROUNDUP(AN260+'Délai intermédiaire'!FM139/24,0),0)</f>
        <v>11</v>
      </c>
      <c r="AO296" s="14">
        <f>IF(Distances!FN139&lt;&gt;0,ROUNDUP(AO260+'Délai intermédiaire'!FN139/24,0),0)</f>
        <v>13</v>
      </c>
      <c r="AP296" s="14">
        <f>IF(Distances!FO139&lt;&gt;0,ROUNDUP(AP260+'Délai intermédiaire'!FO139/24,0),0)</f>
        <v>14</v>
      </c>
      <c r="AQ296" s="14">
        <f>IF(Distances!FP139&lt;&gt;0,ROUNDUP(AQ260+'Délai intermédiaire'!FP139/24,0),0)</f>
        <v>10</v>
      </c>
      <c r="AR296" s="13">
        <f>IF(Distances!FQ139&lt;&gt;0,ROUNDUP(AR260+'Délai intermédiaire'!FQ139/24,0),0)</f>
        <v>5</v>
      </c>
      <c r="AS296" s="13">
        <f>IF(Distances!FR139&lt;&gt;0,ROUNDUP(AS260+'Délai intermédiaire'!FR139/24,0),0)</f>
        <v>5</v>
      </c>
      <c r="AT296" s="13">
        <f>IF(Distances!FS139&lt;&gt;0,ROUNDUP(AT260+'Délai intermédiaire'!FS139/24,0),0)</f>
        <v>5</v>
      </c>
      <c r="AU296" s="13">
        <f>IF(Distances!FT139&lt;&gt;0,ROUNDUP(AU260+'Délai intermédiaire'!FT139/24,0),0)</f>
        <v>12</v>
      </c>
      <c r="AV296" s="13">
        <f>IF(Distances!FU139&lt;&gt;0,ROUNDUP(AV260+'Délai intermédiaire'!FU139/24,0),0)</f>
        <v>18</v>
      </c>
      <c r="AW296" s="13">
        <f>IF(Distances!FV139&lt;&gt;0,ROUNDUP(AW260+'Délai intermédiaire'!FV139/24,0),0)</f>
        <v>20</v>
      </c>
      <c r="AX296" s="13">
        <f>IF(Distances!FW139&lt;&gt;0,ROUNDUP(AX260+'Délai intermédiaire'!FW139/24,0),0)</f>
        <v>14</v>
      </c>
      <c r="AY296" s="14">
        <f>IF(Distances!FX139&lt;&gt;0,ROUNDUP(AY260+'Délai intermédiaire'!FX139/24,0),0)</f>
        <v>3</v>
      </c>
      <c r="AZ296" s="14">
        <f>IF(Distances!FY139&lt;&gt;0,ROUNDUP(AZ260+'Délai intermédiaire'!FY139/24,0),0)</f>
        <v>8</v>
      </c>
      <c r="BA296" s="13">
        <f>IF(Distances!FZ139&lt;&gt;0,ROUNDUP(BA260+'Délai intermédiaire'!FZ139/24,0),0)</f>
        <v>9</v>
      </c>
      <c r="BB296" s="14">
        <f>IF(Distances!GA139&lt;&gt;0,ROUNDUP(BB260+'Délai intermédiaire'!GA139/24,0),0)</f>
        <v>16</v>
      </c>
      <c r="BC296" s="13">
        <f>IF(Distances!GB139&lt;&gt;0,ROUNDUP(BC260+'Délai intermédiaire'!GB139/24,0),0)</f>
        <v>10</v>
      </c>
      <c r="BD296" s="13">
        <f>IF(Distances!GC139&lt;&gt;0,ROUNDUP(BD260+'Délai intermédiaire'!GC139/24,0),0)</f>
        <v>12</v>
      </c>
      <c r="BE296" s="13">
        <f>IF(Distances!GD139&lt;&gt;0,ROUNDUP(BE260+'Délai intermédiaire'!GD139/24,0),0)</f>
        <v>11</v>
      </c>
      <c r="BF296" s="14">
        <f>IF(Distances!GE139&lt;&gt;0,ROUNDUP(BF260+'Délai intermédiaire'!GE139/24,0),0)</f>
        <v>11</v>
      </c>
      <c r="BG296" s="14">
        <f>IF(Distances!GF139&lt;&gt;0,ROUNDUP(BG260+'Délai intermédiaire'!GF139/24,0),0)</f>
        <v>10</v>
      </c>
      <c r="BH296" s="14">
        <f>IF(Distances!GG139&lt;&gt;0,ROUNDUP(BH260+'Délai intermédiaire'!GG139/24,0),0)</f>
        <v>26</v>
      </c>
      <c r="BI296" s="14">
        <f>IF(Distances!GH139&lt;&gt;0,ROUNDUP(BI260+'Délai intermédiaire'!GH139/24,0),0)</f>
        <v>23</v>
      </c>
      <c r="BJ296" s="15">
        <f>IF(Distances!GI139&lt;&gt;0,ROUNDUP(BJ260+'Délai intermédiaire'!GI139/24,0),0)</f>
        <v>23</v>
      </c>
    </row>
    <row r="297" spans="1:62" x14ac:dyDescent="0.3">
      <c r="A297" s="10" t="s">
        <v>36</v>
      </c>
      <c r="B297" s="16">
        <f>IF(Distances!EA140&lt;&gt;0,ROUNDUP(B260+'Délai intermédiaire'!EA140/24,0),0)</f>
        <v>0</v>
      </c>
      <c r="C297" s="14">
        <f>IF(Distances!EB140&lt;&gt;0,ROUNDUP(C260+'Délai intermédiaire'!EB140/24,0),0)</f>
        <v>0</v>
      </c>
      <c r="D297" s="14">
        <f>IF(Distances!EC140&lt;&gt;0,ROUNDUP(D260+'Délai intermédiaire'!EC140/24,0),0)</f>
        <v>19</v>
      </c>
      <c r="E297" s="14">
        <f>IF(Distances!ED140&lt;&gt;0,ROUNDUP(E260+'Délai intermédiaire'!ED140/24,0),0)</f>
        <v>0</v>
      </c>
      <c r="F297" s="14">
        <f>IF(Distances!EE140&lt;&gt;0,ROUNDUP(F260+'Délai intermédiaire'!EE140/24,0),0)</f>
        <v>18</v>
      </c>
      <c r="G297" s="14">
        <f>IF(Distances!EF140&lt;&gt;0,ROUNDUP(G260+'Délai intermédiaire'!EF140/24,0),0)</f>
        <v>19</v>
      </c>
      <c r="H297" s="14">
        <f>IF(Distances!EG140&lt;&gt;0,ROUNDUP(H260+'Délai intermédiaire'!EG140/24,0),0)</f>
        <v>0</v>
      </c>
      <c r="I297" s="14">
        <f>IF(Distances!EH140&lt;&gt;0,ROUNDUP(I260+'Délai intermédiaire'!EH140/24,0),0)</f>
        <v>0</v>
      </c>
      <c r="J297" s="14">
        <f>IF(Distances!EI140&lt;&gt;0,ROUNDUP(J260+'Délai intermédiaire'!EI140/24,0),0)</f>
        <v>19</v>
      </c>
      <c r="K297" s="14">
        <f>IF(Distances!EJ140&lt;&gt;0,ROUNDUP(K260+'Délai intermédiaire'!EJ140/24,0),0)</f>
        <v>0</v>
      </c>
      <c r="L297" s="14">
        <f>IF(Distances!EK140&lt;&gt;0,ROUNDUP(L260+'Délai intermédiaire'!EK140/24,0),0)</f>
        <v>0</v>
      </c>
      <c r="M297" s="14">
        <f>IF(Distances!EL140&lt;&gt;0,ROUNDUP(M260+'Délai intermédiaire'!EL140/24,0),0)</f>
        <v>0</v>
      </c>
      <c r="N297" s="14">
        <f>IF(Distances!EM140&lt;&gt;0,ROUNDUP(N260+'Délai intermédiaire'!EM140/24,0),0)</f>
        <v>0</v>
      </c>
      <c r="O297" s="14">
        <f>IF(Distances!EN140&lt;&gt;0,ROUNDUP(O260+'Délai intermédiaire'!EN140/24,0),0)</f>
        <v>0</v>
      </c>
      <c r="P297" s="14">
        <f>IF(Distances!EO140&lt;&gt;0,ROUNDUP(P260+'Délai intermédiaire'!EO140/24,0),0)</f>
        <v>0</v>
      </c>
      <c r="Q297" s="14">
        <f>IF(Distances!EP140&lt;&gt;0,ROUNDUP(Q260+'Délai intermédiaire'!EP140/24,0),0)</f>
        <v>0</v>
      </c>
      <c r="R297" s="14">
        <f>IF(Distances!EQ140&lt;&gt;0,ROUNDUP(R260+'Délai intermédiaire'!EQ140/24,0),0)</f>
        <v>0</v>
      </c>
      <c r="S297" s="14">
        <f>IF(Distances!ER140&lt;&gt;0,ROUNDUP(S260+'Délai intermédiaire'!ER140/24,0),0)</f>
        <v>0</v>
      </c>
      <c r="T297" s="14">
        <f>IF(Distances!ES140&lt;&gt;0,ROUNDUP(T260+'Délai intermédiaire'!ES140/24,0),0)</f>
        <v>14</v>
      </c>
      <c r="U297" s="14">
        <f>IF(Distances!ET140&lt;&gt;0,ROUNDUP(U260+'Délai intermédiaire'!ET140/24,0),0)</f>
        <v>11</v>
      </c>
      <c r="V297" s="14">
        <f>IF(Distances!EU140&lt;&gt;0,ROUNDUP(V260+'Délai intermédiaire'!EU140/24,0),0)</f>
        <v>11</v>
      </c>
      <c r="W297" s="14">
        <f>IF(Distances!EV140&lt;&gt;0,ROUNDUP(W260+'Délai intermédiaire'!EV140/24,0),0)</f>
        <v>0</v>
      </c>
      <c r="X297" s="14">
        <f>IF(Distances!EW140&lt;&gt;0,ROUNDUP(X260+'Délai intermédiaire'!EW140/24,0),0)</f>
        <v>15</v>
      </c>
      <c r="Y297" s="14">
        <f>IF(Distances!EX140&lt;&gt;0,ROUNDUP(Y260+'Délai intermédiaire'!EX140/24,0),0)</f>
        <v>14</v>
      </c>
      <c r="Z297" s="14">
        <f>IF(Distances!EY140&lt;&gt;0,ROUNDUP(Z260+'Délai intermédiaire'!EY140/24,0),0)</f>
        <v>12</v>
      </c>
      <c r="AA297" s="14">
        <f>IF(Distances!EZ140&lt;&gt;0,ROUNDUP(AA260+'Délai intermédiaire'!EZ140/24,0),0)</f>
        <v>12</v>
      </c>
      <c r="AB297" s="14">
        <f>IF(Distances!FA140&lt;&gt;0,ROUNDUP(AB260+'Délai intermédiaire'!FA140/24,0),0)</f>
        <v>11</v>
      </c>
      <c r="AC297" s="14">
        <f>IF(Distances!FB140&lt;&gt;0,ROUNDUP(AC260+'Délai intermédiaire'!FB140/24,0),0)</f>
        <v>0</v>
      </c>
      <c r="AD297" s="14">
        <f>IF(Distances!FC140&lt;&gt;0,ROUNDUP(AD260+'Délai intermédiaire'!FC140/24,0),0)</f>
        <v>0</v>
      </c>
      <c r="AE297" s="14">
        <f>IF(Distances!FD140&lt;&gt;0,ROUNDUP(AE260+'Délai intermédiaire'!FD140/24,0),0)</f>
        <v>12</v>
      </c>
      <c r="AF297" s="14">
        <f>IF(Distances!FE140&lt;&gt;0,ROUNDUP(AF260+'Délai intermédiaire'!FE140/24,0),0)</f>
        <v>11</v>
      </c>
      <c r="AG297" s="14">
        <f>IF(Distances!FF140&lt;&gt;0,ROUNDUP(AG260+'Délai intermédiaire'!FF140/24,0),0)</f>
        <v>12</v>
      </c>
      <c r="AH297" s="13">
        <f>IF(Distances!FG140&lt;&gt;0,ROUNDUP(AH260+'Délai intermédiaire'!FG140/24,0),0)</f>
        <v>6</v>
      </c>
      <c r="AI297" s="13">
        <f>IF(Distances!FH140&lt;&gt;0,ROUNDUP(AI260+'Délai intermédiaire'!FH140/24,0),0)</f>
        <v>0</v>
      </c>
      <c r="AJ297" s="13">
        <f>IF(Distances!FI140&lt;&gt;0,ROUNDUP(AJ260+'Délai intermédiaire'!FI140/24,0),0)</f>
        <v>6</v>
      </c>
      <c r="AK297" s="12">
        <f>IF(Distances!FJ140&lt;&gt;0,ROUNDUP(AK260+'Délai intermédiaire'!FJ140/24,0),0)</f>
        <v>0</v>
      </c>
      <c r="AL297" s="13">
        <f>IF(Distances!FK140&lt;&gt;0,ROUNDUP(AL260+'Délai intermédiaire'!FK140/24,0),0)</f>
        <v>0</v>
      </c>
      <c r="AM297" s="13">
        <f>IF(Distances!FL140&lt;&gt;0,ROUNDUP(AM260+'Délai intermédiaire'!FL140/24,0),0)</f>
        <v>0</v>
      </c>
      <c r="AN297" s="13">
        <f>IF(Distances!FM140&lt;&gt;0,ROUNDUP(AN260+'Délai intermédiaire'!FM140/24,0),0)</f>
        <v>9</v>
      </c>
      <c r="AO297" s="14">
        <f>IF(Distances!FN140&lt;&gt;0,ROUNDUP(AO260+'Délai intermédiaire'!FN140/24,0),0)</f>
        <v>0</v>
      </c>
      <c r="AP297" s="14">
        <f>IF(Distances!FO140&lt;&gt;0,ROUNDUP(AP260+'Délai intermédiaire'!FO140/24,0),0)</f>
        <v>0</v>
      </c>
      <c r="AQ297" s="14">
        <f>IF(Distances!FP140&lt;&gt;0,ROUNDUP(AQ260+'Délai intermédiaire'!FP140/24,0),0)</f>
        <v>0</v>
      </c>
      <c r="AR297" s="13">
        <f>IF(Distances!FQ140&lt;&gt;0,ROUNDUP(AR260+'Délai intermédiaire'!FQ140/24,0),0)</f>
        <v>0</v>
      </c>
      <c r="AS297" s="13">
        <f>IF(Distances!FR140&lt;&gt;0,ROUNDUP(AS260+'Délai intermédiaire'!FR140/24,0),0)</f>
        <v>0</v>
      </c>
      <c r="AT297" s="13">
        <f>IF(Distances!FS140&lt;&gt;0,ROUNDUP(AT260+'Délai intermédiaire'!FS140/24,0),0)</f>
        <v>0</v>
      </c>
      <c r="AU297" s="13">
        <f>IF(Distances!FT140&lt;&gt;0,ROUNDUP(AU260+'Délai intermédiaire'!FT140/24,0),0)</f>
        <v>10</v>
      </c>
      <c r="AV297" s="13">
        <f>IF(Distances!FU140&lt;&gt;0,ROUNDUP(AV260+'Délai intermédiaire'!FU140/24,0),0)</f>
        <v>19</v>
      </c>
      <c r="AW297" s="13">
        <f>IF(Distances!FV140&lt;&gt;0,ROUNDUP(AW260+'Délai intermédiaire'!FV140/24,0),0)</f>
        <v>21</v>
      </c>
      <c r="AX297" s="13">
        <f>IF(Distances!FW140&lt;&gt;0,ROUNDUP(AX260+'Délai intermédiaire'!FW140/24,0),0)</f>
        <v>0</v>
      </c>
      <c r="AY297" s="14">
        <f>IF(Distances!FX140&lt;&gt;0,ROUNDUP(AY260+'Délai intermédiaire'!FX140/24,0),0)</f>
        <v>0</v>
      </c>
      <c r="AZ297" s="14">
        <f>IF(Distances!FY140&lt;&gt;0,ROUNDUP(AZ260+'Délai intermédiaire'!FY140/24,0),0)</f>
        <v>8</v>
      </c>
      <c r="BA297" s="13">
        <f>IF(Distances!FZ140&lt;&gt;0,ROUNDUP(BA260+'Délai intermédiaire'!FZ140/24,0),0)</f>
        <v>0</v>
      </c>
      <c r="BB297" s="14">
        <f>IF(Distances!GA140&lt;&gt;0,ROUNDUP(BB260+'Délai intermédiaire'!GA140/24,0),0)</f>
        <v>0</v>
      </c>
      <c r="BC297" s="13">
        <f>IF(Distances!GB140&lt;&gt;0,ROUNDUP(BC260+'Délai intermédiaire'!GB140/24,0),0)</f>
        <v>0</v>
      </c>
      <c r="BD297" s="13">
        <f>IF(Distances!GC140&lt;&gt;0,ROUNDUP(BD260+'Délai intermédiaire'!GC140/24,0),0)</f>
        <v>10</v>
      </c>
      <c r="BE297" s="13">
        <f>IF(Distances!GD140&lt;&gt;0,ROUNDUP(BE260+'Délai intermédiaire'!GD140/24,0),0)</f>
        <v>0</v>
      </c>
      <c r="BF297" s="14">
        <f>IF(Distances!GE140&lt;&gt;0,ROUNDUP(BF260+'Délai intermédiaire'!GE140/24,0),0)</f>
        <v>12</v>
      </c>
      <c r="BG297" s="14">
        <f>IF(Distances!GF140&lt;&gt;0,ROUNDUP(BG260+'Délai intermédiaire'!GF140/24,0),0)</f>
        <v>0</v>
      </c>
      <c r="BH297" s="14">
        <f>IF(Distances!GG140&lt;&gt;0,ROUNDUP(BH260+'Délai intermédiaire'!GG140/24,0),0)</f>
        <v>0</v>
      </c>
      <c r="BI297" s="14">
        <f>IF(Distances!GH140&lt;&gt;0,ROUNDUP(BI260+'Délai intermédiaire'!GH140/24,0),0)</f>
        <v>0</v>
      </c>
      <c r="BJ297" s="15">
        <f>IF(Distances!GI140&lt;&gt;0,ROUNDUP(BJ260+'Délai intermédiaire'!GI140/24,0),0)</f>
        <v>0</v>
      </c>
    </row>
    <row r="298" spans="1:62" x14ac:dyDescent="0.3">
      <c r="A298" s="10" t="s">
        <v>37</v>
      </c>
      <c r="B298" s="16">
        <f>IF(Distances!EA141&lt;&gt;0,ROUNDUP(B260+'Délai intermédiaire'!EA141/24,0),0)</f>
        <v>0</v>
      </c>
      <c r="C298" s="14">
        <f>IF(Distances!EB141&lt;&gt;0,ROUNDUP(C260+'Délai intermédiaire'!EB141/24,0),0)</f>
        <v>0</v>
      </c>
      <c r="D298" s="14">
        <f>IF(Distances!EC141&lt;&gt;0,ROUNDUP(D260+'Délai intermédiaire'!EC141/24,0),0)</f>
        <v>20</v>
      </c>
      <c r="E298" s="14">
        <f>IF(Distances!ED141&lt;&gt;0,ROUNDUP(E260+'Délai intermédiaire'!ED141/24,0),0)</f>
        <v>0</v>
      </c>
      <c r="F298" s="14">
        <f>IF(Distances!EE141&lt;&gt;0,ROUNDUP(F260+'Délai intermédiaire'!EE141/24,0),0)</f>
        <v>18</v>
      </c>
      <c r="G298" s="14">
        <f>IF(Distances!EF141&lt;&gt;0,ROUNDUP(G260+'Délai intermédiaire'!EF141/24,0),0)</f>
        <v>12</v>
      </c>
      <c r="H298" s="14">
        <f>IF(Distances!EG141&lt;&gt;0,ROUNDUP(H260+'Délai intermédiaire'!EG141/24,0),0)</f>
        <v>0</v>
      </c>
      <c r="I298" s="14">
        <f>IF(Distances!EH141&lt;&gt;0,ROUNDUP(I260+'Délai intermédiaire'!EH141/24,0),0)</f>
        <v>0</v>
      </c>
      <c r="J298" s="14">
        <f>IF(Distances!EI141&lt;&gt;0,ROUNDUP(J260+'Délai intermédiaire'!EI141/24,0),0)</f>
        <v>22</v>
      </c>
      <c r="K298" s="14">
        <f>IF(Distances!EJ141&lt;&gt;0,ROUNDUP(K260+'Délai intermédiaire'!EJ141/24,0),0)</f>
        <v>0</v>
      </c>
      <c r="L298" s="14">
        <f>IF(Distances!EK141&lt;&gt;0,ROUNDUP(L260+'Délai intermédiaire'!EK141/24,0),0)</f>
        <v>0</v>
      </c>
      <c r="M298" s="14">
        <f>IF(Distances!EL141&lt;&gt;0,ROUNDUP(M260+'Délai intermédiaire'!EL141/24,0),0)</f>
        <v>0</v>
      </c>
      <c r="N298" s="14">
        <f>IF(Distances!EM141&lt;&gt;0,ROUNDUP(N260+'Délai intermédiaire'!EM141/24,0),0)</f>
        <v>0</v>
      </c>
      <c r="O298" s="14">
        <f>IF(Distances!EN141&lt;&gt;0,ROUNDUP(O260+'Délai intermédiaire'!EN141/24,0),0)</f>
        <v>0</v>
      </c>
      <c r="P298" s="14">
        <f>IF(Distances!EO141&lt;&gt;0,ROUNDUP(P260+'Délai intermédiaire'!EO141/24,0),0)</f>
        <v>0</v>
      </c>
      <c r="Q298" s="14">
        <f>IF(Distances!EP141&lt;&gt;0,ROUNDUP(Q260+'Délai intermédiaire'!EP141/24,0),0)</f>
        <v>0</v>
      </c>
      <c r="R298" s="14">
        <f>IF(Distances!EQ141&lt;&gt;0,ROUNDUP(R260+'Délai intermédiaire'!EQ141/24,0),0)</f>
        <v>0</v>
      </c>
      <c r="S298" s="14">
        <f>IF(Distances!ER141&lt;&gt;0,ROUNDUP(S260+'Délai intermédiaire'!ER141/24,0),0)</f>
        <v>0</v>
      </c>
      <c r="T298" s="14">
        <f>IF(Distances!ES141&lt;&gt;0,ROUNDUP(T260+'Délai intermédiaire'!ES141/24,0),0)</f>
        <v>21</v>
      </c>
      <c r="U298" s="14">
        <f>IF(Distances!ET141&lt;&gt;0,ROUNDUP(U260+'Délai intermédiaire'!ET141/24,0),0)</f>
        <v>18</v>
      </c>
      <c r="V298" s="14">
        <f>IF(Distances!EU141&lt;&gt;0,ROUNDUP(V260+'Délai intermédiaire'!EU141/24,0),0)</f>
        <v>18</v>
      </c>
      <c r="W298" s="14">
        <f>IF(Distances!EV141&lt;&gt;0,ROUNDUP(W260+'Délai intermédiaire'!EV141/24,0),0)</f>
        <v>0</v>
      </c>
      <c r="X298" s="14">
        <f>IF(Distances!EW141&lt;&gt;0,ROUNDUP(X260+'Délai intermédiaire'!EW141/24,0),0)</f>
        <v>22</v>
      </c>
      <c r="Y298" s="14">
        <f>IF(Distances!EX141&lt;&gt;0,ROUNDUP(Y260+'Délai intermédiaire'!EX141/24,0),0)</f>
        <v>21</v>
      </c>
      <c r="Z298" s="14">
        <f>IF(Distances!EY141&lt;&gt;0,ROUNDUP(Z260+'Délai intermédiaire'!EY141/24,0),0)</f>
        <v>18</v>
      </c>
      <c r="AA298" s="14">
        <f>IF(Distances!EZ141&lt;&gt;0,ROUNDUP(AA260+'Délai intermédiaire'!EZ141/24,0),0)</f>
        <v>19</v>
      </c>
      <c r="AB298" s="14">
        <f>IF(Distances!FA141&lt;&gt;0,ROUNDUP(AB260+'Délai intermédiaire'!FA141/24,0),0)</f>
        <v>18</v>
      </c>
      <c r="AC298" s="14">
        <f>IF(Distances!FB141&lt;&gt;0,ROUNDUP(AC260+'Délai intermédiaire'!FB141/24,0),0)</f>
        <v>0</v>
      </c>
      <c r="AD298" s="14">
        <f>IF(Distances!FC141&lt;&gt;0,ROUNDUP(AD260+'Délai intermédiaire'!FC141/24,0),0)</f>
        <v>0</v>
      </c>
      <c r="AE298" s="14">
        <f>IF(Distances!FD141&lt;&gt;0,ROUNDUP(AE260+'Délai intermédiaire'!FD141/24,0),0)</f>
        <v>19</v>
      </c>
      <c r="AF298" s="14">
        <f>IF(Distances!FE141&lt;&gt;0,ROUNDUP(AF260+'Délai intermédiaire'!FE141/24,0),0)</f>
        <v>18</v>
      </c>
      <c r="AG298" s="14">
        <f>IF(Distances!FF141&lt;&gt;0,ROUNDUP(AG260+'Délai intermédiaire'!FF141/24,0),0)</f>
        <v>19</v>
      </c>
      <c r="AH298" s="13">
        <f>IF(Distances!FG141&lt;&gt;0,ROUNDUP(AH260+'Délai intermédiaire'!FG141/24,0),0)</f>
        <v>12</v>
      </c>
      <c r="AI298" s="13">
        <f>IF(Distances!FH141&lt;&gt;0,ROUNDUP(AI260+'Délai intermédiaire'!FH141/24,0),0)</f>
        <v>0</v>
      </c>
      <c r="AJ298" s="13">
        <f>IF(Distances!FI141&lt;&gt;0,ROUNDUP(AJ260+'Délai intermédiaire'!FI141/24,0),0)</f>
        <v>12</v>
      </c>
      <c r="AK298" s="13">
        <f>IF(Distances!FJ141&lt;&gt;0,ROUNDUP(AK260+'Délai intermédiaire'!FJ141/24,0),0)</f>
        <v>0</v>
      </c>
      <c r="AL298" s="12">
        <f>IF(Distances!FK141&lt;&gt;0,ROUNDUP(AL260+'Délai intermédiaire'!FK141/24,0),0)</f>
        <v>0</v>
      </c>
      <c r="AM298" s="13">
        <f>IF(Distances!FL141&lt;&gt;0,ROUNDUP(AM260+'Délai intermédiaire'!FL141/24,0),0)</f>
        <v>0</v>
      </c>
      <c r="AN298" s="13">
        <f>IF(Distances!FM141&lt;&gt;0,ROUNDUP(AN260+'Délai intermédiaire'!FM141/24,0),0)</f>
        <v>2</v>
      </c>
      <c r="AO298" s="14">
        <f>IF(Distances!FN141&lt;&gt;0,ROUNDUP(AO260+'Délai intermédiaire'!FN141/24,0),0)</f>
        <v>0</v>
      </c>
      <c r="AP298" s="14">
        <f>IF(Distances!FO141&lt;&gt;0,ROUNDUP(AP260+'Délai intermédiaire'!FO141/24,0),0)</f>
        <v>0</v>
      </c>
      <c r="AQ298" s="14">
        <f>IF(Distances!FP141&lt;&gt;0,ROUNDUP(AQ260+'Délai intermédiaire'!FP141/24,0),0)</f>
        <v>0</v>
      </c>
      <c r="AR298" s="13">
        <f>IF(Distances!FQ141&lt;&gt;0,ROUNDUP(AR260+'Délai intermédiaire'!FQ141/24,0),0)</f>
        <v>0</v>
      </c>
      <c r="AS298" s="13">
        <f>IF(Distances!FR141&lt;&gt;0,ROUNDUP(AS260+'Délai intermédiaire'!FR141/24,0),0)</f>
        <v>0</v>
      </c>
      <c r="AT298" s="13">
        <f>IF(Distances!FS141&lt;&gt;0,ROUNDUP(AT260+'Délai intermédiaire'!FS141/24,0),0)</f>
        <v>0</v>
      </c>
      <c r="AU298" s="13">
        <f>IF(Distances!FT141&lt;&gt;0,ROUNDUP(AU260+'Délai intermédiaire'!FT141/24,0),0)</f>
        <v>4</v>
      </c>
      <c r="AV298" s="13">
        <f>IF(Distances!FU141&lt;&gt;0,ROUNDUP(AV260+'Délai intermédiaire'!FU141/24,0),0)</f>
        <v>25</v>
      </c>
      <c r="AW298" s="13">
        <f>IF(Distances!FV141&lt;&gt;0,ROUNDUP(AW260+'Délai intermédiaire'!FV141/24,0),0)</f>
        <v>28</v>
      </c>
      <c r="AX298" s="13">
        <f>IF(Distances!FW141&lt;&gt;0,ROUNDUP(AX260+'Délai intermédiaire'!FW141/24,0),0)</f>
        <v>0</v>
      </c>
      <c r="AY298" s="14">
        <f>IF(Distances!FX141&lt;&gt;0,ROUNDUP(AY260+'Délai intermédiaire'!FX141/24,0),0)</f>
        <v>0</v>
      </c>
      <c r="AZ298" s="14">
        <f>IF(Distances!FY141&lt;&gt;0,ROUNDUP(AZ260+'Délai intermédiaire'!FY141/24,0),0)</f>
        <v>15</v>
      </c>
      <c r="BA298" s="13">
        <f>IF(Distances!FZ141&lt;&gt;0,ROUNDUP(BA260+'Délai intermédiaire'!FZ141/24,0),0)</f>
        <v>0</v>
      </c>
      <c r="BB298" s="14">
        <f>IF(Distances!GA141&lt;&gt;0,ROUNDUP(BB260+'Délai intermédiaire'!GA141/24,0),0)</f>
        <v>0</v>
      </c>
      <c r="BC298" s="13">
        <f>IF(Distances!GB141&lt;&gt;0,ROUNDUP(BC260+'Délai intermédiaire'!GB141/24,0),0)</f>
        <v>0</v>
      </c>
      <c r="BD298" s="13">
        <f>IF(Distances!GC141&lt;&gt;0,ROUNDUP(BD260+'Délai intermédiaire'!GC141/24,0),0)</f>
        <v>5</v>
      </c>
      <c r="BE298" s="13">
        <f>IF(Distances!GD141&lt;&gt;0,ROUNDUP(BE260+'Délai intermédiaire'!GD141/24,0),0)</f>
        <v>0</v>
      </c>
      <c r="BF298" s="14">
        <f>IF(Distances!GE141&lt;&gt;0,ROUNDUP(BF260+'Délai intermédiaire'!GE141/24,0),0)</f>
        <v>19</v>
      </c>
      <c r="BG298" s="14">
        <f>IF(Distances!GF141&lt;&gt;0,ROUNDUP(BG260+'Délai intermédiaire'!GF141/24,0),0)</f>
        <v>0</v>
      </c>
      <c r="BH298" s="14">
        <f>IF(Distances!GG141&lt;&gt;0,ROUNDUP(BH260+'Délai intermédiaire'!GG141/24,0),0)</f>
        <v>0</v>
      </c>
      <c r="BI298" s="14">
        <f>IF(Distances!GH141&lt;&gt;0,ROUNDUP(BI260+'Délai intermédiaire'!GH141/24,0),0)</f>
        <v>0</v>
      </c>
      <c r="BJ298" s="15">
        <f>IF(Distances!GI141&lt;&gt;0,ROUNDUP(BJ260+'Délai intermédiaire'!GI141/24,0),0)</f>
        <v>0</v>
      </c>
    </row>
    <row r="299" spans="1:62" x14ac:dyDescent="0.3">
      <c r="A299" s="10" t="s">
        <v>38</v>
      </c>
      <c r="B299" s="16">
        <f>IF(Distances!EA142&lt;&gt;0,ROUNDUP(B260+'Délai intermédiaire'!EA142/24,0),0)</f>
        <v>0</v>
      </c>
      <c r="C299" s="14">
        <f>IF(Distances!EB142&lt;&gt;0,ROUNDUP(C260+'Délai intermédiaire'!EB142/24,0),0)</f>
        <v>0</v>
      </c>
      <c r="D299" s="14">
        <f>IF(Distances!EC142&lt;&gt;0,ROUNDUP(D260+'Délai intermédiaire'!EC142/24,0),0)</f>
        <v>20</v>
      </c>
      <c r="E299" s="14">
        <f>IF(Distances!ED142&lt;&gt;0,ROUNDUP(E260+'Délai intermédiaire'!ED142/24,0),0)</f>
        <v>0</v>
      </c>
      <c r="F299" s="14">
        <f>IF(Distances!EE142&lt;&gt;0,ROUNDUP(F260+'Délai intermédiaire'!EE142/24,0),0)</f>
        <v>19</v>
      </c>
      <c r="G299" s="14">
        <f>IF(Distances!EF142&lt;&gt;0,ROUNDUP(G260+'Délai intermédiaire'!EF142/24,0),0)</f>
        <v>12</v>
      </c>
      <c r="H299" s="14">
        <f>IF(Distances!EG142&lt;&gt;0,ROUNDUP(H260+'Délai intermédiaire'!EG142/24,0),0)</f>
        <v>0</v>
      </c>
      <c r="I299" s="14">
        <f>IF(Distances!EH142&lt;&gt;0,ROUNDUP(I260+'Délai intermédiaire'!EH142/24,0),0)</f>
        <v>0</v>
      </c>
      <c r="J299" s="14">
        <f>IF(Distances!EI142&lt;&gt;0,ROUNDUP(J260+'Délai intermédiaire'!EI142/24,0),0)</f>
        <v>22</v>
      </c>
      <c r="K299" s="14">
        <f>IF(Distances!EJ142&lt;&gt;0,ROUNDUP(K260+'Délai intermédiaire'!EJ142/24,0),0)</f>
        <v>0</v>
      </c>
      <c r="L299" s="14">
        <f>IF(Distances!EK142&lt;&gt;0,ROUNDUP(L260+'Délai intermédiaire'!EK142/24,0),0)</f>
        <v>0</v>
      </c>
      <c r="M299" s="14">
        <f>IF(Distances!EL142&lt;&gt;0,ROUNDUP(M260+'Délai intermédiaire'!EL142/24,0),0)</f>
        <v>0</v>
      </c>
      <c r="N299" s="14">
        <f>IF(Distances!EM142&lt;&gt;0,ROUNDUP(N260+'Délai intermédiaire'!EM142/24,0),0)</f>
        <v>0</v>
      </c>
      <c r="O299" s="14">
        <f>IF(Distances!EN142&lt;&gt;0,ROUNDUP(O260+'Délai intermédiaire'!EN142/24,0),0)</f>
        <v>0</v>
      </c>
      <c r="P299" s="14">
        <f>IF(Distances!EO142&lt;&gt;0,ROUNDUP(P260+'Délai intermédiaire'!EO142/24,0),0)</f>
        <v>0</v>
      </c>
      <c r="Q299" s="14">
        <f>IF(Distances!EP142&lt;&gt;0,ROUNDUP(Q260+'Délai intermédiaire'!EP142/24,0),0)</f>
        <v>0</v>
      </c>
      <c r="R299" s="14">
        <f>IF(Distances!EQ142&lt;&gt;0,ROUNDUP(R260+'Délai intermédiaire'!EQ142/24,0),0)</f>
        <v>0</v>
      </c>
      <c r="S299" s="14">
        <f>IF(Distances!ER142&lt;&gt;0,ROUNDUP(S260+'Délai intermédiaire'!ER142/24,0),0)</f>
        <v>0</v>
      </c>
      <c r="T299" s="14">
        <f>IF(Distances!ES142&lt;&gt;0,ROUNDUP(T260+'Délai intermédiaire'!ES142/24,0),0)</f>
        <v>20</v>
      </c>
      <c r="U299" s="14">
        <f>IF(Distances!ET142&lt;&gt;0,ROUNDUP(U260+'Délai intermédiaire'!ET142/24,0),0)</f>
        <v>18</v>
      </c>
      <c r="V299" s="14">
        <f>IF(Distances!EU142&lt;&gt;0,ROUNDUP(V260+'Délai intermédiaire'!EU142/24,0),0)</f>
        <v>17</v>
      </c>
      <c r="W299" s="14">
        <f>IF(Distances!EV142&lt;&gt;0,ROUNDUP(W260+'Délai intermédiaire'!EV142/24,0),0)</f>
        <v>0</v>
      </c>
      <c r="X299" s="14">
        <f>IF(Distances!EW142&lt;&gt;0,ROUNDUP(X260+'Délai intermédiaire'!EW142/24,0),0)</f>
        <v>22</v>
      </c>
      <c r="Y299" s="14">
        <f>IF(Distances!EX142&lt;&gt;0,ROUNDUP(Y260+'Délai intermédiaire'!EX142/24,0),0)</f>
        <v>21</v>
      </c>
      <c r="Z299" s="14">
        <f>IF(Distances!EY142&lt;&gt;0,ROUNDUP(Z260+'Délai intermédiaire'!EY142/24,0),0)</f>
        <v>18</v>
      </c>
      <c r="AA299" s="14">
        <f>IF(Distances!EZ142&lt;&gt;0,ROUNDUP(AA260+'Délai intermédiaire'!EZ142/24,0),0)</f>
        <v>18</v>
      </c>
      <c r="AB299" s="14">
        <f>IF(Distances!FA142&lt;&gt;0,ROUNDUP(AB260+'Délai intermédiaire'!FA142/24,0),0)</f>
        <v>18</v>
      </c>
      <c r="AC299" s="14">
        <f>IF(Distances!FB142&lt;&gt;0,ROUNDUP(AC260+'Délai intermédiaire'!FB142/24,0),0)</f>
        <v>0</v>
      </c>
      <c r="AD299" s="14">
        <f>IF(Distances!FC142&lt;&gt;0,ROUNDUP(AD260+'Délai intermédiaire'!FC142/24,0),0)</f>
        <v>0</v>
      </c>
      <c r="AE299" s="14">
        <f>IF(Distances!FD142&lt;&gt;0,ROUNDUP(AE260+'Délai intermédiaire'!FD142/24,0),0)</f>
        <v>19</v>
      </c>
      <c r="AF299" s="14">
        <f>IF(Distances!FE142&lt;&gt;0,ROUNDUP(AF260+'Délai intermédiaire'!FE142/24,0),0)</f>
        <v>18</v>
      </c>
      <c r="AG299" s="14">
        <f>IF(Distances!FF142&lt;&gt;0,ROUNDUP(AG260+'Délai intermédiaire'!FF142/24,0),0)</f>
        <v>18</v>
      </c>
      <c r="AH299" s="13">
        <f>IF(Distances!FG142&lt;&gt;0,ROUNDUP(AH260+'Délai intermédiaire'!FG142/24,0),0)</f>
        <v>12</v>
      </c>
      <c r="AI299" s="13">
        <f>IF(Distances!FH142&lt;&gt;0,ROUNDUP(AI260+'Délai intermédiaire'!FH142/24,0),0)</f>
        <v>0</v>
      </c>
      <c r="AJ299" s="13">
        <f>IF(Distances!FI142&lt;&gt;0,ROUNDUP(AJ260+'Délai intermédiaire'!FI142/24,0),0)</f>
        <v>12</v>
      </c>
      <c r="AK299" s="13">
        <f>IF(Distances!FJ142&lt;&gt;0,ROUNDUP(AK260+'Délai intermédiaire'!FJ142/24,0),0)</f>
        <v>0</v>
      </c>
      <c r="AL299" s="13">
        <f>IF(Distances!FK142&lt;&gt;0,ROUNDUP(AL260+'Délai intermédiaire'!FK142/24,0),0)</f>
        <v>0</v>
      </c>
      <c r="AM299" s="12">
        <f>IF(Distances!FL142&lt;&gt;0,ROUNDUP(AM260+'Délai intermédiaire'!FL142/24,0),0)</f>
        <v>0</v>
      </c>
      <c r="AN299" s="13">
        <f>IF(Distances!FM142&lt;&gt;0,ROUNDUP(AN260+'Délai intermédiaire'!FM142/24,0),0)</f>
        <v>2</v>
      </c>
      <c r="AO299" s="14">
        <f>IF(Distances!FN142&lt;&gt;0,ROUNDUP(AO260+'Délai intermédiaire'!FN142/24,0),0)</f>
        <v>0</v>
      </c>
      <c r="AP299" s="14">
        <f>IF(Distances!FO142&lt;&gt;0,ROUNDUP(AP260+'Délai intermédiaire'!FO142/24,0),0)</f>
        <v>0</v>
      </c>
      <c r="AQ299" s="14">
        <f>IF(Distances!FP142&lt;&gt;0,ROUNDUP(AQ260+'Délai intermédiaire'!FP142/24,0),0)</f>
        <v>0</v>
      </c>
      <c r="AR299" s="13">
        <f>IF(Distances!FQ142&lt;&gt;0,ROUNDUP(AR260+'Délai intermédiaire'!FQ142/24,0),0)</f>
        <v>0</v>
      </c>
      <c r="AS299" s="13">
        <f>IF(Distances!FR142&lt;&gt;0,ROUNDUP(AS260+'Délai intermédiaire'!FR142/24,0),0)</f>
        <v>0</v>
      </c>
      <c r="AT299" s="13">
        <f>IF(Distances!FS142&lt;&gt;0,ROUNDUP(AT260+'Délai intermédiaire'!FS142/24,0),0)</f>
        <v>0</v>
      </c>
      <c r="AU299" s="13">
        <f>IF(Distances!FT142&lt;&gt;0,ROUNDUP(AU260+'Délai intermédiaire'!FT142/24,0),0)</f>
        <v>4</v>
      </c>
      <c r="AV299" s="13">
        <f>IF(Distances!FU142&lt;&gt;0,ROUNDUP(AV260+'Délai intermédiaire'!FU142/24,0),0)</f>
        <v>25</v>
      </c>
      <c r="AW299" s="13">
        <f>IF(Distances!FV142&lt;&gt;0,ROUNDUP(AW260+'Délai intermédiaire'!FV142/24,0),0)</f>
        <v>27</v>
      </c>
      <c r="AX299" s="13">
        <f>IF(Distances!FW142&lt;&gt;0,ROUNDUP(AX260+'Délai intermédiaire'!FW142/24,0),0)</f>
        <v>0</v>
      </c>
      <c r="AY299" s="14">
        <f>IF(Distances!FX142&lt;&gt;0,ROUNDUP(AY260+'Délai intermédiaire'!FX142/24,0),0)</f>
        <v>0</v>
      </c>
      <c r="AZ299" s="14">
        <f>IF(Distances!FY142&lt;&gt;0,ROUNDUP(AZ260+'Délai intermédiaire'!FY142/24,0),0)</f>
        <v>14</v>
      </c>
      <c r="BA299" s="13">
        <f>IF(Distances!FZ142&lt;&gt;0,ROUNDUP(BA260+'Délai intermédiaire'!FZ142/24,0),0)</f>
        <v>0</v>
      </c>
      <c r="BB299" s="14">
        <f>IF(Distances!GA142&lt;&gt;0,ROUNDUP(BB260+'Délai intermédiaire'!GA142/24,0),0)</f>
        <v>0</v>
      </c>
      <c r="BC299" s="13">
        <f>IF(Distances!GB142&lt;&gt;0,ROUNDUP(BC260+'Délai intermédiaire'!GB142/24,0),0)</f>
        <v>0</v>
      </c>
      <c r="BD299" s="13">
        <f>IF(Distances!GC142&lt;&gt;0,ROUNDUP(BD260+'Délai intermédiaire'!GC142/24,0),0)</f>
        <v>4</v>
      </c>
      <c r="BE299" s="13">
        <f>IF(Distances!GD142&lt;&gt;0,ROUNDUP(BE260+'Délai intermédiaire'!GD142/24,0),0)</f>
        <v>0</v>
      </c>
      <c r="BF299" s="14">
        <f>IF(Distances!GE142&lt;&gt;0,ROUNDUP(BF260+'Délai intermédiaire'!GE142/24,0),0)</f>
        <v>19</v>
      </c>
      <c r="BG299" s="14">
        <f>IF(Distances!GF142&lt;&gt;0,ROUNDUP(BG260+'Délai intermédiaire'!GF142/24,0),0)</f>
        <v>0</v>
      </c>
      <c r="BH299" s="14">
        <f>IF(Distances!GG142&lt;&gt;0,ROUNDUP(BH260+'Délai intermédiaire'!GG142/24,0),0)</f>
        <v>0</v>
      </c>
      <c r="BI299" s="14">
        <f>IF(Distances!GH142&lt;&gt;0,ROUNDUP(BI260+'Délai intermédiaire'!GH142/24,0),0)</f>
        <v>0</v>
      </c>
      <c r="BJ299" s="15">
        <f>IF(Distances!GI142&lt;&gt;0,ROUNDUP(BJ260+'Délai intermédiaire'!GI142/24,0),0)</f>
        <v>0</v>
      </c>
    </row>
    <row r="300" spans="1:62" x14ac:dyDescent="0.3">
      <c r="A300" s="10" t="s">
        <v>39</v>
      </c>
      <c r="B300" s="16">
        <f>IF(Distances!EA143&lt;&gt;0,ROUNDUP(B260+'Délai intermédiaire'!EA143/24,0),0)</f>
        <v>18</v>
      </c>
      <c r="C300" s="14">
        <f>IF(Distances!EB143&lt;&gt;0,ROUNDUP(C260+'Délai intermédiaire'!EB143/24,0),0)</f>
        <v>18</v>
      </c>
      <c r="D300" s="14">
        <f>IF(Distances!EC143&lt;&gt;0,ROUNDUP(D260+'Délai intermédiaire'!EC143/24,0),0)</f>
        <v>20</v>
      </c>
      <c r="E300" s="14">
        <f>IF(Distances!ED143&lt;&gt;0,ROUNDUP(E260+'Délai intermédiaire'!ED143/24,0),0)</f>
        <v>23</v>
      </c>
      <c r="F300" s="14">
        <f>IF(Distances!EE143&lt;&gt;0,ROUNDUP(F260+'Délai intermédiaire'!EE143/24,0),0)</f>
        <v>19</v>
      </c>
      <c r="G300" s="14">
        <f>IF(Distances!EF143&lt;&gt;0,ROUNDUP(G260+'Délai intermédiaire'!EF143/24,0),0)</f>
        <v>13</v>
      </c>
      <c r="H300" s="14">
        <f>IF(Distances!EG143&lt;&gt;0,ROUNDUP(H260+'Délai intermédiaire'!EG143/24,0),0)</f>
        <v>10</v>
      </c>
      <c r="I300" s="14">
        <f>IF(Distances!EH143&lt;&gt;0,ROUNDUP(I260+'Délai intermédiaire'!EH143/24,0),0)</f>
        <v>11</v>
      </c>
      <c r="J300" s="14">
        <f>IF(Distances!EI143&lt;&gt;0,ROUNDUP(J260+'Délai intermédiaire'!EI143/24,0),0)</f>
        <v>22</v>
      </c>
      <c r="K300" s="14">
        <f>IF(Distances!EJ143&lt;&gt;0,ROUNDUP(K260+'Délai intermédiaire'!EJ143/24,0),0)</f>
        <v>22</v>
      </c>
      <c r="L300" s="14">
        <f>IF(Distances!EK143&lt;&gt;0,ROUNDUP(L260+'Délai intermédiaire'!EK143/24,0),0)</f>
        <v>11</v>
      </c>
      <c r="M300" s="14">
        <f>IF(Distances!EL143&lt;&gt;0,ROUNDUP(M260+'Délai intermédiaire'!EL143/24,0),0)</f>
        <v>11</v>
      </c>
      <c r="N300" s="14">
        <f>IF(Distances!EM143&lt;&gt;0,ROUNDUP(N260+'Délai intermédiaire'!EM143/24,0),0)</f>
        <v>19</v>
      </c>
      <c r="O300" s="14">
        <f>IF(Distances!EN143&lt;&gt;0,ROUNDUP(O260+'Délai intermédiaire'!EN143/24,0),0)</f>
        <v>22</v>
      </c>
      <c r="P300" s="14">
        <f>IF(Distances!EO143&lt;&gt;0,ROUNDUP(P260+'Délai intermédiaire'!EO143/24,0),0)</f>
        <v>22</v>
      </c>
      <c r="Q300" s="14">
        <f>IF(Distances!EP143&lt;&gt;0,ROUNDUP(Q260+'Délai intermédiaire'!EP143/24,0),0)</f>
        <v>21</v>
      </c>
      <c r="R300" s="14">
        <f>IF(Distances!EQ143&lt;&gt;0,ROUNDUP(R260+'Délai intermédiaire'!EQ143/24,0),0)</f>
        <v>20</v>
      </c>
      <c r="S300" s="14">
        <f>IF(Distances!ER143&lt;&gt;0,ROUNDUP(S260+'Délai intermédiaire'!ER143/24,0),0)</f>
        <v>20</v>
      </c>
      <c r="T300" s="14">
        <f>IF(Distances!ES143&lt;&gt;0,ROUNDUP(T260+'Délai intermédiaire'!ES143/24,0),0)</f>
        <v>20</v>
      </c>
      <c r="U300" s="14">
        <f>IF(Distances!ET143&lt;&gt;0,ROUNDUP(U260+'Délai intermédiaire'!ET143/24,0),0)</f>
        <v>17</v>
      </c>
      <c r="V300" s="14">
        <f>IF(Distances!EU143&lt;&gt;0,ROUNDUP(V260+'Délai intermédiaire'!EU143/24,0),0)</f>
        <v>17</v>
      </c>
      <c r="W300" s="14">
        <f>IF(Distances!EV143&lt;&gt;0,ROUNDUP(W260+'Délai intermédiaire'!EV143/24,0),0)</f>
        <v>21</v>
      </c>
      <c r="X300" s="14">
        <f>IF(Distances!EW143&lt;&gt;0,ROUNDUP(X260+'Délai intermédiaire'!EW143/24,0),0)</f>
        <v>22</v>
      </c>
      <c r="Y300" s="14">
        <f>IF(Distances!EX143&lt;&gt;0,ROUNDUP(Y260+'Délai intermédiaire'!EX143/24,0),0)</f>
        <v>20</v>
      </c>
      <c r="Z300" s="14">
        <f>IF(Distances!EY143&lt;&gt;0,ROUNDUP(Z260+'Délai intermédiaire'!EY143/24,0),0)</f>
        <v>18</v>
      </c>
      <c r="AA300" s="14">
        <f>IF(Distances!EZ143&lt;&gt;0,ROUNDUP(AA260+'Délai intermédiaire'!EZ143/24,0),0)</f>
        <v>18</v>
      </c>
      <c r="AB300" s="14">
        <f>IF(Distances!FA143&lt;&gt;0,ROUNDUP(AB260+'Délai intermédiaire'!FA143/24,0),0)</f>
        <v>18</v>
      </c>
      <c r="AC300" s="14">
        <f>IF(Distances!FB143&lt;&gt;0,ROUNDUP(AC260+'Délai intermédiaire'!FB143/24,0),0)</f>
        <v>17</v>
      </c>
      <c r="AD300" s="14">
        <f>IF(Distances!FC143&lt;&gt;0,ROUNDUP(AD260+'Délai intermédiaire'!FC143/24,0),0)</f>
        <v>23</v>
      </c>
      <c r="AE300" s="14">
        <f>IF(Distances!FD143&lt;&gt;0,ROUNDUP(AE260+'Délai intermédiaire'!FD143/24,0),0)</f>
        <v>18</v>
      </c>
      <c r="AF300" s="14">
        <f>IF(Distances!FE143&lt;&gt;0,ROUNDUP(AF260+'Délai intermédiaire'!FE143/24,0),0)</f>
        <v>17</v>
      </c>
      <c r="AG300" s="14">
        <f>IF(Distances!FF143&lt;&gt;0,ROUNDUP(AG260+'Délai intermédiaire'!FF143/24,0),0)</f>
        <v>18</v>
      </c>
      <c r="AH300" s="13">
        <f>IF(Distances!FG143&lt;&gt;0,ROUNDUP(AH260+'Délai intermédiaire'!FG143/24,0),0)</f>
        <v>12</v>
      </c>
      <c r="AI300" s="13">
        <f>IF(Distances!FH143&lt;&gt;0,ROUNDUP(AI260+'Délai intermédiaire'!FH143/24,0),0)</f>
        <v>10</v>
      </c>
      <c r="AJ300" s="13">
        <f>IF(Distances!FI143&lt;&gt;0,ROUNDUP(AJ260+'Délai intermédiaire'!FI143/24,0),0)</f>
        <v>12</v>
      </c>
      <c r="AK300" s="13">
        <f>IF(Distances!FJ143&lt;&gt;0,ROUNDUP(AK260+'Délai intermédiaire'!FJ143/24,0),0)</f>
        <v>10</v>
      </c>
      <c r="AL300" s="13">
        <f>IF(Distances!FK143&lt;&gt;0,ROUNDUP(AL260+'Délai intermédiaire'!FK143/24,0),0)</f>
        <v>2</v>
      </c>
      <c r="AM300" s="13">
        <f>IF(Distances!FL143&lt;&gt;0,ROUNDUP(AM260+'Délai intermédiaire'!FL143/24,0),0)</f>
        <v>2</v>
      </c>
      <c r="AN300" s="12">
        <f>IF(Distances!FM143&lt;&gt;0,ROUNDUP(AN260+'Délai intermédiaire'!FM143/24,0),0)</f>
        <v>0</v>
      </c>
      <c r="AO300" s="14">
        <f>IF(Distances!FN143&lt;&gt;0,ROUNDUP(AO260+'Délai intermédiaire'!FN143/24,0),0)</f>
        <v>11</v>
      </c>
      <c r="AP300" s="14">
        <f>IF(Distances!FO143&lt;&gt;0,ROUNDUP(AP260+'Délai intermédiaire'!FO143/24,0),0)</f>
        <v>10</v>
      </c>
      <c r="AQ300" s="14">
        <f>IF(Distances!FP143&lt;&gt;0,ROUNDUP(AQ260+'Délai intermédiaire'!FP143/24,0),0)</f>
        <v>10</v>
      </c>
      <c r="AR300" s="13">
        <f>IF(Distances!FQ143&lt;&gt;0,ROUNDUP(AR260+'Délai intermédiaire'!FQ143/24,0),0)</f>
        <v>13</v>
      </c>
      <c r="AS300" s="13">
        <f>IF(Distances!FR143&lt;&gt;0,ROUNDUP(AS260+'Délai intermédiaire'!FR143/24,0),0)</f>
        <v>13</v>
      </c>
      <c r="AT300" s="13">
        <f>IF(Distances!FS143&lt;&gt;0,ROUNDUP(AT260+'Délai intermédiaire'!FS143/24,0),0)</f>
        <v>13</v>
      </c>
      <c r="AU300" s="13">
        <f>IF(Distances!FT143&lt;&gt;0,ROUNDUP(AU260+'Délai intermédiaire'!FT143/24,0),0)</f>
        <v>3</v>
      </c>
      <c r="AV300" s="13">
        <f>IF(Distances!FU143&lt;&gt;0,ROUNDUP(AV260+'Délai intermédiaire'!FU143/24,0),0)</f>
        <v>25</v>
      </c>
      <c r="AW300" s="13">
        <f>IF(Distances!FV143&lt;&gt;0,ROUNDUP(AW260+'Délai intermédiaire'!FV143/24,0),0)</f>
        <v>27</v>
      </c>
      <c r="AX300" s="13">
        <f>IF(Distances!FW143&lt;&gt;0,ROUNDUP(AX260+'Délai intermédiaire'!FW143/24,0),0)</f>
        <v>5</v>
      </c>
      <c r="AY300" s="14">
        <f>IF(Distances!FX143&lt;&gt;0,ROUNDUP(AY260+'Délai intermédiaire'!FX143/24,0),0)</f>
        <v>3</v>
      </c>
      <c r="AZ300" s="14">
        <f>IF(Distances!FY143&lt;&gt;0,ROUNDUP(AZ260+'Délai intermédiaire'!FY143/24,0),0)</f>
        <v>14</v>
      </c>
      <c r="BA300" s="13">
        <f>IF(Distances!FZ143&lt;&gt;0,ROUNDUP(BA260+'Délai intermédiaire'!FZ143/24,0),0)</f>
        <v>7</v>
      </c>
      <c r="BB300" s="14">
        <f>IF(Distances!GA143&lt;&gt;0,ROUNDUP(BB260+'Délai intermédiaire'!GA143/24,0),0)</f>
        <v>23</v>
      </c>
      <c r="BC300" s="13">
        <f>IF(Distances!GB143&lt;&gt;0,ROUNDUP(BC260+'Délai intermédiaire'!GB143/24,0),0)</f>
        <v>5</v>
      </c>
      <c r="BD300" s="13">
        <f>IF(Distances!GC143&lt;&gt;0,ROUNDUP(BD260+'Délai intermédiaire'!GC143/24,0),0)</f>
        <v>4</v>
      </c>
      <c r="BE300" s="13">
        <f>IF(Distances!GD143&lt;&gt;0,ROUNDUP(BE260+'Délai intermédiaire'!GD143/24,0),0)</f>
        <v>3</v>
      </c>
      <c r="BF300" s="14">
        <f>IF(Distances!GE143&lt;&gt;0,ROUNDUP(BF260+'Délai intermédiaire'!GE143/24,0),0)</f>
        <v>19</v>
      </c>
      <c r="BG300" s="14">
        <f>IF(Distances!GF143&lt;&gt;0,ROUNDUP(BG260+'Délai intermédiaire'!GF143/24,0),0)</f>
        <v>17</v>
      </c>
      <c r="BH300" s="14">
        <f>IF(Distances!GG143&lt;&gt;0,ROUNDUP(BH260+'Délai intermédiaire'!GG143/24,0),0)</f>
        <v>17</v>
      </c>
      <c r="BI300" s="14">
        <f>IF(Distances!GH143&lt;&gt;0,ROUNDUP(BI260+'Délai intermédiaire'!GH143/24,0),0)</f>
        <v>19</v>
      </c>
      <c r="BJ300" s="15">
        <f>IF(Distances!GI143&lt;&gt;0,ROUNDUP(BJ260+'Délai intermédiaire'!GI143/24,0),0)</f>
        <v>19</v>
      </c>
    </row>
    <row r="301" spans="1:62" x14ac:dyDescent="0.3">
      <c r="A301" s="10" t="s">
        <v>40</v>
      </c>
      <c r="B301" s="16">
        <f>IF(Distances!EA144&lt;&gt;0,ROUNDUP(B260+'Délai intermédiaire'!EA144/24,0),0)</f>
        <v>0</v>
      </c>
      <c r="C301" s="14">
        <f>IF(Distances!EB144&lt;&gt;0,ROUNDUP(C260+'Délai intermédiaire'!EB144/24,0),0)</f>
        <v>0</v>
      </c>
      <c r="D301" s="14">
        <f>IF(Distances!EC144&lt;&gt;0,ROUNDUP(D260+'Délai intermédiaire'!EC144/24,0),0)</f>
        <v>20</v>
      </c>
      <c r="E301" s="14">
        <f>IF(Distances!ED144&lt;&gt;0,ROUNDUP(E260+'Délai intermédiaire'!ED144/24,0),0)</f>
        <v>0</v>
      </c>
      <c r="F301" s="14">
        <f>IF(Distances!EE144&lt;&gt;0,ROUNDUP(F260+'Délai intermédiaire'!EE144/24,0),0)</f>
        <v>19</v>
      </c>
      <c r="G301" s="14">
        <f>IF(Distances!EF144&lt;&gt;0,ROUNDUP(G260+'Délai intermédiaire'!EF144/24,0),0)</f>
        <v>16</v>
      </c>
      <c r="H301" s="14">
        <f>IF(Distances!EG144&lt;&gt;0,ROUNDUP(H260+'Délai intermédiaire'!EG144/24,0),0)</f>
        <v>0</v>
      </c>
      <c r="I301" s="14">
        <f>IF(Distances!EH144&lt;&gt;0,ROUNDUP(I260+'Délai intermédiaire'!EH144/24,0),0)</f>
        <v>0</v>
      </c>
      <c r="J301" s="14">
        <f>IF(Distances!EI144&lt;&gt;0,ROUNDUP(J260+'Délai intermédiaire'!EI144/24,0),0)</f>
        <v>22</v>
      </c>
      <c r="K301" s="14">
        <f>IF(Distances!EJ144&lt;&gt;0,ROUNDUP(K260+'Délai intermédiaire'!EJ144/24,0),0)</f>
        <v>0</v>
      </c>
      <c r="L301" s="14">
        <f>IF(Distances!EK144&lt;&gt;0,ROUNDUP(L260+'Délai intermédiaire'!EK144/24,0),0)</f>
        <v>0</v>
      </c>
      <c r="M301" s="14">
        <f>IF(Distances!EL144&lt;&gt;0,ROUNDUP(M260+'Délai intermédiaire'!EL144/24,0),0)</f>
        <v>0</v>
      </c>
      <c r="N301" s="14">
        <f>IF(Distances!EM144&lt;&gt;0,ROUNDUP(N260+'Délai intermédiaire'!EM144/24,0),0)</f>
        <v>0</v>
      </c>
      <c r="O301" s="14">
        <f>IF(Distances!EN144&lt;&gt;0,ROUNDUP(O260+'Délai intermédiaire'!EN144/24,0),0)</f>
        <v>0</v>
      </c>
      <c r="P301" s="14">
        <f>IF(Distances!EO144&lt;&gt;0,ROUNDUP(P260+'Délai intermédiaire'!EO144/24,0),0)</f>
        <v>0</v>
      </c>
      <c r="Q301" s="14">
        <f>IF(Distances!EP144&lt;&gt;0,ROUNDUP(Q260+'Délai intermédiaire'!EP144/24,0),0)</f>
        <v>0</v>
      </c>
      <c r="R301" s="14">
        <f>IF(Distances!EQ144&lt;&gt;0,ROUNDUP(R260+'Délai intermédiaire'!EQ144/24,0),0)</f>
        <v>0</v>
      </c>
      <c r="S301" s="14">
        <f>IF(Distances!ER144&lt;&gt;0,ROUNDUP(S260+'Délai intermédiaire'!ER144/24,0),0)</f>
        <v>0</v>
      </c>
      <c r="T301" s="14">
        <f>IF(Distances!ES144&lt;&gt;0,ROUNDUP(T260+'Délai intermédiaire'!ES144/24,0),0)</f>
        <v>21</v>
      </c>
      <c r="U301" s="14">
        <f>IF(Distances!ET144&lt;&gt;0,ROUNDUP(U260+'Délai intermédiaire'!ET144/24,0),0)</f>
        <v>18</v>
      </c>
      <c r="V301" s="14">
        <f>IF(Distances!EU144&lt;&gt;0,ROUNDUP(V260+'Délai intermédiaire'!EU144/24,0),0)</f>
        <v>18</v>
      </c>
      <c r="W301" s="14">
        <f>IF(Distances!EV144&lt;&gt;0,ROUNDUP(W260+'Délai intermédiaire'!EV144/24,0),0)</f>
        <v>0</v>
      </c>
      <c r="X301" s="14">
        <f>IF(Distances!EW144&lt;&gt;0,ROUNDUP(X260+'Délai intermédiaire'!EW144/24,0),0)</f>
        <v>22</v>
      </c>
      <c r="Y301" s="14">
        <f>IF(Distances!EX144&lt;&gt;0,ROUNDUP(Y260+'Délai intermédiaire'!EX144/24,0),0)</f>
        <v>21</v>
      </c>
      <c r="Z301" s="14">
        <f>IF(Distances!EY144&lt;&gt;0,ROUNDUP(Z260+'Délai intermédiaire'!EY144/24,0),0)</f>
        <v>18</v>
      </c>
      <c r="AA301" s="14">
        <f>IF(Distances!EZ144&lt;&gt;0,ROUNDUP(AA260+'Délai intermédiaire'!EZ144/24,0),0)</f>
        <v>19</v>
      </c>
      <c r="AB301" s="14">
        <f>IF(Distances!FA144&lt;&gt;0,ROUNDUP(AB260+'Délai intermédiaire'!FA144/24,0),0)</f>
        <v>18</v>
      </c>
      <c r="AC301" s="14">
        <f>IF(Distances!FB144&lt;&gt;0,ROUNDUP(AC260+'Délai intermédiaire'!FB144/24,0),0)</f>
        <v>0</v>
      </c>
      <c r="AD301" s="14">
        <f>IF(Distances!FC144&lt;&gt;0,ROUNDUP(AD260+'Délai intermédiaire'!FC144/24,0),0)</f>
        <v>0</v>
      </c>
      <c r="AE301" s="14">
        <f>IF(Distances!FD144&lt;&gt;0,ROUNDUP(AE260+'Délai intermédiaire'!FD144/24,0),0)</f>
        <v>19</v>
      </c>
      <c r="AF301" s="14">
        <f>IF(Distances!FE144&lt;&gt;0,ROUNDUP(AF260+'Délai intermédiaire'!FE144/24,0),0)</f>
        <v>18</v>
      </c>
      <c r="AG301" s="14">
        <f>IF(Distances!FF144&lt;&gt;0,ROUNDUP(AG260+'Délai intermédiaire'!FF144/24,0),0)</f>
        <v>19</v>
      </c>
      <c r="AH301" s="14">
        <f>IF(Distances!FG144&lt;&gt;0,ROUNDUP(AH260+'Délai intermédiaire'!FG144/24,0),0)</f>
        <v>13</v>
      </c>
      <c r="AI301" s="14">
        <f>IF(Distances!FH144&lt;&gt;0,ROUNDUP(AI260+'Délai intermédiaire'!FH144/24,0),0)</f>
        <v>0</v>
      </c>
      <c r="AJ301" s="14">
        <f>IF(Distances!FI144&lt;&gt;0,ROUNDUP(AJ260+'Délai intermédiaire'!FI144/24,0),0)</f>
        <v>13</v>
      </c>
      <c r="AK301" s="14">
        <f>IF(Distances!FJ144&lt;&gt;0,ROUNDUP(AK260+'Délai intermédiaire'!FJ144/24,0),0)</f>
        <v>0</v>
      </c>
      <c r="AL301" s="14">
        <f>IF(Distances!FK144&lt;&gt;0,ROUNDUP(AL260+'Délai intermédiaire'!FK144/24,0),0)</f>
        <v>0</v>
      </c>
      <c r="AM301" s="14">
        <f>IF(Distances!FL144&lt;&gt;0,ROUNDUP(AM260+'Délai intermédiaire'!FL144/24,0),0)</f>
        <v>0</v>
      </c>
      <c r="AN301" s="14">
        <f>IF(Distances!FM144&lt;&gt;0,ROUNDUP(AN260+'Délai intermédiaire'!FM144/24,0),0)</f>
        <v>10</v>
      </c>
      <c r="AO301" s="12">
        <f>IF(Distances!FN144&lt;&gt;0,ROUNDUP(AO260+'Délai intermédiaire'!FN144/24,0),0)</f>
        <v>0</v>
      </c>
      <c r="AP301" s="19">
        <f>IF(Distances!FO144&lt;&gt;0,ROUNDUP(AP260+'Délai intermédiaire'!FO144/24,0),0)</f>
        <v>0</v>
      </c>
      <c r="AQ301" s="19">
        <f>IF(Distances!FP144&lt;&gt;0,ROUNDUP(AQ260+'Délai intermédiaire'!FP144/24,0),0)</f>
        <v>0</v>
      </c>
      <c r="AR301" s="14">
        <f>IF(Distances!FQ144&lt;&gt;0,ROUNDUP(AR260+'Délai intermédiaire'!FQ144/24,0),0)</f>
        <v>0</v>
      </c>
      <c r="AS301" s="14">
        <f>IF(Distances!FR144&lt;&gt;0,ROUNDUP(AS260+'Délai intermédiaire'!FR144/24,0),0)</f>
        <v>0</v>
      </c>
      <c r="AT301" s="14">
        <f>IF(Distances!FS144&lt;&gt;0,ROUNDUP(AT260+'Délai intermédiaire'!FS144/24,0),0)</f>
        <v>0</v>
      </c>
      <c r="AU301" s="14">
        <f>IF(Distances!FT144&lt;&gt;0,ROUNDUP(AU260+'Délai intermédiaire'!FT144/24,0),0)</f>
        <v>12</v>
      </c>
      <c r="AV301" s="14">
        <f>IF(Distances!FU144&lt;&gt;0,ROUNDUP(AV260+'Délai intermédiaire'!FU144/24,0),0)</f>
        <v>25</v>
      </c>
      <c r="AW301" s="14">
        <f>IF(Distances!FV144&lt;&gt;0,ROUNDUP(AW260+'Délai intermédiaire'!FV144/24,0),0)</f>
        <v>27</v>
      </c>
      <c r="AX301" s="14">
        <f>IF(Distances!FW144&lt;&gt;0,ROUNDUP(AX260+'Délai intermédiaire'!FW144/24,0),0)</f>
        <v>0</v>
      </c>
      <c r="AY301" s="14">
        <f>IF(Distances!FX144&lt;&gt;0,ROUNDUP(AY260+'Délai intermédiaire'!FX144/24,0),0)</f>
        <v>0</v>
      </c>
      <c r="AZ301" s="14">
        <f>IF(Distances!FY144&lt;&gt;0,ROUNDUP(AZ260+'Délai intermédiaire'!FY144/24,0),0)</f>
        <v>13</v>
      </c>
      <c r="BA301" s="14">
        <f>IF(Distances!FZ144&lt;&gt;0,ROUNDUP(BA260+'Délai intermédiaire'!FZ144/24,0),0)</f>
        <v>0</v>
      </c>
      <c r="BB301" s="14">
        <f>IF(Distances!GA144&lt;&gt;0,ROUNDUP(BB260+'Délai intermédiaire'!GA144/24,0),0)</f>
        <v>0</v>
      </c>
      <c r="BC301" s="14">
        <f>IF(Distances!GB144&lt;&gt;0,ROUNDUP(BC260+'Délai intermédiaire'!GB144/24,0),0)</f>
        <v>0</v>
      </c>
      <c r="BD301" s="14">
        <f>IF(Distances!GC144&lt;&gt;0,ROUNDUP(BD260+'Délai intermédiaire'!GC144/24,0),0)</f>
        <v>12</v>
      </c>
      <c r="BE301" s="14">
        <f>IF(Distances!GD144&lt;&gt;0,ROUNDUP(BE260+'Délai intermédiaire'!GD144/24,0),0)</f>
        <v>0</v>
      </c>
      <c r="BF301" s="14">
        <f>IF(Distances!GE144&lt;&gt;0,ROUNDUP(BF260+'Délai intermédiaire'!GE144/24,0),0)</f>
        <v>19</v>
      </c>
      <c r="BG301" s="14">
        <f>IF(Distances!GF144&lt;&gt;0,ROUNDUP(BG260+'Délai intermédiaire'!GF144/24,0),0)</f>
        <v>0</v>
      </c>
      <c r="BH301" s="14">
        <f>IF(Distances!GG144&lt;&gt;0,ROUNDUP(BH260+'Délai intermédiaire'!GG144/24,0),0)</f>
        <v>0</v>
      </c>
      <c r="BI301" s="14">
        <f>IF(Distances!GH144&lt;&gt;0,ROUNDUP(BI260+'Délai intermédiaire'!GH144/24,0),0)</f>
        <v>0</v>
      </c>
      <c r="BJ301" s="15">
        <f>IF(Distances!GI144&lt;&gt;0,ROUNDUP(BJ260+'Délai intermédiaire'!GI144/24,0),0)</f>
        <v>0</v>
      </c>
    </row>
    <row r="302" spans="1:62" x14ac:dyDescent="0.3">
      <c r="A302" s="10" t="s">
        <v>41</v>
      </c>
      <c r="B302" s="16">
        <f>IF(Distances!EA145&lt;&gt;0,ROUNDUP(B260+'Délai intermédiaire'!EA145/24,0),0)</f>
        <v>0</v>
      </c>
      <c r="C302" s="14">
        <f>IF(Distances!EB145&lt;&gt;0,ROUNDUP(C260+'Délai intermédiaire'!EB145/24,0),0)</f>
        <v>0</v>
      </c>
      <c r="D302" s="14">
        <f>IF(Distances!EC145&lt;&gt;0,ROUNDUP(D260+'Délai intermédiaire'!EC145/24,0),0)</f>
        <v>19</v>
      </c>
      <c r="E302" s="14">
        <f>IF(Distances!ED145&lt;&gt;0,ROUNDUP(E260+'Délai intermédiaire'!ED145/24,0),0)</f>
        <v>0</v>
      </c>
      <c r="F302" s="14">
        <f>IF(Distances!EE145&lt;&gt;0,ROUNDUP(F260+'Délai intermédiaire'!EE145/24,0),0)</f>
        <v>18</v>
      </c>
      <c r="G302" s="14">
        <f>IF(Distances!EF145&lt;&gt;0,ROUNDUP(G260+'Délai intermédiaire'!EF145/24,0),0)</f>
        <v>15</v>
      </c>
      <c r="H302" s="14">
        <f>IF(Distances!EG145&lt;&gt;0,ROUNDUP(H260+'Délai intermédiaire'!EG145/24,0),0)</f>
        <v>0</v>
      </c>
      <c r="I302" s="14">
        <f>IF(Distances!EH145&lt;&gt;0,ROUNDUP(I260+'Délai intermédiaire'!EH145/24,0),0)</f>
        <v>0</v>
      </c>
      <c r="J302" s="14">
        <f>IF(Distances!EI145&lt;&gt;0,ROUNDUP(J260+'Délai intermédiaire'!EI145/24,0),0)</f>
        <v>22</v>
      </c>
      <c r="K302" s="14">
        <f>IF(Distances!EJ145&lt;&gt;0,ROUNDUP(K260+'Délai intermédiaire'!EJ145/24,0),0)</f>
        <v>0</v>
      </c>
      <c r="L302" s="14">
        <f>IF(Distances!EK145&lt;&gt;0,ROUNDUP(L260+'Délai intermédiaire'!EK145/24,0),0)</f>
        <v>0</v>
      </c>
      <c r="M302" s="14">
        <f>IF(Distances!EL145&lt;&gt;0,ROUNDUP(M260+'Délai intermédiaire'!EL145/24,0),0)</f>
        <v>0</v>
      </c>
      <c r="N302" s="14">
        <f>IF(Distances!EM145&lt;&gt;0,ROUNDUP(N260+'Délai intermédiaire'!EM145/24,0),0)</f>
        <v>0</v>
      </c>
      <c r="O302" s="14">
        <f>IF(Distances!EN145&lt;&gt;0,ROUNDUP(O260+'Délai intermédiaire'!EN145/24,0),0)</f>
        <v>0</v>
      </c>
      <c r="P302" s="14">
        <f>IF(Distances!EO145&lt;&gt;0,ROUNDUP(P260+'Délai intermédiaire'!EO145/24,0),0)</f>
        <v>0</v>
      </c>
      <c r="Q302" s="14">
        <f>IF(Distances!EP145&lt;&gt;0,ROUNDUP(Q260+'Délai intermédiaire'!EP145/24,0),0)</f>
        <v>0</v>
      </c>
      <c r="R302" s="14">
        <f>IF(Distances!EQ145&lt;&gt;0,ROUNDUP(R260+'Délai intermédiaire'!EQ145/24,0),0)</f>
        <v>0</v>
      </c>
      <c r="S302" s="14">
        <f>IF(Distances!ER145&lt;&gt;0,ROUNDUP(S260+'Délai intermédiaire'!ER145/24,0),0)</f>
        <v>0</v>
      </c>
      <c r="T302" s="14">
        <f>IF(Distances!ES145&lt;&gt;0,ROUNDUP(T260+'Délai intermédiaire'!ES145/24,0),0)</f>
        <v>21</v>
      </c>
      <c r="U302" s="14">
        <f>IF(Distances!ET145&lt;&gt;0,ROUNDUP(U260+'Délai intermédiaire'!ET145/24,0),0)</f>
        <v>19</v>
      </c>
      <c r="V302" s="14">
        <f>IF(Distances!EU145&lt;&gt;0,ROUNDUP(V260+'Délai intermédiaire'!EU145/24,0),0)</f>
        <v>18</v>
      </c>
      <c r="W302" s="14">
        <f>IF(Distances!EV145&lt;&gt;0,ROUNDUP(W260+'Délai intermédiaire'!EV145/24,0),0)</f>
        <v>0</v>
      </c>
      <c r="X302" s="14">
        <f>IF(Distances!EW145&lt;&gt;0,ROUNDUP(X260+'Délai intermédiaire'!EW145/24,0),0)</f>
        <v>23</v>
      </c>
      <c r="Y302" s="14">
        <f>IF(Distances!EX145&lt;&gt;0,ROUNDUP(Y260+'Délai intermédiaire'!EX145/24,0),0)</f>
        <v>22</v>
      </c>
      <c r="Z302" s="14">
        <f>IF(Distances!EY145&lt;&gt;0,ROUNDUP(Z260+'Délai intermédiaire'!EY145/24,0),0)</f>
        <v>19</v>
      </c>
      <c r="AA302" s="14">
        <f>IF(Distances!EZ145&lt;&gt;0,ROUNDUP(AA260+'Délai intermédiaire'!EZ145/24,0),0)</f>
        <v>19</v>
      </c>
      <c r="AB302" s="14">
        <f>IF(Distances!FA145&lt;&gt;0,ROUNDUP(AB260+'Délai intermédiaire'!FA145/24,0),0)</f>
        <v>19</v>
      </c>
      <c r="AC302" s="14">
        <f>IF(Distances!FB145&lt;&gt;0,ROUNDUP(AC260+'Délai intermédiaire'!FB145/24,0),0)</f>
        <v>0</v>
      </c>
      <c r="AD302" s="14">
        <f>IF(Distances!FC145&lt;&gt;0,ROUNDUP(AD260+'Délai intermédiaire'!FC145/24,0),0)</f>
        <v>0</v>
      </c>
      <c r="AE302" s="14">
        <f>IF(Distances!FD145&lt;&gt;0,ROUNDUP(AE260+'Délai intermédiaire'!FD145/24,0),0)</f>
        <v>20</v>
      </c>
      <c r="AF302" s="14">
        <f>IF(Distances!FE145&lt;&gt;0,ROUNDUP(AF260+'Délai intermédiaire'!FE145/24,0),0)</f>
        <v>19</v>
      </c>
      <c r="AG302" s="14">
        <f>IF(Distances!FF145&lt;&gt;0,ROUNDUP(AG260+'Délai intermédiaire'!FF145/24,0),0)</f>
        <v>20</v>
      </c>
      <c r="AH302" s="14">
        <f>IF(Distances!FG145&lt;&gt;0,ROUNDUP(AH260+'Délai intermédiaire'!FG145/24,0),0)</f>
        <v>14</v>
      </c>
      <c r="AI302" s="14">
        <f>IF(Distances!FH145&lt;&gt;0,ROUNDUP(AI260+'Délai intermédiaire'!FH145/24,0),0)</f>
        <v>0</v>
      </c>
      <c r="AJ302" s="14">
        <f>IF(Distances!FI145&lt;&gt;0,ROUNDUP(AJ260+'Délai intermédiaire'!FI145/24,0),0)</f>
        <v>14</v>
      </c>
      <c r="AK302" s="14">
        <f>IF(Distances!FJ145&lt;&gt;0,ROUNDUP(AK260+'Délai intermédiaire'!FJ145/24,0),0)</f>
        <v>0</v>
      </c>
      <c r="AL302" s="14">
        <f>IF(Distances!FK145&lt;&gt;0,ROUNDUP(AL260+'Délai intermédiaire'!FK145/24,0),0)</f>
        <v>0</v>
      </c>
      <c r="AM302" s="14">
        <f>IF(Distances!FL145&lt;&gt;0,ROUNDUP(AM260+'Délai intermédiaire'!FL145/24,0),0)</f>
        <v>0</v>
      </c>
      <c r="AN302" s="14">
        <f>IF(Distances!FM145&lt;&gt;0,ROUNDUP(AN260+'Délai intermédiaire'!FM145/24,0),0)</f>
        <v>9</v>
      </c>
      <c r="AO302" s="13">
        <f>IF(Distances!FN145&lt;&gt;0,ROUNDUP(AO260+'Délai intermédiaire'!FN145/24,0),0)</f>
        <v>0</v>
      </c>
      <c r="AP302" s="12">
        <f>IF(Distances!FO145&lt;&gt;0,ROUNDUP(AP260+'Délai intermédiaire'!FO145/24,0),0)</f>
        <v>0</v>
      </c>
      <c r="AQ302" s="13">
        <f>IF(Distances!FP145&lt;&gt;0,ROUNDUP(AQ260+'Délai intermédiaire'!FP145/24,0),0)</f>
        <v>0</v>
      </c>
      <c r="AR302" s="14">
        <f>IF(Distances!FQ145&lt;&gt;0,ROUNDUP(AR260+'Délai intermédiaire'!FQ145/24,0),0)</f>
        <v>0</v>
      </c>
      <c r="AS302" s="14">
        <f>IF(Distances!FR145&lt;&gt;0,ROUNDUP(AS260+'Délai intermédiaire'!FR145/24,0),0)</f>
        <v>0</v>
      </c>
      <c r="AT302" s="14">
        <f>IF(Distances!FS145&lt;&gt;0,ROUNDUP(AT260+'Délai intermédiaire'!FS145/24,0),0)</f>
        <v>0</v>
      </c>
      <c r="AU302" s="14">
        <f>IF(Distances!FT145&lt;&gt;0,ROUNDUP(AU260+'Délai intermédiaire'!FT145/24,0),0)</f>
        <v>11</v>
      </c>
      <c r="AV302" s="14">
        <f>IF(Distances!FU145&lt;&gt;0,ROUNDUP(AV260+'Délai intermédiaire'!FU145/24,0),0)</f>
        <v>26</v>
      </c>
      <c r="AW302" s="14">
        <f>IF(Distances!FV145&lt;&gt;0,ROUNDUP(AW260+'Délai intermédiaire'!FV145/24,0),0)</f>
        <v>28</v>
      </c>
      <c r="AX302" s="14">
        <f>IF(Distances!FW145&lt;&gt;0,ROUNDUP(AX260+'Délai intermédiaire'!FW145/24,0),0)</f>
        <v>0</v>
      </c>
      <c r="AY302" s="14">
        <f>IF(Distances!FX145&lt;&gt;0,ROUNDUP(AY260+'Délai intermédiaire'!FX145/24,0),0)</f>
        <v>0</v>
      </c>
      <c r="AZ302" s="14">
        <f>IF(Distances!FY145&lt;&gt;0,ROUNDUP(AZ260+'Délai intermédiaire'!FY145/24,0),0)</f>
        <v>14</v>
      </c>
      <c r="BA302" s="14">
        <f>IF(Distances!FZ145&lt;&gt;0,ROUNDUP(BA260+'Délai intermédiaire'!FZ145/24,0),0)</f>
        <v>0</v>
      </c>
      <c r="BB302" s="14">
        <f>IF(Distances!GA145&lt;&gt;0,ROUNDUP(BB260+'Délai intermédiaire'!GA145/24,0),0)</f>
        <v>0</v>
      </c>
      <c r="BC302" s="14">
        <f>IF(Distances!GB145&lt;&gt;0,ROUNDUP(BC260+'Délai intermédiaire'!GB145/24,0),0)</f>
        <v>0</v>
      </c>
      <c r="BD302" s="14">
        <f>IF(Distances!GC145&lt;&gt;0,ROUNDUP(BD260+'Délai intermédiaire'!GC145/24,0),0)</f>
        <v>11</v>
      </c>
      <c r="BE302" s="14">
        <f>IF(Distances!GD145&lt;&gt;0,ROUNDUP(BE260+'Délai intermédiaire'!GD145/24,0),0)</f>
        <v>0</v>
      </c>
      <c r="BF302" s="14">
        <f>IF(Distances!GE145&lt;&gt;0,ROUNDUP(BF260+'Délai intermédiaire'!GE145/24,0),0)</f>
        <v>20</v>
      </c>
      <c r="BG302" s="14">
        <f>IF(Distances!GF145&lt;&gt;0,ROUNDUP(BG260+'Délai intermédiaire'!GF145/24,0),0)</f>
        <v>0</v>
      </c>
      <c r="BH302" s="14">
        <f>IF(Distances!GG145&lt;&gt;0,ROUNDUP(BH260+'Délai intermédiaire'!GG145/24,0),0)</f>
        <v>0</v>
      </c>
      <c r="BI302" s="14">
        <f>IF(Distances!GH145&lt;&gt;0,ROUNDUP(BI260+'Délai intermédiaire'!GH145/24,0),0)</f>
        <v>0</v>
      </c>
      <c r="BJ302" s="15">
        <f>IF(Distances!GI145&lt;&gt;0,ROUNDUP(BJ260+'Délai intermédiaire'!GI145/24,0),0)</f>
        <v>0</v>
      </c>
    </row>
    <row r="303" spans="1:62" x14ac:dyDescent="0.3">
      <c r="A303" s="10" t="s">
        <v>42</v>
      </c>
      <c r="B303" s="16">
        <f>IF(Distances!EA146&lt;&gt;0,ROUNDUP(B260+'Délai intermédiaire'!EA146/24,0),0)</f>
        <v>0</v>
      </c>
      <c r="C303" s="14">
        <f>IF(Distances!EB146&lt;&gt;0,ROUNDUP(C260+'Délai intermédiaire'!EB146/24,0),0)</f>
        <v>0</v>
      </c>
      <c r="D303" s="14">
        <f>IF(Distances!EC146&lt;&gt;0,ROUNDUP(D260+'Délai intermédiaire'!EC146/24,0),0)</f>
        <v>22</v>
      </c>
      <c r="E303" s="14">
        <f>IF(Distances!ED146&lt;&gt;0,ROUNDUP(E260+'Délai intermédiaire'!ED146/24,0),0)</f>
        <v>0</v>
      </c>
      <c r="F303" s="14">
        <f>IF(Distances!EE146&lt;&gt;0,ROUNDUP(F260+'Délai intermédiaire'!EE146/24,0),0)</f>
        <v>21</v>
      </c>
      <c r="G303" s="14">
        <f>IF(Distances!EF146&lt;&gt;0,ROUNDUP(G260+'Délai intermédiaire'!EF146/24,0),0)</f>
        <v>18</v>
      </c>
      <c r="H303" s="14">
        <f>IF(Distances!EG146&lt;&gt;0,ROUNDUP(H260+'Délai intermédiaire'!EG146/24,0),0)</f>
        <v>0</v>
      </c>
      <c r="I303" s="14">
        <f>IF(Distances!EH146&lt;&gt;0,ROUNDUP(I260+'Délai intermédiaire'!EH146/24,0),0)</f>
        <v>0</v>
      </c>
      <c r="J303" s="14">
        <f>IF(Distances!EI146&lt;&gt;0,ROUNDUP(J260+'Délai intermédiaire'!EI146/24,0),0)</f>
        <v>23</v>
      </c>
      <c r="K303" s="14">
        <f>IF(Distances!EJ146&lt;&gt;0,ROUNDUP(K260+'Délai intermédiaire'!EJ146/24,0),0)</f>
        <v>0</v>
      </c>
      <c r="L303" s="14">
        <f>IF(Distances!EK146&lt;&gt;0,ROUNDUP(L260+'Délai intermédiaire'!EK146/24,0),0)</f>
        <v>0</v>
      </c>
      <c r="M303" s="14">
        <f>IF(Distances!EL146&lt;&gt;0,ROUNDUP(M260+'Délai intermédiaire'!EL146/24,0),0)</f>
        <v>0</v>
      </c>
      <c r="N303" s="14">
        <f>IF(Distances!EM146&lt;&gt;0,ROUNDUP(N260+'Délai intermédiaire'!EM146/24,0),0)</f>
        <v>0</v>
      </c>
      <c r="O303" s="14">
        <f>IF(Distances!EN146&lt;&gt;0,ROUNDUP(O260+'Délai intermédiaire'!EN146/24,0),0)</f>
        <v>0</v>
      </c>
      <c r="P303" s="14">
        <f>IF(Distances!EO146&lt;&gt;0,ROUNDUP(P260+'Délai intermédiaire'!EO146/24,0),0)</f>
        <v>0</v>
      </c>
      <c r="Q303" s="14">
        <f>IF(Distances!EP146&lt;&gt;0,ROUNDUP(Q260+'Délai intermédiaire'!EP146/24,0),0)</f>
        <v>0</v>
      </c>
      <c r="R303" s="14">
        <f>IF(Distances!EQ146&lt;&gt;0,ROUNDUP(R260+'Délai intermédiaire'!EQ146/24,0),0)</f>
        <v>0</v>
      </c>
      <c r="S303" s="14">
        <f>IF(Distances!ER146&lt;&gt;0,ROUNDUP(S260+'Délai intermédiaire'!ER146/24,0),0)</f>
        <v>0</v>
      </c>
      <c r="T303" s="14">
        <f>IF(Distances!ES146&lt;&gt;0,ROUNDUP(T260+'Délai intermédiaire'!ES146/24,0),0)</f>
        <v>18</v>
      </c>
      <c r="U303" s="14">
        <f>IF(Distances!ET146&lt;&gt;0,ROUNDUP(U260+'Délai intermédiaire'!ET146/24,0),0)</f>
        <v>15</v>
      </c>
      <c r="V303" s="14">
        <f>IF(Distances!EU146&lt;&gt;0,ROUNDUP(V260+'Délai intermédiaire'!EU146/24,0),0)</f>
        <v>15</v>
      </c>
      <c r="W303" s="14">
        <f>IF(Distances!EV146&lt;&gt;0,ROUNDUP(W260+'Délai intermédiaire'!EV146/24,0),0)</f>
        <v>0</v>
      </c>
      <c r="X303" s="14">
        <f>IF(Distances!EW146&lt;&gt;0,ROUNDUP(X260+'Délai intermédiaire'!EW146/24,0),0)</f>
        <v>19</v>
      </c>
      <c r="Y303" s="14">
        <f>IF(Distances!EX146&lt;&gt;0,ROUNDUP(Y260+'Délai intermédiaire'!EX146/24,0),0)</f>
        <v>18</v>
      </c>
      <c r="Z303" s="14">
        <f>IF(Distances!EY146&lt;&gt;0,ROUNDUP(Z260+'Délai intermédiaire'!EY146/24,0),0)</f>
        <v>16</v>
      </c>
      <c r="AA303" s="14">
        <f>IF(Distances!EZ146&lt;&gt;0,ROUNDUP(AA260+'Délai intermédiaire'!EZ146/24,0),0)</f>
        <v>16</v>
      </c>
      <c r="AB303" s="14">
        <f>IF(Distances!FA146&lt;&gt;0,ROUNDUP(AB260+'Délai intermédiaire'!FA146/24,0),0)</f>
        <v>15</v>
      </c>
      <c r="AC303" s="14">
        <f>IF(Distances!FB146&lt;&gt;0,ROUNDUP(AC260+'Délai intermédiaire'!FB146/24,0),0)</f>
        <v>0</v>
      </c>
      <c r="AD303" s="14">
        <f>IF(Distances!FC146&lt;&gt;0,ROUNDUP(AD260+'Délai intermédiaire'!FC146/24,0),0)</f>
        <v>0</v>
      </c>
      <c r="AE303" s="14">
        <f>IF(Distances!FD146&lt;&gt;0,ROUNDUP(AE260+'Délai intermédiaire'!FD146/24,0),0)</f>
        <v>16</v>
      </c>
      <c r="AF303" s="14">
        <f>IF(Distances!FE146&lt;&gt;0,ROUNDUP(AF260+'Délai intermédiaire'!FE146/24,0),0)</f>
        <v>15</v>
      </c>
      <c r="AG303" s="14">
        <f>IF(Distances!FF146&lt;&gt;0,ROUNDUP(AG260+'Délai intermédiaire'!FF146/24,0),0)</f>
        <v>16</v>
      </c>
      <c r="AH303" s="14">
        <f>IF(Distances!FG146&lt;&gt;0,ROUNDUP(AH260+'Délai intermédiaire'!FG146/24,0),0)</f>
        <v>10</v>
      </c>
      <c r="AI303" s="14">
        <f>IF(Distances!FH146&lt;&gt;0,ROUNDUP(AI260+'Délai intermédiaire'!FH146/24,0),0)</f>
        <v>0</v>
      </c>
      <c r="AJ303" s="14">
        <f>IF(Distances!FI146&lt;&gt;0,ROUNDUP(AJ260+'Délai intermédiaire'!FI146/24,0),0)</f>
        <v>10</v>
      </c>
      <c r="AK303" s="14">
        <f>IF(Distances!FJ146&lt;&gt;0,ROUNDUP(AK260+'Délai intermédiaire'!FJ146/24,0),0)</f>
        <v>0</v>
      </c>
      <c r="AL303" s="14">
        <f>IF(Distances!FK146&lt;&gt;0,ROUNDUP(AL260+'Délai intermédiaire'!FK146/24,0),0)</f>
        <v>0</v>
      </c>
      <c r="AM303" s="14">
        <f>IF(Distances!FL146&lt;&gt;0,ROUNDUP(AM260+'Délai intermédiaire'!FL146/24,0),0)</f>
        <v>0</v>
      </c>
      <c r="AN303" s="14">
        <f>IF(Distances!FM146&lt;&gt;0,ROUNDUP(AN260+'Délai intermédiaire'!FM146/24,0),0)</f>
        <v>9</v>
      </c>
      <c r="AO303" s="13">
        <f>IF(Distances!FN146&lt;&gt;0,ROUNDUP(AO260+'Délai intermédiaire'!FN146/24,0),0)</f>
        <v>0</v>
      </c>
      <c r="AP303" s="13">
        <f>IF(Distances!FO146&lt;&gt;0,ROUNDUP(AP260+'Délai intermédiaire'!FO146/24,0),0)</f>
        <v>0</v>
      </c>
      <c r="AQ303" s="12">
        <f>IF(Distances!FP146&lt;&gt;0,ROUNDUP(AQ260+'Délai intermédiaire'!FP146/24,0),0)</f>
        <v>0</v>
      </c>
      <c r="AR303" s="14">
        <f>IF(Distances!FQ146&lt;&gt;0,ROUNDUP(AR260+'Délai intermédiaire'!FQ146/24,0),0)</f>
        <v>0</v>
      </c>
      <c r="AS303" s="14">
        <f>IF(Distances!FR146&lt;&gt;0,ROUNDUP(AS260+'Délai intermédiaire'!FR146/24,0),0)</f>
        <v>0</v>
      </c>
      <c r="AT303" s="14">
        <f>IF(Distances!FS146&lt;&gt;0,ROUNDUP(AT260+'Délai intermédiaire'!FS146/24,0),0)</f>
        <v>0</v>
      </c>
      <c r="AU303" s="14">
        <f>IF(Distances!FT146&lt;&gt;0,ROUNDUP(AU260+'Délai intermédiaire'!FT146/24,0),0)</f>
        <v>10</v>
      </c>
      <c r="AV303" s="14">
        <f>IF(Distances!FU146&lt;&gt;0,ROUNDUP(AV260+'Délai intermédiaire'!FU146/24,0),0)</f>
        <v>23</v>
      </c>
      <c r="AW303" s="14">
        <f>IF(Distances!FV146&lt;&gt;0,ROUNDUP(AW260+'Délai intermédiaire'!FV146/24,0),0)</f>
        <v>25</v>
      </c>
      <c r="AX303" s="14">
        <f>IF(Distances!FW146&lt;&gt;0,ROUNDUP(AX260+'Délai intermédiaire'!FW146/24,0),0)</f>
        <v>0</v>
      </c>
      <c r="AY303" s="14">
        <f>IF(Distances!FX146&lt;&gt;0,ROUNDUP(AY260+'Délai intermédiaire'!FX146/24,0),0)</f>
        <v>0</v>
      </c>
      <c r="AZ303" s="14">
        <f>IF(Distances!FY146&lt;&gt;0,ROUNDUP(AZ260+'Délai intermédiaire'!FY146/24,0),0)</f>
        <v>11</v>
      </c>
      <c r="BA303" s="14">
        <f>IF(Distances!FZ146&lt;&gt;0,ROUNDUP(BA260+'Délai intermédiaire'!FZ146/24,0),0)</f>
        <v>0</v>
      </c>
      <c r="BB303" s="14">
        <f>IF(Distances!GA146&lt;&gt;0,ROUNDUP(BB260+'Délai intermédiaire'!GA146/24,0),0)</f>
        <v>0</v>
      </c>
      <c r="BC303" s="14">
        <f>IF(Distances!GB146&lt;&gt;0,ROUNDUP(BC260+'Délai intermédiaire'!GB146/24,0),0)</f>
        <v>0</v>
      </c>
      <c r="BD303" s="14">
        <f>IF(Distances!GC146&lt;&gt;0,ROUNDUP(BD260+'Délai intermédiaire'!GC146/24,0),0)</f>
        <v>11</v>
      </c>
      <c r="BE303" s="14">
        <f>IF(Distances!GD146&lt;&gt;0,ROUNDUP(BE260+'Délai intermédiaire'!GD146/24,0),0)</f>
        <v>0</v>
      </c>
      <c r="BF303" s="14">
        <f>IF(Distances!GE146&lt;&gt;0,ROUNDUP(BF260+'Délai intermédiaire'!GE146/24,0),0)</f>
        <v>16</v>
      </c>
      <c r="BG303" s="14">
        <f>IF(Distances!GF146&lt;&gt;0,ROUNDUP(BG260+'Délai intermédiaire'!GF146/24,0),0)</f>
        <v>0</v>
      </c>
      <c r="BH303" s="14">
        <f>IF(Distances!GG146&lt;&gt;0,ROUNDUP(BH260+'Délai intermédiaire'!GG146/24,0),0)</f>
        <v>0</v>
      </c>
      <c r="BI303" s="14">
        <f>IF(Distances!GH146&lt;&gt;0,ROUNDUP(BI260+'Délai intermédiaire'!GH146/24,0),0)</f>
        <v>0</v>
      </c>
      <c r="BJ303" s="15">
        <f>IF(Distances!GI146&lt;&gt;0,ROUNDUP(BJ260+'Délai intermédiaire'!GI146/24,0),0)</f>
        <v>0</v>
      </c>
    </row>
    <row r="304" spans="1:62" x14ac:dyDescent="0.3">
      <c r="A304" s="10" t="s">
        <v>43</v>
      </c>
      <c r="B304" s="16">
        <f>IF(Distances!EA147&lt;&gt;0,ROUNDUP(B260+'Délai intermédiaire'!EA147/24,0),0)</f>
        <v>0</v>
      </c>
      <c r="C304" s="14">
        <f>IF(Distances!EB147&lt;&gt;0,ROUNDUP(C260+'Délai intermédiaire'!EB147/24,0),0)</f>
        <v>0</v>
      </c>
      <c r="D304" s="14">
        <f>IF(Distances!EC147&lt;&gt;0,ROUNDUP(D260+'Délai intermédiaire'!EC147/24,0),0)</f>
        <v>17</v>
      </c>
      <c r="E304" s="14">
        <f>IF(Distances!ED147&lt;&gt;0,ROUNDUP(E260+'Délai intermédiaire'!ED147/24,0),0)</f>
        <v>0</v>
      </c>
      <c r="F304" s="14">
        <f>IF(Distances!EE147&lt;&gt;0,ROUNDUP(F260+'Délai intermédiaire'!EE147/24,0),0)</f>
        <v>16</v>
      </c>
      <c r="G304" s="14">
        <f>IF(Distances!EF147&lt;&gt;0,ROUNDUP(G260+'Délai intermédiaire'!EF147/24,0),0)</f>
        <v>23</v>
      </c>
      <c r="H304" s="14">
        <f>IF(Distances!EG147&lt;&gt;0,ROUNDUP(H260+'Délai intermédiaire'!EG147/24,0),0)</f>
        <v>0</v>
      </c>
      <c r="I304" s="14">
        <f>IF(Distances!EH147&lt;&gt;0,ROUNDUP(I260+'Délai intermédiaire'!EH147/24,0),0)</f>
        <v>0</v>
      </c>
      <c r="J304" s="14">
        <f>IF(Distances!EI147&lt;&gt;0,ROUNDUP(J260+'Délai intermédiaire'!EI147/24,0),0)</f>
        <v>17</v>
      </c>
      <c r="K304" s="14">
        <f>IF(Distances!EJ147&lt;&gt;0,ROUNDUP(K260+'Délai intermédiaire'!EJ147/24,0),0)</f>
        <v>0</v>
      </c>
      <c r="L304" s="14">
        <f>IF(Distances!EK147&lt;&gt;0,ROUNDUP(L260+'Délai intermédiaire'!EK147/24,0),0)</f>
        <v>0</v>
      </c>
      <c r="M304" s="14">
        <f>IF(Distances!EL147&lt;&gt;0,ROUNDUP(M260+'Délai intermédiaire'!EL147/24,0),0)</f>
        <v>0</v>
      </c>
      <c r="N304" s="14">
        <f>IF(Distances!EM147&lt;&gt;0,ROUNDUP(N260+'Délai intermédiaire'!EM147/24,0),0)</f>
        <v>0</v>
      </c>
      <c r="O304" s="14">
        <f>IF(Distances!EN147&lt;&gt;0,ROUNDUP(O260+'Délai intermédiaire'!EN147/24,0),0)</f>
        <v>0</v>
      </c>
      <c r="P304" s="14">
        <f>IF(Distances!EO147&lt;&gt;0,ROUNDUP(P260+'Délai intermédiaire'!EO147/24,0),0)</f>
        <v>0</v>
      </c>
      <c r="Q304" s="14">
        <f>IF(Distances!EP147&lt;&gt;0,ROUNDUP(Q260+'Délai intermédiaire'!EP147/24,0),0)</f>
        <v>0</v>
      </c>
      <c r="R304" s="14">
        <f>IF(Distances!EQ147&lt;&gt;0,ROUNDUP(R260+'Délai intermédiaire'!EQ147/24,0),0)</f>
        <v>0</v>
      </c>
      <c r="S304" s="14">
        <f>IF(Distances!ER147&lt;&gt;0,ROUNDUP(S260+'Délai intermédiaire'!ER147/24,0),0)</f>
        <v>0</v>
      </c>
      <c r="T304" s="14">
        <f>IF(Distances!ES147&lt;&gt;0,ROUNDUP(T260+'Délai intermédiaire'!ES147/24,0),0)</f>
        <v>12</v>
      </c>
      <c r="U304" s="14">
        <f>IF(Distances!ET147&lt;&gt;0,ROUNDUP(U260+'Délai intermédiaire'!ET147/24,0),0)</f>
        <v>9</v>
      </c>
      <c r="V304" s="14">
        <f>IF(Distances!EU147&lt;&gt;0,ROUNDUP(V260+'Délai intermédiaire'!EU147/24,0),0)</f>
        <v>9</v>
      </c>
      <c r="W304" s="14">
        <f>IF(Distances!EV147&lt;&gt;0,ROUNDUP(W260+'Délai intermédiaire'!EV147/24,0),0)</f>
        <v>0</v>
      </c>
      <c r="X304" s="14">
        <f>IF(Distances!EW147&lt;&gt;0,ROUNDUP(X260+'Délai intermédiaire'!EW147/24,0),0)</f>
        <v>13</v>
      </c>
      <c r="Y304" s="14">
        <f>IF(Distances!EX147&lt;&gt;0,ROUNDUP(Y260+'Délai intermédiaire'!EX147/24,0),0)</f>
        <v>12</v>
      </c>
      <c r="Z304" s="14">
        <f>IF(Distances!EY147&lt;&gt;0,ROUNDUP(Z260+'Délai intermédiaire'!EY147/24,0),0)</f>
        <v>10</v>
      </c>
      <c r="AA304" s="14">
        <f>IF(Distances!EZ147&lt;&gt;0,ROUNDUP(AA260+'Délai intermédiaire'!EZ147/24,0),0)</f>
        <v>10</v>
      </c>
      <c r="AB304" s="14">
        <f>IF(Distances!FA147&lt;&gt;0,ROUNDUP(AB260+'Délai intermédiaire'!FA147/24,0),0)</f>
        <v>9</v>
      </c>
      <c r="AC304" s="14">
        <f>IF(Distances!FB147&lt;&gt;0,ROUNDUP(AC260+'Délai intermédiaire'!FB147/24,0),0)</f>
        <v>0</v>
      </c>
      <c r="AD304" s="14">
        <f>IF(Distances!FC147&lt;&gt;0,ROUNDUP(AD260+'Délai intermédiaire'!FC147/24,0),0)</f>
        <v>0</v>
      </c>
      <c r="AE304" s="14">
        <f>IF(Distances!FD147&lt;&gt;0,ROUNDUP(AE260+'Délai intermédiaire'!FD147/24,0),0)</f>
        <v>10</v>
      </c>
      <c r="AF304" s="14">
        <f>IF(Distances!FE147&lt;&gt;0,ROUNDUP(AF260+'Délai intermédiaire'!FE147/24,0),0)</f>
        <v>9</v>
      </c>
      <c r="AG304" s="14">
        <f>IF(Distances!FF147&lt;&gt;0,ROUNDUP(AG260+'Délai intermédiaire'!FF147/24,0),0)</f>
        <v>10</v>
      </c>
      <c r="AH304" s="13">
        <f>IF(Distances!FG147&lt;&gt;0,ROUNDUP(AH260+'Délai intermédiaire'!FG147/24,0),0)</f>
        <v>5</v>
      </c>
      <c r="AI304" s="13">
        <f>IF(Distances!FH147&lt;&gt;0,ROUNDUP(AI260+'Délai intermédiaire'!FH147/24,0),0)</f>
        <v>0</v>
      </c>
      <c r="AJ304" s="13">
        <f>IF(Distances!FI147&lt;&gt;0,ROUNDUP(AJ260+'Délai intermédiaire'!FI147/24,0),0)</f>
        <v>5</v>
      </c>
      <c r="AK304" s="13">
        <f>IF(Distances!FJ147&lt;&gt;0,ROUNDUP(AK260+'Délai intermédiaire'!FJ147/24,0),0)</f>
        <v>0</v>
      </c>
      <c r="AL304" s="13">
        <f>IF(Distances!FK147&lt;&gt;0,ROUNDUP(AL260+'Délai intermédiaire'!FK147/24,0),0)</f>
        <v>0</v>
      </c>
      <c r="AM304" s="13">
        <f>IF(Distances!FL147&lt;&gt;0,ROUNDUP(AM260+'Délai intermédiaire'!FL147/24,0),0)</f>
        <v>0</v>
      </c>
      <c r="AN304" s="13">
        <f>IF(Distances!FM147&lt;&gt;0,ROUNDUP(AN260+'Délai intermédiaire'!FM147/24,0),0)</f>
        <v>12</v>
      </c>
      <c r="AO304" s="14">
        <f>IF(Distances!FN147&lt;&gt;0,ROUNDUP(AO260+'Délai intermédiaire'!FN147/24,0),0)</f>
        <v>0</v>
      </c>
      <c r="AP304" s="14">
        <f>IF(Distances!FO147&lt;&gt;0,ROUNDUP(AP260+'Délai intermédiaire'!FO147/24,0),0)</f>
        <v>0</v>
      </c>
      <c r="AQ304" s="14">
        <f>IF(Distances!FP147&lt;&gt;0,ROUNDUP(AQ260+'Délai intermédiaire'!FP147/24,0),0)</f>
        <v>0</v>
      </c>
      <c r="AR304" s="12">
        <f>IF(Distances!FQ147&lt;&gt;0,ROUNDUP(AR260+'Délai intermédiaire'!FQ147/24,0),0)</f>
        <v>0</v>
      </c>
      <c r="AS304" s="13">
        <f>IF(Distances!FR147&lt;&gt;0,ROUNDUP(AS260+'Délai intermédiaire'!FR147/24,0),0)</f>
        <v>0</v>
      </c>
      <c r="AT304" s="13">
        <f>IF(Distances!FS147&lt;&gt;0,ROUNDUP(AT260+'Délai intermédiaire'!FS147/24,0),0)</f>
        <v>0</v>
      </c>
      <c r="AU304" s="13">
        <f>IF(Distances!FT147&lt;&gt;0,ROUNDUP(AU260+'Délai intermédiaire'!FT147/24,0),0)</f>
        <v>13</v>
      </c>
      <c r="AV304" s="13">
        <f>IF(Distances!FU147&lt;&gt;0,ROUNDUP(AV260+'Délai intermédiaire'!FU147/24,0),0)</f>
        <v>17</v>
      </c>
      <c r="AW304" s="13">
        <f>IF(Distances!FV147&lt;&gt;0,ROUNDUP(AW260+'Délai intermédiaire'!FV147/24,0),0)</f>
        <v>19</v>
      </c>
      <c r="AX304" s="13">
        <f>IF(Distances!FW147&lt;&gt;0,ROUNDUP(AX260+'Délai intermédiaire'!FW147/24,0),0)</f>
        <v>0</v>
      </c>
      <c r="AY304" s="14">
        <f>IF(Distances!FX147&lt;&gt;0,ROUNDUP(AY260+'Délai intermédiaire'!FX147/24,0),0)</f>
        <v>0</v>
      </c>
      <c r="AZ304" s="14">
        <f>IF(Distances!FY147&lt;&gt;0,ROUNDUP(AZ260+'Délai intermédiaire'!FY147/24,0),0)</f>
        <v>7</v>
      </c>
      <c r="BA304" s="13">
        <f>IF(Distances!FZ147&lt;&gt;0,ROUNDUP(BA260+'Délai intermédiaire'!FZ147/24,0),0)</f>
        <v>0</v>
      </c>
      <c r="BB304" s="14">
        <f>IF(Distances!GA147&lt;&gt;0,ROUNDUP(BB260+'Délai intermédiaire'!GA147/24,0),0)</f>
        <v>0</v>
      </c>
      <c r="BC304" s="13">
        <f>IF(Distances!GB147&lt;&gt;0,ROUNDUP(BC260+'Délai intermédiaire'!GB147/24,0),0)</f>
        <v>0</v>
      </c>
      <c r="BD304" s="13">
        <f>IF(Distances!GC147&lt;&gt;0,ROUNDUP(BD260+'Délai intermédiaire'!GC147/24,0),0)</f>
        <v>13</v>
      </c>
      <c r="BE304" s="13">
        <f>IF(Distances!GD147&lt;&gt;0,ROUNDUP(BE260+'Délai intermédiaire'!GD147/24,0),0)</f>
        <v>0</v>
      </c>
      <c r="BF304" s="14">
        <f>IF(Distances!GE147&lt;&gt;0,ROUNDUP(BF260+'Délai intermédiaire'!GE147/24,0),0)</f>
        <v>11</v>
      </c>
      <c r="BG304" s="14">
        <f>IF(Distances!GF147&lt;&gt;0,ROUNDUP(BG260+'Délai intermédiaire'!GF147/24,0),0)</f>
        <v>0</v>
      </c>
      <c r="BH304" s="14">
        <f>IF(Distances!GG147&lt;&gt;0,ROUNDUP(BH260+'Délai intermédiaire'!GG147/24,0),0)</f>
        <v>0</v>
      </c>
      <c r="BI304" s="14">
        <f>IF(Distances!GH147&lt;&gt;0,ROUNDUP(BI260+'Délai intermédiaire'!GH147/24,0),0)</f>
        <v>0</v>
      </c>
      <c r="BJ304" s="15">
        <f>IF(Distances!GI147&lt;&gt;0,ROUNDUP(BJ260+'Délai intermédiaire'!GI147/24,0),0)</f>
        <v>0</v>
      </c>
    </row>
    <row r="305" spans="1:62" x14ac:dyDescent="0.3">
      <c r="A305" s="10" t="s">
        <v>44</v>
      </c>
      <c r="B305" s="16">
        <f>IF(Distances!EA148&lt;&gt;0,ROUNDUP(B260+'Délai intermédiaire'!EA148/24,0),0)</f>
        <v>0</v>
      </c>
      <c r="C305" s="14">
        <f>IF(Distances!EB148&lt;&gt;0,ROUNDUP(C260+'Délai intermédiaire'!EB148/24,0),0)</f>
        <v>0</v>
      </c>
      <c r="D305" s="14">
        <f>IF(Distances!EC148&lt;&gt;0,ROUNDUP(D260+'Délai intermédiaire'!EC148/24,0),0)</f>
        <v>17</v>
      </c>
      <c r="E305" s="14">
        <f>IF(Distances!ED148&lt;&gt;0,ROUNDUP(E260+'Délai intermédiaire'!ED148/24,0),0)</f>
        <v>0</v>
      </c>
      <c r="F305" s="14">
        <f>IF(Distances!EE148&lt;&gt;0,ROUNDUP(F260+'Délai intermédiaire'!EE148/24,0),0)</f>
        <v>16</v>
      </c>
      <c r="G305" s="14">
        <f>IF(Distances!EF148&lt;&gt;0,ROUNDUP(G260+'Délai intermédiaire'!EF148/24,0),0)</f>
        <v>23</v>
      </c>
      <c r="H305" s="14">
        <f>IF(Distances!EG148&lt;&gt;0,ROUNDUP(H260+'Délai intermédiaire'!EG148/24,0),0)</f>
        <v>0</v>
      </c>
      <c r="I305" s="14">
        <f>IF(Distances!EH148&lt;&gt;0,ROUNDUP(I260+'Délai intermédiaire'!EH148/24,0),0)</f>
        <v>0</v>
      </c>
      <c r="J305" s="14">
        <f>IF(Distances!EI148&lt;&gt;0,ROUNDUP(J260+'Délai intermédiaire'!EI148/24,0),0)</f>
        <v>17</v>
      </c>
      <c r="K305" s="14">
        <f>IF(Distances!EJ148&lt;&gt;0,ROUNDUP(K260+'Délai intermédiaire'!EJ148/24,0),0)</f>
        <v>0</v>
      </c>
      <c r="L305" s="14">
        <f>IF(Distances!EK148&lt;&gt;0,ROUNDUP(L260+'Délai intermédiaire'!EK148/24,0),0)</f>
        <v>0</v>
      </c>
      <c r="M305" s="14">
        <f>IF(Distances!EL148&lt;&gt;0,ROUNDUP(M260+'Délai intermédiaire'!EL148/24,0),0)</f>
        <v>0</v>
      </c>
      <c r="N305" s="14">
        <f>IF(Distances!EM148&lt;&gt;0,ROUNDUP(N260+'Délai intermédiaire'!EM148/24,0),0)</f>
        <v>0</v>
      </c>
      <c r="O305" s="14">
        <f>IF(Distances!EN148&lt;&gt;0,ROUNDUP(O260+'Délai intermédiaire'!EN148/24,0),0)</f>
        <v>0</v>
      </c>
      <c r="P305" s="14">
        <f>IF(Distances!EO148&lt;&gt;0,ROUNDUP(P260+'Délai intermédiaire'!EO148/24,0),0)</f>
        <v>0</v>
      </c>
      <c r="Q305" s="14">
        <f>IF(Distances!EP148&lt;&gt;0,ROUNDUP(Q260+'Délai intermédiaire'!EP148/24,0),0)</f>
        <v>0</v>
      </c>
      <c r="R305" s="14">
        <f>IF(Distances!EQ148&lt;&gt;0,ROUNDUP(R260+'Délai intermédiaire'!EQ148/24,0),0)</f>
        <v>0</v>
      </c>
      <c r="S305" s="14">
        <f>IF(Distances!ER148&lt;&gt;0,ROUNDUP(S260+'Délai intermédiaire'!ER148/24,0),0)</f>
        <v>0</v>
      </c>
      <c r="T305" s="14">
        <f>IF(Distances!ES148&lt;&gt;0,ROUNDUP(T260+'Délai intermédiaire'!ES148/24,0),0)</f>
        <v>12</v>
      </c>
      <c r="U305" s="14">
        <f>IF(Distances!ET148&lt;&gt;0,ROUNDUP(U260+'Délai intermédiaire'!ET148/24,0),0)</f>
        <v>9</v>
      </c>
      <c r="V305" s="14">
        <f>IF(Distances!EU148&lt;&gt;0,ROUNDUP(V260+'Délai intermédiaire'!EU148/24,0),0)</f>
        <v>9</v>
      </c>
      <c r="W305" s="14">
        <f>IF(Distances!EV148&lt;&gt;0,ROUNDUP(W260+'Délai intermédiaire'!EV148/24,0),0)</f>
        <v>0</v>
      </c>
      <c r="X305" s="14">
        <f>IF(Distances!EW148&lt;&gt;0,ROUNDUP(X260+'Délai intermédiaire'!EW148/24,0),0)</f>
        <v>13</v>
      </c>
      <c r="Y305" s="14">
        <f>IF(Distances!EX148&lt;&gt;0,ROUNDUP(Y260+'Délai intermédiaire'!EX148/24,0),0)</f>
        <v>12</v>
      </c>
      <c r="Z305" s="14">
        <f>IF(Distances!EY148&lt;&gt;0,ROUNDUP(Z260+'Délai intermédiaire'!EY148/24,0),0)</f>
        <v>10</v>
      </c>
      <c r="AA305" s="14">
        <f>IF(Distances!EZ148&lt;&gt;0,ROUNDUP(AA260+'Délai intermédiaire'!EZ148/24,0),0)</f>
        <v>10</v>
      </c>
      <c r="AB305" s="14">
        <f>IF(Distances!FA148&lt;&gt;0,ROUNDUP(AB260+'Délai intermédiaire'!FA148/24,0),0)</f>
        <v>9</v>
      </c>
      <c r="AC305" s="14">
        <f>IF(Distances!FB148&lt;&gt;0,ROUNDUP(AC260+'Délai intermédiaire'!FB148/24,0),0)</f>
        <v>0</v>
      </c>
      <c r="AD305" s="14">
        <f>IF(Distances!FC148&lt;&gt;0,ROUNDUP(AD260+'Délai intermédiaire'!FC148/24,0),0)</f>
        <v>0</v>
      </c>
      <c r="AE305" s="14">
        <f>IF(Distances!FD148&lt;&gt;0,ROUNDUP(AE260+'Délai intermédiaire'!FD148/24,0),0)</f>
        <v>10</v>
      </c>
      <c r="AF305" s="14">
        <f>IF(Distances!FE148&lt;&gt;0,ROUNDUP(AF260+'Délai intermédiaire'!FE148/24,0),0)</f>
        <v>9</v>
      </c>
      <c r="AG305" s="14">
        <f>IF(Distances!FF148&lt;&gt;0,ROUNDUP(AG260+'Délai intermédiaire'!FF148/24,0),0)</f>
        <v>10</v>
      </c>
      <c r="AH305" s="13">
        <f>IF(Distances!FG148&lt;&gt;0,ROUNDUP(AH260+'Délai intermédiaire'!FG148/24,0),0)</f>
        <v>5</v>
      </c>
      <c r="AI305" s="13">
        <f>IF(Distances!FH148&lt;&gt;0,ROUNDUP(AI260+'Délai intermédiaire'!FH148/24,0),0)</f>
        <v>0</v>
      </c>
      <c r="AJ305" s="13">
        <f>IF(Distances!FI148&lt;&gt;0,ROUNDUP(AJ260+'Délai intermédiaire'!FI148/24,0),0)</f>
        <v>5</v>
      </c>
      <c r="AK305" s="13">
        <f>IF(Distances!FJ148&lt;&gt;0,ROUNDUP(AK260+'Délai intermédiaire'!FJ148/24,0),0)</f>
        <v>0</v>
      </c>
      <c r="AL305" s="13">
        <f>IF(Distances!FK148&lt;&gt;0,ROUNDUP(AL260+'Délai intermédiaire'!FK148/24,0),0)</f>
        <v>0</v>
      </c>
      <c r="AM305" s="13">
        <f>IF(Distances!FL148&lt;&gt;0,ROUNDUP(AM260+'Délai intermédiaire'!FL148/24,0),0)</f>
        <v>0</v>
      </c>
      <c r="AN305" s="13">
        <f>IF(Distances!FM148&lt;&gt;0,ROUNDUP(AN260+'Délai intermédiaire'!FM148/24,0),0)</f>
        <v>12</v>
      </c>
      <c r="AO305" s="14">
        <f>IF(Distances!FN148&lt;&gt;0,ROUNDUP(AO260+'Délai intermédiaire'!FN148/24,0),0)</f>
        <v>0</v>
      </c>
      <c r="AP305" s="14">
        <f>IF(Distances!FO148&lt;&gt;0,ROUNDUP(AP260+'Délai intermédiaire'!FO148/24,0),0)</f>
        <v>0</v>
      </c>
      <c r="AQ305" s="14">
        <f>IF(Distances!FP148&lt;&gt;0,ROUNDUP(AQ260+'Délai intermédiaire'!FP148/24,0),0)</f>
        <v>0</v>
      </c>
      <c r="AR305" s="13">
        <f>IF(Distances!FQ148&lt;&gt;0,ROUNDUP(AR260+'Délai intermédiaire'!FQ148/24,0),0)</f>
        <v>0</v>
      </c>
      <c r="AS305" s="12">
        <f>IF(Distances!FR148&lt;&gt;0,ROUNDUP(AS260+'Délai intermédiaire'!FR148/24,0),0)</f>
        <v>0</v>
      </c>
      <c r="AT305" s="13">
        <f>IF(Distances!FS148&lt;&gt;0,ROUNDUP(AT260+'Délai intermédiaire'!FS148/24,0),0)</f>
        <v>0</v>
      </c>
      <c r="AU305" s="13">
        <f>IF(Distances!FT148&lt;&gt;0,ROUNDUP(AU260+'Délai intermédiaire'!FT148/24,0),0)</f>
        <v>13</v>
      </c>
      <c r="AV305" s="13">
        <f>IF(Distances!FU148&lt;&gt;0,ROUNDUP(AV260+'Délai intermédiaire'!FU148/24,0),0)</f>
        <v>17</v>
      </c>
      <c r="AW305" s="13">
        <f>IF(Distances!FV148&lt;&gt;0,ROUNDUP(AW260+'Délai intermédiaire'!FV148/24,0),0)</f>
        <v>19</v>
      </c>
      <c r="AX305" s="13">
        <f>IF(Distances!FW148&lt;&gt;0,ROUNDUP(AX260+'Délai intermédiaire'!FW148/24,0),0)</f>
        <v>0</v>
      </c>
      <c r="AY305" s="12">
        <f>IF(Distances!FX148&lt;&gt;0,ROUNDUP(AY260+'Délai intermédiaire'!FX148/24,0),0)</f>
        <v>0</v>
      </c>
      <c r="AZ305" s="12">
        <f>IF(Distances!FY148&lt;&gt;0,ROUNDUP(AZ260+'Délai intermédiaire'!FY148/24,0),0)</f>
        <v>7</v>
      </c>
      <c r="BA305" s="13">
        <f>IF(Distances!FZ148&lt;&gt;0,ROUNDUP(BA260+'Délai intermédiaire'!FZ148/24,0),0)</f>
        <v>0</v>
      </c>
      <c r="BB305" s="14">
        <f>IF(Distances!GA148&lt;&gt;0,ROUNDUP(BB260+'Délai intermédiaire'!GA148/24,0),0)</f>
        <v>0</v>
      </c>
      <c r="BC305" s="13">
        <f>IF(Distances!GB148&lt;&gt;0,ROUNDUP(BC260+'Délai intermédiaire'!GB148/24,0),0)</f>
        <v>0</v>
      </c>
      <c r="BD305" s="13">
        <f>IF(Distances!GC148&lt;&gt;0,ROUNDUP(BD260+'Délai intermédiaire'!GC148/24,0),0)</f>
        <v>13</v>
      </c>
      <c r="BE305" s="13">
        <f>IF(Distances!GD148&lt;&gt;0,ROUNDUP(BE260+'Délai intermédiaire'!GD148/24,0),0)</f>
        <v>0</v>
      </c>
      <c r="BF305" s="14">
        <f>IF(Distances!GE148&lt;&gt;0,ROUNDUP(BF260+'Délai intermédiaire'!GE148/24,0),0)</f>
        <v>11</v>
      </c>
      <c r="BG305" s="14">
        <f>IF(Distances!GF148&lt;&gt;0,ROUNDUP(BG260+'Délai intermédiaire'!GF148/24,0),0)</f>
        <v>0</v>
      </c>
      <c r="BH305" s="14">
        <f>IF(Distances!GG148&lt;&gt;0,ROUNDUP(BH260+'Délai intermédiaire'!GG148/24,0),0)</f>
        <v>0</v>
      </c>
      <c r="BI305" s="14">
        <f>IF(Distances!GH148&lt;&gt;0,ROUNDUP(BI260+'Délai intermédiaire'!GH148/24,0),0)</f>
        <v>0</v>
      </c>
      <c r="BJ305" s="15">
        <f>IF(Distances!GI148&lt;&gt;0,ROUNDUP(BJ260+'Délai intermédiaire'!GI148/24,0),0)</f>
        <v>0</v>
      </c>
    </row>
    <row r="306" spans="1:62" x14ac:dyDescent="0.3">
      <c r="A306" s="20" t="s">
        <v>45</v>
      </c>
      <c r="B306" s="21">
        <f>IF(Distances!EA149&lt;&gt;0,ROUNDUP(B260+'Délai intermédiaire'!EA149/24,0),0)</f>
        <v>0</v>
      </c>
      <c r="C306" s="22">
        <f>IF(Distances!EB149&lt;&gt;0,ROUNDUP(C260+'Délai intermédiaire'!EB149/24,0),0)</f>
        <v>0</v>
      </c>
      <c r="D306" s="22">
        <f>IF(Distances!EC149&lt;&gt;0,ROUNDUP(D260+'Délai intermédiaire'!EC149/24,0),0)</f>
        <v>17</v>
      </c>
      <c r="E306" s="22">
        <f>IF(Distances!ED149&lt;&gt;0,ROUNDUP(E260+'Délai intermédiaire'!ED149/24,0),0)</f>
        <v>0</v>
      </c>
      <c r="F306" s="22">
        <f>IF(Distances!EE149&lt;&gt;0,ROUNDUP(F260+'Délai intermédiaire'!EE149/24,0),0)</f>
        <v>16</v>
      </c>
      <c r="G306" s="22">
        <f>IF(Distances!EF149&lt;&gt;0,ROUNDUP(G260+'Délai intermédiaire'!EF149/24,0),0)</f>
        <v>23</v>
      </c>
      <c r="H306" s="22">
        <f>IF(Distances!EG149&lt;&gt;0,ROUNDUP(H260+'Délai intermédiaire'!EG149/24,0),0)</f>
        <v>0</v>
      </c>
      <c r="I306" s="22">
        <f>IF(Distances!EH149&lt;&gt;0,ROUNDUP(I260+'Délai intermédiaire'!EH149/24,0),0)</f>
        <v>0</v>
      </c>
      <c r="J306" s="22">
        <f>IF(Distances!EI149&lt;&gt;0,ROUNDUP(J260+'Délai intermédiaire'!EI149/24,0),0)</f>
        <v>17</v>
      </c>
      <c r="K306" s="22">
        <f>IF(Distances!EJ149&lt;&gt;0,ROUNDUP(K260+'Délai intermédiaire'!EJ149/24,0),0)</f>
        <v>0</v>
      </c>
      <c r="L306" s="22">
        <f>IF(Distances!EK149&lt;&gt;0,ROUNDUP(L260+'Délai intermédiaire'!EK149/24,0),0)</f>
        <v>0</v>
      </c>
      <c r="M306" s="22">
        <f>IF(Distances!EL149&lt;&gt;0,ROUNDUP(M260+'Délai intermédiaire'!EL149/24,0),0)</f>
        <v>0</v>
      </c>
      <c r="N306" s="22">
        <f>IF(Distances!EM149&lt;&gt;0,ROUNDUP(N260+'Délai intermédiaire'!EM149/24,0),0)</f>
        <v>0</v>
      </c>
      <c r="O306" s="22">
        <f>IF(Distances!EN149&lt;&gt;0,ROUNDUP(O260+'Délai intermédiaire'!EN149/24,0),0)</f>
        <v>0</v>
      </c>
      <c r="P306" s="22">
        <f>IF(Distances!EO149&lt;&gt;0,ROUNDUP(P260+'Délai intermédiaire'!EO149/24,0),0)</f>
        <v>0</v>
      </c>
      <c r="Q306" s="22">
        <f>IF(Distances!EP149&lt;&gt;0,ROUNDUP(Q260+'Délai intermédiaire'!EP149/24,0),0)</f>
        <v>0</v>
      </c>
      <c r="R306" s="22">
        <f>IF(Distances!EQ149&lt;&gt;0,ROUNDUP(R260+'Délai intermédiaire'!EQ149/24,0),0)</f>
        <v>0</v>
      </c>
      <c r="S306" s="22">
        <f>IF(Distances!ER149&lt;&gt;0,ROUNDUP(S260+'Délai intermédiaire'!ER149/24,0),0)</f>
        <v>0</v>
      </c>
      <c r="T306" s="22">
        <f>IF(Distances!ES149&lt;&gt;0,ROUNDUP(T260+'Délai intermédiaire'!ES149/24,0),0)</f>
        <v>12</v>
      </c>
      <c r="U306" s="22">
        <f>IF(Distances!ET149&lt;&gt;0,ROUNDUP(U260+'Délai intermédiaire'!ET149/24,0),0)</f>
        <v>9</v>
      </c>
      <c r="V306" s="22">
        <f>IF(Distances!EU149&lt;&gt;0,ROUNDUP(V260+'Délai intermédiaire'!EU149/24,0),0)</f>
        <v>9</v>
      </c>
      <c r="W306" s="22">
        <f>IF(Distances!EV149&lt;&gt;0,ROUNDUP(W260+'Délai intermédiaire'!EV149/24,0),0)</f>
        <v>0</v>
      </c>
      <c r="X306" s="22">
        <f>IF(Distances!EW149&lt;&gt;0,ROUNDUP(X260+'Délai intermédiaire'!EW149/24,0),0)</f>
        <v>13</v>
      </c>
      <c r="Y306" s="22">
        <f>IF(Distances!EX149&lt;&gt;0,ROUNDUP(Y260+'Délai intermédiaire'!EX149/24,0),0)</f>
        <v>12</v>
      </c>
      <c r="Z306" s="22">
        <f>IF(Distances!EY149&lt;&gt;0,ROUNDUP(Z260+'Délai intermédiaire'!EY149/24,0),0)</f>
        <v>10</v>
      </c>
      <c r="AA306" s="22">
        <f>IF(Distances!EZ149&lt;&gt;0,ROUNDUP(AA260+'Délai intermédiaire'!EZ149/24,0),0)</f>
        <v>10</v>
      </c>
      <c r="AB306" s="22">
        <f>IF(Distances!FA149&lt;&gt;0,ROUNDUP(AB260+'Délai intermédiaire'!FA149/24,0),0)</f>
        <v>9</v>
      </c>
      <c r="AC306" s="22">
        <f>IF(Distances!FB149&lt;&gt;0,ROUNDUP(AC260+'Délai intermédiaire'!FB149/24,0),0)</f>
        <v>0</v>
      </c>
      <c r="AD306" s="22">
        <f>IF(Distances!FC149&lt;&gt;0,ROUNDUP(AD260+'Délai intermédiaire'!FC149/24,0),0)</f>
        <v>0</v>
      </c>
      <c r="AE306" s="22">
        <f>IF(Distances!FD149&lt;&gt;0,ROUNDUP(AE260+'Délai intermédiaire'!FD149/24,0),0)</f>
        <v>10</v>
      </c>
      <c r="AF306" s="22">
        <f>IF(Distances!FE149&lt;&gt;0,ROUNDUP(AF260+'Délai intermédiaire'!FE149/24,0),0)</f>
        <v>9</v>
      </c>
      <c r="AG306" s="22">
        <f>IF(Distances!FF149&lt;&gt;0,ROUNDUP(AG260+'Délai intermédiaire'!FF149/24,0),0)</f>
        <v>10</v>
      </c>
      <c r="AH306" s="23">
        <f>IF(Distances!FG149&lt;&gt;0,ROUNDUP(AH260+'Délai intermédiaire'!FG149/24,0),0)</f>
        <v>5</v>
      </c>
      <c r="AI306" s="23">
        <f>IF(Distances!FH149&lt;&gt;0,ROUNDUP(AI260+'Délai intermédiaire'!FH149/24,0),0)</f>
        <v>0</v>
      </c>
      <c r="AJ306" s="23">
        <f>IF(Distances!FI149&lt;&gt;0,ROUNDUP(AJ260+'Délai intermédiaire'!FI149/24,0),0)</f>
        <v>5</v>
      </c>
      <c r="AK306" s="23">
        <f>IF(Distances!FJ149&lt;&gt;0,ROUNDUP(AK260+'Délai intermédiaire'!FJ149/24,0),0)</f>
        <v>0</v>
      </c>
      <c r="AL306" s="23">
        <f>IF(Distances!FK149&lt;&gt;0,ROUNDUP(AL260+'Délai intermédiaire'!FK149/24,0),0)</f>
        <v>0</v>
      </c>
      <c r="AM306" s="23">
        <f>IF(Distances!FL149&lt;&gt;0,ROUNDUP(AM260+'Délai intermédiaire'!FL149/24,0),0)</f>
        <v>0</v>
      </c>
      <c r="AN306" s="23">
        <f>IF(Distances!FM149&lt;&gt;0,ROUNDUP(AN260+'Délai intermédiaire'!FM149/24,0),0)</f>
        <v>12</v>
      </c>
      <c r="AO306" s="22">
        <f>IF(Distances!FN149&lt;&gt;0,ROUNDUP(AO260+'Délai intermédiaire'!FN149/24,0),0)</f>
        <v>0</v>
      </c>
      <c r="AP306" s="22">
        <f>IF(Distances!FO149&lt;&gt;0,ROUNDUP(AP260+'Délai intermédiaire'!FO149/24,0),0)</f>
        <v>0</v>
      </c>
      <c r="AQ306" s="22">
        <f>IF(Distances!FP149&lt;&gt;0,ROUNDUP(AQ260+'Délai intermédiaire'!FP149/24,0),0)</f>
        <v>0</v>
      </c>
      <c r="AR306" s="23">
        <f>IF(Distances!FQ149&lt;&gt;0,ROUNDUP(AR260+'Délai intermédiaire'!FQ149/24,0),0)</f>
        <v>0</v>
      </c>
      <c r="AS306" s="23">
        <f>IF(Distances!FR149&lt;&gt;0,ROUNDUP(AS260+'Délai intermédiaire'!FR149/24,0),0)</f>
        <v>0</v>
      </c>
      <c r="AT306" s="24">
        <f>IF(Distances!FS149&lt;&gt;0,ROUNDUP(AT260+'Délai intermédiaire'!FS149/24,0),0)</f>
        <v>0</v>
      </c>
      <c r="AU306" s="23">
        <f>IF(Distances!FT149&lt;&gt;0,ROUNDUP(AU260+'Délai intermédiaire'!FT149/24,0),0)</f>
        <v>13</v>
      </c>
      <c r="AV306" s="23">
        <f>IF(Distances!FU149&lt;&gt;0,ROUNDUP(AV260+'Délai intermédiaire'!FU149/24,0),0)</f>
        <v>17</v>
      </c>
      <c r="AW306" s="23">
        <f>IF(Distances!FV149&lt;&gt;0,ROUNDUP(AW260+'Délai intermédiaire'!FV149/24,0),0)</f>
        <v>19</v>
      </c>
      <c r="AX306" s="23">
        <f>IF(Distances!FW149&lt;&gt;0,ROUNDUP(AX260+'Délai intermédiaire'!FW149/24,0),0)</f>
        <v>0</v>
      </c>
      <c r="AY306" s="22">
        <f>IF(Distances!FX149&lt;&gt;0,ROUNDUP(AY260+'Délai intermédiaire'!FX149/24,0),0)</f>
        <v>0</v>
      </c>
      <c r="AZ306" s="22">
        <f>IF(Distances!FY149&lt;&gt;0,ROUNDUP(AZ260+'Délai intermédiaire'!FY149/24,0),0)</f>
        <v>7</v>
      </c>
      <c r="BA306" s="24">
        <f>IF(Distances!FZ149&lt;&gt;0,ROUNDUP(BA260+'Délai intermédiaire'!FZ149/24,0),0)</f>
        <v>0</v>
      </c>
      <c r="BB306" s="22">
        <f>IF(Distances!GA149&lt;&gt;0,ROUNDUP(BB260+'Délai intermédiaire'!GA149/24,0),0)</f>
        <v>0</v>
      </c>
      <c r="BC306" s="23">
        <f>IF(Distances!GB149&lt;&gt;0,ROUNDUP(BC260+'Délai intermédiaire'!GB149/24,0),0)</f>
        <v>0</v>
      </c>
      <c r="BD306" s="23">
        <f>IF(Distances!GC149&lt;&gt;0,ROUNDUP(BD260+'Délai intermédiaire'!GC149/24,0),0)</f>
        <v>13</v>
      </c>
      <c r="BE306" s="23">
        <f>IF(Distances!GD149&lt;&gt;0,ROUNDUP(BE260+'Délai intermédiaire'!GD149/24,0),0)</f>
        <v>0</v>
      </c>
      <c r="BF306" s="22">
        <f>IF(Distances!GE149&lt;&gt;0,ROUNDUP(BF260+'Délai intermédiaire'!GE149/24,0),0)</f>
        <v>11</v>
      </c>
      <c r="BG306" s="22">
        <f>IF(Distances!GF149&lt;&gt;0,ROUNDUP(BG260+'Délai intermédiaire'!GF149/24,0),0)</f>
        <v>0</v>
      </c>
      <c r="BH306" s="22">
        <f>IF(Distances!GG149&lt;&gt;0,ROUNDUP(BH260+'Délai intermédiaire'!GG149/24,0),0)</f>
        <v>0</v>
      </c>
      <c r="BI306" s="22">
        <f>IF(Distances!GH149&lt;&gt;0,ROUNDUP(BI260+'Délai intermédiaire'!GH149/24,0),0)</f>
        <v>0</v>
      </c>
      <c r="BJ306" s="25">
        <f>IF(Distances!GI149&lt;&gt;0,ROUNDUP(BJ260+'Délai intermédiaire'!GI149/24,0),0)</f>
        <v>0</v>
      </c>
    </row>
  </sheetData>
  <mergeCells count="6">
    <mergeCell ref="A258:C258"/>
    <mergeCell ref="A3:B3"/>
    <mergeCell ref="A54:B54"/>
    <mergeCell ref="A105:B105"/>
    <mergeCell ref="A156:B156"/>
    <mergeCell ref="A207:C207"/>
  </mergeCells>
  <conditionalFormatting sqref="B7:BJ51">
    <cfRule type="cellIs" dxfId="46" priority="47" operator="greaterThan">
      <formula>15</formula>
    </cfRule>
  </conditionalFormatting>
  <conditionalFormatting sqref="B7:N19">
    <cfRule type="cellIs" dxfId="45" priority="46" operator="greaterThan">
      <formula>7</formula>
    </cfRule>
  </conditionalFormatting>
  <conditionalFormatting sqref="Q22:AG38">
    <cfRule type="cellIs" dxfId="44" priority="45" operator="greaterThan">
      <formula>7</formula>
    </cfRule>
  </conditionalFormatting>
  <conditionalFormatting sqref="AH39:AN51">
    <cfRule type="cellIs" dxfId="43" priority="44" operator="greaterThan">
      <formula>7</formula>
    </cfRule>
  </conditionalFormatting>
  <conditionalFormatting sqref="AR39:AX51">
    <cfRule type="cellIs" dxfId="42" priority="43" operator="greaterThan">
      <formula>7</formula>
    </cfRule>
  </conditionalFormatting>
  <conditionalFormatting sqref="BA39:BA51">
    <cfRule type="cellIs" dxfId="41" priority="42" operator="greaterThan">
      <formula>7</formula>
    </cfRule>
  </conditionalFormatting>
  <conditionalFormatting sqref="BC39:BE51">
    <cfRule type="cellIs" dxfId="40" priority="41" operator="greaterThan">
      <formula>7</formula>
    </cfRule>
  </conditionalFormatting>
  <conditionalFormatting sqref="BH20:BJ21">
    <cfRule type="cellIs" dxfId="39" priority="40" operator="greaterThan">
      <formula>7</formula>
    </cfRule>
  </conditionalFormatting>
  <conditionalFormatting sqref="B58:BJ102">
    <cfRule type="cellIs" dxfId="38" priority="39" operator="greaterThan">
      <formula>15</formula>
    </cfRule>
  </conditionalFormatting>
  <conditionalFormatting sqref="AW90:AW94">
    <cfRule type="cellIs" dxfId="37" priority="38" operator="greaterThan">
      <formula>7</formula>
    </cfRule>
  </conditionalFormatting>
  <conditionalFormatting sqref="B109:BJ153">
    <cfRule type="cellIs" dxfId="36" priority="37" operator="greaterThan">
      <formula>7</formula>
    </cfRule>
  </conditionalFormatting>
  <conditionalFormatting sqref="B160:BJ204">
    <cfRule type="cellIs" dxfId="35" priority="36" operator="greaterThan">
      <formula>15</formula>
    </cfRule>
  </conditionalFormatting>
  <conditionalFormatting sqref="B160:N172">
    <cfRule type="cellIs" dxfId="34" priority="35" operator="greaterThan">
      <formula>7</formula>
    </cfRule>
  </conditionalFormatting>
  <conditionalFormatting sqref="Q175:AG191">
    <cfRule type="cellIs" dxfId="33" priority="34" operator="greaterThan">
      <formula>7</formula>
    </cfRule>
  </conditionalFormatting>
  <conditionalFormatting sqref="AH192:AN198">
    <cfRule type="cellIs" dxfId="32" priority="33" operator="greaterThan">
      <formula>7</formula>
    </cfRule>
  </conditionalFormatting>
  <conditionalFormatting sqref="AH202:AN204">
    <cfRule type="cellIs" dxfId="31" priority="32" operator="greaterThan">
      <formula>7</formula>
    </cfRule>
  </conditionalFormatting>
  <conditionalFormatting sqref="AR192:AX198">
    <cfRule type="cellIs" dxfId="30" priority="31" operator="greaterThan">
      <formula>7</formula>
    </cfRule>
  </conditionalFormatting>
  <conditionalFormatting sqref="AR202:AX204">
    <cfRule type="cellIs" dxfId="29" priority="30" operator="greaterThan">
      <formula>7</formula>
    </cfRule>
  </conditionalFormatting>
  <conditionalFormatting sqref="BA192:BA198">
    <cfRule type="cellIs" dxfId="28" priority="29" operator="greaterThan">
      <formula>7</formula>
    </cfRule>
  </conditionalFormatting>
  <conditionalFormatting sqref="BA202">
    <cfRule type="cellIs" dxfId="27" priority="28" operator="greaterThan">
      <formula>7</formula>
    </cfRule>
  </conditionalFormatting>
  <conditionalFormatting sqref="BC192:BE197">
    <cfRule type="cellIs" dxfId="26" priority="27" operator="greaterThan">
      <formula>7</formula>
    </cfRule>
  </conditionalFormatting>
  <conditionalFormatting sqref="BC202:BE203">
    <cfRule type="cellIs" dxfId="25" priority="26" operator="greaterThan">
      <formula>7</formula>
    </cfRule>
  </conditionalFormatting>
  <conditionalFormatting sqref="B211:BJ255">
    <cfRule type="cellIs" dxfId="24" priority="25" operator="greaterThan">
      <formula>15</formula>
    </cfRule>
  </conditionalFormatting>
  <conditionalFormatting sqref="B211:N223">
    <cfRule type="cellIs" dxfId="23" priority="24" operator="greaterThan">
      <formula>7</formula>
    </cfRule>
  </conditionalFormatting>
  <conditionalFormatting sqref="Q226:AG242">
    <cfRule type="cellIs" dxfId="22" priority="23" operator="greaterThan">
      <formula>7</formula>
    </cfRule>
  </conditionalFormatting>
  <conditionalFormatting sqref="AH243:AN249">
    <cfRule type="cellIs" dxfId="21" priority="22" operator="greaterThan">
      <formula>7</formula>
    </cfRule>
  </conditionalFormatting>
  <conditionalFormatting sqref="AH253:AN255">
    <cfRule type="cellIs" dxfId="20" priority="21" operator="greaterThan">
      <formula>7</formula>
    </cfRule>
  </conditionalFormatting>
  <conditionalFormatting sqref="AR243:AX249">
    <cfRule type="cellIs" dxfId="19" priority="20" operator="greaterThan">
      <formula>7</formula>
    </cfRule>
  </conditionalFormatting>
  <conditionalFormatting sqref="AR253:AX255">
    <cfRule type="cellIs" dxfId="18" priority="19" operator="greaterThan">
      <formula>7</formula>
    </cfRule>
  </conditionalFormatting>
  <conditionalFormatting sqref="BA243:BA255">
    <cfRule type="cellIs" dxfId="17" priority="18" operator="greaterThan">
      <formula>7</formula>
    </cfRule>
  </conditionalFormatting>
  <conditionalFormatting sqref="BB226:BB242">
    <cfRule type="cellIs" dxfId="16" priority="17" operator="greaterThan">
      <formula>7</formula>
    </cfRule>
  </conditionalFormatting>
  <conditionalFormatting sqref="BC243:BE249">
    <cfRule type="cellIs" dxfId="15" priority="16" operator="greaterThan">
      <formula>7</formula>
    </cfRule>
  </conditionalFormatting>
  <conditionalFormatting sqref="BC253:BE255">
    <cfRule type="cellIs" dxfId="14" priority="15" operator="greaterThan">
      <formula>7</formula>
    </cfRule>
  </conditionalFormatting>
  <conditionalFormatting sqref="BF226:BG242">
    <cfRule type="cellIs" dxfId="13" priority="14" operator="greaterThan">
      <formula>7</formula>
    </cfRule>
  </conditionalFormatting>
  <conditionalFormatting sqref="BH224:BJ225">
    <cfRule type="cellIs" dxfId="12" priority="13" operator="greaterThan">
      <formula>7</formula>
    </cfRule>
  </conditionalFormatting>
  <conditionalFormatting sqref="B262:BJ306">
    <cfRule type="cellIs" dxfId="11" priority="12" operator="greaterThan">
      <formula>15</formula>
    </cfRule>
  </conditionalFormatting>
  <conditionalFormatting sqref="B262:N274">
    <cfRule type="cellIs" dxfId="10" priority="11" operator="greaterThan">
      <formula>7</formula>
    </cfRule>
  </conditionalFormatting>
  <conditionalFormatting sqref="Q277:AG293">
    <cfRule type="cellIs" dxfId="9" priority="10" operator="greaterThan">
      <formula>7</formula>
    </cfRule>
  </conditionalFormatting>
  <conditionalFormatting sqref="AH294:AN300">
    <cfRule type="cellIs" dxfId="8" priority="9" operator="greaterThan">
      <formula>7</formula>
    </cfRule>
  </conditionalFormatting>
  <conditionalFormatting sqref="AH304:AN306">
    <cfRule type="cellIs" dxfId="7" priority="8" operator="greaterThan">
      <formula>7</formula>
    </cfRule>
  </conditionalFormatting>
  <conditionalFormatting sqref="AR294:AX300">
    <cfRule type="cellIs" dxfId="6" priority="7" operator="greaterThan">
      <formula>7</formula>
    </cfRule>
  </conditionalFormatting>
  <conditionalFormatting sqref="AR304:AX306">
    <cfRule type="cellIs" dxfId="5" priority="6" operator="greaterThan">
      <formula>7</formula>
    </cfRule>
  </conditionalFormatting>
  <conditionalFormatting sqref="BA294:BA301">
    <cfRule type="cellIs" dxfId="4" priority="5" operator="greaterThan">
      <formula>7</formula>
    </cfRule>
  </conditionalFormatting>
  <conditionalFormatting sqref="BB278:BB293">
    <cfRule type="cellIs" dxfId="3" priority="4" operator="greaterThan">
      <formula>7</formula>
    </cfRule>
  </conditionalFormatting>
  <conditionalFormatting sqref="BC294:BE300">
    <cfRule type="cellIs" dxfId="2" priority="3" operator="greaterThan">
      <formula>7</formula>
    </cfRule>
  </conditionalFormatting>
  <conditionalFormatting sqref="BC304:BE306">
    <cfRule type="cellIs" dxfId="1" priority="2" operator="greaterThan">
      <formula>7</formula>
    </cfRule>
  </conditionalFormatting>
  <conditionalFormatting sqref="BF277:BG293">
    <cfRule type="cellIs" dxfId="0" priority="1" operator="greaterThan">
      <formula>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Distances</vt:lpstr>
      <vt:lpstr>Prix final</vt:lpstr>
      <vt:lpstr>Délai intermédiaire</vt:lpstr>
      <vt:lpstr>Délai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angèlie lisman</dc:creator>
  <cp:lastModifiedBy>angèlie lisman</cp:lastModifiedBy>
  <dcterms:created xsi:type="dcterms:W3CDTF">2021-05-17T09:42:47Z</dcterms:created>
  <dcterms:modified xsi:type="dcterms:W3CDTF">2021-05-25T11:39:12Z</dcterms:modified>
</cp:coreProperties>
</file>